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24226"/>
  <mc:AlternateContent xmlns:mc="http://schemas.openxmlformats.org/markup-compatibility/2006">
    <mc:Choice Requires="x15">
      <x15ac:absPath xmlns:x15ac="http://schemas.microsoft.com/office/spreadsheetml/2010/11/ac" url="C:\Users\fj.santibanez\Desktop\Libro Finanzas para no financieros\Enviado a Ladis\Hojas Excel\"/>
    </mc:Choice>
  </mc:AlternateContent>
  <xr:revisionPtr revIDLastSave="0" documentId="13_ncr:1_{0448B636-E11F-4AC3-9B47-A7C4597103AE}" xr6:coauthVersionLast="36" xr6:coauthVersionMax="36" xr10:uidLastSave="{00000000-0000-0000-0000-000000000000}"/>
  <workbookProtection workbookAlgorithmName="SHA-512" workbookHashValue="y6wWOC4uiaJaStdBA0Z7/b1/pgQLfhUjd9UA3sx2VEvfcSL/DLJHpiG4eS3t6kN5G1KVeno7/dHJO+F5L+Sdhg==" workbookSaltValue="aDQFVLUUbyigJtd3eLBskw==" workbookSpinCount="100000" lockStructure="1"/>
  <bookViews>
    <workbookView xWindow="240" yWindow="170" windowWidth="18740" windowHeight="7980" firstSheet="2" activeTab="2" xr2:uid="{00000000-000D-0000-FFFF-FFFF00000000}"/>
  </bookViews>
  <sheets>
    <sheet name="1" sheetId="108" state="hidden" r:id="rId1"/>
    <sheet name="2" sheetId="109" state="hidden" r:id="rId2"/>
    <sheet name="Consultas" sheetId="110" r:id="rId3"/>
    <sheet name="Instrucciones de uso" sheetId="31" r:id="rId4"/>
    <sheet name="Rutinas perfil fondos" sheetId="94" r:id="rId5"/>
    <sheet name="Rutinas Coste fondos" sheetId="105" r:id="rId6"/>
    <sheet name="Enunciado (sin infla)" sheetId="48" r:id="rId7"/>
    <sheet name="Autoeval-sol básico (sin infla)" sheetId="63" r:id="rId8"/>
    <sheet name="Autoeval-sol avanza (sin infla)" sheetId="59" r:id="rId9"/>
    <sheet name="Solución correcta (sin infla)" sheetId="60" r:id="rId10"/>
    <sheet name="Sensitividad (sin infla)" sheetId="51" r:id="rId11"/>
    <sheet name="Preguntas cortas (sin infla)" sheetId="56" r:id="rId12"/>
    <sheet name="Test (sin infla)" sheetId="58" r:id="rId13"/>
    <sheet name="Discusión criterios" sheetId="61" r:id="rId14"/>
    <sheet name="Conceptos generales inflación" sheetId="95" r:id="rId15"/>
    <sheet name="Ej sencillo inflación en AM" sheetId="69" r:id="rId16"/>
    <sheet name="Ej sencillo inflación en FM" sheetId="70" r:id="rId17"/>
    <sheet name="Efectos de la inflación" sheetId="96" r:id="rId18"/>
    <sheet name="Enunciado (con infla) básico" sheetId="64" r:id="rId19"/>
    <sheet name="Autoeval-sol (con infla) básico" sheetId="65" r:id="rId20"/>
    <sheet name="Solución (con infla) básico" sheetId="66" r:id="rId21"/>
    <sheet name="Enunciado DISVISA" sheetId="97" r:id="rId22"/>
    <sheet name="Planteamiento general DISVISA" sheetId="98" r:id="rId23"/>
    <sheet name="Reflexión general DISVISA" sheetId="99" r:id="rId24"/>
    <sheet name="Autoeval-sol DISVISA" sheetId="100" r:id="rId25"/>
    <sheet name="Solución correcta DISVISA" sheetId="101" r:id="rId26"/>
    <sheet name="Autoeval-sol alternat DISVISA" sheetId="102" r:id="rId27"/>
    <sheet name="Solución alternativa DISVISA" sheetId="103" r:id="rId28"/>
    <sheet name="Inflac vs No inflación DISVISA" sheetId="104" r:id="rId29"/>
    <sheet name="Incrementalidad Autoeval-sol" sheetId="106" r:id="rId30"/>
    <sheet name="Incrementalidad Solución" sheetId="107" r:id="rId31"/>
  </sheets>
  <definedNames>
    <definedName name="_xlnm.Print_Area" localSheetId="1">'2'!$C$4:$D$81</definedName>
    <definedName name="_xlnm.Print_Area" localSheetId="19">'Autoeval-sol (con infla) básico'!$B$1:$Q$54</definedName>
    <definedName name="_xlnm.Print_Area" localSheetId="26">'Autoeval-sol alternat DISVISA'!$A$1:$Z$51</definedName>
    <definedName name="_xlnm.Print_Area" localSheetId="8">'Autoeval-sol avanza (sin infla)'!$B$1:$AP$47</definedName>
    <definedName name="_xlnm.Print_Area" localSheetId="7">'Autoeval-sol básico (sin infla)'!$B$1:$AF$47</definedName>
    <definedName name="_xlnm.Print_Area" localSheetId="24">'Autoeval-sol DISVISA'!$A$1:$Z$51</definedName>
    <definedName name="_xlnm.Print_Area" localSheetId="13">'Discusión criterios'!$B$1:$M$206</definedName>
    <definedName name="_xlnm.Print_Area" localSheetId="17">'Efectos de la inflación'!$A$1:$X$44</definedName>
    <definedName name="_xlnm.Print_Area" localSheetId="15">'Ej sencillo inflación en AM'!$A$1:$M$40</definedName>
    <definedName name="_xlnm.Print_Area" localSheetId="16">'Ej sencillo inflación en FM'!$A$1:$M$40</definedName>
    <definedName name="_xlnm.Print_Area" localSheetId="18">'Enunciado (con infla) básico'!$A$1:$I$27</definedName>
    <definedName name="_xlnm.Print_Area" localSheetId="6">'Enunciado (sin infla)'!$A$1:$H$24</definedName>
    <definedName name="_xlnm.Print_Area" localSheetId="21">'Enunciado DISVISA'!$A$5:$I$26</definedName>
    <definedName name="_xlnm.Print_Area" localSheetId="29">'Incrementalidad Autoeval-sol'!$A$7:$Y$47</definedName>
    <definedName name="_xlnm.Print_Area" localSheetId="30">'Incrementalidad Solución'!$A$7:$Y$47</definedName>
    <definedName name="_xlnm.Print_Area" localSheetId="28">'Inflac vs No inflación DISVISA'!$A$1:$Z$51,'Inflac vs No inflación DISVISA'!$J$52:$Z$102</definedName>
    <definedName name="_xlnm.Print_Area" localSheetId="3">'Instrucciones de uso'!$A$1:$P$17</definedName>
    <definedName name="_xlnm.Print_Area" localSheetId="22">'Planteamiento general DISVISA'!$A$1:$S$91</definedName>
    <definedName name="_xlnm.Print_Area" localSheetId="11">'Preguntas cortas (sin infla)'!$A$1:$Q$35</definedName>
    <definedName name="_xlnm.Print_Area" localSheetId="23">'Reflexión general DISVISA'!$A$1:$S$101</definedName>
    <definedName name="_xlnm.Print_Area" localSheetId="5">'Rutinas Coste fondos'!$A$1:$L$137</definedName>
    <definedName name="_xlnm.Print_Area" localSheetId="4">'Rutinas perfil fondos'!$A$1:$L$225</definedName>
    <definedName name="_xlnm.Print_Area" localSheetId="10">'Sensitividad (sin infla)'!$B$1:$X$47</definedName>
    <definedName name="_xlnm.Print_Area" localSheetId="20">'Solución (con infla) básico'!$B$1:$Q$54</definedName>
    <definedName name="_xlnm.Print_Area" localSheetId="27">'Solución alternativa DISVISA'!$A$1:$Z$51</definedName>
    <definedName name="_xlnm.Print_Area" localSheetId="9">'Solución correcta (sin infla)'!$B$1:$R$47</definedName>
    <definedName name="_xlnm.Print_Area" localSheetId="25">'Solución correcta DISVISA'!$A$1:$Z$51</definedName>
    <definedName name="_xlnm.Print_Area" localSheetId="12">'Test (sin infla)'!$B$13:$Z$175</definedName>
    <definedName name="_xlnm.Print_Titles" localSheetId="1">'2'!$A:$A</definedName>
    <definedName name="_xlnm.Print_Titles" localSheetId="21">'Enunciado DISVISA'!$2:$4</definedName>
    <definedName name="_xlnm.Print_Titles" localSheetId="12">'Test (sin infla)'!$1:$12</definedName>
  </definedNames>
  <calcPr calcId="191029"/>
</workbook>
</file>

<file path=xl/calcChain.xml><?xml version="1.0" encoding="utf-8"?>
<calcChain xmlns="http://schemas.openxmlformats.org/spreadsheetml/2006/main">
  <c r="D81" i="109" l="1"/>
  <c r="D80" i="109"/>
  <c r="D79" i="109"/>
  <c r="D78" i="109"/>
  <c r="D77" i="109"/>
  <c r="D76" i="109"/>
  <c r="D75" i="109"/>
  <c r="D74" i="109"/>
  <c r="D73" i="109"/>
  <c r="D72" i="109"/>
  <c r="D71" i="109"/>
  <c r="D70" i="109"/>
  <c r="D69" i="109"/>
  <c r="D68" i="109"/>
  <c r="D65" i="109"/>
  <c r="D64" i="109"/>
  <c r="D63" i="109"/>
  <c r="D62" i="109"/>
  <c r="D61" i="109"/>
  <c r="D60" i="109"/>
  <c r="D59" i="109"/>
  <c r="D58" i="109"/>
  <c r="D57" i="109"/>
  <c r="D56" i="109"/>
  <c r="D55" i="109"/>
  <c r="D54" i="109"/>
  <c r="D53" i="109"/>
  <c r="D52" i="109"/>
  <c r="D51" i="109"/>
  <c r="D50" i="109"/>
  <c r="D49" i="109"/>
  <c r="D48" i="109"/>
  <c r="D47" i="109"/>
  <c r="D46" i="109"/>
  <c r="D45" i="109"/>
  <c r="D44" i="109"/>
  <c r="D41" i="109"/>
  <c r="D40" i="109"/>
  <c r="D39" i="109"/>
  <c r="D38" i="109"/>
  <c r="D37" i="109"/>
  <c r="D36" i="109"/>
  <c r="D35" i="109"/>
  <c r="D34" i="109"/>
  <c r="D33" i="109"/>
  <c r="D32" i="109"/>
  <c r="D31" i="109"/>
  <c r="D28" i="109"/>
  <c r="D27" i="109"/>
  <c r="D26" i="109"/>
  <c r="D25" i="109"/>
  <c r="D24" i="109"/>
  <c r="D23" i="109"/>
  <c r="D22" i="109"/>
  <c r="D21" i="109"/>
  <c r="D20" i="109"/>
  <c r="D19" i="109"/>
  <c r="D18" i="109"/>
  <c r="D17" i="109"/>
  <c r="D16" i="109"/>
  <c r="A16" i="109"/>
  <c r="A31" i="109" s="1"/>
  <c r="D13" i="109"/>
  <c r="D12" i="109"/>
  <c r="D11" i="109"/>
  <c r="D10" i="109"/>
  <c r="D9" i="109"/>
  <c r="D8" i="109"/>
  <c r="D7" i="109"/>
  <c r="D6" i="109"/>
  <c r="A6" i="109"/>
  <c r="A7" i="109" s="1"/>
  <c r="A8" i="109" s="1"/>
  <c r="A9" i="109" s="1"/>
  <c r="A10" i="109" s="1"/>
  <c r="A11" i="109" s="1"/>
  <c r="A12" i="109" s="1"/>
  <c r="A13" i="109" s="1"/>
  <c r="D5" i="109"/>
  <c r="A5" i="109"/>
  <c r="D4" i="109"/>
  <c r="F42" i="108"/>
  <c r="A42" i="108"/>
  <c r="F41" i="108"/>
  <c r="A41" i="108"/>
  <c r="F40" i="108"/>
  <c r="A40" i="108"/>
  <c r="F39" i="108"/>
  <c r="A39" i="108"/>
  <c r="F38" i="108"/>
  <c r="A38" i="108"/>
  <c r="F37" i="108"/>
  <c r="A37" i="108"/>
  <c r="F36" i="108"/>
  <c r="A36" i="108"/>
  <c r="F35" i="108"/>
  <c r="A35" i="108"/>
  <c r="F34" i="108"/>
  <c r="A34" i="108"/>
  <c r="F33" i="108"/>
  <c r="A33" i="108"/>
  <c r="F32" i="108"/>
  <c r="A32" i="108"/>
  <c r="F31" i="108"/>
  <c r="A31" i="108"/>
  <c r="F30" i="108"/>
  <c r="A30" i="108"/>
  <c r="F29" i="108"/>
  <c r="A29" i="108"/>
  <c r="F28" i="108"/>
  <c r="A28" i="108"/>
  <c r="F27" i="108"/>
  <c r="A27" i="108"/>
  <c r="F26" i="108"/>
  <c r="A26" i="108"/>
  <c r="F25" i="108"/>
  <c r="A25" i="108"/>
  <c r="F24" i="108"/>
  <c r="A24" i="108"/>
  <c r="F23" i="108"/>
  <c r="A23" i="108"/>
  <c r="F22" i="108"/>
  <c r="A22" i="108"/>
  <c r="F21" i="108"/>
  <c r="A21" i="108"/>
  <c r="F20" i="108"/>
  <c r="A20" i="108"/>
  <c r="F19" i="108"/>
  <c r="A19" i="108"/>
  <c r="F18" i="108"/>
  <c r="A18" i="108"/>
  <c r="F17" i="108"/>
  <c r="A17" i="108"/>
  <c r="F16" i="108"/>
  <c r="A16" i="108"/>
  <c r="F15" i="108"/>
  <c r="A15" i="108"/>
  <c r="F14" i="108"/>
  <c r="A14" i="108"/>
  <c r="F13" i="108"/>
  <c r="A13" i="108"/>
  <c r="F12" i="108"/>
  <c r="A12" i="108"/>
  <c r="F11" i="108"/>
  <c r="A11" i="108"/>
  <c r="F10" i="108"/>
  <c r="A10" i="108"/>
  <c r="F9" i="108"/>
  <c r="A9" i="108"/>
  <c r="F8" i="108"/>
  <c r="A8" i="108"/>
  <c r="F7" i="108"/>
  <c r="B7" i="108"/>
  <c r="B8" i="108" s="1"/>
  <c r="B9" i="108" s="1"/>
  <c r="B10" i="108" s="1"/>
  <c r="B11" i="108" s="1"/>
  <c r="B12" i="108" s="1"/>
  <c r="B13" i="108" s="1"/>
  <c r="B14" i="108" s="1"/>
  <c r="B15" i="108" s="1"/>
  <c r="B16" i="108" s="1"/>
  <c r="B17" i="108" s="1"/>
  <c r="B18" i="108" s="1"/>
  <c r="B19" i="108" s="1"/>
  <c r="B20" i="108" s="1"/>
  <c r="B21" i="108" s="1"/>
  <c r="B22" i="108" s="1"/>
  <c r="B23" i="108" s="1"/>
  <c r="B24" i="108" s="1"/>
  <c r="B25" i="108" s="1"/>
  <c r="B26" i="108" s="1"/>
  <c r="B27" i="108" s="1"/>
  <c r="B28" i="108" s="1"/>
  <c r="B29" i="108" s="1"/>
  <c r="B30" i="108" s="1"/>
  <c r="B31" i="108" s="1"/>
  <c r="B32" i="108" s="1"/>
  <c r="B33" i="108" s="1"/>
  <c r="B34" i="108" s="1"/>
  <c r="B35" i="108" s="1"/>
  <c r="B36" i="108" s="1"/>
  <c r="B37" i="108" s="1"/>
  <c r="B38" i="108" s="1"/>
  <c r="B39" i="108" s="1"/>
  <c r="B40" i="108" s="1"/>
  <c r="B41" i="108" s="1"/>
  <c r="B42" i="108" s="1"/>
  <c r="A7" i="108"/>
  <c r="F6" i="108"/>
  <c r="C6" i="108"/>
  <c r="B6" i="108"/>
  <c r="A6" i="108"/>
  <c r="D3" i="108"/>
  <c r="E3" i="108" s="1"/>
  <c r="F3" i="108" s="1"/>
  <c r="G3" i="108" s="1"/>
  <c r="H3" i="108" s="1"/>
  <c r="I3" i="108" s="1"/>
  <c r="J3" i="108" s="1"/>
  <c r="K3" i="108" s="1"/>
  <c r="L3" i="108" s="1"/>
  <c r="M3" i="108" s="1"/>
  <c r="N3" i="108" s="1"/>
  <c r="O3" i="108" s="1"/>
  <c r="P3" i="108" s="1"/>
  <c r="C3" i="108"/>
  <c r="A32" i="109" l="1"/>
  <c r="A33" i="109" s="1"/>
  <c r="A34" i="109" s="1"/>
  <c r="A35" i="109" s="1"/>
  <c r="A36" i="109" s="1"/>
  <c r="A37" i="109" s="1"/>
  <c r="A38" i="109" s="1"/>
  <c r="A39" i="109" s="1"/>
  <c r="A40" i="109" s="1"/>
  <c r="A41" i="109" s="1"/>
  <c r="A44" i="109"/>
  <c r="A17" i="109"/>
  <c r="A18" i="109" s="1"/>
  <c r="A19" i="109" s="1"/>
  <c r="A20" i="109" s="1"/>
  <c r="A21" i="109" s="1"/>
  <c r="A22" i="109" s="1"/>
  <c r="A23" i="109" s="1"/>
  <c r="A24" i="109" s="1"/>
  <c r="A25" i="109" s="1"/>
  <c r="A26" i="109" s="1"/>
  <c r="A27" i="109" s="1"/>
  <c r="A28" i="109" s="1"/>
  <c r="C7" i="108"/>
  <c r="A1" i="106"/>
  <c r="A1" i="107"/>
  <c r="A3" i="107"/>
  <c r="A3" i="106"/>
  <c r="C8" i="108" l="1"/>
  <c r="A68" i="109"/>
  <c r="A69" i="109" s="1"/>
  <c r="A70" i="109" s="1"/>
  <c r="A71" i="109" s="1"/>
  <c r="A72" i="109" s="1"/>
  <c r="A73" i="109" s="1"/>
  <c r="A74" i="109" s="1"/>
  <c r="A75" i="109" s="1"/>
  <c r="A76" i="109" s="1"/>
  <c r="A77" i="109" s="1"/>
  <c r="A78" i="109" s="1"/>
  <c r="A79" i="109" s="1"/>
  <c r="A80" i="109" s="1"/>
  <c r="A81" i="109" s="1"/>
  <c r="A45" i="109"/>
  <c r="A46" i="109" s="1"/>
  <c r="A47" i="109" s="1"/>
  <c r="A48" i="109" s="1"/>
  <c r="A49" i="109" s="1"/>
  <c r="A50" i="109" s="1"/>
  <c r="A51" i="109" s="1"/>
  <c r="A52" i="109" s="1"/>
  <c r="A53" i="109" s="1"/>
  <c r="A54" i="109" s="1"/>
  <c r="A55" i="109" s="1"/>
  <c r="A56" i="109" s="1"/>
  <c r="A57" i="109" s="1"/>
  <c r="A58" i="109" s="1"/>
  <c r="A59" i="109" s="1"/>
  <c r="A60" i="109" s="1"/>
  <c r="A61" i="109" s="1"/>
  <c r="A62" i="109" s="1"/>
  <c r="A63" i="109" s="1"/>
  <c r="A64" i="109" s="1"/>
  <c r="A65" i="109" s="1"/>
  <c r="C9" i="108" l="1"/>
  <c r="P1179" i="107"/>
  <c r="P1178" i="107"/>
  <c r="P1177" i="107"/>
  <c r="P1176" i="107"/>
  <c r="P1175" i="107"/>
  <c r="P1174" i="107"/>
  <c r="A1171" i="107"/>
  <c r="A1172" i="107" s="1"/>
  <c r="O50" i="107"/>
  <c r="O51" i="107" s="1"/>
  <c r="O52" i="107" s="1"/>
  <c r="O53" i="107" s="1"/>
  <c r="O54" i="107" s="1"/>
  <c r="O55" i="107" s="1"/>
  <c r="O56" i="107" s="1"/>
  <c r="O57" i="107" s="1"/>
  <c r="O58" i="107" s="1"/>
  <c r="O59" i="107" s="1"/>
  <c r="O60" i="107" s="1"/>
  <c r="O61" i="107" s="1"/>
  <c r="O62" i="107" s="1"/>
  <c r="O63" i="107" s="1"/>
  <c r="O64" i="107" s="1"/>
  <c r="O65" i="107" s="1"/>
  <c r="O66" i="107" s="1"/>
  <c r="O67" i="107" s="1"/>
  <c r="O68" i="107" s="1"/>
  <c r="O69" i="107" s="1"/>
  <c r="O70" i="107" s="1"/>
  <c r="O71" i="107" s="1"/>
  <c r="O72" i="107" s="1"/>
  <c r="O73" i="107" s="1"/>
  <c r="O74" i="107" s="1"/>
  <c r="O75" i="107" s="1"/>
  <c r="O76" i="107" s="1"/>
  <c r="O77" i="107" s="1"/>
  <c r="O78" i="107" s="1"/>
  <c r="O79" i="107" s="1"/>
  <c r="O80" i="107" s="1"/>
  <c r="O81" i="107" s="1"/>
  <c r="O82" i="107" s="1"/>
  <c r="O83" i="107" s="1"/>
  <c r="O84" i="107" s="1"/>
  <c r="O85" i="107" s="1"/>
  <c r="O86" i="107" s="1"/>
  <c r="O87" i="107" s="1"/>
  <c r="O88" i="107" s="1"/>
  <c r="O89" i="107" s="1"/>
  <c r="O90" i="107" s="1"/>
  <c r="O91" i="107" s="1"/>
  <c r="O92" i="107" s="1"/>
  <c r="O93" i="107" s="1"/>
  <c r="O94" i="107" s="1"/>
  <c r="O95" i="107" s="1"/>
  <c r="O96" i="107" s="1"/>
  <c r="O97" i="107" s="1"/>
  <c r="O98" i="107" s="1"/>
  <c r="O99" i="107" s="1"/>
  <c r="O100" i="107" s="1"/>
  <c r="O101" i="107" s="1"/>
  <c r="O102" i="107" s="1"/>
  <c r="O103" i="107" s="1"/>
  <c r="O104" i="107" s="1"/>
  <c r="O105" i="107" s="1"/>
  <c r="O106" i="107" s="1"/>
  <c r="O107" i="107" s="1"/>
  <c r="O108" i="107" s="1"/>
  <c r="O109" i="107" s="1"/>
  <c r="O110" i="107" s="1"/>
  <c r="O111" i="107" s="1"/>
  <c r="O112" i="107" s="1"/>
  <c r="O113" i="107" s="1"/>
  <c r="O114" i="107" s="1"/>
  <c r="O115" i="107" s="1"/>
  <c r="O116" i="107" s="1"/>
  <c r="O117" i="107" s="1"/>
  <c r="O118" i="107" s="1"/>
  <c r="O119" i="107" s="1"/>
  <c r="O120" i="107" s="1"/>
  <c r="O121" i="107" s="1"/>
  <c r="O122" i="107" s="1"/>
  <c r="O123" i="107" s="1"/>
  <c r="O124" i="107" s="1"/>
  <c r="E40" i="107"/>
  <c r="Y37" i="107"/>
  <c r="U37" i="107"/>
  <c r="M23" i="107"/>
  <c r="M24" i="107" s="1"/>
  <c r="M22" i="107"/>
  <c r="M21" i="107"/>
  <c r="U20" i="107"/>
  <c r="M17" i="107"/>
  <c r="M15" i="107"/>
  <c r="M16" i="107" s="1"/>
  <c r="M14" i="107"/>
  <c r="E9" i="107"/>
  <c r="I8" i="107"/>
  <c r="J8" i="107" s="1"/>
  <c r="K8" i="107" s="1"/>
  <c r="L8" i="107" s="1"/>
  <c r="E8" i="107"/>
  <c r="F8" i="107" s="1"/>
  <c r="G8" i="107" s="1"/>
  <c r="H8" i="107" s="1"/>
  <c r="D8" i="107"/>
  <c r="B8" i="107"/>
  <c r="C8" i="107" s="1"/>
  <c r="D4" i="107"/>
  <c r="A9" i="107" s="1"/>
  <c r="A10" i="107" s="1"/>
  <c r="P1179" i="106"/>
  <c r="P1178" i="106"/>
  <c r="P1177" i="106"/>
  <c r="P1176" i="106"/>
  <c r="P1175" i="106"/>
  <c r="P1174" i="106"/>
  <c r="A1170" i="106"/>
  <c r="A1171" i="106" s="1"/>
  <c r="A1172" i="106" s="1"/>
  <c r="G249" i="106"/>
  <c r="H249" i="106" s="1"/>
  <c r="I249" i="106" s="1"/>
  <c r="J249" i="106" s="1"/>
  <c r="K249" i="106" s="1"/>
  <c r="L249" i="106" s="1"/>
  <c r="M249" i="106" s="1"/>
  <c r="N249" i="106" s="1"/>
  <c r="O249" i="106" s="1"/>
  <c r="P249" i="106" s="1"/>
  <c r="Q249" i="106" s="1"/>
  <c r="R249" i="106" s="1"/>
  <c r="S249" i="106" s="1"/>
  <c r="T249" i="106" s="1"/>
  <c r="U249" i="106" s="1"/>
  <c r="V249" i="106" s="1"/>
  <c r="W249" i="106" s="1"/>
  <c r="D249" i="106"/>
  <c r="E249" i="106" s="1"/>
  <c r="F249" i="106" s="1"/>
  <c r="C249" i="106"/>
  <c r="B249" i="106"/>
  <c r="D176" i="106"/>
  <c r="D161" i="106"/>
  <c r="D183" i="106" s="1"/>
  <c r="D154" i="106"/>
  <c r="O52" i="106"/>
  <c r="O53" i="106" s="1"/>
  <c r="O54" i="106" s="1"/>
  <c r="O55" i="106" s="1"/>
  <c r="O56" i="106" s="1"/>
  <c r="O57" i="106" s="1"/>
  <c r="O58" i="106" s="1"/>
  <c r="O59" i="106" s="1"/>
  <c r="O60" i="106" s="1"/>
  <c r="O61" i="106" s="1"/>
  <c r="O62" i="106" s="1"/>
  <c r="O63" i="106" s="1"/>
  <c r="O64" i="106" s="1"/>
  <c r="O65" i="106" s="1"/>
  <c r="O66" i="106" s="1"/>
  <c r="O67" i="106" s="1"/>
  <c r="O68" i="106" s="1"/>
  <c r="O69" i="106" s="1"/>
  <c r="O70" i="106" s="1"/>
  <c r="O71" i="106" s="1"/>
  <c r="O72" i="106" s="1"/>
  <c r="O73" i="106" s="1"/>
  <c r="O74" i="106" s="1"/>
  <c r="O75" i="106" s="1"/>
  <c r="O76" i="106" s="1"/>
  <c r="O77" i="106" s="1"/>
  <c r="O78" i="106" s="1"/>
  <c r="O79" i="106" s="1"/>
  <c r="O80" i="106" s="1"/>
  <c r="O81" i="106" s="1"/>
  <c r="O82" i="106" s="1"/>
  <c r="O83" i="106" s="1"/>
  <c r="O84" i="106" s="1"/>
  <c r="O85" i="106" s="1"/>
  <c r="O86" i="106" s="1"/>
  <c r="O87" i="106" s="1"/>
  <c r="O88" i="106" s="1"/>
  <c r="O89" i="106" s="1"/>
  <c r="O90" i="106" s="1"/>
  <c r="O91" i="106" s="1"/>
  <c r="O92" i="106" s="1"/>
  <c r="O93" i="106" s="1"/>
  <c r="O94" i="106" s="1"/>
  <c r="O95" i="106" s="1"/>
  <c r="O96" i="106" s="1"/>
  <c r="O97" i="106" s="1"/>
  <c r="O98" i="106" s="1"/>
  <c r="O99" i="106" s="1"/>
  <c r="O100" i="106" s="1"/>
  <c r="O101" i="106" s="1"/>
  <c r="O102" i="106" s="1"/>
  <c r="O103" i="106" s="1"/>
  <c r="O104" i="106" s="1"/>
  <c r="O105" i="106" s="1"/>
  <c r="O106" i="106" s="1"/>
  <c r="O107" i="106" s="1"/>
  <c r="O108" i="106" s="1"/>
  <c r="O109" i="106" s="1"/>
  <c r="O110" i="106" s="1"/>
  <c r="O111" i="106" s="1"/>
  <c r="O112" i="106" s="1"/>
  <c r="O113" i="106" s="1"/>
  <c r="O114" i="106" s="1"/>
  <c r="O115" i="106" s="1"/>
  <c r="O116" i="106" s="1"/>
  <c r="O117" i="106" s="1"/>
  <c r="O118" i="106" s="1"/>
  <c r="O119" i="106" s="1"/>
  <c r="O120" i="106" s="1"/>
  <c r="O121" i="106" s="1"/>
  <c r="O122" i="106" s="1"/>
  <c r="O123" i="106" s="1"/>
  <c r="O124" i="106" s="1"/>
  <c r="O50" i="106"/>
  <c r="O51" i="106" s="1"/>
  <c r="Y37" i="106"/>
  <c r="U37" i="106"/>
  <c r="U35" i="106"/>
  <c r="W27" i="106"/>
  <c r="T27" i="106"/>
  <c r="P27" i="106"/>
  <c r="M21" i="106"/>
  <c r="R18" i="106"/>
  <c r="Q18" i="106"/>
  <c r="P18" i="106"/>
  <c r="O18" i="106"/>
  <c r="N18" i="106"/>
  <c r="M14" i="106"/>
  <c r="D155" i="106" s="1"/>
  <c r="D177" i="106" s="1"/>
  <c r="V11" i="106"/>
  <c r="U11" i="106"/>
  <c r="T11" i="106"/>
  <c r="S11" i="106"/>
  <c r="R11" i="106"/>
  <c r="Q11" i="106"/>
  <c r="P11" i="106"/>
  <c r="O11" i="106"/>
  <c r="N11" i="106"/>
  <c r="C8" i="106"/>
  <c r="D8" i="106" s="1"/>
  <c r="E8" i="106" s="1"/>
  <c r="F8" i="106" s="1"/>
  <c r="G8" i="106" s="1"/>
  <c r="H8" i="106" s="1"/>
  <c r="I8" i="106" s="1"/>
  <c r="J8" i="106" s="1"/>
  <c r="K8" i="106" s="1"/>
  <c r="L8" i="106" s="1"/>
  <c r="B8" i="106"/>
  <c r="D4" i="106"/>
  <c r="A9" i="106" s="1"/>
  <c r="A10" i="106" s="1"/>
  <c r="A11" i="106" s="1"/>
  <c r="F11" i="106" s="1"/>
  <c r="U2" i="106"/>
  <c r="A11" i="107" l="1"/>
  <c r="E11" i="107" s="1"/>
  <c r="E10" i="107"/>
  <c r="C10" i="108"/>
  <c r="M8" i="106"/>
  <c r="N8" i="106" s="1"/>
  <c r="O8" i="106" s="1"/>
  <c r="P8" i="106" s="1"/>
  <c r="Q8" i="106" s="1"/>
  <c r="R8" i="106" s="1"/>
  <c r="S8" i="106" s="1"/>
  <c r="T8" i="106" s="1"/>
  <c r="U8" i="106" s="1"/>
  <c r="V8" i="106" s="1"/>
  <c r="W8" i="106" s="1"/>
  <c r="E138" i="106"/>
  <c r="I138" i="106"/>
  <c r="H11" i="106"/>
  <c r="H138" i="106"/>
  <c r="F176" i="106"/>
  <c r="G138" i="106"/>
  <c r="E11" i="106"/>
  <c r="E176" i="106" s="1"/>
  <c r="B11" i="106"/>
  <c r="A12" i="106"/>
  <c r="F138" i="106"/>
  <c r="I11" i="106"/>
  <c r="I176" i="106" s="1"/>
  <c r="E10" i="106"/>
  <c r="M8" i="107"/>
  <c r="N8" i="107" s="1"/>
  <c r="O8" i="107" s="1"/>
  <c r="P8" i="107" s="1"/>
  <c r="Q8" i="107" s="1"/>
  <c r="R8" i="107" s="1"/>
  <c r="S8" i="107" s="1"/>
  <c r="T8" i="107" s="1"/>
  <c r="U8" i="107" s="1"/>
  <c r="V8" i="107" s="1"/>
  <c r="W8" i="107" s="1"/>
  <c r="M15" i="106"/>
  <c r="B10" i="106"/>
  <c r="M10" i="106"/>
  <c r="R4" i="106"/>
  <c r="M22" i="106"/>
  <c r="D162" i="106"/>
  <c r="D184" i="106" s="1"/>
  <c r="H11" i="107"/>
  <c r="A12" i="107"/>
  <c r="F11" i="107"/>
  <c r="B10" i="107"/>
  <c r="M10" i="107"/>
  <c r="I11" i="107" l="1"/>
  <c r="B11" i="107"/>
  <c r="K176" i="106"/>
  <c r="C11" i="108"/>
  <c r="D163" i="106"/>
  <c r="D185" i="106" s="1"/>
  <c r="M23" i="106"/>
  <c r="J176" i="106"/>
  <c r="A13" i="107"/>
  <c r="I12" i="107"/>
  <c r="H12" i="107"/>
  <c r="F12" i="107"/>
  <c r="E12" i="107"/>
  <c r="B12" i="107"/>
  <c r="G139" i="106"/>
  <c r="F139" i="106"/>
  <c r="I12" i="106"/>
  <c r="I177" i="106" s="1"/>
  <c r="H12" i="106"/>
  <c r="E139" i="106"/>
  <c r="A13" i="106"/>
  <c r="E12" i="106"/>
  <c r="F12" i="106"/>
  <c r="F177" i="106" s="1"/>
  <c r="I139" i="106"/>
  <c r="B12" i="106"/>
  <c r="H139" i="106"/>
  <c r="K177" i="106" s="1"/>
  <c r="D156" i="106"/>
  <c r="D178" i="106" s="1"/>
  <c r="M16" i="106"/>
  <c r="C12" i="108" l="1"/>
  <c r="A14" i="107"/>
  <c r="H13" i="107"/>
  <c r="F13" i="107"/>
  <c r="V13" i="107"/>
  <c r="I13" i="107"/>
  <c r="E13" i="107"/>
  <c r="B13" i="107"/>
  <c r="I140" i="106"/>
  <c r="H140" i="106"/>
  <c r="F140" i="106"/>
  <c r="G140" i="106"/>
  <c r="A14" i="106"/>
  <c r="F13" i="106"/>
  <c r="F178" i="106" s="1"/>
  <c r="H13" i="106"/>
  <c r="E140" i="106"/>
  <c r="B13" i="106"/>
  <c r="I13" i="106"/>
  <c r="I178" i="106" s="1"/>
  <c r="E13" i="106"/>
  <c r="D157" i="106"/>
  <c r="D179" i="106" s="1"/>
  <c r="M17" i="106"/>
  <c r="D158" i="106" s="1"/>
  <c r="D180" i="106" s="1"/>
  <c r="J177" i="106"/>
  <c r="D164" i="106"/>
  <c r="D186" i="106" s="1"/>
  <c r="M24" i="106"/>
  <c r="D165" i="106" s="1"/>
  <c r="D187" i="106" s="1"/>
  <c r="J178" i="106" l="1"/>
  <c r="F14" i="106"/>
  <c r="F179" i="106" s="1"/>
  <c r="I14" i="106"/>
  <c r="I179" i="106" s="1"/>
  <c r="C13" i="108"/>
  <c r="C14" i="108" s="1"/>
  <c r="C15" i="108" s="1"/>
  <c r="C16" i="108" s="1"/>
  <c r="C17" i="108" s="1"/>
  <c r="C18" i="108" s="1"/>
  <c r="C19" i="108" s="1"/>
  <c r="C20" i="108" s="1"/>
  <c r="C21" i="108" s="1"/>
  <c r="C22" i="108" s="1"/>
  <c r="C23" i="108" s="1"/>
  <c r="C24" i="108" s="1"/>
  <c r="C25" i="108" s="1"/>
  <c r="C26" i="108" s="1"/>
  <c r="C27" i="108" s="1"/>
  <c r="C28" i="108" s="1"/>
  <c r="C29" i="108" s="1"/>
  <c r="C30" i="108" s="1"/>
  <c r="C31" i="108" s="1"/>
  <c r="C32" i="108" s="1"/>
  <c r="C33" i="108" s="1"/>
  <c r="C34" i="108" s="1"/>
  <c r="C35" i="108" s="1"/>
  <c r="C36" i="108" s="1"/>
  <c r="C37" i="108" s="1"/>
  <c r="C38" i="108" s="1"/>
  <c r="C39" i="108" s="1"/>
  <c r="C40" i="108" s="1"/>
  <c r="I141" i="106"/>
  <c r="G141" i="106"/>
  <c r="H141" i="106"/>
  <c r="B14" i="106"/>
  <c r="F141" i="106"/>
  <c r="E141" i="106"/>
  <c r="A15" i="106"/>
  <c r="H14" i="106"/>
  <c r="E14" i="106"/>
  <c r="K178" i="106"/>
  <c r="P14" i="107"/>
  <c r="B14" i="107"/>
  <c r="A15" i="107"/>
  <c r="O14" i="107"/>
  <c r="T14" i="107"/>
  <c r="F14" i="107"/>
  <c r="N14" i="107"/>
  <c r="V14" i="107"/>
  <c r="E14" i="107"/>
  <c r="U14" i="107"/>
  <c r="S14" i="107"/>
  <c r="R14" i="107"/>
  <c r="Q14" i="107"/>
  <c r="I14" i="107"/>
  <c r="H14" i="107"/>
  <c r="C41" i="108" l="1"/>
  <c r="C42" i="108" s="1"/>
  <c r="K179" i="106"/>
  <c r="J179" i="106"/>
  <c r="P15" i="107"/>
  <c r="B15" i="107"/>
  <c r="A16" i="107"/>
  <c r="O15" i="107"/>
  <c r="N15" i="107"/>
  <c r="T15" i="107"/>
  <c r="F15" i="107"/>
  <c r="S15" i="107"/>
  <c r="E15" i="107"/>
  <c r="V15" i="107"/>
  <c r="U15" i="107"/>
  <c r="R15" i="107"/>
  <c r="H15" i="107"/>
  <c r="Q15" i="107"/>
  <c r="I15" i="107"/>
  <c r="H142" i="106"/>
  <c r="F142" i="106"/>
  <c r="E15" i="106"/>
  <c r="E142" i="106"/>
  <c r="B15" i="106"/>
  <c r="I142" i="106"/>
  <c r="A16" i="106"/>
  <c r="I16" i="106" s="1"/>
  <c r="I15" i="106"/>
  <c r="I180" i="106" s="1"/>
  <c r="F15" i="106"/>
  <c r="F180" i="106" s="1"/>
  <c r="G142" i="106"/>
  <c r="H15" i="106"/>
  <c r="J180" i="106" l="1"/>
  <c r="G2" i="110"/>
  <c r="H2" i="110" s="1"/>
  <c r="K180" i="106"/>
  <c r="P16" i="107"/>
  <c r="B16" i="107"/>
  <c r="A17" i="107"/>
  <c r="O16" i="107"/>
  <c r="T16" i="107"/>
  <c r="F16" i="107"/>
  <c r="N16" i="107"/>
  <c r="Q16" i="107"/>
  <c r="E16" i="107"/>
  <c r="V16" i="107"/>
  <c r="U16" i="107"/>
  <c r="S16" i="107"/>
  <c r="R16" i="107"/>
  <c r="I16" i="107"/>
  <c r="H16" i="107"/>
  <c r="I143" i="106"/>
  <c r="E143" i="106"/>
  <c r="F16" i="106"/>
  <c r="F181" i="106" s="1"/>
  <c r="E16" i="106"/>
  <c r="I181" i="106"/>
  <c r="H143" i="106"/>
  <c r="G143" i="106"/>
  <c r="F143" i="106"/>
  <c r="B16" i="106"/>
  <c r="A17" i="106"/>
  <c r="H16" i="106"/>
  <c r="D5" i="110" l="1"/>
  <c r="I2" i="110"/>
  <c r="J181" i="106"/>
  <c r="K181" i="106"/>
  <c r="P17" i="107"/>
  <c r="P11" i="107" s="1"/>
  <c r="B17" i="107"/>
  <c r="A18" i="107"/>
  <c r="O17" i="107"/>
  <c r="O11" i="107" s="1"/>
  <c r="N17" i="107"/>
  <c r="N11" i="107" s="1"/>
  <c r="T17" i="107"/>
  <c r="T11" i="107" s="1"/>
  <c r="F17" i="107"/>
  <c r="S17" i="107"/>
  <c r="S11" i="107" s="1"/>
  <c r="E17" i="107"/>
  <c r="Q17" i="107"/>
  <c r="Q11" i="107" s="1"/>
  <c r="H17" i="107"/>
  <c r="V17" i="107"/>
  <c r="V11" i="107" s="1"/>
  <c r="U17" i="107"/>
  <c r="U11" i="107" s="1"/>
  <c r="I17" i="107"/>
  <c r="R17" i="107"/>
  <c r="R11" i="107" s="1"/>
  <c r="E144" i="106"/>
  <c r="H17" i="106"/>
  <c r="F17" i="106"/>
  <c r="F182" i="106" s="1"/>
  <c r="I144" i="106"/>
  <c r="I17" i="106"/>
  <c r="I182" i="106" s="1"/>
  <c r="A18" i="106"/>
  <c r="F18" i="106" s="1"/>
  <c r="H144" i="106"/>
  <c r="E17" i="106"/>
  <c r="B17" i="106"/>
  <c r="G144" i="106"/>
  <c r="F144" i="106"/>
  <c r="J182" i="106" s="1"/>
  <c r="L2" i="110" l="1"/>
  <c r="N2" i="110"/>
  <c r="B18" i="107"/>
  <c r="F18" i="107"/>
  <c r="A19" i="107"/>
  <c r="H18" i="107"/>
  <c r="E18" i="107"/>
  <c r="I18" i="107"/>
  <c r="K182" i="106"/>
  <c r="F145" i="106"/>
  <c r="E145" i="106"/>
  <c r="I18" i="106"/>
  <c r="I183" i="106" s="1"/>
  <c r="I145" i="106"/>
  <c r="H18" i="106"/>
  <c r="A19" i="106"/>
  <c r="B18" i="106"/>
  <c r="E18" i="106"/>
  <c r="H145" i="106"/>
  <c r="F183" i="106"/>
  <c r="G145" i="106"/>
  <c r="K183" i="106" l="1"/>
  <c r="B7" i="110"/>
  <c r="R6" i="110"/>
  <c r="H146" i="106"/>
  <c r="G146" i="106"/>
  <c r="E146" i="106"/>
  <c r="F146" i="106"/>
  <c r="J184" i="106" s="1"/>
  <c r="E19" i="106"/>
  <c r="B19" i="106"/>
  <c r="A20" i="106"/>
  <c r="I19" i="106"/>
  <c r="I184" i="106" s="1"/>
  <c r="F19" i="106"/>
  <c r="F184" i="106" s="1"/>
  <c r="I146" i="106"/>
  <c r="H19" i="106"/>
  <c r="A20" i="107"/>
  <c r="I19" i="107"/>
  <c r="E19" i="107"/>
  <c r="H19" i="107"/>
  <c r="F19" i="107"/>
  <c r="B19" i="107"/>
  <c r="J183" i="106"/>
  <c r="I147" i="106" l="1"/>
  <c r="G147" i="106"/>
  <c r="H20" i="106"/>
  <c r="F20" i="106"/>
  <c r="F185" i="106" s="1"/>
  <c r="H147" i="106"/>
  <c r="F147" i="106"/>
  <c r="E20" i="106"/>
  <c r="E147" i="106"/>
  <c r="B20" i="106"/>
  <c r="A21" i="106"/>
  <c r="I20" i="106"/>
  <c r="I185" i="106" s="1"/>
  <c r="P20" i="107"/>
  <c r="O20" i="107"/>
  <c r="N20" i="107"/>
  <c r="A21" i="107"/>
  <c r="E20" i="107"/>
  <c r="B20" i="107"/>
  <c r="R20" i="107"/>
  <c r="H20" i="107"/>
  <c r="F20" i="107"/>
  <c r="Q20" i="107"/>
  <c r="I20" i="107"/>
  <c r="K184" i="106"/>
  <c r="A22" i="107" l="1"/>
  <c r="H21" i="107"/>
  <c r="R21" i="107"/>
  <c r="F21" i="107"/>
  <c r="Q21" i="107"/>
  <c r="P21" i="107"/>
  <c r="I21" i="107"/>
  <c r="E21" i="107"/>
  <c r="B21" i="107"/>
  <c r="O21" i="107"/>
  <c r="N21" i="107"/>
  <c r="J185" i="106"/>
  <c r="K185" i="106"/>
  <c r="G148" i="106"/>
  <c r="F148" i="106"/>
  <c r="I21" i="106"/>
  <c r="I186" i="106" s="1"/>
  <c r="H21" i="106"/>
  <c r="F21" i="106"/>
  <c r="F186" i="106" s="1"/>
  <c r="E21" i="106"/>
  <c r="E148" i="106"/>
  <c r="A22" i="106"/>
  <c r="I148" i="106"/>
  <c r="H148" i="106"/>
  <c r="B21" i="106"/>
  <c r="J186" i="106" l="1"/>
  <c r="K186" i="106"/>
  <c r="I149" i="106"/>
  <c r="F149" i="106"/>
  <c r="E149" i="106"/>
  <c r="I22" i="106"/>
  <c r="I187" i="106" s="1"/>
  <c r="E22" i="106"/>
  <c r="H149" i="106"/>
  <c r="G149" i="106"/>
  <c r="F22" i="106"/>
  <c r="F187" i="106" s="1"/>
  <c r="B22" i="106"/>
  <c r="A23" i="106"/>
  <c r="H22" i="106"/>
  <c r="O22" i="107"/>
  <c r="N22" i="107"/>
  <c r="H22" i="107"/>
  <c r="Q22" i="107"/>
  <c r="P22" i="107"/>
  <c r="B22" i="107"/>
  <c r="R22" i="107"/>
  <c r="I22" i="107"/>
  <c r="F22" i="107"/>
  <c r="A23" i="107"/>
  <c r="E22" i="107"/>
  <c r="J187" i="106" l="1"/>
  <c r="G150" i="106"/>
  <c r="H150" i="106"/>
  <c r="I150" i="106"/>
  <c r="F150" i="106"/>
  <c r="A24" i="106"/>
  <c r="E150" i="106"/>
  <c r="I23" i="106"/>
  <c r="I188" i="106" s="1"/>
  <c r="H23" i="106"/>
  <c r="F23" i="106"/>
  <c r="F188" i="106" s="1"/>
  <c r="E23" i="106"/>
  <c r="B23" i="106"/>
  <c r="K187" i="106"/>
  <c r="A24" i="107"/>
  <c r="H23" i="107"/>
  <c r="R23" i="107"/>
  <c r="F23" i="107"/>
  <c r="E23" i="107"/>
  <c r="O23" i="107"/>
  <c r="N23" i="107"/>
  <c r="I23" i="107"/>
  <c r="Q23" i="107"/>
  <c r="P23" i="107"/>
  <c r="B23" i="107"/>
  <c r="J188" i="106" l="1"/>
  <c r="K188" i="106"/>
  <c r="R24" i="107"/>
  <c r="R18" i="107" s="1"/>
  <c r="O24" i="107"/>
  <c r="O18" i="107" s="1"/>
  <c r="N24" i="107"/>
  <c r="N18" i="107" s="1"/>
  <c r="E24" i="107"/>
  <c r="I24" i="107"/>
  <c r="Q24" i="107"/>
  <c r="Q18" i="107" s="1"/>
  <c r="F24" i="107"/>
  <c r="B24" i="107"/>
  <c r="A25" i="107"/>
  <c r="H24" i="107"/>
  <c r="P24" i="107"/>
  <c r="P18" i="107" s="1"/>
  <c r="I151" i="106"/>
  <c r="H151" i="106"/>
  <c r="F151" i="106"/>
  <c r="A25" i="106"/>
  <c r="G151" i="106"/>
  <c r="I24" i="106"/>
  <c r="I189" i="106" s="1"/>
  <c r="H24" i="106"/>
  <c r="E151" i="106"/>
  <c r="B24" i="106"/>
  <c r="F24" i="106"/>
  <c r="F189" i="106" s="1"/>
  <c r="E24" i="106"/>
  <c r="J189" i="106" l="1"/>
  <c r="I25" i="107"/>
  <c r="H25" i="107"/>
  <c r="B25" i="107"/>
  <c r="A26" i="107"/>
  <c r="F25" i="107"/>
  <c r="E25" i="107"/>
  <c r="I152" i="106"/>
  <c r="G152" i="106"/>
  <c r="F152" i="106"/>
  <c r="B25" i="106"/>
  <c r="F25" i="106"/>
  <c r="F190" i="106" s="1"/>
  <c r="H152" i="106"/>
  <c r="E152" i="106"/>
  <c r="A26" i="106"/>
  <c r="H25" i="106"/>
  <c r="I25" i="106"/>
  <c r="I190" i="106" s="1"/>
  <c r="E25" i="106"/>
  <c r="K189" i="106"/>
  <c r="I153" i="106" l="1"/>
  <c r="G153" i="106"/>
  <c r="H153" i="106"/>
  <c r="F26" i="106"/>
  <c r="F191" i="106" s="1"/>
  <c r="E153" i="106"/>
  <c r="F153" i="106"/>
  <c r="J191" i="106" s="1"/>
  <c r="E26" i="106"/>
  <c r="I26" i="106"/>
  <c r="I191" i="106" s="1"/>
  <c r="H26" i="106"/>
  <c r="B26" i="106"/>
  <c r="A27" i="106"/>
  <c r="K190" i="106"/>
  <c r="B26" i="107"/>
  <c r="A27" i="107"/>
  <c r="E26" i="107"/>
  <c r="H26" i="107"/>
  <c r="F26" i="107"/>
  <c r="I26" i="107"/>
  <c r="J190" i="106"/>
  <c r="F27" i="107" l="1"/>
  <c r="E27" i="107"/>
  <c r="B27" i="107"/>
  <c r="I27" i="107"/>
  <c r="A28" i="107"/>
  <c r="H27" i="107"/>
  <c r="A28" i="106"/>
  <c r="B27" i="106"/>
  <c r="H154" i="106"/>
  <c r="I27" i="106"/>
  <c r="I192" i="106" s="1"/>
  <c r="E27" i="106"/>
  <c r="I154" i="106"/>
  <c r="F27" i="106"/>
  <c r="F192" i="106" s="1"/>
  <c r="G154" i="106"/>
  <c r="F154" i="106"/>
  <c r="E154" i="106"/>
  <c r="H27" i="106"/>
  <c r="K191" i="106"/>
  <c r="J192" i="106" l="1"/>
  <c r="E155" i="106"/>
  <c r="R28" i="106"/>
  <c r="I28" i="106"/>
  <c r="I193" i="106" s="1"/>
  <c r="I155" i="106"/>
  <c r="H155" i="106"/>
  <c r="O28" i="106"/>
  <c r="G155" i="106"/>
  <c r="N28" i="106"/>
  <c r="F155" i="106"/>
  <c r="F28" i="106"/>
  <c r="F193" i="106" s="1"/>
  <c r="H28" i="106"/>
  <c r="A29" i="106"/>
  <c r="E28" i="106"/>
  <c r="B28" i="106"/>
  <c r="S28" i="106"/>
  <c r="A29" i="107"/>
  <c r="H28" i="107"/>
  <c r="S28" i="107"/>
  <c r="E28" i="107"/>
  <c r="F28" i="107"/>
  <c r="B28" i="107"/>
  <c r="N28" i="107"/>
  <c r="T28" i="107"/>
  <c r="R28" i="107"/>
  <c r="P28" i="107"/>
  <c r="O28" i="107"/>
  <c r="I28" i="107"/>
  <c r="K192" i="106"/>
  <c r="K193" i="106" l="1"/>
  <c r="P29" i="107"/>
  <c r="N29" i="107"/>
  <c r="W29" i="107"/>
  <c r="E29" i="107"/>
  <c r="T29" i="107"/>
  <c r="B29" i="107"/>
  <c r="O29" i="107"/>
  <c r="A30" i="107"/>
  <c r="I29" i="107"/>
  <c r="S29" i="107"/>
  <c r="R29" i="107"/>
  <c r="H29" i="107"/>
  <c r="F29" i="107"/>
  <c r="E156" i="106"/>
  <c r="G156" i="106"/>
  <c r="N29" i="106"/>
  <c r="F156" i="106"/>
  <c r="F29" i="106"/>
  <c r="F194" i="106" s="1"/>
  <c r="I156" i="106"/>
  <c r="H156" i="106"/>
  <c r="R29" i="106"/>
  <c r="O29" i="106"/>
  <c r="S29" i="106"/>
  <c r="H29" i="106"/>
  <c r="E29" i="106"/>
  <c r="A30" i="106"/>
  <c r="B29" i="106"/>
  <c r="I29" i="106"/>
  <c r="I194" i="106" s="1"/>
  <c r="J193" i="106"/>
  <c r="K194" i="106" l="1"/>
  <c r="J194" i="106"/>
  <c r="F157" i="106"/>
  <c r="H30" i="106"/>
  <c r="I157" i="106"/>
  <c r="G157" i="106"/>
  <c r="S30" i="106"/>
  <c r="B30" i="106"/>
  <c r="H157" i="106"/>
  <c r="E157" i="106"/>
  <c r="R30" i="106"/>
  <c r="O30" i="106"/>
  <c r="A31" i="106"/>
  <c r="N30" i="106"/>
  <c r="F30" i="106"/>
  <c r="F195" i="106" s="1"/>
  <c r="I30" i="106"/>
  <c r="I195" i="106" s="1"/>
  <c r="E30" i="106"/>
  <c r="T30" i="107"/>
  <c r="F30" i="107"/>
  <c r="R30" i="107"/>
  <c r="B30" i="107"/>
  <c r="S30" i="107"/>
  <c r="P30" i="107"/>
  <c r="O30" i="107"/>
  <c r="E30" i="107"/>
  <c r="N30" i="107"/>
  <c r="I30" i="107"/>
  <c r="H30" i="107"/>
  <c r="A31" i="107"/>
  <c r="J195" i="106" l="1"/>
  <c r="H158" i="106"/>
  <c r="E158" i="106"/>
  <c r="A32" i="106"/>
  <c r="E31" i="106"/>
  <c r="O31" i="106"/>
  <c r="I158" i="106"/>
  <c r="G158" i="106"/>
  <c r="S31" i="106"/>
  <c r="F158" i="106"/>
  <c r="R31" i="106"/>
  <c r="T182" i="106" s="1"/>
  <c r="F31" i="106"/>
  <c r="F196" i="106" s="1"/>
  <c r="H31" i="106"/>
  <c r="N31" i="106"/>
  <c r="I31" i="106"/>
  <c r="I196" i="106" s="1"/>
  <c r="B31" i="106"/>
  <c r="O31" i="107"/>
  <c r="I31" i="107"/>
  <c r="R31" i="107"/>
  <c r="P31" i="107"/>
  <c r="T31" i="107"/>
  <c r="F31" i="107"/>
  <c r="E31" i="107"/>
  <c r="H31" i="107"/>
  <c r="A32" i="107"/>
  <c r="S31" i="107"/>
  <c r="B31" i="107"/>
  <c r="N31" i="107"/>
  <c r="K195" i="106"/>
  <c r="J196" i="106" l="1"/>
  <c r="I159" i="106"/>
  <c r="G159" i="106"/>
  <c r="I32" i="106"/>
  <c r="I197" i="106" s="1"/>
  <c r="H159" i="106"/>
  <c r="F159" i="106"/>
  <c r="E159" i="106"/>
  <c r="A33" i="106"/>
  <c r="E32" i="106"/>
  <c r="H32" i="106"/>
  <c r="B32" i="106"/>
  <c r="F32" i="106"/>
  <c r="F197" i="106" s="1"/>
  <c r="K196" i="106"/>
  <c r="F32" i="107"/>
  <c r="B32" i="107"/>
  <c r="A33" i="107"/>
  <c r="W32" i="107"/>
  <c r="I32" i="107"/>
  <c r="H32" i="107"/>
  <c r="E32" i="107"/>
  <c r="J197" i="106" l="1"/>
  <c r="K197" i="106"/>
  <c r="W33" i="107"/>
  <c r="H33" i="107"/>
  <c r="S33" i="107"/>
  <c r="E33" i="107"/>
  <c r="T33" i="107"/>
  <c r="T27" i="107" s="1"/>
  <c r="R33" i="107"/>
  <c r="N33" i="107"/>
  <c r="A34" i="107"/>
  <c r="O33" i="107"/>
  <c r="B33" i="107"/>
  <c r="P33" i="107"/>
  <c r="P27" i="107" s="1"/>
  <c r="I33" i="107"/>
  <c r="F33" i="107"/>
  <c r="A34" i="106"/>
  <c r="E33" i="106"/>
  <c r="I160" i="106"/>
  <c r="O33" i="106"/>
  <c r="E160" i="106"/>
  <c r="H33" i="106"/>
  <c r="B33" i="106"/>
  <c r="F33" i="106"/>
  <c r="F198" i="106" s="1"/>
  <c r="H160" i="106"/>
  <c r="G160" i="106"/>
  <c r="F160" i="106"/>
  <c r="I33" i="106"/>
  <c r="I198" i="106" s="1"/>
  <c r="S33" i="106"/>
  <c r="R33" i="106"/>
  <c r="N33" i="106"/>
  <c r="J198" i="106" l="1"/>
  <c r="I34" i="107"/>
  <c r="A35" i="107"/>
  <c r="B34" i="107"/>
  <c r="H34" i="107"/>
  <c r="F34" i="107"/>
  <c r="E34" i="107"/>
  <c r="W27" i="107"/>
  <c r="T39" i="107" s="1"/>
  <c r="K198" i="106"/>
  <c r="E161" i="106"/>
  <c r="G161" i="106"/>
  <c r="F161" i="106"/>
  <c r="I34" i="106"/>
  <c r="I199" i="106" s="1"/>
  <c r="H34" i="106"/>
  <c r="E34" i="106"/>
  <c r="F34" i="106"/>
  <c r="F199" i="106" s="1"/>
  <c r="A35" i="106"/>
  <c r="B34" i="106"/>
  <c r="I161" i="106"/>
  <c r="H161" i="106"/>
  <c r="J199" i="106" l="1"/>
  <c r="B35" i="107"/>
  <c r="F35" i="107"/>
  <c r="E35" i="107"/>
  <c r="A36" i="107"/>
  <c r="H35" i="107"/>
  <c r="I35" i="107"/>
  <c r="K199" i="106"/>
  <c r="F162" i="106"/>
  <c r="I162" i="106"/>
  <c r="E35" i="106"/>
  <c r="H162" i="106"/>
  <c r="E162" i="106"/>
  <c r="A36" i="106"/>
  <c r="G162" i="106"/>
  <c r="F35" i="106"/>
  <c r="F200" i="106" s="1"/>
  <c r="H35" i="106"/>
  <c r="I35" i="106"/>
  <c r="I200" i="106" s="1"/>
  <c r="B35" i="106"/>
  <c r="K200" i="106" l="1"/>
  <c r="J200" i="106"/>
  <c r="G163" i="106"/>
  <c r="F36" i="106"/>
  <c r="F201" i="106" s="1"/>
  <c r="H163" i="106"/>
  <c r="E36" i="106"/>
  <c r="B36" i="106"/>
  <c r="I163" i="106"/>
  <c r="F163" i="106"/>
  <c r="E163" i="106"/>
  <c r="A37" i="106"/>
  <c r="I36" i="106"/>
  <c r="I201" i="106" s="1"/>
  <c r="H36" i="106"/>
  <c r="F36" i="107"/>
  <c r="B36" i="107"/>
  <c r="A37" i="107"/>
  <c r="E36" i="107"/>
  <c r="I36" i="107"/>
  <c r="H36" i="107"/>
  <c r="J201" i="106" l="1"/>
  <c r="K201" i="106"/>
  <c r="I37" i="107"/>
  <c r="F37" i="107"/>
  <c r="B37" i="107"/>
  <c r="H37" i="107"/>
  <c r="A38" i="107"/>
  <c r="E37" i="107"/>
  <c r="H164" i="106"/>
  <c r="I37" i="106"/>
  <c r="I202" i="106" s="1"/>
  <c r="E37" i="106"/>
  <c r="I164" i="106"/>
  <c r="H37" i="106"/>
  <c r="G164" i="106"/>
  <c r="F164" i="106"/>
  <c r="F37" i="106"/>
  <c r="F202" i="106" s="1"/>
  <c r="B37" i="106"/>
  <c r="A38" i="106"/>
  <c r="E164" i="106"/>
  <c r="K202" i="106" l="1"/>
  <c r="J202" i="106"/>
  <c r="A39" i="107"/>
  <c r="I38" i="107"/>
  <c r="F38" i="107"/>
  <c r="H38" i="107"/>
  <c r="E38" i="107"/>
  <c r="B38" i="107"/>
  <c r="H165" i="106"/>
  <c r="E165" i="106"/>
  <c r="I38" i="106"/>
  <c r="I203" i="106" s="1"/>
  <c r="E38" i="106"/>
  <c r="H38" i="106"/>
  <c r="F38" i="106"/>
  <c r="F203" i="106" s="1"/>
  <c r="I165" i="106"/>
  <c r="B38" i="106"/>
  <c r="G165" i="106"/>
  <c r="F165" i="106"/>
  <c r="A39" i="106"/>
  <c r="K203" i="106" l="1"/>
  <c r="I166" i="106"/>
  <c r="H166" i="106"/>
  <c r="A40" i="106"/>
  <c r="G166" i="106"/>
  <c r="E166" i="106"/>
  <c r="H39" i="106"/>
  <c r="F39" i="106"/>
  <c r="F204" i="106" s="1"/>
  <c r="E39" i="106"/>
  <c r="B39" i="106"/>
  <c r="I39" i="106"/>
  <c r="I204" i="106" s="1"/>
  <c r="F166" i="106"/>
  <c r="A40" i="107"/>
  <c r="I39" i="107"/>
  <c r="H39" i="107"/>
  <c r="E39" i="107"/>
  <c r="B39" i="107"/>
  <c r="F39" i="107"/>
  <c r="J203" i="106"/>
  <c r="B40" i="107" l="1"/>
  <c r="A41" i="107"/>
  <c r="J204" i="106"/>
  <c r="H167" i="106"/>
  <c r="A41" i="106"/>
  <c r="I167" i="106"/>
  <c r="G167" i="106"/>
  <c r="F167" i="106"/>
  <c r="J205" i="106" s="1"/>
  <c r="E167" i="106"/>
  <c r="B40" i="106"/>
  <c r="K204" i="106"/>
  <c r="G168" i="106" l="1"/>
  <c r="H41" i="106"/>
  <c r="F168" i="106"/>
  <c r="B41" i="106"/>
  <c r="F41" i="106"/>
  <c r="F206" i="106" s="1"/>
  <c r="E41" i="106"/>
  <c r="I168" i="106"/>
  <c r="H168" i="106"/>
  <c r="E168" i="106"/>
  <c r="I41" i="106"/>
  <c r="I206" i="106" s="1"/>
  <c r="A42" i="106"/>
  <c r="K205" i="106"/>
  <c r="I41" i="107"/>
  <c r="H41" i="107"/>
  <c r="E41" i="107"/>
  <c r="F41" i="107"/>
  <c r="B41" i="107"/>
  <c r="A42" i="107"/>
  <c r="K206" i="106" l="1"/>
  <c r="I42" i="106"/>
  <c r="I207" i="106" s="1"/>
  <c r="I169" i="106"/>
  <c r="E42" i="106"/>
  <c r="F169" i="106"/>
  <c r="E169" i="106"/>
  <c r="A43" i="106"/>
  <c r="H42" i="106"/>
  <c r="B42" i="106"/>
  <c r="F42" i="106"/>
  <c r="F207" i="106" s="1"/>
  <c r="H169" i="106"/>
  <c r="G169" i="106"/>
  <c r="J206" i="106"/>
  <c r="I42" i="107"/>
  <c r="F42" i="107"/>
  <c r="A43" i="107"/>
  <c r="H42" i="107"/>
  <c r="B42" i="107"/>
  <c r="E42" i="107"/>
  <c r="K207" i="106" l="1"/>
  <c r="A44" i="107"/>
  <c r="H43" i="107"/>
  <c r="E43" i="107"/>
  <c r="I43" i="107"/>
  <c r="F43" i="107"/>
  <c r="B43" i="107"/>
  <c r="F170" i="106"/>
  <c r="E170" i="106"/>
  <c r="H170" i="106"/>
  <c r="G170" i="106"/>
  <c r="F43" i="106"/>
  <c r="F208" i="106" s="1"/>
  <c r="I170" i="106"/>
  <c r="A44" i="106"/>
  <c r="I43" i="106"/>
  <c r="I208" i="106" s="1"/>
  <c r="H43" i="106"/>
  <c r="E43" i="106"/>
  <c r="B43" i="106"/>
  <c r="J207" i="106"/>
  <c r="J208" i="106" l="1"/>
  <c r="H171" i="106"/>
  <c r="G171" i="106"/>
  <c r="I171" i="106"/>
  <c r="H44" i="106"/>
  <c r="F171" i="106"/>
  <c r="F44" i="106"/>
  <c r="F209" i="106" s="1"/>
  <c r="B44" i="106"/>
  <c r="E171" i="106"/>
  <c r="E44" i="106"/>
  <c r="A45" i="106"/>
  <c r="I44" i="106"/>
  <c r="I209" i="106" s="1"/>
  <c r="K208" i="106"/>
  <c r="I44" i="107"/>
  <c r="H44" i="107"/>
  <c r="F44" i="107"/>
  <c r="B44" i="107"/>
  <c r="A45" i="107"/>
  <c r="E44" i="107"/>
  <c r="J209" i="106" l="1"/>
  <c r="E172" i="106"/>
  <c r="B45" i="106"/>
  <c r="H172" i="106"/>
  <c r="A46" i="106"/>
  <c r="G172" i="106"/>
  <c r="I172" i="106"/>
  <c r="I45" i="106"/>
  <c r="I210" i="106" s="1"/>
  <c r="F172" i="106"/>
  <c r="H45" i="106"/>
  <c r="F45" i="106"/>
  <c r="F210" i="106" s="1"/>
  <c r="E45" i="106"/>
  <c r="K209" i="106"/>
  <c r="E45" i="107"/>
  <c r="B45" i="107"/>
  <c r="A46" i="107"/>
  <c r="H45" i="107"/>
  <c r="F45" i="107"/>
  <c r="I45" i="107"/>
  <c r="J210" i="106" l="1"/>
  <c r="H46" i="107"/>
  <c r="F46" i="107"/>
  <c r="B46" i="107"/>
  <c r="A47" i="107"/>
  <c r="I46" i="107"/>
  <c r="E46" i="107"/>
  <c r="I173" i="106"/>
  <c r="F46" i="106"/>
  <c r="F211" i="106" s="1"/>
  <c r="G173" i="106"/>
  <c r="H173" i="106"/>
  <c r="E173" i="106"/>
  <c r="E46" i="106"/>
  <c r="B46" i="106"/>
  <c r="F173" i="106"/>
  <c r="A47" i="106"/>
  <c r="I46" i="106"/>
  <c r="I211" i="106" s="1"/>
  <c r="H46" i="106"/>
  <c r="K210" i="106"/>
  <c r="J211" i="106" l="1"/>
  <c r="G174" i="106"/>
  <c r="F174" i="106"/>
  <c r="I47" i="106"/>
  <c r="I212" i="106" s="1"/>
  <c r="H174" i="106"/>
  <c r="E47" i="106"/>
  <c r="E174" i="106"/>
  <c r="H47" i="106"/>
  <c r="I174" i="106"/>
  <c r="A48" i="106"/>
  <c r="A49" i="106" s="1"/>
  <c r="A50" i="106" s="1"/>
  <c r="F47" i="106"/>
  <c r="F212" i="106" s="1"/>
  <c r="B47" i="106"/>
  <c r="A48" i="107"/>
  <c r="A49" i="107" s="1"/>
  <c r="A50" i="107" s="1"/>
  <c r="I47" i="107"/>
  <c r="F47" i="107"/>
  <c r="H47" i="107"/>
  <c r="E47" i="107"/>
  <c r="B47" i="107"/>
  <c r="K211" i="106"/>
  <c r="T50" i="107" l="1"/>
  <c r="S50" i="107"/>
  <c r="Q50" i="107"/>
  <c r="R50" i="107"/>
  <c r="P50" i="107"/>
  <c r="A51" i="107"/>
  <c r="K212" i="106"/>
  <c r="J212" i="106"/>
  <c r="E137" i="106"/>
  <c r="S50" i="106"/>
  <c r="P50" i="106"/>
  <c r="A51" i="106"/>
  <c r="T50" i="106"/>
  <c r="Q50" i="106"/>
  <c r="R50" i="106"/>
  <c r="F214" i="106" l="1"/>
  <c r="F215" i="106" s="1"/>
  <c r="I30" i="31" s="1"/>
  <c r="A52" i="107"/>
  <c r="T51" i="107"/>
  <c r="R51" i="107"/>
  <c r="S51" i="107"/>
  <c r="P51" i="107"/>
  <c r="Q51" i="107"/>
  <c r="A52" i="106"/>
  <c r="R51" i="106"/>
  <c r="P51" i="106"/>
  <c r="S51" i="106"/>
  <c r="T51" i="106"/>
  <c r="T52" i="106" l="1"/>
  <c r="S52" i="106"/>
  <c r="A53" i="106"/>
  <c r="R52" i="106"/>
  <c r="P52" i="106"/>
  <c r="A53" i="107"/>
  <c r="S52" i="107"/>
  <c r="Q52" i="107"/>
  <c r="P52" i="107"/>
  <c r="T52" i="107"/>
  <c r="R52" i="107"/>
  <c r="E9" i="106"/>
  <c r="U20" i="106"/>
  <c r="T39" i="106" s="1"/>
  <c r="E40" i="106"/>
  <c r="R53" i="107" l="1"/>
  <c r="A54" i="107"/>
  <c r="S53" i="107"/>
  <c r="Q53" i="107"/>
  <c r="P53" i="107"/>
  <c r="T53" i="107"/>
  <c r="P53" i="106"/>
  <c r="A54" i="106"/>
  <c r="T53" i="106"/>
  <c r="S53" i="106"/>
  <c r="R53" i="106"/>
  <c r="S54" i="106" l="1"/>
  <c r="N42" i="106" s="1"/>
  <c r="A55" i="106"/>
  <c r="T54" i="106"/>
  <c r="R54" i="106"/>
  <c r="P54" i="106"/>
  <c r="N40" i="106" s="1"/>
  <c r="S54" i="107"/>
  <c r="Q54" i="107"/>
  <c r="P54" i="107"/>
  <c r="R54" i="107"/>
  <c r="T54" i="107"/>
  <c r="A55" i="107"/>
  <c r="N41" i="106" l="1"/>
  <c r="T55" i="107"/>
  <c r="S55" i="107"/>
  <c r="R55" i="107"/>
  <c r="P55" i="107"/>
  <c r="A56" i="107"/>
  <c r="Q55" i="107"/>
  <c r="A56" i="106"/>
  <c r="R55" i="106"/>
  <c r="T55" i="106"/>
  <c r="P55" i="106"/>
  <c r="S55" i="106"/>
  <c r="T56" i="106" l="1"/>
  <c r="S56" i="106"/>
  <c r="P56" i="106"/>
  <c r="R56" i="106"/>
  <c r="A57" i="106"/>
  <c r="A57" i="107"/>
  <c r="T56" i="107"/>
  <c r="R56" i="107"/>
  <c r="Q56" i="107"/>
  <c r="P56" i="107"/>
  <c r="S56" i="107"/>
  <c r="T57" i="107" l="1"/>
  <c r="S57" i="107"/>
  <c r="R57" i="107"/>
  <c r="A58" i="107"/>
  <c r="Q57" i="107"/>
  <c r="P57" i="107"/>
  <c r="P57" i="106"/>
  <c r="A58" i="106"/>
  <c r="S57" i="106"/>
  <c r="T57" i="106"/>
  <c r="R57" i="106"/>
  <c r="S58" i="106" l="1"/>
  <c r="R58" i="106"/>
  <c r="P58" i="106"/>
  <c r="A59" i="106"/>
  <c r="T58" i="106"/>
  <c r="Q58" i="107"/>
  <c r="P58" i="107"/>
  <c r="S58" i="107"/>
  <c r="R58" i="107"/>
  <c r="A59" i="107"/>
  <c r="T58" i="107"/>
  <c r="A60" i="106" l="1"/>
  <c r="R59" i="106"/>
  <c r="T59" i="106"/>
  <c r="S59" i="106"/>
  <c r="P59" i="106"/>
  <c r="P59" i="107"/>
  <c r="S59" i="107"/>
  <c r="R59" i="107"/>
  <c r="A60" i="107"/>
  <c r="Q59" i="107"/>
  <c r="T59" i="107"/>
  <c r="Q60" i="107" l="1"/>
  <c r="A61" i="107"/>
  <c r="T60" i="107"/>
  <c r="R60" i="107"/>
  <c r="S60" i="107"/>
  <c r="P60" i="107"/>
  <c r="T60" i="106"/>
  <c r="P60" i="106"/>
  <c r="S60" i="106"/>
  <c r="R60" i="106"/>
  <c r="A61" i="106"/>
  <c r="P61" i="106" l="1"/>
  <c r="A62" i="106"/>
  <c r="T61" i="106"/>
  <c r="S61" i="106"/>
  <c r="R61" i="106"/>
  <c r="R61" i="107"/>
  <c r="T61" i="107"/>
  <c r="A62" i="107"/>
  <c r="P61" i="107"/>
  <c r="S61" i="107"/>
  <c r="Q61" i="107"/>
  <c r="S62" i="107" l="1"/>
  <c r="P62" i="107"/>
  <c r="T62" i="107"/>
  <c r="R62" i="107"/>
  <c r="A63" i="107"/>
  <c r="Q62" i="107"/>
  <c r="S62" i="106"/>
  <c r="T62" i="106"/>
  <c r="R62" i="106"/>
  <c r="P62" i="106"/>
  <c r="A63" i="106"/>
  <c r="T63" i="107" l="1"/>
  <c r="R63" i="107"/>
  <c r="Q63" i="107"/>
  <c r="P63" i="107"/>
  <c r="A64" i="107"/>
  <c r="S63" i="107"/>
  <c r="A64" i="106"/>
  <c r="R63" i="106"/>
  <c r="T63" i="106"/>
  <c r="P63" i="106"/>
  <c r="S63" i="106"/>
  <c r="T64" i="106" l="1"/>
  <c r="A65" i="106"/>
  <c r="S64" i="106"/>
  <c r="R64" i="106"/>
  <c r="P64" i="106"/>
  <c r="A65" i="107"/>
  <c r="T64" i="107"/>
  <c r="S64" i="107"/>
  <c r="Q64" i="107"/>
  <c r="R64" i="107"/>
  <c r="P64" i="107"/>
  <c r="A66" i="107" l="1"/>
  <c r="S65" i="107"/>
  <c r="T65" i="107"/>
  <c r="R65" i="107"/>
  <c r="Q65" i="107"/>
  <c r="P65" i="107"/>
  <c r="P65" i="106"/>
  <c r="S65" i="106"/>
  <c r="R65" i="106"/>
  <c r="T65" i="106"/>
  <c r="A66" i="106"/>
  <c r="S66" i="106" l="1"/>
  <c r="A67" i="106"/>
  <c r="P66" i="106"/>
  <c r="R66" i="106"/>
  <c r="T66" i="106"/>
  <c r="P66" i="107"/>
  <c r="A67" i="107"/>
  <c r="T66" i="107"/>
  <c r="S66" i="107"/>
  <c r="Q66" i="107"/>
  <c r="R66" i="107"/>
  <c r="P67" i="107" l="1"/>
  <c r="N40" i="107" s="1"/>
  <c r="R67" i="107"/>
  <c r="Q67" i="107"/>
  <c r="T67" i="107"/>
  <c r="A68" i="107"/>
  <c r="S67" i="107"/>
  <c r="N42" i="107" s="1"/>
  <c r="N41" i="107" s="1"/>
  <c r="A68" i="106"/>
  <c r="R67" i="106"/>
  <c r="P67" i="106"/>
  <c r="S67" i="106"/>
  <c r="T67" i="106"/>
  <c r="T68" i="106" l="1"/>
  <c r="A69" i="106"/>
  <c r="S68" i="106"/>
  <c r="P68" i="106"/>
  <c r="R68" i="106"/>
  <c r="Q68" i="107"/>
  <c r="T68" i="107"/>
  <c r="S68" i="107"/>
  <c r="P68" i="107"/>
  <c r="A69" i="107"/>
  <c r="R68" i="107"/>
  <c r="R69" i="107" l="1"/>
  <c r="A70" i="107"/>
  <c r="S69" i="107"/>
  <c r="Q69" i="107"/>
  <c r="P69" i="107"/>
  <c r="T69" i="107"/>
  <c r="P69" i="106"/>
  <c r="R69" i="106"/>
  <c r="A70" i="106"/>
  <c r="T69" i="106"/>
  <c r="S69" i="106"/>
  <c r="S70" i="106" l="1"/>
  <c r="A71" i="106"/>
  <c r="R70" i="106"/>
  <c r="T70" i="106"/>
  <c r="P70" i="106"/>
  <c r="S70" i="107"/>
  <c r="A71" i="107"/>
  <c r="T70" i="107"/>
  <c r="Q70" i="107"/>
  <c r="R70" i="107"/>
  <c r="P70" i="107"/>
  <c r="T71" i="107" l="1"/>
  <c r="Q71" i="107"/>
  <c r="P71" i="107"/>
  <c r="R71" i="107"/>
  <c r="A72" i="107"/>
  <c r="S71" i="107"/>
  <c r="A72" i="106"/>
  <c r="R71" i="106"/>
  <c r="T71" i="106"/>
  <c r="P71" i="106"/>
  <c r="S71" i="106"/>
  <c r="T72" i="106" l="1"/>
  <c r="S72" i="106"/>
  <c r="R72" i="106"/>
  <c r="P72" i="106"/>
  <c r="A73" i="106"/>
  <c r="A73" i="107"/>
  <c r="S72" i="107"/>
  <c r="R72" i="107"/>
  <c r="P72" i="107"/>
  <c r="Q72" i="107"/>
  <c r="T72" i="107"/>
  <c r="A74" i="107" l="1"/>
  <c r="T73" i="107"/>
  <c r="R73" i="107"/>
  <c r="P73" i="107"/>
  <c r="S73" i="107"/>
  <c r="Q73" i="107"/>
  <c r="P73" i="106"/>
  <c r="A74" i="106"/>
  <c r="T73" i="106"/>
  <c r="S73" i="106"/>
  <c r="R73" i="106"/>
  <c r="T74" i="107" l="1"/>
  <c r="A75" i="107"/>
  <c r="R74" i="107"/>
  <c r="Q74" i="107"/>
  <c r="S74" i="107"/>
  <c r="P74" i="107"/>
  <c r="S74" i="106"/>
  <c r="R74" i="106"/>
  <c r="P74" i="106"/>
  <c r="A75" i="106"/>
  <c r="T74" i="106"/>
  <c r="A76" i="106" l="1"/>
  <c r="R75" i="106"/>
  <c r="T75" i="106"/>
  <c r="S75" i="106"/>
  <c r="P75" i="106"/>
  <c r="P75" i="107"/>
  <c r="Q75" i="107"/>
  <c r="R75" i="107"/>
  <c r="A76" i="107"/>
  <c r="T75" i="107"/>
  <c r="S75" i="107"/>
  <c r="Q76" i="107" l="1"/>
  <c r="S76" i="107"/>
  <c r="R76" i="107"/>
  <c r="T76" i="107"/>
  <c r="P76" i="107"/>
  <c r="A77" i="107"/>
  <c r="T76" i="106"/>
  <c r="P76" i="106"/>
  <c r="A77" i="106"/>
  <c r="S76" i="106"/>
  <c r="R76" i="106"/>
  <c r="P77" i="106" l="1"/>
  <c r="A78" i="106"/>
  <c r="S77" i="106"/>
  <c r="T77" i="106"/>
  <c r="R77" i="106"/>
  <c r="R77" i="107"/>
  <c r="A78" i="107"/>
  <c r="T77" i="107"/>
  <c r="Q77" i="107"/>
  <c r="P77" i="107"/>
  <c r="S77" i="107"/>
  <c r="S78" i="107" l="1"/>
  <c r="T78" i="107"/>
  <c r="R78" i="107"/>
  <c r="A79" i="107"/>
  <c r="Q78" i="107"/>
  <c r="P78" i="107"/>
  <c r="S78" i="106"/>
  <c r="A79" i="106"/>
  <c r="T78" i="106"/>
  <c r="R78" i="106"/>
  <c r="P78" i="106"/>
  <c r="A80" i="106" l="1"/>
  <c r="R79" i="106"/>
  <c r="T79" i="106"/>
  <c r="S79" i="106"/>
  <c r="P79" i="106"/>
  <c r="T79" i="107"/>
  <c r="P79" i="107"/>
  <c r="R79" i="107"/>
  <c r="Q79" i="107"/>
  <c r="S79" i="107"/>
  <c r="A80" i="107"/>
  <c r="A81" i="107" l="1"/>
  <c r="R80" i="107"/>
  <c r="Q80" i="107"/>
  <c r="T80" i="107"/>
  <c r="P80" i="107"/>
  <c r="S80" i="107"/>
  <c r="T80" i="106"/>
  <c r="R80" i="106"/>
  <c r="P80" i="106"/>
  <c r="S80" i="106"/>
  <c r="A81" i="106"/>
  <c r="T81" i="107" l="1"/>
  <c r="S81" i="107"/>
  <c r="Q81" i="107"/>
  <c r="R81" i="107"/>
  <c r="P81" i="107"/>
  <c r="A82" i="107"/>
  <c r="P81" i="106"/>
  <c r="S81" i="106"/>
  <c r="R81" i="106"/>
  <c r="T81" i="106"/>
  <c r="A82" i="106"/>
  <c r="A83" i="107" l="1"/>
  <c r="S82" i="107"/>
  <c r="T82" i="107"/>
  <c r="R82" i="107"/>
  <c r="Q82" i="107"/>
  <c r="P82" i="107"/>
  <c r="S82" i="106"/>
  <c r="A83" i="106"/>
  <c r="R82" i="106"/>
  <c r="P82" i="106"/>
  <c r="T82" i="106"/>
  <c r="A84" i="106" l="1"/>
  <c r="R83" i="106"/>
  <c r="P83" i="106"/>
  <c r="S83" i="106"/>
  <c r="T83" i="106"/>
  <c r="P83" i="107"/>
  <c r="A84" i="107"/>
  <c r="S83" i="107"/>
  <c r="R83" i="107"/>
  <c r="Q83" i="107"/>
  <c r="T83" i="107"/>
  <c r="T84" i="106" l="1"/>
  <c r="S84" i="106"/>
  <c r="A85" i="106"/>
  <c r="R84" i="106"/>
  <c r="P84" i="106"/>
  <c r="Q84" i="107"/>
  <c r="R84" i="107"/>
  <c r="P84" i="107"/>
  <c r="A85" i="107"/>
  <c r="S84" i="107"/>
  <c r="T84" i="107"/>
  <c r="R85" i="107" l="1"/>
  <c r="T85" i="107"/>
  <c r="S85" i="107"/>
  <c r="P85" i="107"/>
  <c r="A86" i="107"/>
  <c r="Q85" i="107"/>
  <c r="P85" i="106"/>
  <c r="A86" i="106"/>
  <c r="S85" i="106"/>
  <c r="R85" i="106"/>
  <c r="T85" i="106"/>
  <c r="S86" i="106" l="1"/>
  <c r="A87" i="106"/>
  <c r="T86" i="106"/>
  <c r="R86" i="106"/>
  <c r="P86" i="106"/>
  <c r="S86" i="107"/>
  <c r="A87" i="107"/>
  <c r="R86" i="107"/>
  <c r="P86" i="107"/>
  <c r="T86" i="107"/>
  <c r="Q86" i="107"/>
  <c r="T87" i="107" l="1"/>
  <c r="A88" i="107"/>
  <c r="S87" i="107"/>
  <c r="R87" i="107"/>
  <c r="P87" i="107"/>
  <c r="Q87" i="107"/>
  <c r="A88" i="106"/>
  <c r="R87" i="106"/>
  <c r="T87" i="106"/>
  <c r="S87" i="106"/>
  <c r="P87" i="106"/>
  <c r="T88" i="106" l="1"/>
  <c r="S88" i="106"/>
  <c r="P88" i="106"/>
  <c r="R88" i="106"/>
  <c r="A89" i="106"/>
  <c r="A89" i="107"/>
  <c r="Q88" i="107"/>
  <c r="P88" i="107"/>
  <c r="T88" i="107"/>
  <c r="S88" i="107"/>
  <c r="R88" i="107"/>
  <c r="S89" i="107" l="1"/>
  <c r="R89" i="107"/>
  <c r="P89" i="107"/>
  <c r="A90" i="107"/>
  <c r="T89" i="107"/>
  <c r="Q89" i="107"/>
  <c r="P89" i="106"/>
  <c r="A90" i="106"/>
  <c r="T89" i="106"/>
  <c r="S89" i="106"/>
  <c r="R89" i="106"/>
  <c r="S90" i="106" l="1"/>
  <c r="R90" i="106"/>
  <c r="P90" i="106"/>
  <c r="A91" i="106"/>
  <c r="T90" i="106"/>
  <c r="A91" i="107"/>
  <c r="T90" i="107"/>
  <c r="R90" i="107"/>
  <c r="Q90" i="107"/>
  <c r="P90" i="107"/>
  <c r="S90" i="107"/>
  <c r="P91" i="107" l="1"/>
  <c r="T91" i="107"/>
  <c r="A92" i="107"/>
  <c r="S91" i="107"/>
  <c r="Q91" i="107"/>
  <c r="R91" i="107"/>
  <c r="A92" i="106"/>
  <c r="R91" i="106"/>
  <c r="T91" i="106"/>
  <c r="S91" i="106"/>
  <c r="P91" i="106"/>
  <c r="T92" i="106" l="1"/>
  <c r="P92" i="106"/>
  <c r="R92" i="106"/>
  <c r="A93" i="106"/>
  <c r="S92" i="106"/>
  <c r="Q92" i="107"/>
  <c r="P92" i="107"/>
  <c r="T92" i="107"/>
  <c r="S92" i="107"/>
  <c r="R92" i="107"/>
  <c r="A93" i="107"/>
  <c r="R93" i="107" l="1"/>
  <c r="S93" i="107"/>
  <c r="Q93" i="107"/>
  <c r="A94" i="107"/>
  <c r="P93" i="107"/>
  <c r="T93" i="107"/>
  <c r="P93" i="106"/>
  <c r="A94" i="106"/>
  <c r="T93" i="106"/>
  <c r="S93" i="106"/>
  <c r="R93" i="106"/>
  <c r="S94" i="106" l="1"/>
  <c r="T94" i="106"/>
  <c r="P94" i="106"/>
  <c r="R94" i="106"/>
  <c r="A95" i="106"/>
  <c r="S94" i="107"/>
  <c r="A95" i="107"/>
  <c r="T94" i="107"/>
  <c r="Q94" i="107"/>
  <c r="R94" i="107"/>
  <c r="P94" i="107"/>
  <c r="T95" i="107" l="1"/>
  <c r="S95" i="107"/>
  <c r="A96" i="107"/>
  <c r="Q95" i="107"/>
  <c r="R95" i="107"/>
  <c r="P95" i="107"/>
  <c r="A96" i="106"/>
  <c r="R95" i="106"/>
  <c r="T95" i="106"/>
  <c r="P95" i="106"/>
  <c r="S95" i="106"/>
  <c r="T96" i="106" l="1"/>
  <c r="A97" i="106"/>
  <c r="S96" i="106"/>
  <c r="R96" i="106"/>
  <c r="P96" i="106"/>
  <c r="A97" i="107"/>
  <c r="P96" i="107"/>
  <c r="Q96" i="107"/>
  <c r="T96" i="107"/>
  <c r="R96" i="107"/>
  <c r="S96" i="107"/>
  <c r="R97" i="107" l="1"/>
  <c r="Q97" i="107"/>
  <c r="A98" i="107"/>
  <c r="S97" i="107"/>
  <c r="T97" i="107"/>
  <c r="P97" i="107"/>
  <c r="P97" i="106"/>
  <c r="S97" i="106"/>
  <c r="R97" i="106"/>
  <c r="T97" i="106"/>
  <c r="A98" i="106"/>
  <c r="S98" i="106" l="1"/>
  <c r="A99" i="106"/>
  <c r="T98" i="106"/>
  <c r="R98" i="106"/>
  <c r="P98" i="106"/>
  <c r="T98" i="107"/>
  <c r="S98" i="107"/>
  <c r="Q98" i="107"/>
  <c r="P98" i="107"/>
  <c r="A99" i="107"/>
  <c r="R98" i="107"/>
  <c r="P99" i="107" l="1"/>
  <c r="A100" i="107"/>
  <c r="S99" i="107"/>
  <c r="R99" i="107"/>
  <c r="Q99" i="107"/>
  <c r="T99" i="107"/>
  <c r="A100" i="106"/>
  <c r="R99" i="106"/>
  <c r="P99" i="106"/>
  <c r="T99" i="106"/>
  <c r="S99" i="106"/>
  <c r="T100" i="106" l="1"/>
  <c r="A101" i="106"/>
  <c r="S100" i="106"/>
  <c r="P100" i="106"/>
  <c r="R100" i="106"/>
  <c r="Q100" i="107"/>
  <c r="A101" i="107"/>
  <c r="R100" i="107"/>
  <c r="P100" i="107"/>
  <c r="S100" i="107"/>
  <c r="T100" i="107"/>
  <c r="R101" i="107" l="1"/>
  <c r="Q101" i="107"/>
  <c r="P101" i="107"/>
  <c r="T101" i="107"/>
  <c r="A102" i="107"/>
  <c r="S101" i="107"/>
  <c r="P101" i="106"/>
  <c r="A102" i="106"/>
  <c r="T101" i="106"/>
  <c r="S101" i="106"/>
  <c r="R101" i="106"/>
  <c r="S102" i="106" l="1"/>
  <c r="A103" i="106"/>
  <c r="R102" i="106"/>
  <c r="T102" i="106"/>
  <c r="P102" i="106"/>
  <c r="S102" i="107"/>
  <c r="T102" i="107"/>
  <c r="R102" i="107"/>
  <c r="P102" i="107"/>
  <c r="Q102" i="107"/>
  <c r="A103" i="107"/>
  <c r="T103" i="107" l="1"/>
  <c r="A104" i="107"/>
  <c r="R103" i="107"/>
  <c r="S103" i="107"/>
  <c r="Q103" i="107"/>
  <c r="P103" i="107"/>
  <c r="A104" i="106"/>
  <c r="R103" i="106"/>
  <c r="P103" i="106"/>
  <c r="T103" i="106"/>
  <c r="S103" i="106"/>
  <c r="T104" i="106" l="1"/>
  <c r="S104" i="106"/>
  <c r="R104" i="106"/>
  <c r="P104" i="106"/>
  <c r="A105" i="106"/>
  <c r="A105" i="107"/>
  <c r="T104" i="107"/>
  <c r="R104" i="107"/>
  <c r="Q104" i="107"/>
  <c r="S104" i="107"/>
  <c r="P104" i="107"/>
  <c r="Q105" i="107" l="1"/>
  <c r="P105" i="107"/>
  <c r="T105" i="107"/>
  <c r="A106" i="107"/>
  <c r="S105" i="107"/>
  <c r="R105" i="107"/>
  <c r="P105" i="106"/>
  <c r="A106" i="106"/>
  <c r="T105" i="106"/>
  <c r="R105" i="106"/>
  <c r="S105" i="106"/>
  <c r="S106" i="106" l="1"/>
  <c r="R106" i="106"/>
  <c r="T106" i="106"/>
  <c r="P106" i="106"/>
  <c r="A107" i="106"/>
  <c r="S106" i="107"/>
  <c r="R106" i="107"/>
  <c r="P106" i="107"/>
  <c r="T106" i="107"/>
  <c r="Q106" i="107"/>
  <c r="A107" i="107"/>
  <c r="A108" i="106" l="1"/>
  <c r="T107" i="106"/>
  <c r="R107" i="106"/>
  <c r="S107" i="106"/>
  <c r="P107" i="106"/>
  <c r="P107" i="107"/>
  <c r="A108" i="107"/>
  <c r="T107" i="107"/>
  <c r="R107" i="107"/>
  <c r="S107" i="107"/>
  <c r="Q107" i="107"/>
  <c r="T108" i="107" l="1"/>
  <c r="Q108" i="107"/>
  <c r="A109" i="107"/>
  <c r="S108" i="107"/>
  <c r="R108" i="107"/>
  <c r="P108" i="107"/>
  <c r="T108" i="106"/>
  <c r="S108" i="106"/>
  <c r="R108" i="106"/>
  <c r="P108" i="106"/>
  <c r="A109" i="106"/>
  <c r="P109" i="106" l="1"/>
  <c r="S109" i="106"/>
  <c r="R109" i="106"/>
  <c r="A110" i="106"/>
  <c r="T109" i="106"/>
  <c r="A110" i="107"/>
  <c r="R109" i="107"/>
  <c r="Q109" i="107"/>
  <c r="P109" i="107"/>
  <c r="T109" i="107"/>
  <c r="S109" i="107"/>
  <c r="S110" i="107" l="1"/>
  <c r="A111" i="107"/>
  <c r="T110" i="107"/>
  <c r="Q110" i="107"/>
  <c r="P110" i="107"/>
  <c r="R110" i="107"/>
  <c r="S110" i="106"/>
  <c r="R110" i="106"/>
  <c r="A111" i="106"/>
  <c r="P110" i="106"/>
  <c r="T110" i="106"/>
  <c r="A112" i="106" l="1"/>
  <c r="T111" i="106"/>
  <c r="R111" i="106"/>
  <c r="S111" i="106"/>
  <c r="P111" i="106"/>
  <c r="T111" i="107"/>
  <c r="A112" i="107"/>
  <c r="Q111" i="107"/>
  <c r="P111" i="107"/>
  <c r="S111" i="107"/>
  <c r="R111" i="107"/>
  <c r="P112" i="107" l="1"/>
  <c r="A113" i="107"/>
  <c r="R112" i="107"/>
  <c r="Q112" i="107"/>
  <c r="T112" i="107"/>
  <c r="S112" i="107"/>
  <c r="T112" i="106"/>
  <c r="A113" i="106"/>
  <c r="S112" i="106"/>
  <c r="R112" i="106"/>
  <c r="P112" i="106"/>
  <c r="P113" i="106" l="1"/>
  <c r="R113" i="106"/>
  <c r="A114" i="106"/>
  <c r="T113" i="106"/>
  <c r="S113" i="106"/>
  <c r="Q113" i="107"/>
  <c r="A114" i="107"/>
  <c r="T113" i="107"/>
  <c r="R113" i="107"/>
  <c r="S113" i="107"/>
  <c r="P113" i="107"/>
  <c r="R114" i="107" l="1"/>
  <c r="A115" i="107"/>
  <c r="S114" i="107"/>
  <c r="P114" i="107"/>
  <c r="Q114" i="107"/>
  <c r="T114" i="107"/>
  <c r="S114" i="106"/>
  <c r="R114" i="106"/>
  <c r="T114" i="106"/>
  <c r="A115" i="106"/>
  <c r="P114" i="106"/>
  <c r="A116" i="106" l="1"/>
  <c r="T115" i="106"/>
  <c r="R115" i="106"/>
  <c r="S115" i="106"/>
  <c r="P115" i="106"/>
  <c r="S115" i="107"/>
  <c r="P115" i="107"/>
  <c r="R115" i="107"/>
  <c r="Q115" i="107"/>
  <c r="A116" i="107"/>
  <c r="T115" i="107"/>
  <c r="T116" i="107" l="1"/>
  <c r="Q116" i="107"/>
  <c r="A117" i="107"/>
  <c r="R116" i="107"/>
  <c r="S116" i="107"/>
  <c r="P116" i="107"/>
  <c r="T116" i="106"/>
  <c r="A117" i="106"/>
  <c r="S116" i="106"/>
  <c r="P116" i="106"/>
  <c r="R116" i="106"/>
  <c r="P117" i="106" l="1"/>
  <c r="R117" i="106"/>
  <c r="T117" i="106"/>
  <c r="A118" i="106"/>
  <c r="S117" i="106"/>
  <c r="A118" i="107"/>
  <c r="R117" i="107"/>
  <c r="S117" i="107"/>
  <c r="Q117" i="107"/>
  <c r="P117" i="107"/>
  <c r="T117" i="107"/>
  <c r="S118" i="107" l="1"/>
  <c r="R118" i="107"/>
  <c r="Q118" i="107"/>
  <c r="T118" i="107"/>
  <c r="P118" i="107"/>
  <c r="A119" i="107"/>
  <c r="S118" i="106"/>
  <c r="R118" i="106"/>
  <c r="A119" i="106"/>
  <c r="T118" i="106"/>
  <c r="P118" i="106"/>
  <c r="A120" i="106" l="1"/>
  <c r="T119" i="106"/>
  <c r="R119" i="106"/>
  <c r="P119" i="106"/>
  <c r="S119" i="106"/>
  <c r="T119" i="107"/>
  <c r="A120" i="107"/>
  <c r="R119" i="107"/>
  <c r="Q119" i="107"/>
  <c r="S119" i="107"/>
  <c r="P119" i="107"/>
  <c r="P120" i="107" l="1"/>
  <c r="A121" i="107"/>
  <c r="T120" i="107"/>
  <c r="S120" i="107"/>
  <c r="Q120" i="107"/>
  <c r="R120" i="107"/>
  <c r="T120" i="106"/>
  <c r="A121" i="106"/>
  <c r="S120" i="106"/>
  <c r="R120" i="106"/>
  <c r="P120" i="106"/>
  <c r="P121" i="106" l="1"/>
  <c r="S121" i="106"/>
  <c r="R121" i="106"/>
  <c r="A122" i="106"/>
  <c r="T121" i="106"/>
  <c r="Q121" i="107"/>
  <c r="S121" i="107"/>
  <c r="R121" i="107"/>
  <c r="T121" i="107"/>
  <c r="P121" i="107"/>
  <c r="A122" i="107"/>
  <c r="R122" i="107" l="1"/>
  <c r="A123" i="107"/>
  <c r="S122" i="107"/>
  <c r="Q122" i="107"/>
  <c r="P122" i="107"/>
  <c r="T122" i="107"/>
  <c r="S122" i="106"/>
  <c r="R122" i="106"/>
  <c r="A123" i="106"/>
  <c r="T122" i="106"/>
  <c r="P122" i="106"/>
  <c r="A124" i="106" l="1"/>
  <c r="T123" i="106"/>
  <c r="R123" i="106"/>
  <c r="S123" i="106"/>
  <c r="P123" i="106"/>
  <c r="S123" i="107"/>
  <c r="P123" i="107"/>
  <c r="R123" i="107"/>
  <c r="Q123" i="107"/>
  <c r="T123" i="107"/>
  <c r="A124" i="107"/>
  <c r="T124" i="107" l="1"/>
  <c r="Q124" i="107"/>
  <c r="S124" i="107"/>
  <c r="R124" i="107"/>
  <c r="A125" i="107"/>
  <c r="A126" i="107" s="1"/>
  <c r="P124" i="107"/>
  <c r="T124" i="106"/>
  <c r="A125" i="106"/>
  <c r="A126" i="106" s="1"/>
  <c r="S124" i="106"/>
  <c r="R124" i="106"/>
  <c r="P124" i="106"/>
  <c r="P126" i="106" l="1"/>
  <c r="N43" i="106" s="1"/>
  <c r="A127" i="106"/>
  <c r="A127" i="107"/>
  <c r="P126" i="107"/>
  <c r="P127" i="107" l="1"/>
  <c r="A128" i="107"/>
  <c r="A128" i="106"/>
  <c r="P127" i="106"/>
  <c r="A129" i="106" l="1"/>
  <c r="P128" i="106"/>
  <c r="A129" i="107"/>
  <c r="P128" i="107"/>
  <c r="A130" i="107" l="1"/>
  <c r="P129" i="107"/>
  <c r="A130" i="106"/>
  <c r="P129" i="106"/>
  <c r="P130" i="106" l="1"/>
  <c r="A131" i="106"/>
  <c r="A131" i="107"/>
  <c r="P130" i="107"/>
  <c r="P131" i="107" l="1"/>
  <c r="N43" i="107" s="1"/>
  <c r="A132" i="107"/>
  <c r="A132" i="106"/>
  <c r="P131" i="106"/>
  <c r="A133" i="106" l="1"/>
  <c r="P132" i="106"/>
  <c r="A133" i="107"/>
  <c r="P132" i="107"/>
  <c r="P133" i="107" l="1"/>
  <c r="A134" i="107"/>
  <c r="A134" i="106"/>
  <c r="P133" i="106"/>
  <c r="P134" i="106" l="1"/>
  <c r="A135" i="106"/>
  <c r="A135" i="107"/>
  <c r="P134" i="107"/>
  <c r="P135" i="107" l="1"/>
  <c r="A136" i="107"/>
  <c r="A137" i="107" s="1"/>
  <c r="A136" i="106"/>
  <c r="A137" i="106" s="1"/>
  <c r="P135" i="106"/>
  <c r="A138" i="106" l="1"/>
  <c r="A139" i="106" s="1"/>
  <c r="A140" i="106" s="1"/>
  <c r="M137" i="106"/>
  <c r="M137" i="107"/>
  <c r="A138" i="107"/>
  <c r="A139" i="107" s="1"/>
  <c r="A140" i="107" s="1"/>
  <c r="R140" i="107" l="1"/>
  <c r="Q140" i="107"/>
  <c r="A141" i="107"/>
  <c r="O140" i="107"/>
  <c r="T140" i="107"/>
  <c r="S140" i="107"/>
  <c r="N140" i="107"/>
  <c r="U140" i="107"/>
  <c r="P140" i="107"/>
  <c r="V140" i="107"/>
  <c r="U140" i="106"/>
  <c r="T140" i="106"/>
  <c r="R140" i="106"/>
  <c r="O140" i="106"/>
  <c r="N140" i="106"/>
  <c r="V140" i="106"/>
  <c r="V164" i="106" s="1"/>
  <c r="S140" i="106"/>
  <c r="Q140" i="106"/>
  <c r="P140" i="106"/>
  <c r="A141" i="106"/>
  <c r="V141" i="106" l="1"/>
  <c r="V165" i="106" s="1"/>
  <c r="N141" i="106"/>
  <c r="N165" i="106" s="1"/>
  <c r="U141" i="106"/>
  <c r="U165" i="106" s="1"/>
  <c r="S141" i="106"/>
  <c r="S165" i="106" s="1"/>
  <c r="A142" i="106"/>
  <c r="T141" i="106"/>
  <c r="T165" i="106" s="1"/>
  <c r="R141" i="106"/>
  <c r="R165" i="106" s="1"/>
  <c r="Q141" i="106"/>
  <c r="Q165" i="106" s="1"/>
  <c r="P141" i="106"/>
  <c r="P165" i="106" s="1"/>
  <c r="O141" i="106"/>
  <c r="O165" i="106" s="1"/>
  <c r="S141" i="107"/>
  <c r="P141" i="107"/>
  <c r="A142" i="107"/>
  <c r="O141" i="107"/>
  <c r="V141" i="107"/>
  <c r="N141" i="107"/>
  <c r="U141" i="107"/>
  <c r="T141" i="107"/>
  <c r="Q141" i="107"/>
  <c r="R141" i="107"/>
  <c r="Q142" i="107" l="1"/>
  <c r="V142" i="107"/>
  <c r="N142" i="107"/>
  <c r="U142" i="107"/>
  <c r="T142" i="107"/>
  <c r="S142" i="107"/>
  <c r="R142" i="107"/>
  <c r="P142" i="107"/>
  <c r="A143" i="107"/>
  <c r="O142" i="107"/>
  <c r="A143" i="106"/>
  <c r="O142" i="106"/>
  <c r="O166" i="106" s="1"/>
  <c r="V142" i="106"/>
  <c r="V166" i="106" s="1"/>
  <c r="N142" i="106"/>
  <c r="N166" i="106" s="1"/>
  <c r="T142" i="106"/>
  <c r="T166" i="106" s="1"/>
  <c r="U142" i="106"/>
  <c r="U166" i="106" s="1"/>
  <c r="S142" i="106"/>
  <c r="S166" i="106" s="1"/>
  <c r="R142" i="106"/>
  <c r="R166" i="106" s="1"/>
  <c r="Q142" i="106"/>
  <c r="Q166" i="106" s="1"/>
  <c r="P142" i="106"/>
  <c r="P166" i="106" s="1"/>
  <c r="P143" i="106" l="1"/>
  <c r="P167" i="106" s="1"/>
  <c r="A144" i="106"/>
  <c r="O143" i="106"/>
  <c r="O167" i="106" s="1"/>
  <c r="U143" i="106"/>
  <c r="U167" i="106" s="1"/>
  <c r="T143" i="106"/>
  <c r="T167" i="106" s="1"/>
  <c r="R143" i="106"/>
  <c r="R167" i="106" s="1"/>
  <c r="S143" i="106"/>
  <c r="S167" i="106" s="1"/>
  <c r="Q143" i="106"/>
  <c r="Q167" i="106" s="1"/>
  <c r="N143" i="106"/>
  <c r="N167" i="106" s="1"/>
  <c r="V143" i="106"/>
  <c r="V167" i="106" s="1"/>
  <c r="A144" i="107"/>
  <c r="O143" i="107"/>
  <c r="T143" i="107"/>
  <c r="S143" i="107"/>
  <c r="R143" i="107"/>
  <c r="Q143" i="107"/>
  <c r="V143" i="107"/>
  <c r="P143" i="107"/>
  <c r="U143" i="107"/>
  <c r="N143" i="107"/>
  <c r="U144" i="107" l="1"/>
  <c r="R144" i="107"/>
  <c r="Q144" i="107"/>
  <c r="P144" i="107"/>
  <c r="A145" i="107"/>
  <c r="A146" i="107" s="1"/>
  <c r="A147" i="107" s="1"/>
  <c r="O144" i="107"/>
  <c r="T144" i="107"/>
  <c r="S144" i="107"/>
  <c r="V144" i="107"/>
  <c r="N144" i="107"/>
  <c r="Q144" i="106"/>
  <c r="Q168" i="106" s="1"/>
  <c r="P144" i="106"/>
  <c r="P168" i="106" s="1"/>
  <c r="V144" i="106"/>
  <c r="V168" i="106" s="1"/>
  <c r="N144" i="106"/>
  <c r="N168" i="106" s="1"/>
  <c r="S144" i="106"/>
  <c r="S168" i="106" s="1"/>
  <c r="R144" i="106"/>
  <c r="R168" i="106" s="1"/>
  <c r="O144" i="106"/>
  <c r="O168" i="106" s="1"/>
  <c r="A145" i="106"/>
  <c r="A146" i="106" s="1"/>
  <c r="A147" i="106" s="1"/>
  <c r="U144" i="106"/>
  <c r="U168" i="106" s="1"/>
  <c r="T144" i="106"/>
  <c r="T168" i="106" s="1"/>
  <c r="Q147" i="107" l="1"/>
  <c r="N147" i="107"/>
  <c r="A148" i="107"/>
  <c r="R147" i="107"/>
  <c r="P147" i="107"/>
  <c r="O147" i="107"/>
  <c r="N147" i="106"/>
  <c r="N171" i="106" s="1"/>
  <c r="A148" i="106"/>
  <c r="Q147" i="106"/>
  <c r="Q171" i="106" s="1"/>
  <c r="P147" i="106"/>
  <c r="P171" i="106" s="1"/>
  <c r="O147" i="106"/>
  <c r="O171" i="106" s="1"/>
  <c r="R147" i="106"/>
  <c r="R171" i="106" s="1"/>
  <c r="A149" i="106" l="1"/>
  <c r="R148" i="106"/>
  <c r="R172" i="106" s="1"/>
  <c r="P148" i="106"/>
  <c r="P172" i="106" s="1"/>
  <c r="O148" i="106"/>
  <c r="O172" i="106" s="1"/>
  <c r="Q148" i="106"/>
  <c r="Q172" i="106" s="1"/>
  <c r="N148" i="106"/>
  <c r="N172" i="106" s="1"/>
  <c r="A149" i="107"/>
  <c r="P148" i="107"/>
  <c r="O148" i="107"/>
  <c r="N148" i="107"/>
  <c r="Q148" i="107"/>
  <c r="R148" i="107"/>
  <c r="R149" i="107" l="1"/>
  <c r="Q149" i="107"/>
  <c r="P149" i="107"/>
  <c r="O149" i="107"/>
  <c r="A150" i="107"/>
  <c r="N149" i="107"/>
  <c r="N149" i="106"/>
  <c r="N173" i="106" s="1"/>
  <c r="Q149" i="106"/>
  <c r="Q173" i="106" s="1"/>
  <c r="P149" i="106"/>
  <c r="P173" i="106" s="1"/>
  <c r="A150" i="106"/>
  <c r="R149" i="106"/>
  <c r="R173" i="106" s="1"/>
  <c r="O149" i="106"/>
  <c r="O173" i="106" s="1"/>
  <c r="O150" i="107" l="1"/>
  <c r="A151" i="107"/>
  <c r="R150" i="107"/>
  <c r="Q150" i="107"/>
  <c r="P150" i="107"/>
  <c r="N150" i="107"/>
  <c r="A151" i="106"/>
  <c r="O150" i="106"/>
  <c r="O174" i="106" s="1"/>
  <c r="N150" i="106"/>
  <c r="N174" i="106" s="1"/>
  <c r="R150" i="106"/>
  <c r="R174" i="106" s="1"/>
  <c r="Q150" i="106"/>
  <c r="Q174" i="106" s="1"/>
  <c r="P150" i="106"/>
  <c r="P174" i="106" s="1"/>
  <c r="P151" i="106" l="1"/>
  <c r="P175" i="106" s="1"/>
  <c r="A152" i="106"/>
  <c r="A153" i="106" s="1"/>
  <c r="A154" i="106" s="1"/>
  <c r="A155" i="106" s="1"/>
  <c r="Q151" i="106"/>
  <c r="Q175" i="106" s="1"/>
  <c r="O151" i="106"/>
  <c r="O175" i="106" s="1"/>
  <c r="N151" i="106"/>
  <c r="N175" i="106" s="1"/>
  <c r="R151" i="106"/>
  <c r="R175" i="106" s="1"/>
  <c r="Q151" i="107"/>
  <c r="N151" i="107"/>
  <c r="A152" i="107"/>
  <c r="A153" i="107" s="1"/>
  <c r="A154" i="107" s="1"/>
  <c r="A155" i="107" s="1"/>
  <c r="R151" i="107"/>
  <c r="P151" i="107"/>
  <c r="O151" i="107"/>
  <c r="Q155" i="106" l="1"/>
  <c r="R155" i="106"/>
  <c r="P155" i="106"/>
  <c r="P179" i="106" s="1"/>
  <c r="A156" i="106"/>
  <c r="N155" i="106"/>
  <c r="W155" i="106"/>
  <c r="T155" i="106"/>
  <c r="T179" i="106" s="1"/>
  <c r="S155" i="106"/>
  <c r="O155" i="106"/>
  <c r="V155" i="106"/>
  <c r="P155" i="107"/>
  <c r="V155" i="107"/>
  <c r="T155" i="107"/>
  <c r="S155" i="107"/>
  <c r="R155" i="107"/>
  <c r="Q155" i="107"/>
  <c r="O155" i="107"/>
  <c r="A156" i="107"/>
  <c r="W155" i="107"/>
  <c r="N155" i="107"/>
  <c r="Q156" i="106" l="1"/>
  <c r="T156" i="106"/>
  <c r="T180" i="106" s="1"/>
  <c r="S156" i="106"/>
  <c r="P156" i="106"/>
  <c r="P180" i="106" s="1"/>
  <c r="A157" i="106"/>
  <c r="W156" i="106"/>
  <c r="W180" i="106" s="1"/>
  <c r="R156" i="106"/>
  <c r="O156" i="106"/>
  <c r="N156" i="106"/>
  <c r="A157" i="107"/>
  <c r="N156" i="107"/>
  <c r="S156" i="107"/>
  <c r="R156" i="107"/>
  <c r="Q156" i="107"/>
  <c r="P156" i="107"/>
  <c r="W156" i="107"/>
  <c r="T156" i="107"/>
  <c r="O156" i="107"/>
  <c r="R157" i="106" l="1"/>
  <c r="N157" i="106"/>
  <c r="T157" i="106"/>
  <c r="T181" i="106" s="1"/>
  <c r="A158" i="106"/>
  <c r="Q157" i="106"/>
  <c r="P157" i="106"/>
  <c r="P181" i="106" s="1"/>
  <c r="O157" i="106"/>
  <c r="S157" i="106"/>
  <c r="A158" i="107"/>
  <c r="R157" i="107"/>
  <c r="Q157" i="107"/>
  <c r="P157" i="107"/>
  <c r="O157" i="107"/>
  <c r="T157" i="107"/>
  <c r="S157" i="107"/>
  <c r="N157" i="107"/>
  <c r="T158" i="106" l="1"/>
  <c r="R158" i="106"/>
  <c r="Q158" i="106"/>
  <c r="O158" i="106"/>
  <c r="A159" i="106"/>
  <c r="S158" i="106"/>
  <c r="P158" i="106"/>
  <c r="P182" i="106" s="1"/>
  <c r="N158" i="106"/>
  <c r="A159" i="107"/>
  <c r="R158" i="107"/>
  <c r="Q158" i="107"/>
  <c r="P158" i="107"/>
  <c r="O158" i="107"/>
  <c r="S158" i="107"/>
  <c r="N158" i="107"/>
  <c r="T158" i="107"/>
  <c r="A160" i="106" l="1"/>
  <c r="W159" i="106"/>
  <c r="W183" i="106" s="1"/>
  <c r="A160" i="107"/>
  <c r="W159" i="107"/>
  <c r="S160" i="107" l="1"/>
  <c r="P160" i="107"/>
  <c r="O160" i="107"/>
  <c r="A161" i="107"/>
  <c r="A162" i="107" s="1"/>
  <c r="A163" i="107" s="1"/>
  <c r="A164" i="107" s="1"/>
  <c r="A165" i="107" s="1"/>
  <c r="A166" i="107" s="1"/>
  <c r="A167" i="107" s="1"/>
  <c r="A168" i="107" s="1"/>
  <c r="A169" i="107" s="1"/>
  <c r="A170" i="107" s="1"/>
  <c r="A171" i="107" s="1"/>
  <c r="A172" i="107" s="1"/>
  <c r="A173" i="107" s="1"/>
  <c r="A174" i="107" s="1"/>
  <c r="N160" i="107"/>
  <c r="W160" i="107"/>
  <c r="T160" i="107"/>
  <c r="Q160" i="107"/>
  <c r="R160" i="107"/>
  <c r="P160" i="106"/>
  <c r="P184" i="106" s="1"/>
  <c r="Q160" i="106"/>
  <c r="O160" i="106"/>
  <c r="A161" i="106"/>
  <c r="A162" i="106" s="1"/>
  <c r="A163" i="106" s="1"/>
  <c r="A164" i="106" s="1"/>
  <c r="A165" i="106" s="1"/>
  <c r="A166" i="106" s="1"/>
  <c r="A167" i="106" s="1"/>
  <c r="A168" i="106" s="1"/>
  <c r="A169" i="106" s="1"/>
  <c r="A170" i="106" s="1"/>
  <c r="A171" i="106" s="1"/>
  <c r="A172" i="106" s="1"/>
  <c r="A173" i="106" s="1"/>
  <c r="A174" i="106" s="1"/>
  <c r="W160" i="106"/>
  <c r="W184" i="106" s="1"/>
  <c r="M186" i="106" s="1"/>
  <c r="T160" i="106"/>
  <c r="T184" i="106" s="1"/>
  <c r="S160" i="106"/>
  <c r="R160" i="106"/>
  <c r="N160" i="106"/>
  <c r="A3" i="104" l="1"/>
  <c r="A1" i="104"/>
  <c r="A3" i="103"/>
  <c r="A1" i="103"/>
  <c r="A3" i="102"/>
  <c r="A1" i="102"/>
  <c r="A3" i="101"/>
  <c r="A1" i="101"/>
  <c r="A3" i="100"/>
  <c r="A1" i="100"/>
  <c r="D1" i="97"/>
  <c r="B1" i="97"/>
  <c r="W46" i="103"/>
  <c r="P51" i="103" s="1"/>
  <c r="W29" i="103"/>
  <c r="P33" i="103" s="1"/>
  <c r="W12" i="103"/>
  <c r="P17" i="103" s="1"/>
  <c r="L151" i="102"/>
  <c r="L150" i="102"/>
  <c r="O148" i="102"/>
  <c r="O147" i="102"/>
  <c r="O146" i="102"/>
  <c r="O145" i="102"/>
  <c r="O144" i="102"/>
  <c r="T132" i="102"/>
  <c r="L132" i="102"/>
  <c r="L131" i="102"/>
  <c r="T130" i="102"/>
  <c r="L130" i="102"/>
  <c r="L129" i="102"/>
  <c r="T128" i="102"/>
  <c r="L128" i="102"/>
  <c r="O118" i="102"/>
  <c r="O115" i="102"/>
  <c r="L114" i="102"/>
  <c r="C112" i="102"/>
  <c r="D112" i="102" s="1"/>
  <c r="C111" i="102"/>
  <c r="D111" i="102" s="1"/>
  <c r="C110" i="102"/>
  <c r="D110" i="102" s="1"/>
  <c r="C109" i="102"/>
  <c r="D109" i="102" s="1"/>
  <c r="C108" i="102"/>
  <c r="D108" i="102" s="1"/>
  <c r="C107" i="102"/>
  <c r="D107" i="102" s="1"/>
  <c r="C105" i="102"/>
  <c r="D105" i="102" s="1"/>
  <c r="C104" i="102"/>
  <c r="D104" i="102" s="1"/>
  <c r="C103" i="102"/>
  <c r="D103" i="102" s="1"/>
  <c r="C102" i="102"/>
  <c r="D102" i="102" s="1"/>
  <c r="C101" i="102"/>
  <c r="D101" i="102" s="1"/>
  <c r="C100" i="102"/>
  <c r="D100" i="102" s="1"/>
  <c r="C98" i="102"/>
  <c r="D98" i="102" s="1"/>
  <c r="C97" i="102"/>
  <c r="D97" i="102" s="1"/>
  <c r="C96" i="102"/>
  <c r="D96" i="102" s="1"/>
  <c r="C95" i="102"/>
  <c r="D95" i="102" s="1"/>
  <c r="C94" i="102"/>
  <c r="D94" i="102" s="1"/>
  <c r="C93" i="102"/>
  <c r="D93" i="102" s="1"/>
  <c r="E82" i="102"/>
  <c r="F82" i="102" s="1"/>
  <c r="E81" i="102"/>
  <c r="F81" i="102" s="1"/>
  <c r="E80" i="102"/>
  <c r="F80" i="102" s="1"/>
  <c r="B80" i="102"/>
  <c r="C80" i="102" s="1"/>
  <c r="E79" i="102"/>
  <c r="F79" i="102" s="1"/>
  <c r="B79" i="102"/>
  <c r="C79" i="102" s="1"/>
  <c r="E78" i="102"/>
  <c r="F78" i="102" s="1"/>
  <c r="B78" i="102"/>
  <c r="C78" i="102" s="1"/>
  <c r="B77" i="102"/>
  <c r="C77" i="102" s="1"/>
  <c r="H74" i="102"/>
  <c r="I74" i="102" s="1"/>
  <c r="H73" i="102"/>
  <c r="I73" i="102" s="1"/>
  <c r="H71" i="102"/>
  <c r="I71" i="102" s="1"/>
  <c r="E71" i="102"/>
  <c r="F71" i="102" s="1"/>
  <c r="B71" i="102"/>
  <c r="C71" i="102" s="1"/>
  <c r="H70" i="102"/>
  <c r="I70" i="102" s="1"/>
  <c r="E70" i="102"/>
  <c r="F70" i="102" s="1"/>
  <c r="E69" i="102"/>
  <c r="F69" i="102" s="1"/>
  <c r="H68" i="102"/>
  <c r="I68" i="102" s="1"/>
  <c r="E67" i="102"/>
  <c r="F67" i="102" s="1"/>
  <c r="E66" i="102"/>
  <c r="F66" i="102" s="1"/>
  <c r="E65" i="102"/>
  <c r="F65" i="102" s="1"/>
  <c r="E64" i="102"/>
  <c r="F64" i="102" s="1"/>
  <c r="B64" i="102"/>
  <c r="C64" i="102" s="1"/>
  <c r="E63" i="102"/>
  <c r="F63" i="102" s="1"/>
  <c r="B63" i="102"/>
  <c r="C63" i="102" s="1"/>
  <c r="B62" i="102"/>
  <c r="C62" i="102" s="1"/>
  <c r="P51" i="102"/>
  <c r="W48" i="102"/>
  <c r="M47" i="102"/>
  <c r="W46" i="102"/>
  <c r="P50" i="102" s="1"/>
  <c r="P46" i="102"/>
  <c r="M46" i="102"/>
  <c r="U148" i="102"/>
  <c r="M148" i="102"/>
  <c r="L148" i="102"/>
  <c r="U147" i="102"/>
  <c r="M147" i="102"/>
  <c r="T146" i="102"/>
  <c r="M146" i="102"/>
  <c r="L146" i="102"/>
  <c r="T145" i="102"/>
  <c r="M145" i="102"/>
  <c r="L145" i="102"/>
  <c r="M37" i="102"/>
  <c r="W143" i="102"/>
  <c r="O37" i="102"/>
  <c r="K36" i="102"/>
  <c r="P34" i="102"/>
  <c r="W31" i="102"/>
  <c r="L135" i="102"/>
  <c r="W29" i="102"/>
  <c r="P33" i="102" s="1"/>
  <c r="O134" i="102"/>
  <c r="M29" i="102"/>
  <c r="L134" i="102"/>
  <c r="U132" i="102"/>
  <c r="O132" i="102"/>
  <c r="T131" i="102"/>
  <c r="O131" i="102"/>
  <c r="M131" i="102"/>
  <c r="U130" i="102"/>
  <c r="O130" i="102"/>
  <c r="M130" i="102"/>
  <c r="U129" i="102"/>
  <c r="T129" i="102"/>
  <c r="O129" i="102"/>
  <c r="M129" i="102"/>
  <c r="O20" i="102"/>
  <c r="L20" i="102"/>
  <c r="K19" i="102"/>
  <c r="W14" i="102"/>
  <c r="W12" i="102"/>
  <c r="O16" i="102" s="1"/>
  <c r="M12" i="102"/>
  <c r="O116" i="102"/>
  <c r="N116" i="102"/>
  <c r="M116" i="102"/>
  <c r="L115" i="102"/>
  <c r="O114" i="102"/>
  <c r="T113" i="102"/>
  <c r="O112" i="102"/>
  <c r="K2" i="102"/>
  <c r="W46" i="101"/>
  <c r="P51" i="101" s="1"/>
  <c r="W37" i="101"/>
  <c r="V37" i="101"/>
  <c r="U37" i="101"/>
  <c r="T37" i="101"/>
  <c r="S37" i="101"/>
  <c r="R37" i="101"/>
  <c r="Q37" i="101"/>
  <c r="P37" i="101"/>
  <c r="O37" i="101"/>
  <c r="N37" i="101"/>
  <c r="M37" i="101"/>
  <c r="L37" i="101"/>
  <c r="W29" i="101"/>
  <c r="P34" i="101" s="1"/>
  <c r="W20" i="101"/>
  <c r="V20" i="101"/>
  <c r="U20" i="101"/>
  <c r="T20" i="101"/>
  <c r="S20" i="101"/>
  <c r="R20" i="101"/>
  <c r="Q20" i="101"/>
  <c r="P20" i="101"/>
  <c r="O20" i="101"/>
  <c r="N20" i="101"/>
  <c r="M20" i="101"/>
  <c r="L20" i="101"/>
  <c r="P14" i="101"/>
  <c r="W12" i="101"/>
  <c r="P17" i="101" s="1"/>
  <c r="P12" i="101"/>
  <c r="W3" i="101"/>
  <c r="V3" i="101"/>
  <c r="U3" i="101"/>
  <c r="T3" i="101"/>
  <c r="S3" i="101"/>
  <c r="R3" i="101"/>
  <c r="Q3" i="101"/>
  <c r="P3" i="101"/>
  <c r="O3" i="101"/>
  <c r="N3" i="101"/>
  <c r="M3" i="101"/>
  <c r="L3" i="101"/>
  <c r="L151" i="100"/>
  <c r="L150" i="100"/>
  <c r="T148" i="100"/>
  <c r="O148" i="100"/>
  <c r="T147" i="100"/>
  <c r="O147" i="100"/>
  <c r="L147" i="100"/>
  <c r="T146" i="100"/>
  <c r="O146" i="100"/>
  <c r="T145" i="100"/>
  <c r="O145" i="100"/>
  <c r="T144" i="100"/>
  <c r="O144" i="100"/>
  <c r="L135" i="100"/>
  <c r="L134" i="100"/>
  <c r="O132" i="100"/>
  <c r="L132" i="100"/>
  <c r="O131" i="100"/>
  <c r="O130" i="100"/>
  <c r="O129" i="100"/>
  <c r="O128" i="100"/>
  <c r="O112" i="100"/>
  <c r="D112" i="100"/>
  <c r="C112" i="100"/>
  <c r="D111" i="100"/>
  <c r="C111" i="100"/>
  <c r="C110" i="100"/>
  <c r="D110" i="100" s="1"/>
  <c r="D109" i="100"/>
  <c r="C109" i="100"/>
  <c r="D108" i="100"/>
  <c r="C108" i="100"/>
  <c r="D107" i="100"/>
  <c r="C107" i="100"/>
  <c r="C105" i="100"/>
  <c r="D105" i="100" s="1"/>
  <c r="D104" i="100"/>
  <c r="C104" i="100"/>
  <c r="D103" i="100"/>
  <c r="C103" i="100"/>
  <c r="D102" i="100"/>
  <c r="C102" i="100"/>
  <c r="C101" i="100"/>
  <c r="D101" i="100" s="1"/>
  <c r="D100" i="100"/>
  <c r="C100" i="100"/>
  <c r="D98" i="100"/>
  <c r="C98" i="100"/>
  <c r="D97" i="100"/>
  <c r="C97" i="100"/>
  <c r="C96" i="100"/>
  <c r="D96" i="100" s="1"/>
  <c r="D95" i="100"/>
  <c r="C95" i="100"/>
  <c r="D94" i="100"/>
  <c r="C94" i="100"/>
  <c r="D93" i="100"/>
  <c r="C93" i="100"/>
  <c r="F82" i="100"/>
  <c r="E82" i="100"/>
  <c r="F81" i="100"/>
  <c r="E81" i="100"/>
  <c r="F80" i="100"/>
  <c r="E80" i="100"/>
  <c r="B80" i="100"/>
  <c r="C80" i="100" s="1"/>
  <c r="E79" i="100"/>
  <c r="F79" i="100" s="1"/>
  <c r="C79" i="100"/>
  <c r="B79" i="100"/>
  <c r="F78" i="100"/>
  <c r="E78" i="100"/>
  <c r="B78" i="100"/>
  <c r="C78" i="100" s="1"/>
  <c r="C77" i="100"/>
  <c r="B77" i="100"/>
  <c r="H74" i="100"/>
  <c r="I74" i="100" s="1"/>
  <c r="I73" i="100"/>
  <c r="H73" i="100"/>
  <c r="H71" i="100"/>
  <c r="I71" i="100" s="1"/>
  <c r="F71" i="100"/>
  <c r="E71" i="100"/>
  <c r="C71" i="100"/>
  <c r="B71" i="100"/>
  <c r="I70" i="100"/>
  <c r="H70" i="100"/>
  <c r="E70" i="100"/>
  <c r="F70" i="100" s="1"/>
  <c r="E69" i="100"/>
  <c r="F69" i="100" s="1"/>
  <c r="H68" i="100"/>
  <c r="I68" i="100" s="1"/>
  <c r="F67" i="100"/>
  <c r="E67" i="100"/>
  <c r="E66" i="100"/>
  <c r="F66" i="100" s="1"/>
  <c r="F65" i="100"/>
  <c r="E65" i="100"/>
  <c r="F64" i="100"/>
  <c r="E64" i="100"/>
  <c r="C64" i="100"/>
  <c r="B64" i="100"/>
  <c r="E63" i="100"/>
  <c r="F63" i="100" s="1"/>
  <c r="C63" i="100"/>
  <c r="B63" i="100"/>
  <c r="C62" i="100"/>
  <c r="B62" i="100"/>
  <c r="W48" i="100"/>
  <c r="L152" i="100"/>
  <c r="M47" i="100"/>
  <c r="W46" i="100"/>
  <c r="P51" i="100" s="1"/>
  <c r="O150" i="100"/>
  <c r="M46" i="100"/>
  <c r="U148" i="100"/>
  <c r="L148" i="100"/>
  <c r="U147" i="100"/>
  <c r="N147" i="100"/>
  <c r="M147" i="100"/>
  <c r="U146" i="100"/>
  <c r="M146" i="100"/>
  <c r="U145" i="100"/>
  <c r="M145" i="100"/>
  <c r="U144" i="100"/>
  <c r="T37" i="100"/>
  <c r="O37" i="100"/>
  <c r="L37" i="100"/>
  <c r="W31" i="100"/>
  <c r="M31" i="100"/>
  <c r="L136" i="100"/>
  <c r="M30" i="100"/>
  <c r="W29" i="100"/>
  <c r="O33" i="100" s="1"/>
  <c r="O134" i="100"/>
  <c r="M29" i="100"/>
  <c r="M132" i="100"/>
  <c r="L131" i="100"/>
  <c r="L129" i="100"/>
  <c r="T128" i="100"/>
  <c r="M128" i="100"/>
  <c r="L128" i="100"/>
  <c r="O20" i="100"/>
  <c r="W14" i="100"/>
  <c r="Y118" i="100"/>
  <c r="W12" i="100"/>
  <c r="P17" i="100" s="1"/>
  <c r="O118" i="100"/>
  <c r="M12" i="100"/>
  <c r="L118" i="100"/>
  <c r="O116" i="100"/>
  <c r="M116" i="100"/>
  <c r="O115" i="100"/>
  <c r="M115" i="100"/>
  <c r="L115" i="100"/>
  <c r="O114" i="100"/>
  <c r="O3" i="100"/>
  <c r="L113" i="100"/>
  <c r="H243" i="96"/>
  <c r="K31" i="96" s="1"/>
  <c r="B90" i="96"/>
  <c r="A90" i="96" s="1"/>
  <c r="L15" i="96" s="1"/>
  <c r="L31" i="96"/>
  <c r="J30" i="96"/>
  <c r="K26" i="96"/>
  <c r="J26" i="96"/>
  <c r="M25" i="96"/>
  <c r="L25" i="96"/>
  <c r="O24" i="96"/>
  <c r="N24" i="96"/>
  <c r="K12" i="96"/>
  <c r="J12" i="96"/>
  <c r="D12" i="96"/>
  <c r="C67" i="96" s="1"/>
  <c r="C21" i="96" s="1"/>
  <c r="P10" i="96"/>
  <c r="J8" i="96"/>
  <c r="I8" i="96"/>
  <c r="J7" i="96"/>
  <c r="I7" i="96"/>
  <c r="J6" i="96"/>
  <c r="I6" i="96"/>
  <c r="U3" i="96"/>
  <c r="K62" i="95"/>
  <c r="I59" i="95"/>
  <c r="H59" i="95"/>
  <c r="G59" i="95"/>
  <c r="K63" i="95" s="1"/>
  <c r="F59" i="95"/>
  <c r="E59" i="95"/>
  <c r="C59" i="95" s="1"/>
  <c r="K52" i="95"/>
  <c r="C48" i="95"/>
  <c r="O50" i="100" l="1"/>
  <c r="P33" i="100"/>
  <c r="P34" i="100"/>
  <c r="O33" i="101"/>
  <c r="P33" i="101"/>
  <c r="O50" i="101"/>
  <c r="O50" i="102"/>
  <c r="O33" i="102"/>
  <c r="P16" i="102"/>
  <c r="P17" i="102"/>
  <c r="B14" i="96"/>
  <c r="C70" i="96"/>
  <c r="C24" i="96" s="1"/>
  <c r="C22" i="96"/>
  <c r="C71" i="96"/>
  <c r="C25" i="96" s="1"/>
  <c r="C74" i="96"/>
  <c r="F36" i="96"/>
  <c r="C64" i="96"/>
  <c r="C18" i="96" s="1"/>
  <c r="C68" i="96"/>
  <c r="P12" i="100"/>
  <c r="P29" i="100"/>
  <c r="N132" i="100"/>
  <c r="L3" i="102"/>
  <c r="U145" i="102"/>
  <c r="L37" i="102"/>
  <c r="N145" i="102"/>
  <c r="D87" i="100"/>
  <c r="D88" i="100" s="1"/>
  <c r="I27" i="31" s="1"/>
  <c r="N145" i="100"/>
  <c r="T116" i="100"/>
  <c r="T130" i="100"/>
  <c r="N146" i="100"/>
  <c r="M114" i="100"/>
  <c r="O16" i="100"/>
  <c r="L112" i="100"/>
  <c r="O113" i="100"/>
  <c r="L130" i="100"/>
  <c r="T132" i="100"/>
  <c r="W143" i="100"/>
  <c r="W111" i="102"/>
  <c r="U113" i="102"/>
  <c r="M115" i="102"/>
  <c r="K8" i="96"/>
  <c r="P28" i="96"/>
  <c r="O13" i="96" s="1"/>
  <c r="M113" i="100"/>
  <c r="P16" i="100"/>
  <c r="M130" i="100"/>
  <c r="M148" i="100"/>
  <c r="M48" i="100"/>
  <c r="P50" i="100"/>
  <c r="L119" i="100"/>
  <c r="L144" i="100"/>
  <c r="L112" i="102"/>
  <c r="M20" i="102"/>
  <c r="M128" i="102"/>
  <c r="N132" i="102"/>
  <c r="N147" i="102"/>
  <c r="K6" i="96"/>
  <c r="K7" i="96"/>
  <c r="I11" i="96"/>
  <c r="L12" i="96"/>
  <c r="P24" i="96"/>
  <c r="N25" i="96"/>
  <c r="L26" i="96"/>
  <c r="K30" i="96"/>
  <c r="I243" i="96"/>
  <c r="J243" i="96" s="1"/>
  <c r="K243" i="96" s="1"/>
  <c r="L243" i="96" s="1"/>
  <c r="M243" i="96" s="1"/>
  <c r="N243" i="96" s="1"/>
  <c r="O243" i="96" s="1"/>
  <c r="P243" i="96" s="1"/>
  <c r="R243" i="96" s="1"/>
  <c r="L6" i="96"/>
  <c r="L7" i="96"/>
  <c r="L8" i="96"/>
  <c r="J11" i="96"/>
  <c r="H16" i="96"/>
  <c r="I24" i="96"/>
  <c r="R24" i="96"/>
  <c r="O25" i="96"/>
  <c r="M26" i="96"/>
  <c r="I29" i="96"/>
  <c r="L30" i="96"/>
  <c r="C63" i="96"/>
  <c r="C17" i="96" s="1"/>
  <c r="C72" i="96"/>
  <c r="U116" i="100"/>
  <c r="Z12" i="100"/>
  <c r="U132" i="100"/>
  <c r="L114" i="100"/>
  <c r="L145" i="100"/>
  <c r="O16" i="101"/>
  <c r="N26" i="96"/>
  <c r="L146" i="100"/>
  <c r="P16" i="101"/>
  <c r="M49" i="102"/>
  <c r="L153" i="102"/>
  <c r="M6" i="96"/>
  <c r="M8" i="96"/>
  <c r="I13" i="96"/>
  <c r="P25" i="96"/>
  <c r="N6" i="96"/>
  <c r="N7" i="96"/>
  <c r="N8" i="96"/>
  <c r="L11" i="96"/>
  <c r="J13" i="96"/>
  <c r="K24" i="96"/>
  <c r="I25" i="96"/>
  <c r="R25" i="96"/>
  <c r="O26" i="96"/>
  <c r="K29" i="96"/>
  <c r="R30" i="96"/>
  <c r="C65" i="96"/>
  <c r="C19" i="96" s="1"/>
  <c r="C76" i="96"/>
  <c r="O28" i="96" s="1"/>
  <c r="M13" i="100"/>
  <c r="L20" i="100"/>
  <c r="T20" i="100"/>
  <c r="U130" i="100"/>
  <c r="M131" i="100"/>
  <c r="U37" i="100"/>
  <c r="P46" i="100"/>
  <c r="W111" i="100"/>
  <c r="L116" i="100"/>
  <c r="T112" i="102"/>
  <c r="U128" i="102"/>
  <c r="K11" i="96"/>
  <c r="J29" i="96"/>
  <c r="L3" i="100"/>
  <c r="L24" i="96"/>
  <c r="C26" i="96"/>
  <c r="I31" i="96"/>
  <c r="C66" i="96"/>
  <c r="C20" i="96" s="1"/>
  <c r="C78" i="96"/>
  <c r="W127" i="100"/>
  <c r="Y118" i="102"/>
  <c r="Z12" i="102"/>
  <c r="M7" i="96"/>
  <c r="J24" i="96"/>
  <c r="G1" i="96"/>
  <c r="O6" i="96"/>
  <c r="O7" i="96"/>
  <c r="O8" i="96"/>
  <c r="K13" i="96"/>
  <c r="J25" i="96"/>
  <c r="P26" i="96"/>
  <c r="L29" i="96"/>
  <c r="P6" i="96"/>
  <c r="P7" i="96"/>
  <c r="P8" i="96"/>
  <c r="I12" i="96"/>
  <c r="L13" i="96"/>
  <c r="M24" i="96"/>
  <c r="K25" i="96"/>
  <c r="I26" i="96"/>
  <c r="R26" i="96"/>
  <c r="J31" i="96"/>
  <c r="M20" i="100"/>
  <c r="M113" i="102"/>
  <c r="L119" i="102"/>
  <c r="M13" i="102"/>
  <c r="I30" i="96"/>
  <c r="O113" i="102"/>
  <c r="O3" i="102"/>
  <c r="P116" i="102"/>
  <c r="Q116" i="102"/>
  <c r="D87" i="102"/>
  <c r="D88" i="102" s="1"/>
  <c r="I28" i="31" s="1"/>
  <c r="U146" i="102"/>
  <c r="M48" i="102"/>
  <c r="L118" i="102"/>
  <c r="W127" i="102"/>
  <c r="L147" i="102"/>
  <c r="T147" i="102"/>
  <c r="P34" i="103"/>
  <c r="O150" i="102"/>
  <c r="P50" i="101"/>
  <c r="U131" i="102"/>
  <c r="M132" i="102"/>
  <c r="O16" i="103"/>
  <c r="O50" i="103"/>
  <c r="T20" i="102"/>
  <c r="P29" i="102"/>
  <c r="L116" i="102"/>
  <c r="L152" i="102"/>
  <c r="P16" i="103"/>
  <c r="P50" i="103"/>
  <c r="M114" i="102"/>
  <c r="L113" i="102"/>
  <c r="O128" i="102"/>
  <c r="L144" i="102"/>
  <c r="T144" i="102"/>
  <c r="T148" i="102"/>
  <c r="P12" i="102"/>
  <c r="T37" i="102"/>
  <c r="M144" i="102"/>
  <c r="M30" i="102"/>
  <c r="O33" i="103"/>
  <c r="H50" i="96" l="1"/>
  <c r="H36" i="96"/>
  <c r="F37" i="96"/>
  <c r="O12" i="96"/>
  <c r="Q30" i="96"/>
  <c r="O10" i="96"/>
  <c r="C30" i="96"/>
  <c r="C28" i="96"/>
  <c r="N146" i="102"/>
  <c r="M3" i="102"/>
  <c r="M112" i="102"/>
  <c r="P147" i="100"/>
  <c r="Q147" i="100"/>
  <c r="N114" i="100"/>
  <c r="L153" i="100"/>
  <c r="M49" i="100"/>
  <c r="Y111" i="100"/>
  <c r="M144" i="100"/>
  <c r="M37" i="100"/>
  <c r="U37" i="102"/>
  <c r="U144" i="102"/>
  <c r="M31" i="102"/>
  <c r="L136" i="102"/>
  <c r="N131" i="102"/>
  <c r="N130" i="102"/>
  <c r="M129" i="100"/>
  <c r="T113" i="100"/>
  <c r="U113" i="100"/>
  <c r="N115" i="100"/>
  <c r="N148" i="100"/>
  <c r="Q147" i="102"/>
  <c r="P147" i="102"/>
  <c r="P146" i="100"/>
  <c r="Q146" i="100"/>
  <c r="N129" i="102"/>
  <c r="N37" i="102"/>
  <c r="N144" i="102"/>
  <c r="T115" i="102"/>
  <c r="U115" i="102"/>
  <c r="L137" i="100"/>
  <c r="M32" i="100"/>
  <c r="M3" i="100"/>
  <c r="M112" i="100"/>
  <c r="T131" i="100"/>
  <c r="U131" i="100"/>
  <c r="P132" i="102"/>
  <c r="Q132" i="102"/>
  <c r="P132" i="100"/>
  <c r="Q132" i="100"/>
  <c r="N115" i="102"/>
  <c r="M14" i="100"/>
  <c r="L120" i="100"/>
  <c r="U114" i="102"/>
  <c r="T114" i="102"/>
  <c r="T3" i="102"/>
  <c r="H4" i="102"/>
  <c r="N1" i="102"/>
  <c r="U20" i="102"/>
  <c r="Q145" i="100"/>
  <c r="P145" i="100"/>
  <c r="U116" i="102"/>
  <c r="T116" i="102"/>
  <c r="N148" i="102"/>
  <c r="U112" i="102"/>
  <c r="T129" i="100"/>
  <c r="U129" i="100"/>
  <c r="U128" i="100"/>
  <c r="U20" i="100"/>
  <c r="N20" i="102"/>
  <c r="N128" i="102"/>
  <c r="H4" i="100"/>
  <c r="N1" i="100"/>
  <c r="T3" i="100"/>
  <c r="T112" i="100"/>
  <c r="N128" i="100"/>
  <c r="N116" i="100"/>
  <c r="Y111" i="102"/>
  <c r="P145" i="102"/>
  <c r="Q145" i="102"/>
  <c r="R116" i="102"/>
  <c r="N113" i="102"/>
  <c r="U114" i="100"/>
  <c r="T114" i="100"/>
  <c r="T115" i="100"/>
  <c r="U115" i="100"/>
  <c r="U3" i="102" l="1"/>
  <c r="F38" i="96"/>
  <c r="H37" i="96"/>
  <c r="N20" i="100"/>
  <c r="N113" i="100"/>
  <c r="N131" i="100"/>
  <c r="N130" i="100"/>
  <c r="R145" i="102"/>
  <c r="Q131" i="100"/>
  <c r="P131" i="100"/>
  <c r="P128" i="100"/>
  <c r="P20" i="100"/>
  <c r="Q30" i="102"/>
  <c r="H21" i="102"/>
  <c r="Q47" i="102"/>
  <c r="C16" i="102"/>
  <c r="H49" i="102"/>
  <c r="H35" i="102"/>
  <c r="Q13" i="102"/>
  <c r="Q47" i="100"/>
  <c r="C16" i="100"/>
  <c r="Q30" i="100"/>
  <c r="H49" i="100"/>
  <c r="Q13" i="100"/>
  <c r="H35" i="100"/>
  <c r="H21" i="100"/>
  <c r="Q115" i="102"/>
  <c r="P115" i="102"/>
  <c r="N129" i="100"/>
  <c r="P129" i="102"/>
  <c r="Q129" i="102"/>
  <c r="P148" i="100"/>
  <c r="Q148" i="100"/>
  <c r="P130" i="102"/>
  <c r="Q130" i="102"/>
  <c r="Q113" i="100"/>
  <c r="P113" i="100"/>
  <c r="P114" i="100"/>
  <c r="Q114" i="100"/>
  <c r="Q131" i="102"/>
  <c r="P131" i="102"/>
  <c r="N3" i="100"/>
  <c r="N112" i="100"/>
  <c r="M15" i="100"/>
  <c r="L121" i="100"/>
  <c r="Q115" i="100"/>
  <c r="P115" i="100"/>
  <c r="N3" i="102"/>
  <c r="N112" i="102"/>
  <c r="Q146" i="102"/>
  <c r="P146" i="102"/>
  <c r="P20" i="102"/>
  <c r="P128" i="102"/>
  <c r="Q148" i="102"/>
  <c r="P148" i="102"/>
  <c r="N37" i="100"/>
  <c r="N144" i="100"/>
  <c r="Q113" i="102"/>
  <c r="P113" i="102"/>
  <c r="U3" i="100"/>
  <c r="U112" i="100"/>
  <c r="N114" i="102"/>
  <c r="M14" i="102"/>
  <c r="L120" i="102"/>
  <c r="P130" i="100"/>
  <c r="Q130" i="100"/>
  <c r="M32" i="102"/>
  <c r="L137" i="102"/>
  <c r="S116" i="102"/>
  <c r="P116" i="100"/>
  <c r="Q116" i="100"/>
  <c r="P37" i="102"/>
  <c r="P144" i="102"/>
  <c r="F39" i="96" l="1"/>
  <c r="H38" i="96"/>
  <c r="R113" i="100"/>
  <c r="R128" i="102"/>
  <c r="Q37" i="102"/>
  <c r="Q144" i="102"/>
  <c r="R147" i="100"/>
  <c r="P3" i="102"/>
  <c r="P112" i="102"/>
  <c r="R132" i="100"/>
  <c r="Q128" i="100"/>
  <c r="P37" i="100"/>
  <c r="P144" i="100"/>
  <c r="R128" i="100"/>
  <c r="R115" i="100"/>
  <c r="P3" i="100"/>
  <c r="P112" i="100"/>
  <c r="P114" i="102"/>
  <c r="Q114" i="102"/>
  <c r="R131" i="100"/>
  <c r="R147" i="102"/>
  <c r="V116" i="102"/>
  <c r="R146" i="100"/>
  <c r="P129" i="100"/>
  <c r="R20" i="100"/>
  <c r="Q129" i="100"/>
  <c r="R132" i="102"/>
  <c r="S145" i="102"/>
  <c r="L121" i="102"/>
  <c r="M15" i="102"/>
  <c r="Q128" i="102"/>
  <c r="Q20" i="102"/>
  <c r="R145" i="100"/>
  <c r="R113" i="102" l="1"/>
  <c r="H39" i="96"/>
  <c r="F40" i="96"/>
  <c r="S145" i="100"/>
  <c r="R129" i="102"/>
  <c r="R148" i="100"/>
  <c r="R115" i="102"/>
  <c r="Q3" i="102"/>
  <c r="Q112" i="102"/>
  <c r="R116" i="100"/>
  <c r="R112" i="100"/>
  <c r="R3" i="100"/>
  <c r="S132" i="100"/>
  <c r="S147" i="100"/>
  <c r="S132" i="102"/>
  <c r="S131" i="100"/>
  <c r="Q112" i="100"/>
  <c r="Q3" i="100"/>
  <c r="Q144" i="100"/>
  <c r="Q37" i="100"/>
  <c r="S146" i="100"/>
  <c r="W116" i="102"/>
  <c r="Y116" i="102"/>
  <c r="R114" i="100"/>
  <c r="S128" i="102"/>
  <c r="S113" i="100"/>
  <c r="R129" i="100"/>
  <c r="S128" i="100"/>
  <c r="R130" i="100"/>
  <c r="R20" i="102"/>
  <c r="R146" i="102"/>
  <c r="R148" i="102"/>
  <c r="S115" i="100"/>
  <c r="S113" i="102"/>
  <c r="R131" i="102"/>
  <c r="R130" i="102"/>
  <c r="R37" i="102"/>
  <c r="R144" i="102"/>
  <c r="W145" i="102"/>
  <c r="V145" i="102"/>
  <c r="S147" i="102"/>
  <c r="Q20" i="100"/>
  <c r="F41" i="96" l="1"/>
  <c r="H40" i="96"/>
  <c r="V113" i="100"/>
  <c r="W131" i="100"/>
  <c r="V131" i="100"/>
  <c r="R114" i="102"/>
  <c r="S130" i="102"/>
  <c r="S112" i="100"/>
  <c r="S3" i="100"/>
  <c r="S130" i="100"/>
  <c r="S148" i="100"/>
  <c r="W147" i="102"/>
  <c r="V147" i="102"/>
  <c r="S131" i="102"/>
  <c r="S20" i="100"/>
  <c r="S20" i="102"/>
  <c r="W146" i="100"/>
  <c r="V146" i="100"/>
  <c r="W132" i="102"/>
  <c r="V132" i="102"/>
  <c r="V147" i="100"/>
  <c r="W147" i="100"/>
  <c r="S116" i="100"/>
  <c r="S129" i="102"/>
  <c r="V113" i="102"/>
  <c r="V128" i="102"/>
  <c r="S148" i="102"/>
  <c r="S37" i="102"/>
  <c r="S144" i="102"/>
  <c r="S114" i="100"/>
  <c r="V132" i="100"/>
  <c r="W132" i="100"/>
  <c r="V145" i="100"/>
  <c r="W145" i="100"/>
  <c r="V128" i="100"/>
  <c r="R112" i="102"/>
  <c r="R3" i="102"/>
  <c r="S146" i="102"/>
  <c r="V20" i="100"/>
  <c r="S129" i="100"/>
  <c r="R144" i="100"/>
  <c r="R37" i="100"/>
  <c r="V115" i="100"/>
  <c r="S115" i="102"/>
  <c r="F42" i="96" l="1"/>
  <c r="H41" i="96"/>
  <c r="W129" i="100"/>
  <c r="V129" i="100"/>
  <c r="V148" i="100"/>
  <c r="W148" i="100"/>
  <c r="V129" i="102"/>
  <c r="W129" i="102"/>
  <c r="S114" i="102"/>
  <c r="V130" i="100"/>
  <c r="W130" i="100"/>
  <c r="W128" i="102"/>
  <c r="S144" i="100"/>
  <c r="S37" i="100"/>
  <c r="V131" i="102"/>
  <c r="W131" i="102"/>
  <c r="W128" i="100"/>
  <c r="W20" i="100"/>
  <c r="V114" i="100"/>
  <c r="V20" i="102"/>
  <c r="V3" i="100"/>
  <c r="V112" i="100"/>
  <c r="Y113" i="100"/>
  <c r="W113" i="100"/>
  <c r="V146" i="102"/>
  <c r="W146" i="102"/>
  <c r="Y115" i="100"/>
  <c r="W115" i="100"/>
  <c r="V148" i="102"/>
  <c r="W148" i="102"/>
  <c r="V116" i="100"/>
  <c r="S112" i="102"/>
  <c r="S3" i="102"/>
  <c r="V37" i="102"/>
  <c r="V144" i="102"/>
  <c r="W113" i="102"/>
  <c r="Y113" i="102"/>
  <c r="V115" i="102"/>
  <c r="V130" i="102"/>
  <c r="W130" i="102"/>
  <c r="H42" i="96" l="1"/>
  <c r="F43" i="96"/>
  <c r="H43" i="96" s="1"/>
  <c r="V114" i="102"/>
  <c r="W114" i="100"/>
  <c r="Y114" i="100"/>
  <c r="W116" i="100"/>
  <c r="Y116" i="100"/>
  <c r="O136" i="100"/>
  <c r="P31" i="100"/>
  <c r="X34" i="100" s="1"/>
  <c r="W20" i="102"/>
  <c r="Y115" i="102"/>
  <c r="W115" i="102"/>
  <c r="V3" i="102"/>
  <c r="V112" i="102"/>
  <c r="W144" i="102"/>
  <c r="W37" i="102"/>
  <c r="W112" i="100"/>
  <c r="W3" i="100"/>
  <c r="V37" i="100"/>
  <c r="V144" i="100"/>
  <c r="W144" i="100" l="1"/>
  <c r="W37" i="100"/>
  <c r="O120" i="100"/>
  <c r="P14" i="100"/>
  <c r="W112" i="102"/>
  <c r="W3" i="102"/>
  <c r="Y112" i="100"/>
  <c r="Y3" i="100"/>
  <c r="O152" i="102"/>
  <c r="P48" i="102"/>
  <c r="X51" i="102" s="1"/>
  <c r="P31" i="102"/>
  <c r="X34" i="102" s="1"/>
  <c r="O136" i="102"/>
  <c r="W114" i="102"/>
  <c r="Y114" i="102"/>
  <c r="O120" i="102" l="1"/>
  <c r="P14" i="102"/>
  <c r="Y112" i="102"/>
  <c r="Y3" i="102"/>
  <c r="Z14" i="100"/>
  <c r="Y120" i="100"/>
  <c r="X17" i="100"/>
  <c r="O152" i="100"/>
  <c r="P48" i="100"/>
  <c r="X51" i="100" s="1"/>
  <c r="Y120" i="102" l="1"/>
  <c r="Z14" i="102"/>
  <c r="X17" i="102"/>
  <c r="C1" i="70" l="1"/>
  <c r="B1" i="70"/>
  <c r="C1" i="69"/>
  <c r="B1" i="69"/>
  <c r="E2" i="66"/>
  <c r="D2" i="66"/>
  <c r="E2" i="65"/>
  <c r="D2" i="65"/>
  <c r="D41" i="70"/>
  <c r="D40" i="70"/>
  <c r="E32" i="70"/>
  <c r="J29" i="70"/>
  <c r="F27" i="70"/>
  <c r="F34" i="70" s="1"/>
  <c r="E27" i="70"/>
  <c r="G27" i="70" s="1"/>
  <c r="F26" i="70"/>
  <c r="F33" i="70" s="1"/>
  <c r="E26" i="70"/>
  <c r="E33" i="70" s="1"/>
  <c r="F25" i="70"/>
  <c r="F32" i="70" s="1"/>
  <c r="E25" i="70"/>
  <c r="G25" i="70" s="1"/>
  <c r="B16" i="70"/>
  <c r="K31" i="70" s="1"/>
  <c r="C14" i="70"/>
  <c r="C12" i="70"/>
  <c r="J10" i="70"/>
  <c r="C9" i="70"/>
  <c r="F8" i="70"/>
  <c r="F15" i="70" s="1"/>
  <c r="E8" i="70"/>
  <c r="G8" i="70" s="1"/>
  <c r="F7" i="70"/>
  <c r="F14" i="70" s="1"/>
  <c r="E7" i="70"/>
  <c r="F6" i="70"/>
  <c r="E6" i="70"/>
  <c r="E13" i="70" s="1"/>
  <c r="C6" i="70"/>
  <c r="C5" i="70"/>
  <c r="D42" i="69"/>
  <c r="D41" i="69"/>
  <c r="D40" i="69"/>
  <c r="L31" i="69"/>
  <c r="G27" i="69"/>
  <c r="F27" i="69"/>
  <c r="E27" i="69"/>
  <c r="E34" i="69" s="1"/>
  <c r="G26" i="69"/>
  <c r="F26" i="69"/>
  <c r="E26" i="69"/>
  <c r="E33" i="69" s="1"/>
  <c r="G25" i="69"/>
  <c r="F25" i="69"/>
  <c r="E25" i="69"/>
  <c r="E32" i="69" s="1"/>
  <c r="B16" i="69"/>
  <c r="F14" i="69"/>
  <c r="E14" i="69"/>
  <c r="G14" i="69" s="1"/>
  <c r="H14" i="69" s="1"/>
  <c r="C14" i="69"/>
  <c r="C12" i="69"/>
  <c r="J10" i="69"/>
  <c r="G8" i="69"/>
  <c r="F8" i="69"/>
  <c r="F15" i="69" s="1"/>
  <c r="E8" i="69"/>
  <c r="E15" i="69" s="1"/>
  <c r="C8" i="69"/>
  <c r="G7" i="69"/>
  <c r="F7" i="69"/>
  <c r="E7" i="69"/>
  <c r="C7" i="69"/>
  <c r="G6" i="69"/>
  <c r="F6" i="69"/>
  <c r="F13" i="69" s="1"/>
  <c r="E6" i="69"/>
  <c r="E13" i="69" s="1"/>
  <c r="G13" i="69" s="1"/>
  <c r="H13" i="69" s="1"/>
  <c r="C6" i="69"/>
  <c r="C5" i="69"/>
  <c r="C38" i="66"/>
  <c r="C37" i="66"/>
  <c r="C36" i="66"/>
  <c r="C35" i="66"/>
  <c r="E34" i="66"/>
  <c r="D34" i="66"/>
  <c r="C34" i="66"/>
  <c r="B34" i="66"/>
  <c r="C32" i="66"/>
  <c r="C31" i="66"/>
  <c r="C30" i="66"/>
  <c r="C29" i="66"/>
  <c r="C28" i="66"/>
  <c r="E27" i="66"/>
  <c r="D27" i="66"/>
  <c r="C27" i="66"/>
  <c r="B27" i="66"/>
  <c r="D25" i="66"/>
  <c r="C24" i="66"/>
  <c r="C23" i="66"/>
  <c r="E22" i="66"/>
  <c r="D22" i="66"/>
  <c r="C22" i="66"/>
  <c r="B22" i="66"/>
  <c r="O21" i="66"/>
  <c r="E20" i="66"/>
  <c r="C20" i="66"/>
  <c r="K19" i="66"/>
  <c r="K18" i="66"/>
  <c r="E18" i="66"/>
  <c r="D18" i="66"/>
  <c r="C18" i="66"/>
  <c r="B18" i="66"/>
  <c r="K17" i="66"/>
  <c r="O16" i="66"/>
  <c r="C16" i="66"/>
  <c r="O15" i="66"/>
  <c r="C15" i="66"/>
  <c r="C13" i="66"/>
  <c r="C12" i="66"/>
  <c r="E11" i="66"/>
  <c r="D11" i="66"/>
  <c r="C11" i="66"/>
  <c r="B11" i="66"/>
  <c r="C8" i="66"/>
  <c r="E6" i="66"/>
  <c r="D6" i="66"/>
  <c r="C6" i="66"/>
  <c r="B6" i="66"/>
  <c r="D4" i="66"/>
  <c r="C4" i="66"/>
  <c r="C3" i="66"/>
  <c r="Z182" i="65"/>
  <c r="Z178" i="65"/>
  <c r="W149" i="65"/>
  <c r="X149" i="65" s="1"/>
  <c r="Y149" i="65" s="1"/>
  <c r="Z149" i="65" s="1"/>
  <c r="AA149" i="65" s="1"/>
  <c r="AB149" i="65" s="1"/>
  <c r="AC149" i="65" s="1"/>
  <c r="AD149" i="65" s="1"/>
  <c r="AE149" i="65" s="1"/>
  <c r="AF149" i="65" s="1"/>
  <c r="AG149" i="65" s="1"/>
  <c r="AH149" i="65" s="1"/>
  <c r="AI149" i="65" s="1"/>
  <c r="AJ149" i="65" s="1"/>
  <c r="AK149" i="65" s="1"/>
  <c r="AL149" i="65" s="1"/>
  <c r="AM149" i="65" s="1"/>
  <c r="U149" i="65"/>
  <c r="V149" i="65" s="1"/>
  <c r="H103" i="65"/>
  <c r="H104" i="65" s="1"/>
  <c r="H96" i="65"/>
  <c r="H97" i="65" s="1"/>
  <c r="H98" i="65" s="1"/>
  <c r="H99" i="65" s="1"/>
  <c r="I95" i="65"/>
  <c r="H92" i="65"/>
  <c r="H90" i="65"/>
  <c r="H91" i="65" s="1"/>
  <c r="I89" i="65"/>
  <c r="N68" i="65"/>
  <c r="O68" i="65" s="1"/>
  <c r="P68" i="65" s="1"/>
  <c r="I68" i="65"/>
  <c r="J68" i="65" s="1"/>
  <c r="K68" i="65" s="1"/>
  <c r="L68" i="65" s="1"/>
  <c r="M68" i="65" s="1"/>
  <c r="G68" i="65"/>
  <c r="H68" i="65" s="1"/>
  <c r="H53" i="65"/>
  <c r="H52" i="65"/>
  <c r="H51" i="65"/>
  <c r="H50" i="65"/>
  <c r="H49" i="65"/>
  <c r="H48" i="65"/>
  <c r="H47" i="65"/>
  <c r="H46" i="65"/>
  <c r="H45" i="65"/>
  <c r="H44" i="65"/>
  <c r="H43" i="65"/>
  <c r="G40" i="65"/>
  <c r="H54" i="65" s="1"/>
  <c r="O21" i="65"/>
  <c r="A1" i="65"/>
  <c r="A6" i="64"/>
  <c r="A7" i="64" s="1"/>
  <c r="A8" i="64" s="1"/>
  <c r="H2" i="64"/>
  <c r="F1" i="65" s="1"/>
  <c r="G15" i="69" l="1"/>
  <c r="H15" i="69" s="1"/>
  <c r="E15" i="70"/>
  <c r="G15" i="70"/>
  <c r="E34" i="70"/>
  <c r="G34" i="70" s="1"/>
  <c r="H34" i="70" s="1"/>
  <c r="H27" i="70" s="1"/>
  <c r="I27" i="70" s="1"/>
  <c r="B18" i="70"/>
  <c r="A9" i="64"/>
  <c r="A10" i="64" s="1"/>
  <c r="B10" i="64" s="1"/>
  <c r="B8" i="64"/>
  <c r="B6" i="64"/>
  <c r="H105" i="65"/>
  <c r="E14" i="70"/>
  <c r="G14" i="70" s="1"/>
  <c r="G7" i="70"/>
  <c r="F1" i="66"/>
  <c r="J95" i="65"/>
  <c r="J89" i="65"/>
  <c r="F34" i="69"/>
  <c r="G34" i="69" s="1"/>
  <c r="H27" i="69"/>
  <c r="G33" i="70"/>
  <c r="G6" i="70"/>
  <c r="F13" i="70"/>
  <c r="F32" i="69"/>
  <c r="G32" i="69" s="1"/>
  <c r="H32" i="69" s="1"/>
  <c r="H25" i="69"/>
  <c r="H26" i="69"/>
  <c r="F33" i="69"/>
  <c r="G33" i="69" s="1"/>
  <c r="H33" i="69" s="1"/>
  <c r="H7" i="69"/>
  <c r="J29" i="69"/>
  <c r="B18" i="69"/>
  <c r="G13" i="70"/>
  <c r="H13" i="70" s="1"/>
  <c r="H6" i="70" s="1"/>
  <c r="G32" i="70"/>
  <c r="H32" i="70" s="1"/>
  <c r="H25" i="70" s="1"/>
  <c r="I25" i="70" s="1"/>
  <c r="H6" i="69"/>
  <c r="G26" i="70"/>
  <c r="H8" i="69"/>
  <c r="A11" i="64" l="1"/>
  <c r="A12" i="64" s="1"/>
  <c r="H15" i="70"/>
  <c r="H8" i="70" s="1"/>
  <c r="I8" i="70" s="1"/>
  <c r="K8" i="70" s="1"/>
  <c r="I6" i="70"/>
  <c r="K6" i="70" s="1"/>
  <c r="M27" i="70"/>
  <c r="J27" i="70"/>
  <c r="K27" i="70" s="1"/>
  <c r="M25" i="70"/>
  <c r="J25" i="70"/>
  <c r="K25" i="70" s="1"/>
  <c r="I26" i="69"/>
  <c r="J26" i="69" s="1"/>
  <c r="K26" i="69" s="1"/>
  <c r="M26" i="69" s="1"/>
  <c r="K89" i="65"/>
  <c r="A13" i="64"/>
  <c r="A14" i="64" s="1"/>
  <c r="A15" i="64" s="1"/>
  <c r="B12" i="64"/>
  <c r="I27" i="69"/>
  <c r="J27" i="69" s="1"/>
  <c r="I6" i="69"/>
  <c r="J6" i="69" s="1"/>
  <c r="K6" i="69" s="1"/>
  <c r="H34" i="69"/>
  <c r="K95" i="65"/>
  <c r="H14" i="70"/>
  <c r="H7" i="70" s="1"/>
  <c r="I7" i="70" s="1"/>
  <c r="K7" i="70" s="1"/>
  <c r="K10" i="70" s="1"/>
  <c r="K103" i="65"/>
  <c r="A3" i="66"/>
  <c r="A4" i="66" s="1"/>
  <c r="A5" i="66" s="1"/>
  <c r="A6" i="66" s="1"/>
  <c r="A7" i="66" s="1"/>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I25" i="69"/>
  <c r="J25" i="69" s="1"/>
  <c r="K25" i="69" s="1"/>
  <c r="I8" i="69"/>
  <c r="J8" i="69" s="1"/>
  <c r="K8" i="69" s="1"/>
  <c r="I7" i="69"/>
  <c r="J7" i="69" s="1"/>
  <c r="K7" i="69" s="1"/>
  <c r="H33" i="70"/>
  <c r="H26" i="70" s="1"/>
  <c r="I26" i="70" s="1"/>
  <c r="G70" i="65"/>
  <c r="G71" i="65" s="1"/>
  <c r="U153" i="65"/>
  <c r="B70" i="65"/>
  <c r="A3" i="65"/>
  <c r="K27" i="69" l="1"/>
  <c r="M27" i="69" s="1"/>
  <c r="M25" i="69"/>
  <c r="M31" i="69" s="1"/>
  <c r="K29" i="69"/>
  <c r="M26" i="70"/>
  <c r="M31" i="70" s="1"/>
  <c r="J26" i="70"/>
  <c r="K26" i="70" s="1"/>
  <c r="L89" i="65"/>
  <c r="A16" i="64"/>
  <c r="F15" i="64"/>
  <c r="B71" i="65"/>
  <c r="B72" i="65" s="1"/>
  <c r="B73" i="65" s="1"/>
  <c r="B74" i="65" s="1"/>
  <c r="C70" i="65"/>
  <c r="D3" i="65" s="1"/>
  <c r="H4" i="65" s="1"/>
  <c r="AJ153" i="65"/>
  <c r="P82" i="66" s="1"/>
  <c r="AH153" i="65"/>
  <c r="N82" i="66" s="1"/>
  <c r="Y153" i="65"/>
  <c r="AF153" i="65"/>
  <c r="L82" i="66" s="1"/>
  <c r="U154" i="65"/>
  <c r="AM153" i="65"/>
  <c r="AL153" i="65"/>
  <c r="R82" i="66" s="1"/>
  <c r="AI153" i="65"/>
  <c r="O82" i="66" s="1"/>
  <c r="AG153" i="65"/>
  <c r="L71" i="65"/>
  <c r="L4" i="66" s="1"/>
  <c r="H71" i="65"/>
  <c r="G72" i="65"/>
  <c r="O71" i="65"/>
  <c r="O4" i="66" s="1"/>
  <c r="N71" i="65"/>
  <c r="N4" i="66" s="1"/>
  <c r="M71" i="65"/>
  <c r="M4" i="66" s="1"/>
  <c r="J71" i="65"/>
  <c r="J4" i="66" s="1"/>
  <c r="I71" i="65"/>
  <c r="I4" i="66" s="1"/>
  <c r="K71" i="65"/>
  <c r="K4" i="66" s="1"/>
  <c r="K104" i="65"/>
  <c r="K10" i="69"/>
  <c r="L95" i="65"/>
  <c r="K29" i="70"/>
  <c r="A4" i="65"/>
  <c r="A5" i="65" s="1"/>
  <c r="A6" i="65" s="1"/>
  <c r="A7" i="65" s="1"/>
  <c r="D3" i="66" l="1"/>
  <c r="H10" i="65"/>
  <c r="H86" i="65"/>
  <c r="H85" i="65"/>
  <c r="H18" i="65"/>
  <c r="H18" i="66" s="1"/>
  <c r="H84" i="65"/>
  <c r="H16" i="65"/>
  <c r="H16" i="66" s="1"/>
  <c r="O10" i="65"/>
  <c r="D70" i="65"/>
  <c r="E70" i="65" s="1"/>
  <c r="H19" i="65"/>
  <c r="H19" i="66" s="1"/>
  <c r="C7" i="65"/>
  <c r="C7" i="66" s="1"/>
  <c r="H83" i="65"/>
  <c r="C19" i="65"/>
  <c r="C19" i="66" s="1"/>
  <c r="C9" i="65"/>
  <c r="C9" i="66" s="1"/>
  <c r="H17" i="65"/>
  <c r="H17" i="66" s="1"/>
  <c r="K105" i="65"/>
  <c r="J72" i="65"/>
  <c r="J5" i="66" s="1"/>
  <c r="N72" i="65"/>
  <c r="N5" i="66" s="1"/>
  <c r="H72" i="65"/>
  <c r="G73" i="65"/>
  <c r="O72" i="65"/>
  <c r="O5" i="66" s="1"/>
  <c r="M72" i="65"/>
  <c r="M5" i="66" s="1"/>
  <c r="L72" i="65"/>
  <c r="L5" i="66" s="1"/>
  <c r="K72" i="65"/>
  <c r="K5" i="66" s="1"/>
  <c r="I72" i="65"/>
  <c r="I5" i="66" s="1"/>
  <c r="S82" i="66"/>
  <c r="AN153" i="65"/>
  <c r="F16" i="64"/>
  <c r="A17" i="64"/>
  <c r="A8" i="65"/>
  <c r="J82" i="66"/>
  <c r="U155" i="65"/>
  <c r="AG154" i="65"/>
  <c r="AL154" i="65"/>
  <c r="R83" i="66" s="1"/>
  <c r="AI154" i="65"/>
  <c r="O83" i="66" s="1"/>
  <c r="AH154" i="65"/>
  <c r="N83" i="66" s="1"/>
  <c r="AF154" i="65"/>
  <c r="L83" i="66" s="1"/>
  <c r="AM154" i="65"/>
  <c r="AJ154" i="65"/>
  <c r="P83" i="66" s="1"/>
  <c r="Y154" i="65"/>
  <c r="M95" i="65"/>
  <c r="M89" i="65"/>
  <c r="M82" i="66"/>
  <c r="I82" i="66" s="1"/>
  <c r="X153" i="65"/>
  <c r="C74" i="65"/>
  <c r="D7" i="65" s="1"/>
  <c r="B75" i="65"/>
  <c r="D7" i="66" l="1"/>
  <c r="D74" i="65"/>
  <c r="H4" i="66"/>
  <c r="H5" i="65"/>
  <c r="D113" i="65"/>
  <c r="B76" i="65"/>
  <c r="C75" i="65"/>
  <c r="D8" i="65" s="1"/>
  <c r="S83" i="66"/>
  <c r="AN154" i="65"/>
  <c r="H73" i="65"/>
  <c r="G74" i="65"/>
  <c r="G75" i="65" s="1"/>
  <c r="G76" i="65" s="1"/>
  <c r="G77" i="65" s="1"/>
  <c r="L73" i="65"/>
  <c r="L6" i="66" s="1"/>
  <c r="I73" i="65"/>
  <c r="I6" i="66" s="1"/>
  <c r="O73" i="65"/>
  <c r="O6" i="66" s="1"/>
  <c r="N73" i="65"/>
  <c r="N6" i="66" s="1"/>
  <c r="K73" i="65"/>
  <c r="K6" i="66" s="1"/>
  <c r="J73" i="65"/>
  <c r="J6" i="66" s="1"/>
  <c r="M73" i="65"/>
  <c r="M6" i="66" s="1"/>
  <c r="A9" i="65"/>
  <c r="F17" i="64"/>
  <c r="A18" i="64"/>
  <c r="E74" i="65"/>
  <c r="N89" i="65"/>
  <c r="O96" i="65"/>
  <c r="O10" i="66"/>
  <c r="D124" i="65"/>
  <c r="O11" i="65"/>
  <c r="M83" i="66"/>
  <c r="I83" i="66" s="1"/>
  <c r="X154" i="65"/>
  <c r="J83" i="66"/>
  <c r="AM155" i="65"/>
  <c r="AJ155" i="65"/>
  <c r="P84" i="66" s="1"/>
  <c r="AH155" i="65"/>
  <c r="N84" i="66" s="1"/>
  <c r="Y155" i="65"/>
  <c r="U156" i="65"/>
  <c r="AL155" i="65"/>
  <c r="R84" i="66" s="1"/>
  <c r="AI155" i="65"/>
  <c r="O84" i="66" s="1"/>
  <c r="AG155" i="65"/>
  <c r="AF155" i="65"/>
  <c r="L84" i="66" s="1"/>
  <c r="H10" i="66"/>
  <c r="D119" i="65"/>
  <c r="H11" i="65"/>
  <c r="D8" i="66" l="1"/>
  <c r="D75" i="65"/>
  <c r="AB161" i="65"/>
  <c r="AB160" i="65"/>
  <c r="AB159" i="65"/>
  <c r="J84" i="66"/>
  <c r="H5" i="66"/>
  <c r="H6" i="65"/>
  <c r="D114" i="65"/>
  <c r="S84" i="66"/>
  <c r="AN155" i="65"/>
  <c r="A10" i="65"/>
  <c r="A11" i="65" s="1"/>
  <c r="A12" i="65" s="1"/>
  <c r="P77" i="65"/>
  <c r="P10" i="66" s="1"/>
  <c r="K77" i="65"/>
  <c r="K10" i="66" s="1"/>
  <c r="G78" i="65"/>
  <c r="O77" i="65"/>
  <c r="M77" i="65"/>
  <c r="M10" i="66" s="1"/>
  <c r="L77" i="65"/>
  <c r="L10" i="66" s="1"/>
  <c r="J77" i="65"/>
  <c r="J10" i="66" s="1"/>
  <c r="I77" i="65"/>
  <c r="I10" i="66" s="1"/>
  <c r="H77" i="65"/>
  <c r="AI156" i="65"/>
  <c r="O85" i="66" s="1"/>
  <c r="U157" i="65"/>
  <c r="AG156" i="65"/>
  <c r="AJ156" i="65"/>
  <c r="P85" i="66" s="1"/>
  <c r="AH156" i="65"/>
  <c r="N85" i="66" s="1"/>
  <c r="AF156" i="65"/>
  <c r="L85" i="66" s="1"/>
  <c r="AM156" i="65"/>
  <c r="AL156" i="65"/>
  <c r="R85" i="66" s="1"/>
  <c r="Y156" i="65"/>
  <c r="D120" i="65"/>
  <c r="H11" i="66"/>
  <c r="H12" i="65"/>
  <c r="O89" i="65"/>
  <c r="A19" i="64"/>
  <c r="A20" i="64" s="1"/>
  <c r="F18" i="64"/>
  <c r="E75" i="65"/>
  <c r="C76" i="65"/>
  <c r="B77" i="65"/>
  <c r="B78" i="65" s="1"/>
  <c r="B79" i="65" s="1"/>
  <c r="M84" i="66"/>
  <c r="I84" i="66" s="1"/>
  <c r="X155" i="65"/>
  <c r="O11" i="66"/>
  <c r="D125" i="65"/>
  <c r="O12" i="65"/>
  <c r="O97" i="65"/>
  <c r="B80" i="65" l="1"/>
  <c r="C79" i="65"/>
  <c r="D12" i="65" s="1"/>
  <c r="AF157" i="65"/>
  <c r="L86" i="66" s="1"/>
  <c r="AM157" i="65"/>
  <c r="AJ157" i="65"/>
  <c r="P86" i="66" s="1"/>
  <c r="U158" i="65"/>
  <c r="Y157" i="65"/>
  <c r="AL157" i="65"/>
  <c r="R86" i="66" s="1"/>
  <c r="AI157" i="65"/>
  <c r="O86" i="66" s="1"/>
  <c r="AH157" i="65"/>
  <c r="N86" i="66" s="1"/>
  <c r="AG157" i="65"/>
  <c r="Z161" i="65"/>
  <c r="J85" i="66"/>
  <c r="H6" i="66"/>
  <c r="D115" i="65"/>
  <c r="M78" i="65"/>
  <c r="M11" i="66" s="1"/>
  <c r="I78" i="65"/>
  <c r="I11" i="66" s="1"/>
  <c r="P78" i="65"/>
  <c r="P11" i="66" s="1"/>
  <c r="O78" i="65"/>
  <c r="L78" i="65"/>
  <c r="L11" i="66" s="1"/>
  <c r="K78" i="65"/>
  <c r="K11" i="66" s="1"/>
  <c r="J78" i="65"/>
  <c r="J11" i="66" s="1"/>
  <c r="H78" i="65"/>
  <c r="G79" i="65"/>
  <c r="Z160" i="65"/>
  <c r="S85" i="66"/>
  <c r="AN156" i="65"/>
  <c r="A13" i="65"/>
  <c r="Z159" i="65"/>
  <c r="K2" i="65"/>
  <c r="O98" i="65"/>
  <c r="D9" i="65"/>
  <c r="B20" i="64"/>
  <c r="A21" i="64"/>
  <c r="A22" i="64" s="1"/>
  <c r="O12" i="66"/>
  <c r="D126" i="65"/>
  <c r="O13" i="65"/>
  <c r="H12" i="66"/>
  <c r="D121" i="65"/>
  <c r="H13" i="65"/>
  <c r="X156" i="65"/>
  <c r="M85" i="66"/>
  <c r="I85" i="66" s="1"/>
  <c r="M86" i="66" l="1"/>
  <c r="I86" i="66" s="1"/>
  <c r="X157" i="65"/>
  <c r="D12" i="66"/>
  <c r="D79" i="65"/>
  <c r="E79" i="65" s="1"/>
  <c r="H13" i="66"/>
  <c r="D122" i="65"/>
  <c r="O13" i="66"/>
  <c r="D127" i="65"/>
  <c r="J86" i="66"/>
  <c r="A14" i="65"/>
  <c r="A15" i="65" s="1"/>
  <c r="D9" i="66"/>
  <c r="D76" i="65"/>
  <c r="E76" i="65" s="1"/>
  <c r="AL158" i="65"/>
  <c r="R87" i="66" s="1"/>
  <c r="AI158" i="65"/>
  <c r="O87" i="66" s="1"/>
  <c r="U159" i="65"/>
  <c r="AG158" i="65"/>
  <c r="AJ158" i="65"/>
  <c r="P87" i="66" s="1"/>
  <c r="AH158" i="65"/>
  <c r="N87" i="66" s="1"/>
  <c r="AF158" i="65"/>
  <c r="L87" i="66" s="1"/>
  <c r="AM158" i="65"/>
  <c r="Y158" i="65"/>
  <c r="B81" i="65"/>
  <c r="B82" i="65" s="1"/>
  <c r="C80" i="65"/>
  <c r="D13" i="65" s="1"/>
  <c r="H79" i="65"/>
  <c r="G80" i="65"/>
  <c r="L79" i="65"/>
  <c r="L12" i="66" s="1"/>
  <c r="P79" i="65"/>
  <c r="P12" i="66" s="1"/>
  <c r="O79" i="65"/>
  <c r="M79" i="65"/>
  <c r="M12" i="66" s="1"/>
  <c r="K79" i="65"/>
  <c r="K12" i="66" s="1"/>
  <c r="J79" i="65"/>
  <c r="J12" i="66" s="1"/>
  <c r="I79" i="65"/>
  <c r="I12" i="66" s="1"/>
  <c r="A23" i="64"/>
  <c r="A24" i="64" s="1"/>
  <c r="B24" i="64" s="1"/>
  <c r="B22" i="64"/>
  <c r="O99" i="65"/>
  <c r="AN157" i="65"/>
  <c r="S86" i="66"/>
  <c r="D13" i="66" l="1"/>
  <c r="D80" i="65"/>
  <c r="J87" i="66"/>
  <c r="O101" i="65"/>
  <c r="C82" i="65"/>
  <c r="D15" i="65" s="1"/>
  <c r="B83" i="65"/>
  <c r="S87" i="66"/>
  <c r="AN158" i="65"/>
  <c r="AH159" i="65"/>
  <c r="N88" i="66" s="1"/>
  <c r="Y159" i="65"/>
  <c r="AF159" i="65"/>
  <c r="L88" i="66" s="1"/>
  <c r="AM159" i="65"/>
  <c r="U160" i="65"/>
  <c r="AL159" i="65"/>
  <c r="R88" i="66" s="1"/>
  <c r="AJ159" i="65"/>
  <c r="P88" i="66" s="1"/>
  <c r="AI159" i="65"/>
  <c r="O88" i="66" s="1"/>
  <c r="AG159" i="65"/>
  <c r="A16" i="65"/>
  <c r="E80" i="65"/>
  <c r="M87" i="66"/>
  <c r="I87" i="66" s="1"/>
  <c r="X158" i="65"/>
  <c r="K80" i="65"/>
  <c r="K13" i="66" s="1"/>
  <c r="P80" i="65"/>
  <c r="P13" i="66" s="1"/>
  <c r="M80" i="65"/>
  <c r="M13" i="66" s="1"/>
  <c r="L80" i="65"/>
  <c r="L13" i="66" s="1"/>
  <c r="J80" i="65"/>
  <c r="J13" i="66" s="1"/>
  <c r="I80" i="65"/>
  <c r="I13" i="66" s="1"/>
  <c r="H80" i="65"/>
  <c r="G81" i="65"/>
  <c r="G82" i="65" s="1"/>
  <c r="O80" i="65"/>
  <c r="O102" i="65" l="1"/>
  <c r="AL160" i="65"/>
  <c r="R89" i="66" s="1"/>
  <c r="AI160" i="65"/>
  <c r="O89" i="66" s="1"/>
  <c r="AJ160" i="65"/>
  <c r="P89" i="66" s="1"/>
  <c r="AH160" i="65"/>
  <c r="N89" i="66" s="1"/>
  <c r="AG160" i="65"/>
  <c r="AF160" i="65"/>
  <c r="L89" i="66" s="1"/>
  <c r="U161" i="65"/>
  <c r="Y160" i="65"/>
  <c r="AM160" i="65"/>
  <c r="S88" i="66"/>
  <c r="AN159" i="65"/>
  <c r="D15" i="66"/>
  <c r="D82" i="65"/>
  <c r="E82" i="65" s="1"/>
  <c r="A17" i="65"/>
  <c r="A18" i="65" s="1"/>
  <c r="A19" i="65" s="1"/>
  <c r="J88" i="66"/>
  <c r="AA159" i="65"/>
  <c r="B84" i="65"/>
  <c r="B85" i="65" s="1"/>
  <c r="B86" i="65" s="1"/>
  <c r="C83" i="65"/>
  <c r="D16" i="65" s="1"/>
  <c r="P82" i="65"/>
  <c r="P15" i="66" s="1"/>
  <c r="G83" i="65"/>
  <c r="M88" i="66"/>
  <c r="I88" i="66" s="1"/>
  <c r="X159" i="65"/>
  <c r="D16" i="66" l="1"/>
  <c r="D83" i="65"/>
  <c r="E83" i="65" s="1"/>
  <c r="S89" i="66"/>
  <c r="AN160" i="65"/>
  <c r="AL161" i="65"/>
  <c r="R90" i="66" s="1"/>
  <c r="AJ161" i="65"/>
  <c r="P90" i="66" s="1"/>
  <c r="AI161" i="65"/>
  <c r="O90" i="66" s="1"/>
  <c r="Y161" i="65"/>
  <c r="AG161" i="65"/>
  <c r="U162" i="65"/>
  <c r="AM161" i="65"/>
  <c r="AH161" i="65"/>
  <c r="N90" i="66" s="1"/>
  <c r="AF161" i="65"/>
  <c r="L90" i="66" s="1"/>
  <c r="AC159" i="65"/>
  <c r="AD159" i="65" s="1"/>
  <c r="J89" i="66"/>
  <c r="AA160" i="65"/>
  <c r="A20" i="65"/>
  <c r="G84" i="65"/>
  <c r="P83" i="65"/>
  <c r="P16" i="66" s="1"/>
  <c r="I83" i="65"/>
  <c r="I16" i="66" s="1"/>
  <c r="M89" i="66"/>
  <c r="I89" i="66" s="1"/>
  <c r="X160" i="65"/>
  <c r="C86" i="65"/>
  <c r="D19" i="65" s="1"/>
  <c r="B87" i="65"/>
  <c r="J90" i="66" l="1"/>
  <c r="AA161" i="65"/>
  <c r="M90" i="66"/>
  <c r="I90" i="66" s="1"/>
  <c r="X161" i="65"/>
  <c r="A21" i="65"/>
  <c r="A22" i="65" s="1"/>
  <c r="A23" i="65" s="1"/>
  <c r="AB174" i="65"/>
  <c r="D19" i="66"/>
  <c r="D86" i="65"/>
  <c r="E86" i="65" s="1"/>
  <c r="C87" i="65"/>
  <c r="B88" i="65"/>
  <c r="B89" i="65" s="1"/>
  <c r="B90" i="65" s="1"/>
  <c r="I84" i="65"/>
  <c r="I17" i="66" s="1"/>
  <c r="L84" i="65"/>
  <c r="L17" i="66" s="1"/>
  <c r="G85" i="65"/>
  <c r="AC160" i="65"/>
  <c r="AD160" i="65" s="1"/>
  <c r="S90" i="66"/>
  <c r="AN161" i="65"/>
  <c r="AH162" i="65"/>
  <c r="N91" i="66" s="1"/>
  <c r="Y162" i="65"/>
  <c r="U163" i="65"/>
  <c r="AG162" i="65"/>
  <c r="AM162" i="65"/>
  <c r="AJ162" i="65"/>
  <c r="P91" i="66" s="1"/>
  <c r="AL162" i="65"/>
  <c r="R91" i="66" s="1"/>
  <c r="AI162" i="65"/>
  <c r="O91" i="66" s="1"/>
  <c r="AF162" i="65"/>
  <c r="L91" i="66" s="1"/>
  <c r="AB186" i="65" l="1"/>
  <c r="Z174" i="65"/>
  <c r="AC161" i="65"/>
  <c r="AD161" i="65" s="1"/>
  <c r="AM163" i="65"/>
  <c r="AG163" i="65"/>
  <c r="U164" i="65"/>
  <c r="AL163" i="65"/>
  <c r="R92" i="66" s="1"/>
  <c r="Y163" i="65"/>
  <c r="AJ163" i="65"/>
  <c r="P92" i="66" s="1"/>
  <c r="AI163" i="65"/>
  <c r="O92" i="66" s="1"/>
  <c r="AH163" i="65"/>
  <c r="N92" i="66" s="1"/>
  <c r="AF163" i="65"/>
  <c r="L92" i="66" s="1"/>
  <c r="B91" i="65"/>
  <c r="C90" i="65"/>
  <c r="D23" i="65" s="1"/>
  <c r="M91" i="66"/>
  <c r="I91" i="66" s="1"/>
  <c r="X162" i="65"/>
  <c r="S91" i="66"/>
  <c r="AN162" i="65"/>
  <c r="J91" i="66"/>
  <c r="D20" i="65"/>
  <c r="L85" i="65"/>
  <c r="L18" i="66" s="1"/>
  <c r="G86" i="65"/>
  <c r="I85" i="65"/>
  <c r="I18" i="66" s="1"/>
  <c r="A24" i="65"/>
  <c r="AN163" i="65" l="1"/>
  <c r="S92" i="66"/>
  <c r="B92" i="65"/>
  <c r="B93" i="65" s="1"/>
  <c r="B94" i="65" s="1"/>
  <c r="B95" i="65" s="1"/>
  <c r="C91" i="65"/>
  <c r="D24" i="65" s="1"/>
  <c r="AB190" i="65"/>
  <c r="Z186" i="65"/>
  <c r="M92" i="66"/>
  <c r="I92" i="66" s="1"/>
  <c r="X163" i="65"/>
  <c r="J92" i="66"/>
  <c r="D90" i="65"/>
  <c r="E90" i="65" s="1"/>
  <c r="D23" i="66"/>
  <c r="D20" i="66"/>
  <c r="D87" i="65"/>
  <c r="E87" i="65" s="1"/>
  <c r="L86" i="65"/>
  <c r="L19" i="66" s="1"/>
  <c r="I86" i="65"/>
  <c r="I19" i="66" s="1"/>
  <c r="A25" i="65"/>
  <c r="A26" i="65" s="1"/>
  <c r="A27" i="65" s="1"/>
  <c r="A28" i="65" s="1"/>
  <c r="AJ164" i="65"/>
  <c r="P93" i="66" s="1"/>
  <c r="AI164" i="65"/>
  <c r="O93" i="66" s="1"/>
  <c r="AH164" i="65"/>
  <c r="N93" i="66" s="1"/>
  <c r="AF164" i="65"/>
  <c r="L93" i="66" s="1"/>
  <c r="U165" i="65"/>
  <c r="AM164" i="65"/>
  <c r="AL164" i="65"/>
  <c r="R93" i="66" s="1"/>
  <c r="AG164" i="65"/>
  <c r="Y164" i="65"/>
  <c r="D24" i="66" l="1"/>
  <c r="D91" i="65"/>
  <c r="E91" i="65" s="1"/>
  <c r="S93" i="66"/>
  <c r="AN164" i="65"/>
  <c r="Z190" i="65"/>
  <c r="AB194" i="65"/>
  <c r="B96" i="65"/>
  <c r="C95" i="65"/>
  <c r="D28" i="65" s="1"/>
  <c r="J93" i="66"/>
  <c r="M93" i="66"/>
  <c r="I93" i="66" s="1"/>
  <c r="X164" i="65"/>
  <c r="U166" i="65"/>
  <c r="AG165" i="65"/>
  <c r="AF165" i="65"/>
  <c r="L94" i="66" s="1"/>
  <c r="AL165" i="65"/>
  <c r="R94" i="66" s="1"/>
  <c r="AI165" i="65"/>
  <c r="O94" i="66" s="1"/>
  <c r="AM165" i="65"/>
  <c r="AJ165" i="65"/>
  <c r="P94" i="66" s="1"/>
  <c r="AH165" i="65"/>
  <c r="N94" i="66" s="1"/>
  <c r="Y165" i="65"/>
  <c r="A29" i="65"/>
  <c r="M94" i="66" l="1"/>
  <c r="I94" i="66" s="1"/>
  <c r="X165" i="65"/>
  <c r="A30" i="65"/>
  <c r="J94" i="66"/>
  <c r="AM166" i="65"/>
  <c r="AL166" i="65"/>
  <c r="R95" i="66" s="1"/>
  <c r="AJ166" i="65"/>
  <c r="P95" i="66" s="1"/>
  <c r="Y166" i="65"/>
  <c r="AH166" i="65"/>
  <c r="N95" i="66" s="1"/>
  <c r="AI166" i="65"/>
  <c r="O95" i="66" s="1"/>
  <c r="AG166" i="65"/>
  <c r="AF166" i="65"/>
  <c r="L95" i="66" s="1"/>
  <c r="U167" i="65"/>
  <c r="B97" i="65"/>
  <c r="C96" i="65"/>
  <c r="D29" i="65" s="1"/>
  <c r="D28" i="66"/>
  <c r="D95" i="65"/>
  <c r="E95" i="65" s="1"/>
  <c r="Z194" i="65"/>
  <c r="AB201" i="65"/>
  <c r="J16" i="65"/>
  <c r="S94" i="66"/>
  <c r="AN165" i="65"/>
  <c r="AI167" i="65" l="1"/>
  <c r="O96" i="66" s="1"/>
  <c r="AH167" i="65"/>
  <c r="N96" i="66" s="1"/>
  <c r="Y167" i="65"/>
  <c r="U168" i="65"/>
  <c r="AL167" i="65"/>
  <c r="R96" i="66" s="1"/>
  <c r="AJ167" i="65"/>
  <c r="P96" i="66" s="1"/>
  <c r="AG167" i="65"/>
  <c r="AF167" i="65"/>
  <c r="L96" i="66" s="1"/>
  <c r="AM167" i="65"/>
  <c r="S95" i="66"/>
  <c r="AN166" i="65"/>
  <c r="X166" i="65"/>
  <c r="M95" i="66"/>
  <c r="I95" i="66" s="1"/>
  <c r="A31" i="65"/>
  <c r="D29" i="66"/>
  <c r="D96" i="65"/>
  <c r="E96" i="65" s="1"/>
  <c r="J95" i="66"/>
  <c r="B98" i="65"/>
  <c r="C97" i="65"/>
  <c r="D30" i="65" s="1"/>
  <c r="Z201" i="65"/>
  <c r="A32" i="65" l="1"/>
  <c r="M96" i="66"/>
  <c r="I96" i="66" s="1"/>
  <c r="X167" i="65"/>
  <c r="AF168" i="65"/>
  <c r="L97" i="66" s="1"/>
  <c r="AH168" i="65"/>
  <c r="N97" i="66" s="1"/>
  <c r="AM168" i="65"/>
  <c r="AI168" i="65"/>
  <c r="O97" i="66" s="1"/>
  <c r="AG168" i="65"/>
  <c r="Y168" i="65"/>
  <c r="U169" i="65"/>
  <c r="AL168" i="65"/>
  <c r="R97" i="66" s="1"/>
  <c r="AJ168" i="65"/>
  <c r="P97" i="66" s="1"/>
  <c r="J96" i="66"/>
  <c r="B99" i="65"/>
  <c r="C98" i="65"/>
  <c r="S96" i="66"/>
  <c r="AN167" i="65"/>
  <c r="AL169" i="65" l="1"/>
  <c r="R98" i="66" s="1"/>
  <c r="AJ169" i="65"/>
  <c r="P98" i="66" s="1"/>
  <c r="AI169" i="65"/>
  <c r="O98" i="66" s="1"/>
  <c r="AG169" i="65"/>
  <c r="U170" i="65"/>
  <c r="AF169" i="65"/>
  <c r="L98" i="66" s="1"/>
  <c r="Y169" i="65"/>
  <c r="AM169" i="65"/>
  <c r="AH169" i="65"/>
  <c r="N98" i="66" s="1"/>
  <c r="J97" i="66"/>
  <c r="B100" i="65"/>
  <c r="B101" i="65" s="1"/>
  <c r="B102" i="65" s="1"/>
  <c r="C99" i="65"/>
  <c r="D32" i="65" s="1"/>
  <c r="M97" i="66"/>
  <c r="I97" i="66" s="1"/>
  <c r="X168" i="65"/>
  <c r="A33" i="65"/>
  <c r="A34" i="65" s="1"/>
  <c r="A35" i="65" s="1"/>
  <c r="D30" i="66"/>
  <c r="D97" i="65"/>
  <c r="E97" i="65" s="1"/>
  <c r="D31" i="65"/>
  <c r="S97" i="66"/>
  <c r="AN168" i="65"/>
  <c r="D32" i="66" l="1"/>
  <c r="D99" i="65"/>
  <c r="AB199" i="65"/>
  <c r="AH170" i="65"/>
  <c r="N99" i="66" s="1"/>
  <c r="Y170" i="65"/>
  <c r="U171" i="65"/>
  <c r="AG170" i="65"/>
  <c r="AM170" i="65"/>
  <c r="AJ170" i="65"/>
  <c r="P99" i="66" s="1"/>
  <c r="AF170" i="65"/>
  <c r="L99" i="66" s="1"/>
  <c r="AL170" i="65"/>
  <c r="R99" i="66" s="1"/>
  <c r="AI170" i="65"/>
  <c r="O99" i="66" s="1"/>
  <c r="M98" i="66"/>
  <c r="I98" i="66" s="1"/>
  <c r="X169" i="65"/>
  <c r="D98" i="65"/>
  <c r="E98" i="65" s="1"/>
  <c r="D31" i="66"/>
  <c r="AB198" i="65"/>
  <c r="C102" i="65"/>
  <c r="D35" i="65" s="1"/>
  <c r="B103" i="65"/>
  <c r="E99" i="65"/>
  <c r="A36" i="65"/>
  <c r="S98" i="66"/>
  <c r="AN169" i="65"/>
  <c r="J98" i="66"/>
  <c r="S99" i="66" l="1"/>
  <c r="AN170" i="65"/>
  <c r="X170" i="65"/>
  <c r="M99" i="66"/>
  <c r="I99" i="66" s="1"/>
  <c r="D35" i="66"/>
  <c r="D102" i="65"/>
  <c r="E102" i="65" s="1"/>
  <c r="AB153" i="65"/>
  <c r="AB154" i="65"/>
  <c r="AB155" i="65"/>
  <c r="AM171" i="65"/>
  <c r="U172" i="65"/>
  <c r="AL171" i="65"/>
  <c r="R100" i="66" s="1"/>
  <c r="AI171" i="65"/>
  <c r="O100" i="66" s="1"/>
  <c r="Y171" i="65"/>
  <c r="AJ171" i="65"/>
  <c r="P100" i="66" s="1"/>
  <c r="AH171" i="65"/>
  <c r="N100" i="66" s="1"/>
  <c r="AG171" i="65"/>
  <c r="AF171" i="65"/>
  <c r="L100" i="66" s="1"/>
  <c r="A37" i="65"/>
  <c r="J99" i="66"/>
  <c r="Z199" i="65"/>
  <c r="M18" i="65"/>
  <c r="C103" i="65"/>
  <c r="D36" i="65" s="1"/>
  <c r="B104" i="65"/>
  <c r="AB200" i="65"/>
  <c r="Z198" i="65"/>
  <c r="M17" i="65"/>
  <c r="J100" i="66" l="1"/>
  <c r="AB180" i="65"/>
  <c r="Z154" i="65"/>
  <c r="Z200" i="65"/>
  <c r="M19" i="65"/>
  <c r="S100" i="66"/>
  <c r="AN171" i="65"/>
  <c r="AB179" i="65"/>
  <c r="Z153" i="65"/>
  <c r="I2" i="65"/>
  <c r="M100" i="66"/>
  <c r="I100" i="66" s="1"/>
  <c r="X171" i="65"/>
  <c r="AB181" i="65"/>
  <c r="Z155" i="65"/>
  <c r="A38" i="65"/>
  <c r="D36" i="66"/>
  <c r="D103" i="65"/>
  <c r="E103" i="65" s="1"/>
  <c r="AB175" i="65"/>
  <c r="AB176" i="65" s="1"/>
  <c r="AB177" i="65" s="1"/>
  <c r="AB158" i="65" s="1"/>
  <c r="AJ172" i="65"/>
  <c r="P101" i="66" s="1"/>
  <c r="AI172" i="65"/>
  <c r="O101" i="66" s="1"/>
  <c r="AF172" i="65"/>
  <c r="L101" i="66" s="1"/>
  <c r="AM172" i="65"/>
  <c r="Y172" i="65"/>
  <c r="U173" i="65"/>
  <c r="AL172" i="65"/>
  <c r="R101" i="66" s="1"/>
  <c r="AH172" i="65"/>
  <c r="N101" i="66" s="1"/>
  <c r="AG172" i="65"/>
  <c r="C104" i="65"/>
  <c r="D37" i="65" s="1"/>
  <c r="B105" i="65"/>
  <c r="AB157" i="65" l="1"/>
  <c r="Z156" i="65"/>
  <c r="AB183" i="65"/>
  <c r="AB187" i="65"/>
  <c r="AB162" i="65"/>
  <c r="U174" i="65"/>
  <c r="AG173" i="65"/>
  <c r="AF173" i="65"/>
  <c r="L102" i="66" s="1"/>
  <c r="AI173" i="65"/>
  <c r="O102" i="66" s="1"/>
  <c r="Y173" i="65"/>
  <c r="AM173" i="65"/>
  <c r="AL173" i="65"/>
  <c r="R102" i="66" s="1"/>
  <c r="AJ173" i="65"/>
  <c r="P102" i="66" s="1"/>
  <c r="AH173" i="65"/>
  <c r="N102" i="66" s="1"/>
  <c r="J101" i="66"/>
  <c r="S101" i="66"/>
  <c r="AN172" i="65"/>
  <c r="AB156" i="65"/>
  <c r="C105" i="65"/>
  <c r="B106" i="65"/>
  <c r="B107" i="65" s="1"/>
  <c r="B108" i="65" s="1"/>
  <c r="B109" i="65" s="1"/>
  <c r="B110" i="65" s="1"/>
  <c r="B111" i="65" s="1"/>
  <c r="B112" i="65" s="1"/>
  <c r="B113" i="65" s="1"/>
  <c r="M101" i="66"/>
  <c r="I101" i="66" s="1"/>
  <c r="X172" i="65"/>
  <c r="Z180" i="65"/>
  <c r="Z175" i="65"/>
  <c r="Z181" i="65"/>
  <c r="AA154" i="65"/>
  <c r="D37" i="66"/>
  <c r="D104" i="65"/>
  <c r="E104" i="65" s="1"/>
  <c r="AB195" i="65"/>
  <c r="Z179" i="65"/>
  <c r="J8" i="65"/>
  <c r="AA155" i="65"/>
  <c r="AC155" i="65" s="1"/>
  <c r="AA153" i="65"/>
  <c r="AD155" i="65" l="1"/>
  <c r="AN173" i="65"/>
  <c r="S102" i="66"/>
  <c r="J102" i="66"/>
  <c r="Z162" i="65"/>
  <c r="AB165" i="65"/>
  <c r="Z183" i="65"/>
  <c r="AC154" i="65"/>
  <c r="AD154" i="65" s="1"/>
  <c r="Z176" i="65"/>
  <c r="AB191" i="65"/>
  <c r="C113" i="65"/>
  <c r="E113" i="65" s="1"/>
  <c r="B114" i="65"/>
  <c r="M102" i="66"/>
  <c r="I102" i="66" s="1"/>
  <c r="X173" i="65"/>
  <c r="AM174" i="65"/>
  <c r="AL174" i="65"/>
  <c r="R103" i="66" s="1"/>
  <c r="AJ174" i="65"/>
  <c r="P103" i="66" s="1"/>
  <c r="Y174" i="65"/>
  <c r="AH174" i="65"/>
  <c r="N103" i="66" s="1"/>
  <c r="AF174" i="65"/>
  <c r="L103" i="66" s="1"/>
  <c r="AI174" i="65"/>
  <c r="O103" i="66" s="1"/>
  <c r="AG174" i="65"/>
  <c r="U175" i="65"/>
  <c r="AA156" i="65"/>
  <c r="AC156" i="65" s="1"/>
  <c r="AC153" i="65"/>
  <c r="AD153" i="65" s="1"/>
  <c r="Z195" i="65"/>
  <c r="J17" i="65"/>
  <c r="D38" i="65"/>
  <c r="Z187" i="65" l="1"/>
  <c r="S103" i="66"/>
  <c r="AN174" i="65"/>
  <c r="Z165" i="65"/>
  <c r="M103" i="66"/>
  <c r="I103" i="66" s="1"/>
  <c r="X174" i="65"/>
  <c r="AI175" i="65"/>
  <c r="O104" i="66" s="1"/>
  <c r="AH175" i="65"/>
  <c r="N104" i="66" s="1"/>
  <c r="Y175" i="65"/>
  <c r="AL175" i="65"/>
  <c r="R104" i="66" s="1"/>
  <c r="AG175" i="65"/>
  <c r="AM175" i="65"/>
  <c r="AJ175" i="65"/>
  <c r="P104" i="66" s="1"/>
  <c r="AF175" i="65"/>
  <c r="L104" i="66" s="1"/>
  <c r="U176" i="65"/>
  <c r="D38" i="66"/>
  <c r="D105" i="65"/>
  <c r="E105" i="65" s="1"/>
  <c r="V153" i="65"/>
  <c r="V154" i="65" s="1"/>
  <c r="V155" i="65" s="1"/>
  <c r="V156" i="65" s="1"/>
  <c r="W153" i="65"/>
  <c r="W154" i="65" s="1"/>
  <c r="W155" i="65" s="1"/>
  <c r="W156" i="65" s="1"/>
  <c r="Z191" i="65"/>
  <c r="Z157" i="65"/>
  <c r="AB184" i="65"/>
  <c r="AB163" i="65"/>
  <c r="J103" i="66"/>
  <c r="AA174" i="65"/>
  <c r="Z177" i="65"/>
  <c r="AB168" i="65"/>
  <c r="AD156" i="65"/>
  <c r="C114" i="65"/>
  <c r="E114" i="65" s="1"/>
  <c r="B115" i="65"/>
  <c r="AA162" i="65"/>
  <c r="I8" i="65"/>
  <c r="Z184" i="65" l="1"/>
  <c r="AB188" i="65"/>
  <c r="AC174" i="65"/>
  <c r="AD174" i="65" s="1"/>
  <c r="AA157" i="65"/>
  <c r="Z158" i="65"/>
  <c r="AB185" i="65"/>
  <c r="L2" i="65"/>
  <c r="AB164" i="65"/>
  <c r="J104" i="66"/>
  <c r="AA175" i="65"/>
  <c r="J2" i="65"/>
  <c r="AF176" i="65"/>
  <c r="L105" i="66" s="1"/>
  <c r="AI176" i="65"/>
  <c r="O105" i="66" s="1"/>
  <c r="U177" i="65"/>
  <c r="AL176" i="65"/>
  <c r="R105" i="66" s="1"/>
  <c r="Y176" i="65"/>
  <c r="AJ176" i="65"/>
  <c r="P105" i="66" s="1"/>
  <c r="AH176" i="65"/>
  <c r="N105" i="66" s="1"/>
  <c r="AG176" i="65"/>
  <c r="AM176" i="65"/>
  <c r="AC162" i="65"/>
  <c r="AD162" i="65" s="1"/>
  <c r="Z163" i="65"/>
  <c r="AB169" i="65"/>
  <c r="AB166" i="65"/>
  <c r="C115" i="65"/>
  <c r="E115" i="65" s="1"/>
  <c r="B116" i="65"/>
  <c r="B117" i="65" s="1"/>
  <c r="B118" i="65" s="1"/>
  <c r="B119" i="65" s="1"/>
  <c r="AA165" i="65"/>
  <c r="AB171" i="65"/>
  <c r="Z168" i="65"/>
  <c r="S104" i="66"/>
  <c r="AN175" i="65"/>
  <c r="M104" i="66"/>
  <c r="I104" i="66" s="1"/>
  <c r="X175" i="65"/>
  <c r="AB172" i="65" l="1"/>
  <c r="AC165" i="65"/>
  <c r="AD165" i="65" s="1"/>
  <c r="Z166" i="65"/>
  <c r="AC175" i="65"/>
  <c r="AD175" i="65" s="1"/>
  <c r="Z164" i="65"/>
  <c r="AB167" i="65"/>
  <c r="S105" i="66"/>
  <c r="AN176" i="65"/>
  <c r="Z188" i="65"/>
  <c r="AB192" i="65"/>
  <c r="Z185" i="65"/>
  <c r="AB189" i="65"/>
  <c r="AC157" i="65"/>
  <c r="V157" i="65" s="1"/>
  <c r="K8" i="65"/>
  <c r="AB202" i="65"/>
  <c r="Z171" i="65"/>
  <c r="AA158" i="65"/>
  <c r="M105" i="66"/>
  <c r="I105" i="66" s="1"/>
  <c r="X176" i="65"/>
  <c r="AA168" i="65"/>
  <c r="AC168" i="65" s="1"/>
  <c r="AA163" i="65"/>
  <c r="B120" i="65"/>
  <c r="C119" i="65"/>
  <c r="E119" i="65" s="1"/>
  <c r="J105" i="66"/>
  <c r="AA176" i="65"/>
  <c r="AL177" i="65"/>
  <c r="R106" i="66" s="1"/>
  <c r="AJ177" i="65"/>
  <c r="P106" i="66" s="1"/>
  <c r="AM177" i="65"/>
  <c r="Y177" i="65"/>
  <c r="AI177" i="65"/>
  <c r="O106" i="66" s="1"/>
  <c r="AG177" i="65"/>
  <c r="AH177" i="65"/>
  <c r="N106" i="66" s="1"/>
  <c r="AF177" i="65"/>
  <c r="L106" i="66" s="1"/>
  <c r="U178" i="65"/>
  <c r="Z169" i="65" l="1"/>
  <c r="AD157" i="65"/>
  <c r="W157" i="65"/>
  <c r="M106" i="66"/>
  <c r="I106" i="66" s="1"/>
  <c r="X177" i="65"/>
  <c r="AC176" i="65"/>
  <c r="AD176" i="65" s="1"/>
  <c r="AC158" i="65"/>
  <c r="AA171" i="65"/>
  <c r="AC171" i="65" s="1"/>
  <c r="AB196" i="65"/>
  <c r="Z189" i="65"/>
  <c r="AB193" i="65"/>
  <c r="M8" i="65"/>
  <c r="AB203" i="65"/>
  <c r="Z172" i="65"/>
  <c r="AC163" i="65"/>
  <c r="AD163" i="65" s="1"/>
  <c r="AA169" i="65"/>
  <c r="AC169" i="65" s="1"/>
  <c r="Z167" i="65"/>
  <c r="AB173" i="65"/>
  <c r="Z170" i="65"/>
  <c r="N2" i="65"/>
  <c r="S106" i="66"/>
  <c r="AN177" i="65"/>
  <c r="L8" i="65"/>
  <c r="AB170" i="65"/>
  <c r="B121" i="65"/>
  <c r="C120" i="65"/>
  <c r="E120" i="65" s="1"/>
  <c r="AI178" i="65"/>
  <c r="O107" i="66" s="1"/>
  <c r="Y178" i="65"/>
  <c r="AH178" i="65"/>
  <c r="N107" i="66" s="1"/>
  <c r="AL178" i="65"/>
  <c r="R107" i="66" s="1"/>
  <c r="AJ178" i="65"/>
  <c r="P107" i="66" s="1"/>
  <c r="AG178" i="65"/>
  <c r="AF178" i="65"/>
  <c r="L107" i="66" s="1"/>
  <c r="U179" i="65"/>
  <c r="AM178" i="65"/>
  <c r="AD168" i="65"/>
  <c r="M2" i="65"/>
  <c r="J106" i="66"/>
  <c r="AA177" i="65"/>
  <c r="Z202" i="65"/>
  <c r="Z192" i="65"/>
  <c r="AA164" i="65"/>
  <c r="AA166" i="65"/>
  <c r="W158" i="65" l="1"/>
  <c r="W159" i="65" s="1"/>
  <c r="W160" i="65" s="1"/>
  <c r="W161" i="65" s="1"/>
  <c r="W162" i="65" s="1"/>
  <c r="W163" i="65" s="1"/>
  <c r="AD158" i="65"/>
  <c r="Z203" i="65"/>
  <c r="Z196" i="65"/>
  <c r="J18" i="65"/>
  <c r="AB204" i="65"/>
  <c r="AB197" i="65"/>
  <c r="Z193" i="65"/>
  <c r="V158" i="65"/>
  <c r="V159" i="65" s="1"/>
  <c r="V160" i="65" s="1"/>
  <c r="V161" i="65" s="1"/>
  <c r="V162" i="65" s="1"/>
  <c r="V163" i="65" s="1"/>
  <c r="J107" i="66"/>
  <c r="AA178" i="65"/>
  <c r="AA172" i="65"/>
  <c r="AC172" i="65" s="1"/>
  <c r="S107" i="66"/>
  <c r="AN178" i="65"/>
  <c r="AC164" i="65"/>
  <c r="AF179" i="65"/>
  <c r="L108" i="66" s="1"/>
  <c r="AG179" i="65"/>
  <c r="AJ179" i="65"/>
  <c r="P108" i="66" s="1"/>
  <c r="AH179" i="65"/>
  <c r="N108" i="66" s="1"/>
  <c r="AL179" i="65"/>
  <c r="R108" i="66" s="1"/>
  <c r="AI179" i="65"/>
  <c r="O108" i="66" s="1"/>
  <c r="Y179" i="65"/>
  <c r="U180" i="65"/>
  <c r="AM179" i="65"/>
  <c r="AA167" i="65"/>
  <c r="AC177" i="65"/>
  <c r="AD177" i="65" s="1"/>
  <c r="Z173" i="65"/>
  <c r="O2" i="65"/>
  <c r="AC166" i="65"/>
  <c r="AD166" i="65" s="1"/>
  <c r="M107" i="66"/>
  <c r="I107" i="66" s="1"/>
  <c r="X178" i="65"/>
  <c r="AD169" i="65"/>
  <c r="AD171" i="65"/>
  <c r="B122" i="65"/>
  <c r="C121" i="65"/>
  <c r="E121" i="65" s="1"/>
  <c r="AA170" i="65"/>
  <c r="AC170" i="65" s="1"/>
  <c r="W164" i="65" l="1"/>
  <c r="W165" i="65" s="1"/>
  <c r="W166" i="65" s="1"/>
  <c r="V164" i="65"/>
  <c r="V165" i="65" s="1"/>
  <c r="V166" i="65" s="1"/>
  <c r="AD164" i="65"/>
  <c r="B123" i="65"/>
  <c r="B124" i="65" s="1"/>
  <c r="C122" i="65"/>
  <c r="E122" i="65" s="1"/>
  <c r="AD172" i="65"/>
  <c r="AC178" i="65"/>
  <c r="AD178" i="65" s="1"/>
  <c r="S108" i="66"/>
  <c r="AN179" i="65"/>
  <c r="AC167" i="65"/>
  <c r="AA173" i="65"/>
  <c r="AL180" i="65"/>
  <c r="R109" i="66" s="1"/>
  <c r="AJ180" i="65"/>
  <c r="P109" i="66" s="1"/>
  <c r="AH180" i="65"/>
  <c r="N109" i="66" s="1"/>
  <c r="U181" i="65"/>
  <c r="Y180" i="65"/>
  <c r="AI180" i="65"/>
  <c r="O109" i="66" s="1"/>
  <c r="AM180" i="65"/>
  <c r="AG180" i="65"/>
  <c r="AF180" i="65"/>
  <c r="L109" i="66" s="1"/>
  <c r="Z197" i="65"/>
  <c r="J19" i="65"/>
  <c r="M108" i="66"/>
  <c r="I108" i="66" s="1"/>
  <c r="X179" i="65"/>
  <c r="Z204" i="65"/>
  <c r="AB206" i="65"/>
  <c r="AB205" i="65"/>
  <c r="AD170" i="65"/>
  <c r="AA179" i="65"/>
  <c r="J108" i="66"/>
  <c r="W167" i="65" l="1"/>
  <c r="W168" i="65" s="1"/>
  <c r="W169" i="65" s="1"/>
  <c r="W170" i="65" s="1"/>
  <c r="W171" i="65" s="1"/>
  <c r="W172" i="65" s="1"/>
  <c r="V167" i="65"/>
  <c r="V168" i="65" s="1"/>
  <c r="V169" i="65" s="1"/>
  <c r="V170" i="65" s="1"/>
  <c r="V171" i="65" s="1"/>
  <c r="V172" i="65" s="1"/>
  <c r="AD167" i="65"/>
  <c r="P8" i="65"/>
  <c r="J109" i="66"/>
  <c r="AA180" i="65"/>
  <c r="AC179" i="65"/>
  <c r="AD179" i="65" s="1"/>
  <c r="C124" i="65"/>
  <c r="E124" i="65" s="1"/>
  <c r="B125" i="65"/>
  <c r="M109" i="66"/>
  <c r="I109" i="66" s="1"/>
  <c r="X180" i="65"/>
  <c r="S109" i="66"/>
  <c r="AN180" i="65"/>
  <c r="AC173" i="65"/>
  <c r="Z205" i="65"/>
  <c r="G53" i="65"/>
  <c r="Z206" i="65"/>
  <c r="AH181" i="65"/>
  <c r="N110" i="66" s="1"/>
  <c r="Y181" i="65"/>
  <c r="U182" i="65"/>
  <c r="AG181" i="65"/>
  <c r="AL181" i="65"/>
  <c r="R110" i="66" s="1"/>
  <c r="AI181" i="65"/>
  <c r="O110" i="66" s="1"/>
  <c r="AM181" i="65"/>
  <c r="AJ181" i="65"/>
  <c r="P110" i="66" s="1"/>
  <c r="AF181" i="65"/>
  <c r="L110" i="66" s="1"/>
  <c r="W173" i="65" l="1"/>
  <c r="W174" i="65" s="1"/>
  <c r="W175" i="65" s="1"/>
  <c r="W176" i="65" s="1"/>
  <c r="W177" i="65" s="1"/>
  <c r="W178" i="65" s="1"/>
  <c r="W179" i="65" s="1"/>
  <c r="AD173" i="65"/>
  <c r="S110" i="66"/>
  <c r="AN181" i="65"/>
  <c r="AC180" i="65"/>
  <c r="M110" i="66"/>
  <c r="I110" i="66" s="1"/>
  <c r="X181" i="65"/>
  <c r="V173" i="65"/>
  <c r="V174" i="65" s="1"/>
  <c r="V175" i="65" s="1"/>
  <c r="V176" i="65" s="1"/>
  <c r="V177" i="65" s="1"/>
  <c r="V178" i="65" s="1"/>
  <c r="V179" i="65" s="1"/>
  <c r="C125" i="65"/>
  <c r="E125" i="65" s="1"/>
  <c r="B126" i="65"/>
  <c r="U183" i="65"/>
  <c r="AF182" i="65"/>
  <c r="L111" i="66" s="1"/>
  <c r="AL182" i="65"/>
  <c r="R111" i="66" s="1"/>
  <c r="AI182" i="65"/>
  <c r="O111" i="66" s="1"/>
  <c r="AJ182" i="65"/>
  <c r="P111" i="66" s="1"/>
  <c r="AH182" i="65"/>
  <c r="N111" i="66" s="1"/>
  <c r="AG182" i="65"/>
  <c r="Y182" i="65"/>
  <c r="AM182" i="65"/>
  <c r="J110" i="66"/>
  <c r="AA181" i="65"/>
  <c r="W180" i="65" l="1"/>
  <c r="AD180" i="65"/>
  <c r="J111" i="66"/>
  <c r="AA182" i="65"/>
  <c r="X182" i="65"/>
  <c r="M111" i="66"/>
  <c r="I111" i="66" s="1"/>
  <c r="V180" i="65"/>
  <c r="AC181" i="65"/>
  <c r="W181" i="65" s="1"/>
  <c r="S111" i="66"/>
  <c r="AN182" i="65"/>
  <c r="U184" i="65"/>
  <c r="AG183" i="65"/>
  <c r="AM183" i="65"/>
  <c r="AF183" i="65"/>
  <c r="L112" i="66" s="1"/>
  <c r="AJ183" i="65"/>
  <c r="P112" i="66" s="1"/>
  <c r="AI183" i="65"/>
  <c r="O112" i="66" s="1"/>
  <c r="AL183" i="65"/>
  <c r="R112" i="66" s="1"/>
  <c r="AH183" i="65"/>
  <c r="N112" i="66" s="1"/>
  <c r="Y183" i="65"/>
  <c r="C126" i="65"/>
  <c r="E126" i="65" s="1"/>
  <c r="B127" i="65"/>
  <c r="C127" i="65" s="1"/>
  <c r="E127" i="65" s="1"/>
  <c r="E108" i="65" s="1"/>
  <c r="E109" i="65" s="1"/>
  <c r="I25" i="31" s="1"/>
  <c r="AD181" i="65" l="1"/>
  <c r="C10" i="65"/>
  <c r="C26" i="65" s="1"/>
  <c r="V181" i="65"/>
  <c r="AN183" i="65"/>
  <c r="S112" i="66"/>
  <c r="X183" i="65"/>
  <c r="M112" i="66"/>
  <c r="I112" i="66" s="1"/>
  <c r="AC182" i="65"/>
  <c r="V182" i="65" s="1"/>
  <c r="J112" i="66"/>
  <c r="AA183" i="65"/>
  <c r="AM184" i="65"/>
  <c r="AI184" i="65"/>
  <c r="O113" i="66" s="1"/>
  <c r="AH184" i="65"/>
  <c r="N113" i="66" s="1"/>
  <c r="AG184" i="65"/>
  <c r="AL184" i="65"/>
  <c r="R113" i="66" s="1"/>
  <c r="AF184" i="65"/>
  <c r="L113" i="66" s="1"/>
  <c r="U185" i="65"/>
  <c r="AJ184" i="65"/>
  <c r="P113" i="66" s="1"/>
  <c r="Y184" i="65"/>
  <c r="H21" i="65" l="1"/>
  <c r="C40" i="65"/>
  <c r="O18" i="65"/>
  <c r="N26" i="65"/>
  <c r="AD182" i="65"/>
  <c r="W182" i="65"/>
  <c r="AC183" i="65"/>
  <c r="V183" i="65" s="1"/>
  <c r="AI185" i="65"/>
  <c r="O114" i="66" s="1"/>
  <c r="AF185" i="65"/>
  <c r="L114" i="66" s="1"/>
  <c r="AL185" i="65"/>
  <c r="R114" i="66" s="1"/>
  <c r="Y185" i="65"/>
  <c r="AJ185" i="65"/>
  <c r="P114" i="66" s="1"/>
  <c r="U186" i="65"/>
  <c r="AG185" i="65"/>
  <c r="AM185" i="65"/>
  <c r="AH185" i="65"/>
  <c r="N114" i="66" s="1"/>
  <c r="M113" i="66"/>
  <c r="I113" i="66" s="1"/>
  <c r="X184" i="65"/>
  <c r="J113" i="66"/>
  <c r="AA184" i="65"/>
  <c r="S113" i="66"/>
  <c r="AN184" i="65"/>
  <c r="AD183" i="65" l="1"/>
  <c r="AC184" i="65"/>
  <c r="AD184" i="65" s="1"/>
  <c r="S114" i="66"/>
  <c r="AN185" i="65"/>
  <c r="M114" i="66"/>
  <c r="I114" i="66" s="1"/>
  <c r="X185" i="65"/>
  <c r="AF186" i="65"/>
  <c r="L115" i="66" s="1"/>
  <c r="AL186" i="65"/>
  <c r="R115" i="66" s="1"/>
  <c r="AM186" i="65"/>
  <c r="AI186" i="65"/>
  <c r="O115" i="66" s="1"/>
  <c r="Y186" i="65"/>
  <c r="U187" i="65"/>
  <c r="AJ186" i="65"/>
  <c r="P115" i="66" s="1"/>
  <c r="AH186" i="65"/>
  <c r="N115" i="66" s="1"/>
  <c r="AG186" i="65"/>
  <c r="W183" i="65"/>
  <c r="AA185" i="65"/>
  <c r="J114" i="66"/>
  <c r="W184" i="65" l="1"/>
  <c r="V184" i="65"/>
  <c r="AC185" i="65"/>
  <c r="AD185" i="65" s="1"/>
  <c r="AL187" i="65"/>
  <c r="R116" i="66" s="1"/>
  <c r="AH187" i="65"/>
  <c r="N116" i="66" s="1"/>
  <c r="Y187" i="65"/>
  <c r="U188" i="65"/>
  <c r="AF187" i="65"/>
  <c r="L116" i="66" s="1"/>
  <c r="AJ187" i="65"/>
  <c r="P116" i="66" s="1"/>
  <c r="AM187" i="65"/>
  <c r="AI187" i="65"/>
  <c r="O116" i="66" s="1"/>
  <c r="AG187" i="65"/>
  <c r="S115" i="66"/>
  <c r="AN186" i="65"/>
  <c r="M115" i="66"/>
  <c r="I115" i="66" s="1"/>
  <c r="X186" i="65"/>
  <c r="J115" i="66"/>
  <c r="AA186" i="65"/>
  <c r="W185" i="65" l="1"/>
  <c r="AC186" i="65"/>
  <c r="AH188" i="65"/>
  <c r="N117" i="66" s="1"/>
  <c r="Y188" i="65"/>
  <c r="AI188" i="65"/>
  <c r="O117" i="66" s="1"/>
  <c r="AG188" i="65"/>
  <c r="AF188" i="65"/>
  <c r="L117" i="66" s="1"/>
  <c r="AL188" i="65"/>
  <c r="R117" i="66" s="1"/>
  <c r="U189" i="65"/>
  <c r="AM188" i="65"/>
  <c r="AJ188" i="65"/>
  <c r="P117" i="66" s="1"/>
  <c r="J116" i="66"/>
  <c r="AA187" i="65"/>
  <c r="M116" i="66"/>
  <c r="I116" i="66" s="1"/>
  <c r="X187" i="65"/>
  <c r="V185" i="65"/>
  <c r="S116" i="66"/>
  <c r="AN187" i="65"/>
  <c r="W186" i="65" l="1"/>
  <c r="AD186" i="65"/>
  <c r="M117" i="66"/>
  <c r="I117" i="66" s="1"/>
  <c r="X188" i="65"/>
  <c r="J117" i="66"/>
  <c r="AA188" i="65"/>
  <c r="S117" i="66"/>
  <c r="AN188" i="65"/>
  <c r="V186" i="65"/>
  <c r="AC187" i="65"/>
  <c r="W187" i="65" s="1"/>
  <c r="AJ189" i="65"/>
  <c r="P118" i="66" s="1"/>
  <c r="AL189" i="65"/>
  <c r="R118" i="66" s="1"/>
  <c r="Y189" i="65"/>
  <c r="AI189" i="65"/>
  <c r="O118" i="66" s="1"/>
  <c r="AH189" i="65"/>
  <c r="N118" i="66" s="1"/>
  <c r="U190" i="65"/>
  <c r="AM189" i="65"/>
  <c r="AG189" i="65"/>
  <c r="AF189" i="65"/>
  <c r="L118" i="66" s="1"/>
  <c r="AD187" i="65" l="1"/>
  <c r="AC188" i="65"/>
  <c r="M118" i="66"/>
  <c r="I118" i="66" s="1"/>
  <c r="X189" i="65"/>
  <c r="AA189" i="65"/>
  <c r="J118" i="66"/>
  <c r="AN189" i="65"/>
  <c r="S118" i="66"/>
  <c r="V187" i="65"/>
  <c r="AJ190" i="65"/>
  <c r="P119" i="66" s="1"/>
  <c r="U191" i="65"/>
  <c r="AG190" i="65"/>
  <c r="AM190" i="65"/>
  <c r="AL190" i="65"/>
  <c r="R119" i="66" s="1"/>
  <c r="Y190" i="65"/>
  <c r="AI190" i="65"/>
  <c r="O119" i="66" s="1"/>
  <c r="AH190" i="65"/>
  <c r="N119" i="66" s="1"/>
  <c r="AF190" i="65"/>
  <c r="L119" i="66" s="1"/>
  <c r="V188" i="65" l="1"/>
  <c r="AD188" i="65"/>
  <c r="X190" i="65"/>
  <c r="M119" i="66"/>
  <c r="I119" i="66" s="1"/>
  <c r="AC189" i="65"/>
  <c r="V189" i="65" s="1"/>
  <c r="W188" i="65"/>
  <c r="J119" i="66"/>
  <c r="AA190" i="65"/>
  <c r="U192" i="65"/>
  <c r="AG191" i="65"/>
  <c r="AM191" i="65"/>
  <c r="AL191" i="65"/>
  <c r="R120" i="66" s="1"/>
  <c r="AJ191" i="65"/>
  <c r="P120" i="66" s="1"/>
  <c r="AH191" i="65"/>
  <c r="N120" i="66" s="1"/>
  <c r="AF191" i="65"/>
  <c r="L120" i="66" s="1"/>
  <c r="Y191" i="65"/>
  <c r="AI191" i="65"/>
  <c r="O120" i="66" s="1"/>
  <c r="AN190" i="65"/>
  <c r="S119" i="66"/>
  <c r="AD189" i="65" l="1"/>
  <c r="S120" i="66"/>
  <c r="AN191" i="65"/>
  <c r="X191" i="65"/>
  <c r="M120" i="66"/>
  <c r="I120" i="66" s="1"/>
  <c r="W189" i="65"/>
  <c r="AM192" i="65"/>
  <c r="AI192" i="65"/>
  <c r="O121" i="66" s="1"/>
  <c r="AG192" i="65"/>
  <c r="AF192" i="65"/>
  <c r="L121" i="66" s="1"/>
  <c r="U193" i="65"/>
  <c r="AL192" i="65"/>
  <c r="R121" i="66" s="1"/>
  <c r="AJ192" i="65"/>
  <c r="P121" i="66" s="1"/>
  <c r="AH192" i="65"/>
  <c r="N121" i="66" s="1"/>
  <c r="Y192" i="65"/>
  <c r="J120" i="66"/>
  <c r="AA191" i="65"/>
  <c r="AC190" i="65"/>
  <c r="V190" i="65" s="1"/>
  <c r="AD190" i="65" l="1"/>
  <c r="AI193" i="65"/>
  <c r="O122" i="66" s="1"/>
  <c r="AF193" i="65"/>
  <c r="L122" i="66" s="1"/>
  <c r="AJ193" i="65"/>
  <c r="P122" i="66" s="1"/>
  <c r="AH193" i="65"/>
  <c r="N122" i="66" s="1"/>
  <c r="AG193" i="65"/>
  <c r="AL193" i="65"/>
  <c r="R122" i="66" s="1"/>
  <c r="U194" i="65"/>
  <c r="Y193" i="65"/>
  <c r="AM193" i="65"/>
  <c r="M121" i="66"/>
  <c r="I121" i="66" s="1"/>
  <c r="X192" i="65"/>
  <c r="AC191" i="65"/>
  <c r="V191" i="65" s="1"/>
  <c r="W190" i="65"/>
  <c r="J121" i="66"/>
  <c r="AA192" i="65"/>
  <c r="S121" i="66"/>
  <c r="AN192" i="65"/>
  <c r="W191" i="65" l="1"/>
  <c r="AD191" i="65"/>
  <c r="S122" i="66"/>
  <c r="AN193" i="65"/>
  <c r="J122" i="66"/>
  <c r="AA193" i="65"/>
  <c r="AF194" i="65"/>
  <c r="L123" i="66" s="1"/>
  <c r="AL194" i="65"/>
  <c r="R123" i="66" s="1"/>
  <c r="AM194" i="65"/>
  <c r="AJ194" i="65"/>
  <c r="P123" i="66" s="1"/>
  <c r="Y194" i="65"/>
  <c r="AI194" i="65"/>
  <c r="O123" i="66" s="1"/>
  <c r="AG194" i="65"/>
  <c r="U195" i="65"/>
  <c r="AH194" i="65"/>
  <c r="N123" i="66" s="1"/>
  <c r="AC192" i="65"/>
  <c r="V192" i="65" s="1"/>
  <c r="M122" i="66"/>
  <c r="I122" i="66" s="1"/>
  <c r="X193" i="65"/>
  <c r="AD192" i="65" l="1"/>
  <c r="S123" i="66"/>
  <c r="AN194" i="65"/>
  <c r="AC193" i="65"/>
  <c r="V193" i="65" s="1"/>
  <c r="AL195" i="65"/>
  <c r="R124" i="66" s="1"/>
  <c r="AH195" i="65"/>
  <c r="N124" i="66" s="1"/>
  <c r="Y195" i="65"/>
  <c r="AM195" i="65"/>
  <c r="AF195" i="65"/>
  <c r="L124" i="66" s="1"/>
  <c r="AJ195" i="65"/>
  <c r="P124" i="66" s="1"/>
  <c r="AI195" i="65"/>
  <c r="O124" i="66" s="1"/>
  <c r="U196" i="65"/>
  <c r="AG195" i="65"/>
  <c r="M123" i="66"/>
  <c r="I123" i="66" s="1"/>
  <c r="X194" i="65"/>
  <c r="J123" i="66"/>
  <c r="AA194" i="65"/>
  <c r="W192" i="65"/>
  <c r="AD193" i="65" l="1"/>
  <c r="W193" i="65"/>
  <c r="AH196" i="65"/>
  <c r="N125" i="66" s="1"/>
  <c r="Y196" i="65"/>
  <c r="AF196" i="65"/>
  <c r="L125" i="66" s="1"/>
  <c r="U197" i="65"/>
  <c r="AJ196" i="65"/>
  <c r="P125" i="66" s="1"/>
  <c r="AM196" i="65"/>
  <c r="AI196" i="65"/>
  <c r="O125" i="66" s="1"/>
  <c r="AL196" i="65"/>
  <c r="R125" i="66" s="1"/>
  <c r="AG196" i="65"/>
  <c r="S124" i="66"/>
  <c r="AN195" i="65"/>
  <c r="J124" i="66"/>
  <c r="AA195" i="65"/>
  <c r="AC194" i="65"/>
  <c r="AD194" i="65" s="1"/>
  <c r="M124" i="66"/>
  <c r="I124" i="66" s="1"/>
  <c r="X195" i="65"/>
  <c r="W194" i="65" l="1"/>
  <c r="V194" i="65"/>
  <c r="AJ197" i="65"/>
  <c r="P126" i="66" s="1"/>
  <c r="AH197" i="65"/>
  <c r="N126" i="66" s="1"/>
  <c r="AG197" i="65"/>
  <c r="AF197" i="65"/>
  <c r="L126" i="66" s="1"/>
  <c r="AI197" i="65"/>
  <c r="O126" i="66" s="1"/>
  <c r="U198" i="65"/>
  <c r="AM197" i="65"/>
  <c r="AL197" i="65"/>
  <c r="R126" i="66" s="1"/>
  <c r="Y197" i="65"/>
  <c r="AC195" i="65"/>
  <c r="AA196" i="65"/>
  <c r="J125" i="66"/>
  <c r="M125" i="66"/>
  <c r="I125" i="66" s="1"/>
  <c r="X196" i="65"/>
  <c r="S125" i="66"/>
  <c r="AN196" i="65"/>
  <c r="W195" i="65" l="1"/>
  <c r="AD195" i="65"/>
  <c r="M126" i="66"/>
  <c r="I126" i="66" s="1"/>
  <c r="X197" i="65"/>
  <c r="AA197" i="65"/>
  <c r="J126" i="66"/>
  <c r="V195" i="65"/>
  <c r="AN197" i="65"/>
  <c r="S126" i="66"/>
  <c r="AJ198" i="65"/>
  <c r="P127" i="66" s="1"/>
  <c r="U199" i="65"/>
  <c r="AG198" i="65"/>
  <c r="AL198" i="65"/>
  <c r="R127" i="66" s="1"/>
  <c r="Y198" i="65"/>
  <c r="AI198" i="65"/>
  <c r="O127" i="66" s="1"/>
  <c r="AH198" i="65"/>
  <c r="N127" i="66" s="1"/>
  <c r="AM198" i="65"/>
  <c r="AF198" i="65"/>
  <c r="L127" i="66" s="1"/>
  <c r="AC196" i="65"/>
  <c r="W196" i="65" s="1"/>
  <c r="V196" i="65" l="1"/>
  <c r="AD196" i="65"/>
  <c r="AC197" i="65"/>
  <c r="W197" i="65" s="1"/>
  <c r="J127" i="66"/>
  <c r="AA198" i="65"/>
  <c r="X198" i="65"/>
  <c r="M127" i="66"/>
  <c r="I127" i="66" s="1"/>
  <c r="U200" i="65"/>
  <c r="AG199" i="65"/>
  <c r="AM199" i="65"/>
  <c r="AL199" i="65"/>
  <c r="R128" i="66" s="1"/>
  <c r="AJ199" i="65"/>
  <c r="P128" i="66" s="1"/>
  <c r="Y199" i="65"/>
  <c r="AI199" i="65"/>
  <c r="O128" i="66" s="1"/>
  <c r="AH199" i="65"/>
  <c r="N128" i="66" s="1"/>
  <c r="AF199" i="65"/>
  <c r="L128" i="66" s="1"/>
  <c r="S127" i="66"/>
  <c r="AN198" i="65"/>
  <c r="AD197" i="65" l="1"/>
  <c r="V197" i="65"/>
  <c r="AC198" i="65"/>
  <c r="W198" i="65" s="1"/>
  <c r="M128" i="66"/>
  <c r="I128" i="66" s="1"/>
  <c r="X199" i="65"/>
  <c r="AM200" i="65"/>
  <c r="AI200" i="65"/>
  <c r="O129" i="66" s="1"/>
  <c r="U201" i="65"/>
  <c r="AL200" i="65"/>
  <c r="R129" i="66" s="1"/>
  <c r="Y200" i="65"/>
  <c r="AG200" i="65"/>
  <c r="AJ200" i="65"/>
  <c r="P129" i="66" s="1"/>
  <c r="AH200" i="65"/>
  <c r="N129" i="66" s="1"/>
  <c r="AF200" i="65"/>
  <c r="L129" i="66" s="1"/>
  <c r="J128" i="66"/>
  <c r="AA199" i="65"/>
  <c r="S128" i="66"/>
  <c r="AN199" i="65"/>
  <c r="AD198" i="65" l="1"/>
  <c r="V198" i="65"/>
  <c r="S129" i="66"/>
  <c r="AN200" i="65"/>
  <c r="AC199" i="65"/>
  <c r="W199" i="65" s="1"/>
  <c r="J129" i="66"/>
  <c r="AA200" i="65"/>
  <c r="AI201" i="65"/>
  <c r="O130" i="66" s="1"/>
  <c r="AF201" i="65"/>
  <c r="L130" i="66" s="1"/>
  <c r="AG201" i="65"/>
  <c r="U202" i="65"/>
  <c r="AL201" i="65"/>
  <c r="R130" i="66" s="1"/>
  <c r="Y201" i="65"/>
  <c r="AJ201" i="65"/>
  <c r="P130" i="66" s="1"/>
  <c r="AM201" i="65"/>
  <c r="AH201" i="65"/>
  <c r="N130" i="66" s="1"/>
  <c r="M129" i="66"/>
  <c r="I129" i="66" s="1"/>
  <c r="X200" i="65"/>
  <c r="AD199" i="65" l="1"/>
  <c r="V199" i="65"/>
  <c r="J130" i="66"/>
  <c r="AA201" i="65"/>
  <c r="AC200" i="65"/>
  <c r="AF202" i="65"/>
  <c r="L131" i="66" s="1"/>
  <c r="AL202" i="65"/>
  <c r="R131" i="66" s="1"/>
  <c r="AI202" i="65"/>
  <c r="O131" i="66" s="1"/>
  <c r="AH202" i="65"/>
  <c r="N131" i="66" s="1"/>
  <c r="AG202" i="65"/>
  <c r="AJ202" i="65"/>
  <c r="P131" i="66" s="1"/>
  <c r="U203" i="65"/>
  <c r="Y202" i="65"/>
  <c r="AM202" i="65"/>
  <c r="M130" i="66"/>
  <c r="I130" i="66" s="1"/>
  <c r="X201" i="65"/>
  <c r="S130" i="66"/>
  <c r="AN201" i="65"/>
  <c r="V200" i="65" l="1"/>
  <c r="W200" i="65"/>
  <c r="AD200" i="65"/>
  <c r="AL203" i="65"/>
  <c r="R132" i="66" s="1"/>
  <c r="AH203" i="65"/>
  <c r="N132" i="66" s="1"/>
  <c r="Y203" i="65"/>
  <c r="AM203" i="65"/>
  <c r="AJ203" i="65"/>
  <c r="P132" i="66" s="1"/>
  <c r="AI203" i="65"/>
  <c r="O132" i="66" s="1"/>
  <c r="AF203" i="65"/>
  <c r="L132" i="66" s="1"/>
  <c r="U204" i="65"/>
  <c r="AG203" i="65"/>
  <c r="AC201" i="65"/>
  <c r="X202" i="65"/>
  <c r="M131" i="66"/>
  <c r="I131" i="66" s="1"/>
  <c r="S131" i="66"/>
  <c r="AN202" i="65"/>
  <c r="J131" i="66"/>
  <c r="AA202" i="65"/>
  <c r="W201" i="65" l="1"/>
  <c r="AD201" i="65"/>
  <c r="V201" i="65"/>
  <c r="M132" i="66"/>
  <c r="I132" i="66" s="1"/>
  <c r="X203" i="65"/>
  <c r="AC202" i="65"/>
  <c r="AH204" i="65"/>
  <c r="N133" i="66" s="1"/>
  <c r="Y204" i="65"/>
  <c r="AM204" i="65"/>
  <c r="AL204" i="65"/>
  <c r="R133" i="66" s="1"/>
  <c r="AF204" i="65"/>
  <c r="L133" i="66" s="1"/>
  <c r="AJ204" i="65"/>
  <c r="P133" i="66" s="1"/>
  <c r="AI204" i="65"/>
  <c r="O133" i="66" s="1"/>
  <c r="AG204" i="65"/>
  <c r="U205" i="65"/>
  <c r="S132" i="66"/>
  <c r="AN203" i="65"/>
  <c r="J132" i="66"/>
  <c r="AA203" i="65"/>
  <c r="V202" i="65" l="1"/>
  <c r="W202" i="65"/>
  <c r="AD202" i="65"/>
  <c r="S133" i="66"/>
  <c r="AN204" i="65"/>
  <c r="AA204" i="65"/>
  <c r="J133" i="66"/>
  <c r="M133" i="66"/>
  <c r="I133" i="66" s="1"/>
  <c r="X204" i="65"/>
  <c r="AC203" i="65"/>
  <c r="AJ205" i="65"/>
  <c r="P134" i="66" s="1"/>
  <c r="AF205" i="65"/>
  <c r="L134" i="66" s="1"/>
  <c r="U206" i="65"/>
  <c r="AI205" i="65"/>
  <c r="O134" i="66" s="1"/>
  <c r="Y205" i="65"/>
  <c r="AM205" i="65"/>
  <c r="AL205" i="65"/>
  <c r="R134" i="66" s="1"/>
  <c r="AH205" i="65"/>
  <c r="N134" i="66" s="1"/>
  <c r="AG205" i="65"/>
  <c r="W203" i="65" l="1"/>
  <c r="AD203" i="65"/>
  <c r="AJ206" i="65"/>
  <c r="P135" i="66" s="1"/>
  <c r="U207" i="65"/>
  <c r="U208" i="65" s="1"/>
  <c r="AG206" i="65"/>
  <c r="AH206" i="65"/>
  <c r="N135" i="66" s="1"/>
  <c r="AF206" i="65"/>
  <c r="L135" i="66" s="1"/>
  <c r="AI206" i="65"/>
  <c r="O135" i="66" s="1"/>
  <c r="Y206" i="65"/>
  <c r="AL206" i="65"/>
  <c r="R135" i="66" s="1"/>
  <c r="AM206" i="65"/>
  <c r="AC204" i="65"/>
  <c r="M134" i="66"/>
  <c r="I134" i="66" s="1"/>
  <c r="X205" i="65"/>
  <c r="AN205" i="65"/>
  <c r="S134" i="66"/>
  <c r="V203" i="65"/>
  <c r="J134" i="66"/>
  <c r="AA205" i="65"/>
  <c r="V204" i="65" l="1"/>
  <c r="AD204" i="65"/>
  <c r="AO205" i="65"/>
  <c r="AO203" i="65"/>
  <c r="AO201" i="65"/>
  <c r="AH208" i="65"/>
  <c r="U209" i="65"/>
  <c r="AI208" i="65"/>
  <c r="S135" i="66"/>
  <c r="AN206" i="65"/>
  <c r="J135" i="66"/>
  <c r="AA206" i="65"/>
  <c r="AO204" i="65"/>
  <c r="W204" i="65"/>
  <c r="AC205" i="65"/>
  <c r="X206" i="65"/>
  <c r="O24" i="65" s="1"/>
  <c r="M135" i="66"/>
  <c r="I135" i="66" s="1"/>
  <c r="O23" i="66" s="1"/>
  <c r="W205" i="65" l="1"/>
  <c r="AD205" i="65"/>
  <c r="V205" i="65"/>
  <c r="U210" i="65"/>
  <c r="AH209" i="65"/>
  <c r="N138" i="66" s="1"/>
  <c r="AI209" i="65"/>
  <c r="AA207" i="65"/>
  <c r="AC206" i="65"/>
  <c r="AC207" i="65" s="1"/>
  <c r="N137" i="66"/>
  <c r="M137" i="66" s="1"/>
  <c r="AG208" i="65"/>
  <c r="J29" i="66"/>
  <c r="J35" i="66"/>
  <c r="J30" i="66"/>
  <c r="J32" i="66"/>
  <c r="J30" i="65"/>
  <c r="J35" i="65"/>
  <c r="J29" i="65"/>
  <c r="J32" i="65"/>
  <c r="AO206" i="65"/>
  <c r="AO155" i="65"/>
  <c r="AO153" i="65"/>
  <c r="AO154" i="65"/>
  <c r="AO157" i="65"/>
  <c r="AO158" i="65"/>
  <c r="AO156" i="65"/>
  <c r="AO162" i="65"/>
  <c r="AO160" i="65"/>
  <c r="AO159" i="65"/>
  <c r="AO161" i="65"/>
  <c r="AO163" i="65"/>
  <c r="AO164" i="65"/>
  <c r="AO166" i="65"/>
  <c r="AO168" i="65"/>
  <c r="AO165" i="65"/>
  <c r="AO167" i="65"/>
  <c r="AO169" i="65"/>
  <c r="AO174" i="65"/>
  <c r="AO170" i="65"/>
  <c r="AO172" i="65"/>
  <c r="AO171" i="65"/>
  <c r="AO173" i="65"/>
  <c r="AO176" i="65"/>
  <c r="AO175" i="65"/>
  <c r="AO177" i="65"/>
  <c r="AO178" i="65"/>
  <c r="AO179" i="65"/>
  <c r="AO181" i="65"/>
  <c r="AO183" i="65"/>
  <c r="AO182" i="65"/>
  <c r="AO180" i="65"/>
  <c r="AO185" i="65"/>
  <c r="AO186" i="65"/>
  <c r="AO184" i="65"/>
  <c r="AO187" i="65"/>
  <c r="AO189" i="65"/>
  <c r="AO188" i="65"/>
  <c r="AO190" i="65"/>
  <c r="AO193" i="65"/>
  <c r="AO191" i="65"/>
  <c r="AO194" i="65"/>
  <c r="AO192" i="65"/>
  <c r="AO197" i="65"/>
  <c r="AO195" i="65"/>
  <c r="AO196" i="65"/>
  <c r="AO198" i="65"/>
  <c r="AO200" i="65"/>
  <c r="AO199" i="65"/>
  <c r="AO202" i="65"/>
  <c r="AD206" i="65" l="1"/>
  <c r="W206" i="65"/>
  <c r="AG209" i="65"/>
  <c r="AI210" i="65"/>
  <c r="AH210" i="65"/>
  <c r="N139" i="66" s="1"/>
  <c r="U211" i="65"/>
  <c r="K97" i="65"/>
  <c r="I103" i="65"/>
  <c r="L105" i="65"/>
  <c r="G50" i="65" s="1"/>
  <c r="J91" i="65"/>
  <c r="L103" i="65"/>
  <c r="G48" i="65" s="1"/>
  <c r="J97" i="65"/>
  <c r="I99" i="65"/>
  <c r="N92" i="65"/>
  <c r="M90" i="65"/>
  <c r="I105" i="65"/>
  <c r="M96" i="65"/>
  <c r="M97" i="65"/>
  <c r="I97" i="65"/>
  <c r="N90" i="65"/>
  <c r="M92" i="65"/>
  <c r="K96" i="65"/>
  <c r="K90" i="65"/>
  <c r="M98" i="65"/>
  <c r="J99" i="65"/>
  <c r="L90" i="65"/>
  <c r="L91" i="65"/>
  <c r="M91" i="65"/>
  <c r="J98" i="65"/>
  <c r="J92" i="65"/>
  <c r="J96" i="65"/>
  <c r="L92" i="65"/>
  <c r="I98" i="65"/>
  <c r="K91" i="65"/>
  <c r="L98" i="65"/>
  <c r="M99" i="65"/>
  <c r="L97" i="65"/>
  <c r="K92" i="65"/>
  <c r="K99" i="65"/>
  <c r="L104" i="65"/>
  <c r="G49" i="65" s="1"/>
  <c r="K98" i="65"/>
  <c r="I104" i="65"/>
  <c r="L99" i="65"/>
  <c r="L96" i="65"/>
  <c r="P96" i="65"/>
  <c r="P97" i="65"/>
  <c r="O92" i="65"/>
  <c r="I102" i="65"/>
  <c r="G43" i="65" s="1"/>
  <c r="N91" i="65"/>
  <c r="O90" i="65"/>
  <c r="I96" i="65"/>
  <c r="O91" i="65"/>
  <c r="P98" i="65"/>
  <c r="P99" i="65"/>
  <c r="P101" i="65"/>
  <c r="G51" i="65" s="1"/>
  <c r="P102" i="65"/>
  <c r="G52" i="65" s="1"/>
  <c r="M138" i="66"/>
  <c r="M139" i="66" s="1"/>
  <c r="V206" i="65"/>
  <c r="I92" i="65" l="1"/>
  <c r="I91" i="65"/>
  <c r="I90" i="65"/>
  <c r="J90" i="65"/>
  <c r="G47" i="65"/>
  <c r="G45" i="65"/>
  <c r="G46" i="65"/>
  <c r="U212" i="65"/>
  <c r="AI211" i="65"/>
  <c r="AH211" i="65"/>
  <c r="N140" i="66" s="1"/>
  <c r="M140" i="66" s="1"/>
  <c r="AG210" i="65"/>
  <c r="K109" i="65" l="1"/>
  <c r="I24" i="65" s="1"/>
  <c r="K110" i="65"/>
  <c r="I25" i="65" s="1"/>
  <c r="K111" i="65"/>
  <c r="I26" i="65" s="1"/>
  <c r="G44" i="65"/>
  <c r="G54" i="65" s="1"/>
  <c r="U213" i="65"/>
  <c r="AI212" i="65"/>
  <c r="AH212" i="65"/>
  <c r="N141" i="66" s="1"/>
  <c r="M141" i="66" s="1"/>
  <c r="AG211" i="65"/>
  <c r="AG212" i="65" l="1"/>
  <c r="U214" i="65"/>
  <c r="AH213" i="65"/>
  <c r="N142" i="66" s="1"/>
  <c r="M142" i="66" s="1"/>
  <c r="AI213" i="65"/>
  <c r="AG213" i="65" l="1"/>
  <c r="U215" i="65"/>
  <c r="AI214" i="65"/>
  <c r="AH214" i="65"/>
  <c r="N143" i="66" s="1"/>
  <c r="M143" i="66" s="1"/>
  <c r="AG214" i="65" l="1"/>
  <c r="U216" i="65"/>
  <c r="U217" i="65" s="1"/>
  <c r="U218" i="65" s="1"/>
  <c r="U219" i="65" s="1"/>
  <c r="AI215" i="65"/>
  <c r="AH215" i="65"/>
  <c r="N144" i="66" s="1"/>
  <c r="M144" i="66" s="1"/>
  <c r="M145" i="66" s="1"/>
  <c r="M146" i="66" s="1"/>
  <c r="M147" i="66" s="1"/>
  <c r="M148" i="66" s="1"/>
  <c r="M42" i="66" l="1"/>
  <c r="O42" i="66"/>
  <c r="AG215" i="65"/>
  <c r="AG216" i="65" s="1"/>
  <c r="AG217" i="65" s="1"/>
  <c r="AG218" i="65" s="1"/>
  <c r="AG219" i="65" s="1"/>
  <c r="M42" i="65" s="1"/>
  <c r="O42" i="65" l="1"/>
  <c r="J47" i="65" s="1"/>
  <c r="J47" i="66"/>
  <c r="J44" i="66"/>
  <c r="J44" i="65" l="1"/>
  <c r="AA176" i="63"/>
  <c r="AA177" i="63" s="1"/>
  <c r="AA178" i="63" s="1"/>
  <c r="AA179" i="63" s="1"/>
  <c r="AA180" i="63" s="1"/>
  <c r="AA181" i="63" s="1"/>
  <c r="AA182" i="63" s="1"/>
  <c r="AA183" i="63" s="1"/>
  <c r="AA184" i="63" s="1"/>
  <c r="AA185" i="63" s="1"/>
  <c r="AA186" i="63" s="1"/>
  <c r="AA187" i="63" s="1"/>
  <c r="AA188" i="63" s="1"/>
  <c r="AA189" i="63" s="1"/>
  <c r="AA190" i="63" s="1"/>
  <c r="AA191" i="63" s="1"/>
  <c r="AA192" i="63" s="1"/>
  <c r="AA193" i="63" s="1"/>
  <c r="AA194" i="63" s="1"/>
  <c r="AA195" i="63" s="1"/>
  <c r="AA196" i="63" s="1"/>
  <c r="AA197" i="63" s="1"/>
  <c r="AA198" i="63" s="1"/>
  <c r="AA199" i="63" s="1"/>
  <c r="AA200" i="63" s="1"/>
  <c r="AA201" i="63" s="1"/>
  <c r="AA202" i="63" s="1"/>
  <c r="AA203" i="63" s="1"/>
  <c r="AA204" i="63" s="1"/>
  <c r="AA205" i="63" s="1"/>
  <c r="AA206" i="63" s="1"/>
  <c r="AA207" i="63" s="1"/>
  <c r="AA208" i="63" s="1"/>
  <c r="AA209" i="63" s="1"/>
  <c r="AA210" i="63" s="1"/>
  <c r="AA211" i="63" s="1"/>
  <c r="AA212" i="63" s="1"/>
  <c r="AA213" i="63" s="1"/>
  <c r="AA214" i="63" s="1"/>
  <c r="AA215" i="63" s="1"/>
  <c r="AA216" i="63" s="1"/>
  <c r="AA217" i="63" s="1"/>
  <c r="AA218" i="63" s="1"/>
  <c r="AA219" i="63" s="1"/>
  <c r="AA220" i="63" s="1"/>
  <c r="AA221" i="63" s="1"/>
  <c r="AA222" i="63" s="1"/>
  <c r="AA223" i="63" s="1"/>
  <c r="AA224" i="63" s="1"/>
  <c r="U146" i="63"/>
  <c r="C97" i="63"/>
  <c r="D97" i="63" s="1"/>
  <c r="C96" i="63"/>
  <c r="D96" i="63" s="1"/>
  <c r="C95" i="63"/>
  <c r="D95" i="63" s="1"/>
  <c r="P52" i="63"/>
  <c r="O52" i="63"/>
  <c r="F44" i="63"/>
  <c r="K44" i="63" s="1"/>
  <c r="K43" i="63"/>
  <c r="K42" i="63"/>
  <c r="K41" i="63"/>
  <c r="K40" i="63"/>
  <c r="K39" i="63"/>
  <c r="K38" i="63"/>
  <c r="K37" i="63"/>
  <c r="K36" i="63"/>
  <c r="K35" i="63"/>
  <c r="K34" i="63"/>
  <c r="K33" i="63"/>
  <c r="M23" i="63"/>
  <c r="M21" i="63"/>
  <c r="M17" i="63"/>
  <c r="S8" i="63"/>
  <c r="D2" i="63"/>
  <c r="D1" i="63"/>
  <c r="S10" i="63" l="1"/>
  <c r="S12" i="63" l="1"/>
  <c r="C48" i="60"/>
  <c r="D48" i="60" s="1"/>
  <c r="E48" i="60" s="1"/>
  <c r="F48" i="60" s="1"/>
  <c r="G48" i="60" s="1"/>
  <c r="H48" i="60" s="1"/>
  <c r="I48" i="60" s="1"/>
  <c r="J48" i="60" s="1"/>
  <c r="K48" i="60" s="1"/>
  <c r="L48" i="60" s="1"/>
  <c r="M48" i="60" s="1"/>
  <c r="N48" i="60" s="1"/>
  <c r="O48" i="60" s="1"/>
  <c r="P48" i="60" s="1"/>
  <c r="Q48" i="60" s="1"/>
  <c r="R48" i="60" s="1"/>
  <c r="K194" i="61"/>
  <c r="K192" i="61"/>
  <c r="K191" i="61"/>
  <c r="J196" i="61" s="1"/>
  <c r="J181" i="61"/>
  <c r="I151" i="61"/>
  <c r="J120" i="61"/>
  <c r="J87" i="61"/>
  <c r="J70" i="61"/>
  <c r="I70" i="61"/>
  <c r="H70" i="61"/>
  <c r="G70" i="61"/>
  <c r="J69" i="61"/>
  <c r="I69" i="61"/>
  <c r="H69" i="61"/>
  <c r="J57" i="61"/>
  <c r="J36" i="61"/>
  <c r="E2" i="61"/>
  <c r="E1" i="61"/>
  <c r="G117" i="60"/>
  <c r="G118" i="60" s="1"/>
  <c r="G119" i="60" s="1"/>
  <c r="G120" i="60" s="1"/>
  <c r="G121" i="60" s="1"/>
  <c r="G122" i="60" s="1"/>
  <c r="G123" i="60" s="1"/>
  <c r="G124" i="60" s="1"/>
  <c r="G125" i="60" s="1"/>
  <c r="G126" i="60" s="1"/>
  <c r="G127" i="60" s="1"/>
  <c r="G128" i="60" s="1"/>
  <c r="G129" i="60" s="1"/>
  <c r="G130" i="60" s="1"/>
  <c r="G131" i="60" s="1"/>
  <c r="G132" i="60" s="1"/>
  <c r="G133" i="60" s="1"/>
  <c r="G134" i="60" s="1"/>
  <c r="G135" i="60" s="1"/>
  <c r="G136" i="60" s="1"/>
  <c r="G137" i="60" s="1"/>
  <c r="G138" i="60" s="1"/>
  <c r="G139" i="60" s="1"/>
  <c r="G140" i="60" s="1"/>
  <c r="G141" i="60" s="1"/>
  <c r="G142" i="60" s="1"/>
  <c r="G143" i="60" s="1"/>
  <c r="G144" i="60" s="1"/>
  <c r="G145" i="60" s="1"/>
  <c r="G146" i="60" s="1"/>
  <c r="G147" i="60" s="1"/>
  <c r="G148" i="60" s="1"/>
  <c r="G149" i="60" s="1"/>
  <c r="G150" i="60" s="1"/>
  <c r="G151" i="60" s="1"/>
  <c r="G152" i="60" s="1"/>
  <c r="G153" i="60" s="1"/>
  <c r="G154" i="60" s="1"/>
  <c r="G155" i="60" s="1"/>
  <c r="G156" i="60" s="1"/>
  <c r="G157" i="60" s="1"/>
  <c r="G158" i="60" s="1"/>
  <c r="G159" i="60" s="1"/>
  <c r="G160" i="60" s="1"/>
  <c r="G161" i="60" s="1"/>
  <c r="G162" i="60" s="1"/>
  <c r="G163" i="60" s="1"/>
  <c r="G164" i="60" s="1"/>
  <c r="G165" i="60" s="1"/>
  <c r="G166" i="60" s="1"/>
  <c r="G167" i="60" s="1"/>
  <c r="L43" i="60"/>
  <c r="K42" i="60" s="1"/>
  <c r="E33" i="60"/>
  <c r="D2" i="60"/>
  <c r="D1" i="60"/>
  <c r="AA176" i="59"/>
  <c r="C97" i="59"/>
  <c r="D97" i="59" s="1"/>
  <c r="D96" i="59"/>
  <c r="C96" i="59"/>
  <c r="C95" i="59"/>
  <c r="D95" i="59" s="1"/>
  <c r="P52" i="59"/>
  <c r="O52" i="59"/>
  <c r="F44" i="59"/>
  <c r="K44" i="59" s="1"/>
  <c r="K43" i="59"/>
  <c r="K42" i="59"/>
  <c r="K41" i="59"/>
  <c r="K40" i="59"/>
  <c r="K39" i="59"/>
  <c r="K38" i="59"/>
  <c r="K37" i="59"/>
  <c r="K36" i="59"/>
  <c r="K35" i="59"/>
  <c r="K34" i="59"/>
  <c r="W33" i="59"/>
  <c r="K33" i="59"/>
  <c r="W29" i="59"/>
  <c r="W26" i="59"/>
  <c r="W25" i="59"/>
  <c r="W24" i="59"/>
  <c r="W23" i="59"/>
  <c r="M23" i="59"/>
  <c r="W22" i="59"/>
  <c r="W21" i="59"/>
  <c r="M21" i="59"/>
  <c r="W20" i="59"/>
  <c r="W19" i="59"/>
  <c r="W18" i="59"/>
  <c r="W17" i="59"/>
  <c r="M17" i="59"/>
  <c r="W16" i="59"/>
  <c r="W15" i="59"/>
  <c r="W14" i="59"/>
  <c r="W13" i="59"/>
  <c r="W12" i="59"/>
  <c r="W11" i="59"/>
  <c r="AC10" i="59"/>
  <c r="W10" i="59"/>
  <c r="W9" i="59"/>
  <c r="AC8" i="59"/>
  <c r="W8" i="59"/>
  <c r="D2" i="59"/>
  <c r="D1" i="59"/>
  <c r="S14" i="63" l="1"/>
  <c r="AC12" i="59"/>
  <c r="T37" i="59"/>
  <c r="U37" i="59"/>
  <c r="AA177" i="59"/>
  <c r="S16" i="63" l="1"/>
  <c r="AA178" i="59"/>
  <c r="AC14" i="59"/>
  <c r="V38" i="59"/>
  <c r="V39" i="59"/>
  <c r="S18" i="63" l="1"/>
  <c r="AC16" i="59"/>
  <c r="AA179" i="59"/>
  <c r="S20" i="63" l="1"/>
  <c r="U146" i="59"/>
  <c r="AA180" i="59"/>
  <c r="AC18" i="59"/>
  <c r="S22" i="63" l="1"/>
  <c r="AC20" i="59"/>
  <c r="AA181" i="59"/>
  <c r="C229" i="58"/>
  <c r="D229" i="58" s="1"/>
  <c r="E229" i="58" s="1"/>
  <c r="F229" i="58" s="1"/>
  <c r="G229" i="58" s="1"/>
  <c r="H229" i="58" s="1"/>
  <c r="I229" i="58" s="1"/>
  <c r="J229" i="58" s="1"/>
  <c r="K229" i="58" s="1"/>
  <c r="L229" i="58" s="1"/>
  <c r="M229" i="58" s="1"/>
  <c r="N229" i="58" s="1"/>
  <c r="O229" i="58" s="1"/>
  <c r="P229" i="58" s="1"/>
  <c r="Q229" i="58" s="1"/>
  <c r="R229" i="58" s="1"/>
  <c r="S229" i="58" s="1"/>
  <c r="T229" i="58" s="1"/>
  <c r="U229" i="58" s="1"/>
  <c r="V229" i="58" s="1"/>
  <c r="W229" i="58" s="1"/>
  <c r="X229" i="58" s="1"/>
  <c r="Y229" i="58" s="1"/>
  <c r="Z229" i="58" s="1"/>
  <c r="AA229" i="58" s="1"/>
  <c r="AB229" i="58" s="1"/>
  <c r="W168" i="58"/>
  <c r="D149" i="58"/>
  <c r="Z147" i="58"/>
  <c r="D142" i="58"/>
  <c r="Z140" i="58"/>
  <c r="D135" i="58"/>
  <c r="Z133" i="58"/>
  <c r="D128" i="58"/>
  <c r="Z126" i="58"/>
  <c r="D121" i="58"/>
  <c r="Z119" i="58"/>
  <c r="D114" i="58"/>
  <c r="Z112" i="58"/>
  <c r="D107" i="58"/>
  <c r="Z105" i="58"/>
  <c r="D100" i="58"/>
  <c r="Z98" i="58"/>
  <c r="D93" i="58"/>
  <c r="Z91" i="58"/>
  <c r="D86" i="58"/>
  <c r="Z84" i="58"/>
  <c r="D79" i="58"/>
  <c r="Z77" i="58"/>
  <c r="D72" i="58"/>
  <c r="Z70" i="58"/>
  <c r="D65" i="58"/>
  <c r="Z63" i="58"/>
  <c r="D58" i="58"/>
  <c r="Z56" i="58"/>
  <c r="D51" i="58"/>
  <c r="Z49" i="58"/>
  <c r="D44" i="58"/>
  <c r="Z42" i="58"/>
  <c r="D37" i="58"/>
  <c r="Z35" i="58"/>
  <c r="D30" i="58"/>
  <c r="Z28" i="58"/>
  <c r="D23" i="58"/>
  <c r="Z21" i="58"/>
  <c r="D16" i="58"/>
  <c r="Z14" i="58"/>
  <c r="C4" i="58"/>
  <c r="Z2" i="58"/>
  <c r="V2" i="58"/>
  <c r="T2" i="58"/>
  <c r="Z1" i="58"/>
  <c r="V1" i="58"/>
  <c r="S24" i="63" l="1"/>
  <c r="AA182" i="59"/>
  <c r="AC22" i="59"/>
  <c r="C73" i="56"/>
  <c r="D73" i="56" s="1"/>
  <c r="E73" i="56" s="1"/>
  <c r="F73" i="56" s="1"/>
  <c r="G73" i="56" s="1"/>
  <c r="H73" i="56" s="1"/>
  <c r="I73" i="56" s="1"/>
  <c r="J73" i="56" s="1"/>
  <c r="K73" i="56" s="1"/>
  <c r="L73" i="56" s="1"/>
  <c r="M73" i="56" s="1"/>
  <c r="N73" i="56" s="1"/>
  <c r="O73" i="56" s="1"/>
  <c r="P73" i="56" s="1"/>
  <c r="Q73" i="56" s="1"/>
  <c r="R73" i="56" s="1"/>
  <c r="S73" i="56" s="1"/>
  <c r="T73" i="56" s="1"/>
  <c r="U73" i="56" s="1"/>
  <c r="V73" i="56" s="1"/>
  <c r="W73" i="56" s="1"/>
  <c r="X73" i="56" s="1"/>
  <c r="Y73" i="56" s="1"/>
  <c r="Z73" i="56" s="1"/>
  <c r="AA73" i="56" s="1"/>
  <c r="AB73" i="56" s="1"/>
  <c r="AC73" i="56" s="1"/>
  <c r="AD73" i="56" s="1"/>
  <c r="AE73" i="56" s="1"/>
  <c r="AF73" i="56" s="1"/>
  <c r="E43" i="56"/>
  <c r="E42" i="56"/>
  <c r="H31" i="56"/>
  <c r="O30" i="56"/>
  <c r="C2" i="56"/>
  <c r="C1" i="56"/>
  <c r="S26" i="63" l="1"/>
  <c r="AA183" i="59"/>
  <c r="AC24" i="59"/>
  <c r="S28" i="63" l="1"/>
  <c r="AC26" i="59"/>
  <c r="AA184" i="59"/>
  <c r="S30" i="63" l="1"/>
  <c r="AC28" i="59"/>
  <c r="AA185" i="59"/>
  <c r="S32" i="63" l="1"/>
  <c r="AC30" i="59"/>
  <c r="AA186" i="59"/>
  <c r="AA187" i="59" s="1"/>
  <c r="AA188" i="59" s="1"/>
  <c r="AA189" i="59" s="1"/>
  <c r="AA190" i="59" s="1"/>
  <c r="AA191" i="59" s="1"/>
  <c r="AA192" i="59" s="1"/>
  <c r="AA193" i="59" s="1"/>
  <c r="AA194" i="59" s="1"/>
  <c r="AA195" i="59" s="1"/>
  <c r="AA196" i="59" s="1"/>
  <c r="AA197" i="59" s="1"/>
  <c r="AA198" i="59" s="1"/>
  <c r="AA199" i="59" s="1"/>
  <c r="AA200" i="59" s="1"/>
  <c r="AA201" i="59" s="1"/>
  <c r="AA202" i="59" s="1"/>
  <c r="AA203" i="59" s="1"/>
  <c r="AA204" i="59" s="1"/>
  <c r="AA205" i="59" s="1"/>
  <c r="AA206" i="59" s="1"/>
  <c r="AA207" i="59" s="1"/>
  <c r="AA208" i="59" s="1"/>
  <c r="AA209" i="59" s="1"/>
  <c r="AA210" i="59" s="1"/>
  <c r="AA211" i="59" s="1"/>
  <c r="AA212" i="59" s="1"/>
  <c r="AA213" i="59" s="1"/>
  <c r="AA214" i="59" s="1"/>
  <c r="AA215" i="59" s="1"/>
  <c r="AA216" i="59" s="1"/>
  <c r="AA217" i="59" s="1"/>
  <c r="AA218" i="59" s="1"/>
  <c r="AA219" i="59" s="1"/>
  <c r="AA220" i="59" s="1"/>
  <c r="AA221" i="59" s="1"/>
  <c r="AA222" i="59" s="1"/>
  <c r="AA223" i="59" s="1"/>
  <c r="AA224" i="59" s="1"/>
  <c r="S34" i="63" l="1"/>
  <c r="AC32" i="59"/>
  <c r="A6" i="48"/>
  <c r="A7" i="48" s="1"/>
  <c r="A8" i="48" s="1"/>
  <c r="A9" i="48" s="1"/>
  <c r="A10" i="48" s="1"/>
  <c r="A11" i="48" s="1"/>
  <c r="A12" i="48" s="1"/>
  <c r="A13" i="48" s="1"/>
  <c r="A14" i="48" s="1"/>
  <c r="A15" i="48" s="1"/>
  <c r="A16" i="48" s="1"/>
  <c r="A17" i="48" s="1"/>
  <c r="A18" i="48" s="1"/>
  <c r="B18" i="48" s="1"/>
  <c r="H2" i="48"/>
  <c r="E1" i="63" s="1"/>
  <c r="A3" i="63" l="1"/>
  <c r="A4" i="63" s="1"/>
  <c r="A5" i="63" s="1"/>
  <c r="S36" i="63"/>
  <c r="E1" i="60"/>
  <c r="A3" i="60" s="1"/>
  <c r="E1" i="59"/>
  <c r="F1" i="61"/>
  <c r="AC34" i="59"/>
  <c r="AA1" i="58"/>
  <c r="A14" i="58" s="1"/>
  <c r="D1" i="56"/>
  <c r="A3" i="56" s="1"/>
  <c r="E1" i="51"/>
  <c r="A3" i="51" s="1"/>
  <c r="B16" i="48"/>
  <c r="C3" i="63" l="1"/>
  <c r="D3" i="63"/>
  <c r="B84" i="63" s="1"/>
  <c r="A6" i="63"/>
  <c r="C5" i="63"/>
  <c r="S38" i="63"/>
  <c r="A3" i="61"/>
  <c r="A4" i="61" s="1"/>
  <c r="A5" i="61" s="1"/>
  <c r="A6" i="61" s="1"/>
  <c r="A7" i="61" s="1"/>
  <c r="A8" i="61" s="1"/>
  <c r="A9" i="61" s="1"/>
  <c r="A10" i="61" s="1"/>
  <c r="A11" i="61" s="1"/>
  <c r="A12" i="61" s="1"/>
  <c r="A13" i="61" s="1"/>
  <c r="A14" i="61" s="1"/>
  <c r="A15" i="61" s="1"/>
  <c r="A16" i="61" s="1"/>
  <c r="A17" i="61" s="1"/>
  <c r="A18" i="61" s="1"/>
  <c r="A3" i="59"/>
  <c r="A4" i="59" s="1"/>
  <c r="A5" i="59" s="1"/>
  <c r="A6" i="59" s="1"/>
  <c r="C3" i="60"/>
  <c r="D3" i="60"/>
  <c r="H3" i="60"/>
  <c r="A4" i="60"/>
  <c r="A5" i="60" s="1"/>
  <c r="AC36" i="59"/>
  <c r="C3" i="56"/>
  <c r="V3" i="56"/>
  <c r="B3" i="56"/>
  <c r="A4" i="56"/>
  <c r="A5" i="56" s="1"/>
  <c r="A6" i="56" s="1"/>
  <c r="A4" i="51"/>
  <c r="D3" i="51"/>
  <c r="C3" i="51"/>
  <c r="E14" i="58"/>
  <c r="D14" i="58"/>
  <c r="A15" i="58"/>
  <c r="A16" i="58" s="1"/>
  <c r="A17" i="58" s="1"/>
  <c r="A19" i="61" l="1"/>
  <c r="A20" i="61" s="1"/>
  <c r="A21" i="61" s="1"/>
  <c r="A22" i="61" s="1"/>
  <c r="A23" i="61" s="1"/>
  <c r="A24" i="61" s="1"/>
  <c r="A25" i="61" s="1"/>
  <c r="A26" i="61" s="1"/>
  <c r="H18" i="61"/>
  <c r="M13" i="63"/>
  <c r="G10" i="63"/>
  <c r="M12" i="63"/>
  <c r="G4" i="63"/>
  <c r="M10" i="63"/>
  <c r="M11" i="63"/>
  <c r="B90" i="63"/>
  <c r="B91" i="63" s="1"/>
  <c r="B92" i="63" s="1"/>
  <c r="B93" i="63" s="1"/>
  <c r="C90" i="63"/>
  <c r="G11" i="63"/>
  <c r="D6" i="63"/>
  <c r="C56" i="63" s="1"/>
  <c r="A7" i="63"/>
  <c r="C6" i="63"/>
  <c r="C84" i="63"/>
  <c r="D84" i="63" s="1"/>
  <c r="G5" i="63"/>
  <c r="B85" i="63"/>
  <c r="B86" i="63" s="1"/>
  <c r="B87" i="63" s="1"/>
  <c r="S40" i="63"/>
  <c r="D3" i="61"/>
  <c r="C3" i="61"/>
  <c r="C3" i="59"/>
  <c r="A27" i="61"/>
  <c r="A6" i="60"/>
  <c r="C5" i="60"/>
  <c r="A7" i="59"/>
  <c r="AC38" i="59"/>
  <c r="A5" i="51"/>
  <c r="A6" i="51" s="1"/>
  <c r="O4" i="51"/>
  <c r="A18" i="58"/>
  <c r="AB17" i="58"/>
  <c r="A7" i="56"/>
  <c r="B6" i="56"/>
  <c r="D90" i="63" l="1"/>
  <c r="A28" i="61"/>
  <c r="H27" i="61"/>
  <c r="G6" i="63"/>
  <c r="C85" i="63"/>
  <c r="D85" i="63" s="1"/>
  <c r="C91" i="63"/>
  <c r="D91" i="63" s="1"/>
  <c r="G12" i="63"/>
  <c r="C7" i="63"/>
  <c r="A8" i="63"/>
  <c r="D8" i="63" s="1"/>
  <c r="D7" i="63"/>
  <c r="C57" i="63" s="1"/>
  <c r="S42" i="63"/>
  <c r="A8" i="59"/>
  <c r="A7" i="60"/>
  <c r="C6" i="60"/>
  <c r="C5" i="61"/>
  <c r="C5" i="59"/>
  <c r="D3" i="59"/>
  <c r="G4" i="59" s="1"/>
  <c r="A29" i="61"/>
  <c r="AC40" i="59"/>
  <c r="A19" i="58"/>
  <c r="AB18" i="58"/>
  <c r="A7" i="51"/>
  <c r="D7" i="51" s="1"/>
  <c r="O6" i="51"/>
  <c r="C6" i="51"/>
  <c r="B7" i="56"/>
  <c r="A8" i="56"/>
  <c r="G7" i="63" l="1"/>
  <c r="C86" i="63"/>
  <c r="D86" i="63" s="1"/>
  <c r="G13" i="63"/>
  <c r="C93" i="63" s="1"/>
  <c r="D93" i="63" s="1"/>
  <c r="C92" i="63"/>
  <c r="D92" i="63" s="1"/>
  <c r="A9" i="63"/>
  <c r="A10" i="63" s="1"/>
  <c r="C8" i="63"/>
  <c r="S44" i="63"/>
  <c r="A30" i="61"/>
  <c r="A31" i="61" s="1"/>
  <c r="A32" i="61" s="1"/>
  <c r="A33" i="61" s="1"/>
  <c r="A34" i="61" s="1"/>
  <c r="A35" i="61" s="1"/>
  <c r="A36" i="61" s="1"/>
  <c r="A37" i="61" s="1"/>
  <c r="A38" i="61" s="1"/>
  <c r="A39" i="61" s="1"/>
  <c r="A40" i="61" s="1"/>
  <c r="A41" i="61" s="1"/>
  <c r="A42" i="61" s="1"/>
  <c r="A43" i="61" s="1"/>
  <c r="A44" i="61" s="1"/>
  <c r="A45" i="61" s="1"/>
  <c r="A46" i="61" s="1"/>
  <c r="M10" i="59"/>
  <c r="M13" i="59"/>
  <c r="G10" i="59"/>
  <c r="B84" i="59"/>
  <c r="B85" i="59" s="1"/>
  <c r="B86" i="59" s="1"/>
  <c r="M11" i="59"/>
  <c r="B90" i="59"/>
  <c r="B91" i="59" s="1"/>
  <c r="B92" i="59" s="1"/>
  <c r="B93" i="59" s="1"/>
  <c r="M12" i="59"/>
  <c r="A8" i="60"/>
  <c r="C7" i="60"/>
  <c r="C6" i="61"/>
  <c r="A9" i="59"/>
  <c r="A10" i="59" s="1"/>
  <c r="D10" i="59" s="1"/>
  <c r="AC42" i="59"/>
  <c r="A9" i="56"/>
  <c r="B8" i="56"/>
  <c r="A20" i="58"/>
  <c r="A21" i="58" s="1"/>
  <c r="A22" i="58" s="1"/>
  <c r="A23" i="58" s="1"/>
  <c r="AB19" i="58"/>
  <c r="A8" i="51"/>
  <c r="C7" i="51"/>
  <c r="C58" i="63" l="1"/>
  <c r="D10" i="63"/>
  <c r="C10" i="63"/>
  <c r="A11" i="63"/>
  <c r="C87" i="63"/>
  <c r="D87" i="63" s="1"/>
  <c r="S46" i="63"/>
  <c r="C7" i="61"/>
  <c r="A9" i="60"/>
  <c r="M8" i="60"/>
  <c r="I8" i="60"/>
  <c r="O8" i="60"/>
  <c r="K8" i="60"/>
  <c r="L8" i="60"/>
  <c r="J8" i="60"/>
  <c r="N8" i="60"/>
  <c r="C8" i="60"/>
  <c r="H8" i="60"/>
  <c r="B87" i="59"/>
  <c r="A47" i="61"/>
  <c r="A48" i="61" s="1"/>
  <c r="A49" i="61" s="1"/>
  <c r="A50" i="61" s="1"/>
  <c r="G5" i="59"/>
  <c r="C84" i="59"/>
  <c r="D84" i="59" s="1"/>
  <c r="A11" i="59"/>
  <c r="C6" i="59"/>
  <c r="X9" i="59" s="1"/>
  <c r="G11" i="59"/>
  <c r="C90" i="59"/>
  <c r="D90" i="59" s="1"/>
  <c r="AC44" i="59"/>
  <c r="V9" i="56"/>
  <c r="A10" i="56"/>
  <c r="A9" i="51"/>
  <c r="C8" i="51"/>
  <c r="O8" i="51"/>
  <c r="A24" i="58"/>
  <c r="AB23" i="58"/>
  <c r="C60" i="63" l="1"/>
  <c r="D11" i="63"/>
  <c r="A12" i="63"/>
  <c r="A13" i="63" s="1"/>
  <c r="C11" i="63"/>
  <c r="A10" i="60"/>
  <c r="H9" i="60"/>
  <c r="A51" i="61"/>
  <c r="A12" i="59"/>
  <c r="A13" i="59" s="1"/>
  <c r="G6" i="59"/>
  <c r="G7" i="59" s="1"/>
  <c r="C85" i="59"/>
  <c r="D85" i="59" s="1"/>
  <c r="G12" i="59"/>
  <c r="C91" i="59"/>
  <c r="D91" i="59" s="1"/>
  <c r="C7" i="59"/>
  <c r="X8" i="59" s="1"/>
  <c r="C8" i="61"/>
  <c r="AC46" i="59"/>
  <c r="A25" i="58"/>
  <c r="A26" i="58" s="1"/>
  <c r="AB24" i="58"/>
  <c r="A10" i="51"/>
  <c r="C9" i="51"/>
  <c r="A11" i="56"/>
  <c r="V10" i="56"/>
  <c r="B10" i="56"/>
  <c r="AC178" i="63" l="1"/>
  <c r="AM178" i="63" s="1"/>
  <c r="AG178" i="63"/>
  <c r="J79" i="63"/>
  <c r="AG177" i="63"/>
  <c r="AC177" i="63"/>
  <c r="AM177" i="63" s="1"/>
  <c r="H2" i="63"/>
  <c r="J78" i="63"/>
  <c r="D13" i="63"/>
  <c r="A14" i="63"/>
  <c r="C13" i="63"/>
  <c r="C61" i="63"/>
  <c r="AG179" i="63"/>
  <c r="AC179" i="63"/>
  <c r="AM179" i="63" s="1"/>
  <c r="J80" i="63"/>
  <c r="A52" i="61"/>
  <c r="J52" i="61" s="1"/>
  <c r="I51" i="61"/>
  <c r="W56" i="61" s="1"/>
  <c r="J51" i="61"/>
  <c r="W60" i="61" s="1"/>
  <c r="A11" i="60"/>
  <c r="C10" i="60"/>
  <c r="H10" i="60"/>
  <c r="C92" i="59"/>
  <c r="D92" i="59" s="1"/>
  <c r="G13" i="59"/>
  <c r="C93" i="59" s="1"/>
  <c r="D93" i="59" s="1"/>
  <c r="A14" i="59"/>
  <c r="C86" i="59"/>
  <c r="D86" i="59" s="1"/>
  <c r="C8" i="59"/>
  <c r="X10" i="59" s="1"/>
  <c r="A11" i="51"/>
  <c r="D11" i="51" s="1"/>
  <c r="O10" i="51"/>
  <c r="S10" i="51"/>
  <c r="P10" i="51"/>
  <c r="Q10" i="51"/>
  <c r="R10" i="51"/>
  <c r="T10" i="51"/>
  <c r="U10" i="51"/>
  <c r="V10" i="51"/>
  <c r="A12" i="56"/>
  <c r="A13" i="56" s="1"/>
  <c r="V11" i="56"/>
  <c r="B11" i="56"/>
  <c r="A27" i="58"/>
  <c r="A28" i="58" s="1"/>
  <c r="A29" i="58" s="1"/>
  <c r="A30" i="58" s="1"/>
  <c r="F26" i="58"/>
  <c r="I2" i="63" l="1"/>
  <c r="J81" i="63"/>
  <c r="AG180" i="63"/>
  <c r="AC180" i="63"/>
  <c r="AM180" i="63" s="1"/>
  <c r="C14" i="63"/>
  <c r="D14" i="63"/>
  <c r="C64" i="63" s="1"/>
  <c r="A15" i="63"/>
  <c r="A16" i="63" s="1"/>
  <c r="J83" i="63"/>
  <c r="AC182" i="63"/>
  <c r="AM182" i="63" s="1"/>
  <c r="AG182" i="63"/>
  <c r="C63" i="63"/>
  <c r="AJ200" i="63"/>
  <c r="AJ199" i="63"/>
  <c r="AC200" i="63"/>
  <c r="AM200" i="63" s="1"/>
  <c r="AG200" i="63"/>
  <c r="J101" i="63"/>
  <c r="AG181" i="63"/>
  <c r="J82" i="63"/>
  <c r="AC181" i="63"/>
  <c r="AM181" i="63" s="1"/>
  <c r="AJ198" i="63"/>
  <c r="A15" i="59"/>
  <c r="A16" i="59" s="1"/>
  <c r="A17" i="59" s="1"/>
  <c r="A53" i="61"/>
  <c r="H53" i="61" s="1"/>
  <c r="I52" i="61"/>
  <c r="W57" i="61" s="1"/>
  <c r="W61" i="61"/>
  <c r="A12" i="60"/>
  <c r="A13" i="60" s="1"/>
  <c r="H11" i="60"/>
  <c r="C11" i="60"/>
  <c r="C10" i="61"/>
  <c r="Z26" i="59"/>
  <c r="C87" i="59"/>
  <c r="D87" i="59" s="1"/>
  <c r="A14" i="56"/>
  <c r="B13" i="56"/>
  <c r="A31" i="58"/>
  <c r="AB30" i="58"/>
  <c r="A12" i="51"/>
  <c r="C11" i="51"/>
  <c r="AC202" i="63" l="1"/>
  <c r="AM202" i="63" s="1"/>
  <c r="AJ203" i="63"/>
  <c r="AJ202" i="63"/>
  <c r="J104" i="63"/>
  <c r="J99" i="63"/>
  <c r="H8" i="63"/>
  <c r="AC198" i="63"/>
  <c r="AM198" i="63" s="1"/>
  <c r="AG198" i="63"/>
  <c r="AK198" i="63" s="1"/>
  <c r="C16" i="63"/>
  <c r="A17" i="63"/>
  <c r="J103" i="63"/>
  <c r="AJ201" i="63"/>
  <c r="AK200" i="63"/>
  <c r="AG199" i="63"/>
  <c r="AC199" i="63"/>
  <c r="AM199" i="63" s="1"/>
  <c r="J100" i="63"/>
  <c r="C11" i="61"/>
  <c r="A18" i="59"/>
  <c r="A19" i="59" s="1"/>
  <c r="C10" i="59"/>
  <c r="X16" i="59" s="1"/>
  <c r="A54" i="61"/>
  <c r="A55" i="61" s="1"/>
  <c r="A56" i="61" s="1"/>
  <c r="A14" i="60"/>
  <c r="C13" i="60"/>
  <c r="A32" i="58"/>
  <c r="AB31" i="58"/>
  <c r="A13" i="51"/>
  <c r="Q12" i="51"/>
  <c r="R12" i="51"/>
  <c r="T12" i="51"/>
  <c r="U12" i="51"/>
  <c r="V12" i="51"/>
  <c r="C12" i="51"/>
  <c r="O12" i="51"/>
  <c r="S12" i="51"/>
  <c r="P12" i="51"/>
  <c r="B14" i="56"/>
  <c r="A15" i="56"/>
  <c r="A16" i="56" s="1"/>
  <c r="AG205" i="63" l="1"/>
  <c r="AG202" i="63"/>
  <c r="AK202" i="63" s="1"/>
  <c r="AC203" i="63"/>
  <c r="AM203" i="63" s="1"/>
  <c r="AG203" i="63"/>
  <c r="AK203" i="63" s="1"/>
  <c r="I8" i="63"/>
  <c r="AG201" i="63"/>
  <c r="J102" i="63"/>
  <c r="AC201" i="63"/>
  <c r="AM201" i="63" s="1"/>
  <c r="AK199" i="63"/>
  <c r="AJ205" i="63"/>
  <c r="J106" i="63"/>
  <c r="AC205" i="63"/>
  <c r="AM205" i="63" s="1"/>
  <c r="AG206" i="63"/>
  <c r="AC206" i="63"/>
  <c r="AM206" i="63" s="1"/>
  <c r="J107" i="63"/>
  <c r="C17" i="63"/>
  <c r="A18" i="63"/>
  <c r="D17" i="63"/>
  <c r="C67" i="63" s="1"/>
  <c r="A20" i="59"/>
  <c r="C13" i="61"/>
  <c r="A15" i="60"/>
  <c r="A16" i="60" s="1"/>
  <c r="C14" i="60"/>
  <c r="A57" i="61"/>
  <c r="V56" i="61"/>
  <c r="X56" i="61" s="1"/>
  <c r="C11" i="59"/>
  <c r="X18" i="59" s="1"/>
  <c r="A17" i="56"/>
  <c r="B16" i="56"/>
  <c r="A14" i="51"/>
  <c r="A33" i="58"/>
  <c r="AB32" i="58"/>
  <c r="AJ206" i="63" l="1"/>
  <c r="AK205" i="63"/>
  <c r="C18" i="63"/>
  <c r="A19" i="63"/>
  <c r="D18" i="63"/>
  <c r="C68" i="63" s="1"/>
  <c r="AC214" i="63"/>
  <c r="AM214" i="63" s="1"/>
  <c r="AG214" i="63"/>
  <c r="J115" i="63"/>
  <c r="J109" i="63"/>
  <c r="AG208" i="63"/>
  <c r="AC208" i="63"/>
  <c r="AM208" i="63" s="1"/>
  <c r="AJ204" i="63"/>
  <c r="AK201" i="63"/>
  <c r="AG209" i="63"/>
  <c r="AC209" i="63"/>
  <c r="AM209" i="63" s="1"/>
  <c r="J110" i="63"/>
  <c r="AK206" i="63"/>
  <c r="AJ209" i="63"/>
  <c r="AJ214" i="63"/>
  <c r="AC204" i="63"/>
  <c r="AM204" i="63" s="1"/>
  <c r="J8" i="63"/>
  <c r="AG204" i="63"/>
  <c r="J105" i="63"/>
  <c r="A17" i="60"/>
  <c r="I16" i="60"/>
  <c r="K16" i="60"/>
  <c r="L16" i="60"/>
  <c r="J16" i="60"/>
  <c r="C16" i="60"/>
  <c r="H16" i="60"/>
  <c r="C14" i="61"/>
  <c r="C13" i="59"/>
  <c r="X17" i="59" s="1"/>
  <c r="A58" i="61"/>
  <c r="A59" i="61" s="1"/>
  <c r="A60" i="61" s="1"/>
  <c r="V57" i="61"/>
  <c r="X57" i="61" s="1"/>
  <c r="A21" i="59"/>
  <c r="A22" i="59" s="1"/>
  <c r="A15" i="51"/>
  <c r="C14" i="51"/>
  <c r="A34" i="58"/>
  <c r="A35" i="58" s="1"/>
  <c r="A36" i="58" s="1"/>
  <c r="A37" i="58" s="1"/>
  <c r="AB33" i="58"/>
  <c r="F33" i="58"/>
  <c r="W17" i="56"/>
  <c r="A18" i="56"/>
  <c r="Y17" i="56"/>
  <c r="Z17" i="56"/>
  <c r="B17" i="56"/>
  <c r="V17" i="56"/>
  <c r="X17" i="56"/>
  <c r="A20" i="63" l="1"/>
  <c r="C19" i="63"/>
  <c r="D19" i="63"/>
  <c r="AK204" i="63"/>
  <c r="AJ207" i="63"/>
  <c r="AK214" i="63"/>
  <c r="AK209" i="63"/>
  <c r="AC207" i="63"/>
  <c r="AM207" i="63" s="1"/>
  <c r="AG207" i="63"/>
  <c r="J108" i="63"/>
  <c r="K8" i="63"/>
  <c r="AJ208" i="63"/>
  <c r="AK208" i="63" s="1"/>
  <c r="A23" i="59"/>
  <c r="A24" i="59" s="1"/>
  <c r="A25" i="59" s="1"/>
  <c r="C14" i="59"/>
  <c r="X19" i="59" s="1"/>
  <c r="V37" i="59" s="1"/>
  <c r="C16" i="61"/>
  <c r="C16" i="59"/>
  <c r="A61" i="61"/>
  <c r="V60" i="61"/>
  <c r="X60" i="61" s="1"/>
  <c r="A18" i="60"/>
  <c r="L17" i="60"/>
  <c r="H17" i="60"/>
  <c r="J17" i="60"/>
  <c r="K17" i="60"/>
  <c r="C17" i="60"/>
  <c r="I17" i="60"/>
  <c r="A19" i="56"/>
  <c r="B18" i="56"/>
  <c r="V18" i="56"/>
  <c r="A38" i="58"/>
  <c r="A39" i="58" s="1"/>
  <c r="AB37" i="58"/>
  <c r="A16" i="51"/>
  <c r="C15" i="51"/>
  <c r="AK207" i="63" l="1"/>
  <c r="C69" i="63"/>
  <c r="D20" i="63"/>
  <c r="C70" i="63" s="1"/>
  <c r="C20" i="63"/>
  <c r="A21" i="63"/>
  <c r="A22" i="63" s="1"/>
  <c r="A19" i="60"/>
  <c r="C18" i="60"/>
  <c r="H18" i="60"/>
  <c r="A26" i="59"/>
  <c r="A62" i="61"/>
  <c r="A63" i="61" s="1"/>
  <c r="A64" i="61" s="1"/>
  <c r="A65" i="61" s="1"/>
  <c r="A66" i="61" s="1"/>
  <c r="A67" i="61" s="1"/>
  <c r="A68" i="61" s="1"/>
  <c r="A69" i="61" s="1"/>
  <c r="A70" i="61" s="1"/>
  <c r="A71" i="61" s="1"/>
  <c r="V61" i="61"/>
  <c r="X61" i="61" s="1"/>
  <c r="C17" i="61"/>
  <c r="A40" i="58"/>
  <c r="AB39" i="58"/>
  <c r="A17" i="51"/>
  <c r="B19" i="56"/>
  <c r="V19" i="56"/>
  <c r="A20" i="56"/>
  <c r="AC185" i="63" l="1"/>
  <c r="AM185" i="63" s="1"/>
  <c r="J86" i="63"/>
  <c r="AG185" i="63"/>
  <c r="AJ188" i="63" s="1"/>
  <c r="C22" i="63"/>
  <c r="D22" i="63"/>
  <c r="A23" i="63"/>
  <c r="AG184" i="63"/>
  <c r="AJ187" i="63" s="1"/>
  <c r="J85" i="63"/>
  <c r="AC184" i="63"/>
  <c r="AM184" i="63" s="1"/>
  <c r="J84" i="63"/>
  <c r="J2" i="63"/>
  <c r="AC183" i="63"/>
  <c r="AM183" i="63" s="1"/>
  <c r="AG183" i="63"/>
  <c r="AJ186" i="63" s="1"/>
  <c r="A27" i="59"/>
  <c r="C17" i="59"/>
  <c r="A72" i="61"/>
  <c r="C18" i="61"/>
  <c r="A20" i="60"/>
  <c r="H19" i="60"/>
  <c r="C19" i="60"/>
  <c r="A18" i="51"/>
  <c r="C17" i="51"/>
  <c r="B20" i="56"/>
  <c r="A21" i="56"/>
  <c r="A22" i="56" s="1"/>
  <c r="V20" i="56"/>
  <c r="A41" i="58"/>
  <c r="A42" i="58" s="1"/>
  <c r="A43" i="58" s="1"/>
  <c r="A44" i="58" s="1"/>
  <c r="A45" i="58" s="1"/>
  <c r="A46" i="58" s="1"/>
  <c r="A47" i="58" s="1"/>
  <c r="F40" i="58"/>
  <c r="J87" i="63" l="1"/>
  <c r="AG186" i="63"/>
  <c r="AK186" i="63" s="1"/>
  <c r="K2" i="63"/>
  <c r="AC186" i="63"/>
  <c r="AM186" i="63" s="1"/>
  <c r="AG187" i="63"/>
  <c r="AJ190" i="63" s="1"/>
  <c r="AC187" i="63"/>
  <c r="AM187" i="63" s="1"/>
  <c r="J88" i="63"/>
  <c r="A24" i="63"/>
  <c r="A25" i="63" s="1"/>
  <c r="D23" i="63"/>
  <c r="C72" i="63"/>
  <c r="AJ189" i="63"/>
  <c r="AC188" i="63"/>
  <c r="AM188" i="63" s="1"/>
  <c r="AG188" i="63"/>
  <c r="AJ191" i="63" s="1"/>
  <c r="J89" i="63"/>
  <c r="C18" i="59"/>
  <c r="X13" i="59" s="1"/>
  <c r="C19" i="61"/>
  <c r="A73" i="61"/>
  <c r="I72" i="61"/>
  <c r="W79" i="61" s="1"/>
  <c r="J72" i="61"/>
  <c r="W84" i="61" s="1"/>
  <c r="A21" i="60"/>
  <c r="A22" i="60" s="1"/>
  <c r="H20" i="60"/>
  <c r="C20" i="60"/>
  <c r="A28" i="59"/>
  <c r="X14" i="59"/>
  <c r="X11" i="59"/>
  <c r="C22" i="56"/>
  <c r="A23" i="56"/>
  <c r="B22" i="56"/>
  <c r="A48" i="58"/>
  <c r="A49" i="58" s="1"/>
  <c r="A50" i="58" s="1"/>
  <c r="A51" i="58" s="1"/>
  <c r="F47" i="58"/>
  <c r="A19" i="51"/>
  <c r="C18" i="51"/>
  <c r="J95" i="63" l="1"/>
  <c r="AG194" i="63"/>
  <c r="AJ197" i="63" s="1"/>
  <c r="AC194" i="63"/>
  <c r="AM194" i="63" s="1"/>
  <c r="N9" i="63"/>
  <c r="J114" i="63"/>
  <c r="AG213" i="63"/>
  <c r="AJ215" i="63" s="1"/>
  <c r="AC213" i="63"/>
  <c r="AM213" i="63" s="1"/>
  <c r="AC189" i="63"/>
  <c r="AM189" i="63" s="1"/>
  <c r="AG189" i="63"/>
  <c r="J90" i="63"/>
  <c r="L2" i="63"/>
  <c r="AC176" i="63"/>
  <c r="AM176" i="63" s="1"/>
  <c r="J77" i="63"/>
  <c r="AG176" i="63"/>
  <c r="AJ216" i="63" s="1"/>
  <c r="AG191" i="63"/>
  <c r="AK191" i="63" s="1"/>
  <c r="J92" i="63"/>
  <c r="AC191" i="63"/>
  <c r="AM191" i="63" s="1"/>
  <c r="AK187" i="63"/>
  <c r="AK188" i="63"/>
  <c r="AC190" i="63"/>
  <c r="AM190" i="63" s="1"/>
  <c r="J91" i="63"/>
  <c r="AG190" i="63"/>
  <c r="AK190" i="63" s="1"/>
  <c r="A26" i="63"/>
  <c r="C25" i="63"/>
  <c r="D25" i="63"/>
  <c r="C19" i="59"/>
  <c r="X12" i="59" s="1"/>
  <c r="A29" i="59"/>
  <c r="A23" i="60"/>
  <c r="D22" i="60"/>
  <c r="C22" i="60"/>
  <c r="C20" i="61"/>
  <c r="A74" i="61"/>
  <c r="I73" i="61"/>
  <c r="W80" i="61" s="1"/>
  <c r="J73" i="61"/>
  <c r="W85" i="61" s="1"/>
  <c r="A52" i="58"/>
  <c r="AB51" i="58"/>
  <c r="A20" i="51"/>
  <c r="O19" i="51"/>
  <c r="S19" i="51"/>
  <c r="P19" i="51"/>
  <c r="Q19" i="51"/>
  <c r="R19" i="51"/>
  <c r="C19" i="51"/>
  <c r="A24" i="56"/>
  <c r="C23" i="56"/>
  <c r="C60" i="56"/>
  <c r="AJ194" i="63" l="1"/>
  <c r="AK194" i="63" s="1"/>
  <c r="AG216" i="63"/>
  <c r="AC216" i="63"/>
  <c r="AM216" i="63" s="1"/>
  <c r="J117" i="63"/>
  <c r="C75" i="63"/>
  <c r="J93" i="63"/>
  <c r="AC192" i="63"/>
  <c r="AM192" i="63" s="1"/>
  <c r="AG192" i="63"/>
  <c r="M2" i="63"/>
  <c r="AJ193" i="63"/>
  <c r="AJ192" i="63"/>
  <c r="AK189" i="63"/>
  <c r="D26" i="63"/>
  <c r="C26" i="63"/>
  <c r="A27" i="63"/>
  <c r="J94" i="63"/>
  <c r="AG193" i="63"/>
  <c r="AJ196" i="63" s="1"/>
  <c r="AC193" i="63"/>
  <c r="AM193" i="63" s="1"/>
  <c r="AG215" i="63"/>
  <c r="AK215" i="63" s="1"/>
  <c r="AC215" i="63"/>
  <c r="AM215" i="63" s="1"/>
  <c r="J116" i="63"/>
  <c r="J98" i="63"/>
  <c r="AC197" i="63"/>
  <c r="AM197" i="63" s="1"/>
  <c r="AG197" i="63"/>
  <c r="A30" i="59"/>
  <c r="A31" i="59" s="1"/>
  <c r="A75" i="61"/>
  <c r="A24" i="60"/>
  <c r="D23" i="60"/>
  <c r="D22" i="61"/>
  <c r="C20" i="59"/>
  <c r="X15" i="59" s="1"/>
  <c r="C22" i="61"/>
  <c r="A21" i="51"/>
  <c r="C20" i="51"/>
  <c r="V24" i="56"/>
  <c r="A25" i="56"/>
  <c r="A53" i="58"/>
  <c r="AB52" i="58"/>
  <c r="AG196" i="63" l="1"/>
  <c r="AC196" i="63"/>
  <c r="AM196" i="63" s="1"/>
  <c r="J97" i="63"/>
  <c r="AG212" i="63"/>
  <c r="AC212" i="63"/>
  <c r="AM212" i="63" s="1"/>
  <c r="J113" i="63"/>
  <c r="AJ195" i="63"/>
  <c r="AK192" i="63"/>
  <c r="C76" i="63"/>
  <c r="A28" i="63"/>
  <c r="D27" i="63"/>
  <c r="C77" i="63" s="1"/>
  <c r="C27" i="63"/>
  <c r="AG195" i="63"/>
  <c r="N2" i="63"/>
  <c r="J96" i="63"/>
  <c r="AC195" i="63"/>
  <c r="AM195" i="63" s="1"/>
  <c r="AJ212" i="63"/>
  <c r="AK197" i="63"/>
  <c r="AK193" i="63"/>
  <c r="AK216" i="63"/>
  <c r="A25" i="60"/>
  <c r="H24" i="60"/>
  <c r="D23" i="61"/>
  <c r="D23" i="59"/>
  <c r="A32" i="59"/>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C22" i="59"/>
  <c r="X25" i="59" s="1"/>
  <c r="D22" i="59"/>
  <c r="A76" i="61"/>
  <c r="G75" i="61"/>
  <c r="A54" i="58"/>
  <c r="A55" i="58" s="1"/>
  <c r="A56" i="58" s="1"/>
  <c r="A57" i="58" s="1"/>
  <c r="A58" i="58" s="1"/>
  <c r="AB53" i="58"/>
  <c r="B25" i="56"/>
  <c r="A26" i="56"/>
  <c r="V25" i="56"/>
  <c r="A22" i="51"/>
  <c r="O21" i="51"/>
  <c r="C21" i="51"/>
  <c r="AC210" i="63" l="1"/>
  <c r="AM210" i="63" s="1"/>
  <c r="J111" i="63"/>
  <c r="O2" i="63"/>
  <c r="AG210" i="63"/>
  <c r="AC219" i="63"/>
  <c r="AM219" i="63" s="1"/>
  <c r="AG219" i="63"/>
  <c r="J120" i="63"/>
  <c r="AG211" i="63"/>
  <c r="AC211" i="63"/>
  <c r="AM211" i="63" s="1"/>
  <c r="J112" i="63"/>
  <c r="AJ210" i="63"/>
  <c r="AK195" i="63"/>
  <c r="A29" i="63"/>
  <c r="C28" i="63"/>
  <c r="D28" i="63"/>
  <c r="AJ219" i="63"/>
  <c r="AK212" i="63"/>
  <c r="AJ211" i="63"/>
  <c r="AK196" i="63"/>
  <c r="A26" i="60"/>
  <c r="H25" i="60"/>
  <c r="C25" i="60"/>
  <c r="A77" i="61"/>
  <c r="A78" i="61" s="1"/>
  <c r="A79" i="61" s="1"/>
  <c r="G76" i="61"/>
  <c r="C72" i="59"/>
  <c r="Y25" i="59"/>
  <c r="Z25" i="59" s="1"/>
  <c r="A58" i="59"/>
  <c r="P57" i="59"/>
  <c r="A23" i="51"/>
  <c r="U22" i="51"/>
  <c r="A27" i="56"/>
  <c r="B26" i="56"/>
  <c r="V26" i="56"/>
  <c r="A59" i="58"/>
  <c r="AB58" i="58"/>
  <c r="AK219" i="63" l="1"/>
  <c r="D29" i="63"/>
  <c r="C29" i="63"/>
  <c r="A30" i="63"/>
  <c r="A31" i="63" s="1"/>
  <c r="AK210" i="63"/>
  <c r="AJ217" i="63"/>
  <c r="AK211" i="63"/>
  <c r="AJ218" i="63"/>
  <c r="C78" i="63"/>
  <c r="AG218" i="63"/>
  <c r="AC218" i="63"/>
  <c r="AM218" i="63" s="1"/>
  <c r="J119" i="63"/>
  <c r="AC217" i="63"/>
  <c r="AM217" i="63" s="1"/>
  <c r="J118" i="63"/>
  <c r="AG217" i="63"/>
  <c r="P2" i="63"/>
  <c r="A80" i="61"/>
  <c r="V79" i="61"/>
  <c r="X79" i="61" s="1"/>
  <c r="A59" i="59"/>
  <c r="N58" i="59"/>
  <c r="J58" i="59"/>
  <c r="M58" i="59"/>
  <c r="I58" i="59"/>
  <c r="P58" i="59"/>
  <c r="L58" i="59"/>
  <c r="H58" i="59"/>
  <c r="K58" i="59"/>
  <c r="O58" i="59"/>
  <c r="A27" i="60"/>
  <c r="H26" i="60"/>
  <c r="C26" i="60"/>
  <c r="C25" i="61"/>
  <c r="A60" i="58"/>
  <c r="A61" i="58" s="1"/>
  <c r="A62" i="58" s="1"/>
  <c r="A63" i="58" s="1"/>
  <c r="A64" i="58" s="1"/>
  <c r="A65" i="58" s="1"/>
  <c r="AB59" i="58"/>
  <c r="B27" i="56"/>
  <c r="A28" i="56"/>
  <c r="A24" i="51"/>
  <c r="O23" i="51"/>
  <c r="C23" i="51"/>
  <c r="U23" i="51"/>
  <c r="D23" i="51"/>
  <c r="AK218" i="63" l="1"/>
  <c r="J125" i="63"/>
  <c r="L26" i="63" s="1"/>
  <c r="M26" i="63" s="1"/>
  <c r="AG224" i="63"/>
  <c r="AC224" i="63"/>
  <c r="AM224" i="63" s="1"/>
  <c r="AK217" i="63"/>
  <c r="AJ224" i="63"/>
  <c r="D31" i="63"/>
  <c r="A32" i="63"/>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C31" i="63"/>
  <c r="AC220" i="63"/>
  <c r="AM220" i="63" s="1"/>
  <c r="J121" i="63"/>
  <c r="AG220" i="63"/>
  <c r="C79" i="63"/>
  <c r="A28" i="60"/>
  <c r="C27" i="60"/>
  <c r="A81" i="61"/>
  <c r="A82" i="61" s="1"/>
  <c r="A83" i="61" s="1"/>
  <c r="A84" i="61" s="1"/>
  <c r="V80" i="61"/>
  <c r="X80" i="61" s="1"/>
  <c r="A60" i="59"/>
  <c r="M59" i="59"/>
  <c r="I59" i="59"/>
  <c r="P59" i="59"/>
  <c r="L59" i="59"/>
  <c r="H59" i="59"/>
  <c r="O59" i="59"/>
  <c r="K59" i="59"/>
  <c r="N59" i="59"/>
  <c r="J59" i="59"/>
  <c r="C25" i="59"/>
  <c r="X20" i="59" s="1"/>
  <c r="C26" i="61"/>
  <c r="A25" i="51"/>
  <c r="U24" i="51"/>
  <c r="D24" i="51"/>
  <c r="A29" i="56"/>
  <c r="B28" i="56"/>
  <c r="A66" i="58"/>
  <c r="AB65" i="58"/>
  <c r="A57" i="63" l="1"/>
  <c r="B56" i="63"/>
  <c r="D56" i="63" s="1"/>
  <c r="AK224" i="63"/>
  <c r="AC221" i="63"/>
  <c r="AM221" i="63" s="1"/>
  <c r="J122" i="63"/>
  <c r="AG221" i="63"/>
  <c r="AJ222" i="63" s="1"/>
  <c r="A29" i="60"/>
  <c r="C28" i="60"/>
  <c r="A61" i="59"/>
  <c r="A62" i="59" s="1"/>
  <c r="A63" i="59" s="1"/>
  <c r="P60" i="59"/>
  <c r="L60" i="59"/>
  <c r="H60" i="59"/>
  <c r="O60" i="59"/>
  <c r="K60" i="59"/>
  <c r="N60" i="59"/>
  <c r="J60" i="59"/>
  <c r="I60" i="59"/>
  <c r="M60" i="59"/>
  <c r="C27" i="61"/>
  <c r="C26" i="59"/>
  <c r="X22" i="59" s="1"/>
  <c r="A85" i="61"/>
  <c r="G84" i="61"/>
  <c r="V84" i="61"/>
  <c r="X84" i="61" s="1"/>
  <c r="B29" i="56"/>
  <c r="A30" i="56"/>
  <c r="A31" i="56" s="1"/>
  <c r="A67" i="58"/>
  <c r="AB66" i="58"/>
  <c r="A26" i="51"/>
  <c r="O25" i="51"/>
  <c r="U25" i="51"/>
  <c r="J123" i="63" l="1"/>
  <c r="AC222" i="63"/>
  <c r="AM222" i="63" s="1"/>
  <c r="AG222" i="63"/>
  <c r="P57" i="63"/>
  <c r="B57" i="63"/>
  <c r="D57" i="63" s="1"/>
  <c r="A58" i="63"/>
  <c r="G57" i="63"/>
  <c r="C28" i="61"/>
  <c r="A64" i="59"/>
  <c r="P63" i="59"/>
  <c r="N63" i="59"/>
  <c r="M63" i="59"/>
  <c r="G63" i="59"/>
  <c r="A86" i="6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V85" i="61"/>
  <c r="X85" i="61" s="1"/>
  <c r="C27" i="59"/>
  <c r="X21" i="59" s="1"/>
  <c r="A30" i="60"/>
  <c r="C29" i="60"/>
  <c r="W31" i="56"/>
  <c r="B31" i="56"/>
  <c r="A32" i="56"/>
  <c r="Y31" i="56"/>
  <c r="V31" i="56"/>
  <c r="X31" i="56"/>
  <c r="C31" i="56"/>
  <c r="A27" i="51"/>
  <c r="C26" i="51"/>
  <c r="A68" i="58"/>
  <c r="A69" i="58" s="1"/>
  <c r="A70" i="58" s="1"/>
  <c r="A71" i="58" s="1"/>
  <c r="A72" i="58" s="1"/>
  <c r="AB67" i="58"/>
  <c r="H58" i="63" l="1"/>
  <c r="K58" i="63"/>
  <c r="I58" i="63"/>
  <c r="B58" i="63"/>
  <c r="D58" i="63" s="1"/>
  <c r="G58" i="63"/>
  <c r="A59" i="63"/>
  <c r="P58" i="63"/>
  <c r="N58" i="63"/>
  <c r="J58" i="63"/>
  <c r="L58" i="63"/>
  <c r="O58" i="63"/>
  <c r="M58" i="63"/>
  <c r="P9" i="63"/>
  <c r="L19" i="63" s="1"/>
  <c r="K18" i="63" s="1"/>
  <c r="J124" i="63"/>
  <c r="AG223" i="63"/>
  <c r="AC223" i="63"/>
  <c r="AM223" i="63" s="1"/>
  <c r="AK222" i="63"/>
  <c r="AJ223" i="63"/>
  <c r="C29" i="61"/>
  <c r="A65" i="59"/>
  <c r="J64" i="59"/>
  <c r="P64" i="59"/>
  <c r="N64" i="59"/>
  <c r="I64" i="59"/>
  <c r="H64" i="59"/>
  <c r="K64" i="59"/>
  <c r="M64" i="59"/>
  <c r="G64" i="59"/>
  <c r="C28" i="59"/>
  <c r="X24" i="59" s="1"/>
  <c r="A132" i="61"/>
  <c r="A133" i="61" s="1"/>
  <c r="A134" i="61" s="1"/>
  <c r="A31" i="60"/>
  <c r="J30" i="60"/>
  <c r="L30" i="60"/>
  <c r="H30" i="60"/>
  <c r="K30" i="60"/>
  <c r="I30" i="60"/>
  <c r="A28" i="51"/>
  <c r="O27" i="51"/>
  <c r="S27" i="51"/>
  <c r="P27" i="51"/>
  <c r="Q27" i="51"/>
  <c r="R27" i="51"/>
  <c r="C27" i="51"/>
  <c r="A33" i="56"/>
  <c r="V32" i="56"/>
  <c r="A73" i="58"/>
  <c r="AB72" i="58"/>
  <c r="AK223" i="63" l="1"/>
  <c r="O59" i="63"/>
  <c r="K59" i="63"/>
  <c r="A60" i="63"/>
  <c r="P59" i="63"/>
  <c r="G59" i="63"/>
  <c r="M59" i="63"/>
  <c r="L59" i="63"/>
  <c r="N59" i="63"/>
  <c r="I59" i="63"/>
  <c r="H59" i="63"/>
  <c r="J59" i="63"/>
  <c r="A135" i="61"/>
  <c r="A136" i="61" s="1"/>
  <c r="A137" i="61" s="1"/>
  <c r="A138" i="61" s="1"/>
  <c r="A139" i="61" s="1"/>
  <c r="A140" i="61" s="1"/>
  <c r="A141" i="61" s="1"/>
  <c r="A142" i="61" s="1"/>
  <c r="A143" i="61" s="1"/>
  <c r="J134" i="61"/>
  <c r="L134" i="61"/>
  <c r="H134" i="61"/>
  <c r="I134" i="61"/>
  <c r="G134" i="61"/>
  <c r="K134" i="61"/>
  <c r="A32" i="60"/>
  <c r="I31" i="60"/>
  <c r="D31" i="60"/>
  <c r="K31" i="60"/>
  <c r="H31" i="60"/>
  <c r="C31" i="60"/>
  <c r="J31" i="60"/>
  <c r="C29" i="59"/>
  <c r="X23" i="59" s="1"/>
  <c r="A66" i="59"/>
  <c r="P65" i="59"/>
  <c r="N65" i="59"/>
  <c r="J65" i="59"/>
  <c r="I65" i="59"/>
  <c r="H65" i="59"/>
  <c r="K65" i="59"/>
  <c r="M65" i="59"/>
  <c r="G65" i="59"/>
  <c r="A34" i="56"/>
  <c r="A35" i="56" s="1"/>
  <c r="A36" i="56" s="1"/>
  <c r="A37" i="56" s="1"/>
  <c r="A38" i="56" s="1"/>
  <c r="A39" i="56" s="1"/>
  <c r="A40" i="56" s="1"/>
  <c r="A41" i="56" s="1"/>
  <c r="A42" i="56" s="1"/>
  <c r="V33" i="56"/>
  <c r="A74" i="58"/>
  <c r="A75" i="58" s="1"/>
  <c r="A76" i="58" s="1"/>
  <c r="A77" i="58" s="1"/>
  <c r="A78" i="58" s="1"/>
  <c r="A79" i="58" s="1"/>
  <c r="AB73" i="58"/>
  <c r="A29" i="51"/>
  <c r="C28" i="51"/>
  <c r="K60" i="63" l="1"/>
  <c r="J60" i="63"/>
  <c r="P60" i="63"/>
  <c r="G60" i="63"/>
  <c r="A61" i="63"/>
  <c r="L60" i="63"/>
  <c r="M60" i="63"/>
  <c r="I60" i="63"/>
  <c r="H60" i="63"/>
  <c r="O60" i="63"/>
  <c r="N60" i="63"/>
  <c r="B60" i="63"/>
  <c r="D60" i="63" s="1"/>
  <c r="C31" i="61"/>
  <c r="A33" i="60"/>
  <c r="H32" i="60"/>
  <c r="A144" i="61"/>
  <c r="G144" i="61" s="1"/>
  <c r="A67" i="59"/>
  <c r="A68" i="59" s="1"/>
  <c r="J66" i="59"/>
  <c r="I66" i="59"/>
  <c r="H66" i="59"/>
  <c r="N66" i="59"/>
  <c r="K66" i="59"/>
  <c r="M66" i="59"/>
  <c r="G66" i="59"/>
  <c r="D31" i="61"/>
  <c r="V42" i="56"/>
  <c r="A43" i="56"/>
  <c r="A44" i="56" s="1"/>
  <c r="A30" i="51"/>
  <c r="P29" i="51"/>
  <c r="Q29" i="51"/>
  <c r="S29" i="51"/>
  <c r="C29" i="51"/>
  <c r="R29" i="51"/>
  <c r="O29" i="51"/>
  <c r="A80" i="58"/>
  <c r="A81" i="58" s="1"/>
  <c r="AB79" i="58"/>
  <c r="A62" i="63" l="1"/>
  <c r="A63" i="63" s="1"/>
  <c r="B61" i="63"/>
  <c r="D61" i="63" s="1"/>
  <c r="G57" i="59"/>
  <c r="C31" i="59"/>
  <c r="X26" i="59" s="1"/>
  <c r="D31" i="59"/>
  <c r="Y26" i="59" s="1"/>
  <c r="A34" i="60"/>
  <c r="H33" i="60"/>
  <c r="G8" i="61"/>
  <c r="G71" i="61"/>
  <c r="G50" i="61"/>
  <c r="F141" i="61"/>
  <c r="G128" i="61"/>
  <c r="G26" i="61"/>
  <c r="A69" i="59"/>
  <c r="P68" i="59"/>
  <c r="A145" i="61"/>
  <c r="A146" i="61" s="1"/>
  <c r="A147" i="61" s="1"/>
  <c r="A148" i="61" s="1"/>
  <c r="A149" i="61" s="1"/>
  <c r="A82" i="58"/>
  <c r="AB81" i="58"/>
  <c r="A31" i="51"/>
  <c r="A32" i="51" s="1"/>
  <c r="C30" i="51"/>
  <c r="A45" i="56"/>
  <c r="G44" i="56"/>
  <c r="H44" i="56"/>
  <c r="B63" i="63" l="1"/>
  <c r="D63" i="63" s="1"/>
  <c r="N63" i="63"/>
  <c r="P63" i="63"/>
  <c r="A64" i="63"/>
  <c r="M63" i="63"/>
  <c r="G63" i="63"/>
  <c r="G9" i="61"/>
  <c r="A150" i="61"/>
  <c r="A151" i="61" s="1"/>
  <c r="A152" i="61" s="1"/>
  <c r="A153" i="61" s="1"/>
  <c r="A154" i="61" s="1"/>
  <c r="A155" i="61" s="1"/>
  <c r="A156" i="61" s="1"/>
  <c r="A157" i="61" s="1"/>
  <c r="F149" i="61"/>
  <c r="A70" i="59"/>
  <c r="P69" i="59"/>
  <c r="A35" i="60"/>
  <c r="A36" i="60" s="1"/>
  <c r="A37" i="60" s="1"/>
  <c r="A38" i="60" s="1"/>
  <c r="H34" i="60"/>
  <c r="G58" i="59"/>
  <c r="G27" i="61"/>
  <c r="G72" i="61"/>
  <c r="F142" i="61"/>
  <c r="G129" i="61"/>
  <c r="G51" i="61"/>
  <c r="A83" i="58"/>
  <c r="A84" i="58" s="1"/>
  <c r="A85" i="58" s="1"/>
  <c r="A86" i="58" s="1"/>
  <c r="AA82" i="58"/>
  <c r="A33" i="51"/>
  <c r="A34" i="51" s="1"/>
  <c r="A35" i="51" s="1"/>
  <c r="A36" i="51" s="1"/>
  <c r="C32" i="51"/>
  <c r="D32" i="51"/>
  <c r="A46" i="56"/>
  <c r="H45" i="56"/>
  <c r="G45" i="56"/>
  <c r="N64" i="63" l="1"/>
  <c r="J64" i="63"/>
  <c r="P64" i="63"/>
  <c r="M64" i="63"/>
  <c r="K64" i="63"/>
  <c r="I64" i="63"/>
  <c r="B64" i="63"/>
  <c r="D64" i="63" s="1"/>
  <c r="H64" i="63"/>
  <c r="G64" i="63"/>
  <c r="A65" i="63"/>
  <c r="G59" i="59"/>
  <c r="A71" i="59"/>
  <c r="P70" i="59"/>
  <c r="G10" i="61"/>
  <c r="A39" i="60"/>
  <c r="A158" i="61"/>
  <c r="A159" i="61" s="1"/>
  <c r="A160" i="61" s="1"/>
  <c r="A161" i="61" s="1"/>
  <c r="A162" i="61" s="1"/>
  <c r="A163" i="61" s="1"/>
  <c r="A164" i="61" s="1"/>
  <c r="A165" i="61" s="1"/>
  <c r="A166" i="61" s="1"/>
  <c r="A167" i="61" s="1"/>
  <c r="A168" i="61" s="1"/>
  <c r="A169" i="61" s="1"/>
  <c r="A170" i="61" s="1"/>
  <c r="A171" i="61" s="1"/>
  <c r="A172" i="61" s="1"/>
  <c r="A173" i="61" s="1"/>
  <c r="A174" i="61" s="1"/>
  <c r="L157" i="61"/>
  <c r="H157" i="61"/>
  <c r="J157" i="61"/>
  <c r="K157" i="61"/>
  <c r="I157" i="61"/>
  <c r="G157" i="61"/>
  <c r="G130" i="61"/>
  <c r="G28" i="61"/>
  <c r="G73" i="61"/>
  <c r="G52" i="61"/>
  <c r="F143" i="61"/>
  <c r="A37" i="51"/>
  <c r="O36" i="51"/>
  <c r="A47" i="56"/>
  <c r="G46" i="56"/>
  <c r="A87" i="58"/>
  <c r="AB86" i="58"/>
  <c r="I65" i="63" l="1"/>
  <c r="A66" i="63"/>
  <c r="M65" i="63"/>
  <c r="K65" i="63"/>
  <c r="J65" i="63"/>
  <c r="H65" i="63"/>
  <c r="N65" i="63"/>
  <c r="P65" i="63"/>
  <c r="G65" i="63"/>
  <c r="A40" i="60"/>
  <c r="G74" i="61"/>
  <c r="G60" i="59"/>
  <c r="A175" i="61"/>
  <c r="G174" i="61"/>
  <c r="A72" i="59"/>
  <c r="P71" i="59"/>
  <c r="G11" i="61"/>
  <c r="G29" i="61"/>
  <c r="F144" i="61"/>
  <c r="G131" i="61"/>
  <c r="G53" i="61"/>
  <c r="A88" i="58"/>
  <c r="AB87" i="58"/>
  <c r="G47" i="56"/>
  <c r="A48" i="56"/>
  <c r="A38" i="51"/>
  <c r="O37" i="51"/>
  <c r="J66" i="63" l="1"/>
  <c r="N66" i="63"/>
  <c r="M66" i="63"/>
  <c r="A67" i="63"/>
  <c r="K66" i="63"/>
  <c r="I66" i="63"/>
  <c r="G66" i="63"/>
  <c r="H66" i="63"/>
  <c r="A176" i="61"/>
  <c r="G175" i="61"/>
  <c r="A73" i="59"/>
  <c r="A74" i="59" s="1"/>
  <c r="A75" i="59" s="1"/>
  <c r="A76" i="59" s="1"/>
  <c r="A77" i="59" s="1"/>
  <c r="B72" i="59"/>
  <c r="D72" i="59" s="1"/>
  <c r="A41" i="60"/>
  <c r="A42" i="60" s="1"/>
  <c r="A43" i="60" s="1"/>
  <c r="A44" i="60" s="1"/>
  <c r="A39" i="51"/>
  <c r="O38" i="51"/>
  <c r="G48" i="56"/>
  <c r="A49" i="56"/>
  <c r="A89" i="58"/>
  <c r="AB88" i="58"/>
  <c r="B67" i="63" l="1"/>
  <c r="D67" i="63" s="1"/>
  <c r="A68" i="63"/>
  <c r="A45" i="60"/>
  <c r="A177" i="61"/>
  <c r="G176" i="61"/>
  <c r="A78" i="59"/>
  <c r="AC77" i="59"/>
  <c r="Y77" i="59"/>
  <c r="S77" i="59"/>
  <c r="AB77" i="59"/>
  <c r="X77" i="59"/>
  <c r="R77" i="59"/>
  <c r="AE77" i="59"/>
  <c r="AA77" i="59"/>
  <c r="W77" i="59"/>
  <c r="Q77" i="59"/>
  <c r="AD77" i="59"/>
  <c r="Z77" i="59"/>
  <c r="T77" i="59"/>
  <c r="H77" i="59"/>
  <c r="V77" i="59"/>
  <c r="A40" i="51"/>
  <c r="O39" i="51"/>
  <c r="A90" i="58"/>
  <c r="A91" i="58" s="1"/>
  <c r="A92" i="58" s="1"/>
  <c r="A93" i="58" s="1"/>
  <c r="AB89" i="58"/>
  <c r="G49" i="56"/>
  <c r="A50" i="56"/>
  <c r="A69" i="63" l="1"/>
  <c r="B68" i="63"/>
  <c r="D68" i="63" s="1"/>
  <c r="P68" i="63"/>
  <c r="A178" i="61"/>
  <c r="G177" i="61"/>
  <c r="A79" i="59"/>
  <c r="AD78" i="59"/>
  <c r="Z78" i="59"/>
  <c r="T78" i="59"/>
  <c r="P78" i="59"/>
  <c r="AC78" i="59"/>
  <c r="Y78" i="59"/>
  <c r="S78" i="59"/>
  <c r="O78" i="59"/>
  <c r="AB78" i="59"/>
  <c r="X78" i="59"/>
  <c r="R78" i="59"/>
  <c r="AE78" i="59"/>
  <c r="AA78" i="59"/>
  <c r="W78" i="59"/>
  <c r="Q78" i="59"/>
  <c r="V78" i="59"/>
  <c r="H78" i="59"/>
  <c r="A46" i="60"/>
  <c r="G50" i="56"/>
  <c r="A51" i="56"/>
  <c r="A94" i="58"/>
  <c r="AB93" i="58"/>
  <c r="A41" i="51"/>
  <c r="A42" i="51" s="1"/>
  <c r="A43" i="51" s="1"/>
  <c r="A44" i="51" s="1"/>
  <c r="A45" i="51" s="1"/>
  <c r="A70" i="63" l="1"/>
  <c r="P69" i="63"/>
  <c r="B69" i="63"/>
  <c r="D69" i="63" s="1"/>
  <c r="A47" i="60"/>
  <c r="A80" i="59"/>
  <c r="AB79" i="59"/>
  <c r="X79" i="59"/>
  <c r="R79" i="59"/>
  <c r="AE79" i="59"/>
  <c r="AA79" i="59"/>
  <c r="W79" i="59"/>
  <c r="Q79" i="59"/>
  <c r="AD79" i="59"/>
  <c r="Z79" i="59"/>
  <c r="T79" i="59"/>
  <c r="P79" i="59"/>
  <c r="AC79" i="59"/>
  <c r="Y79" i="59"/>
  <c r="S79" i="59"/>
  <c r="V79" i="59"/>
  <c r="H79" i="59"/>
  <c r="A179" i="61"/>
  <c r="H179" i="61" s="1"/>
  <c r="A52" i="56"/>
  <c r="G51" i="56"/>
  <c r="A46" i="51"/>
  <c r="A95" i="58"/>
  <c r="AB94" i="58"/>
  <c r="A71" i="63" l="1"/>
  <c r="B70" i="63"/>
  <c r="D70" i="63" s="1"/>
  <c r="P70" i="63"/>
  <c r="A81" i="59"/>
  <c r="AD80" i="59"/>
  <c r="Z80" i="59"/>
  <c r="T80" i="59"/>
  <c r="P80" i="59"/>
  <c r="AC80" i="59"/>
  <c r="Y80" i="59"/>
  <c r="S80" i="59"/>
  <c r="AB80" i="59"/>
  <c r="X80" i="59"/>
  <c r="R80" i="59"/>
  <c r="Q80" i="59"/>
  <c r="AE80" i="59"/>
  <c r="AA80" i="59"/>
  <c r="W80" i="59"/>
  <c r="V80" i="59"/>
  <c r="H80" i="59"/>
  <c r="A180" i="61"/>
  <c r="G179" i="61"/>
  <c r="A48" i="60"/>
  <c r="A49" i="60" s="1"/>
  <c r="A50" i="60" s="1"/>
  <c r="A96" i="58"/>
  <c r="A97" i="58" s="1"/>
  <c r="A98" i="58" s="1"/>
  <c r="A99" i="58" s="1"/>
  <c r="A100" i="58" s="1"/>
  <c r="A101" i="58" s="1"/>
  <c r="AB95" i="58"/>
  <c r="A47" i="51"/>
  <c r="G52" i="56"/>
  <c r="A53" i="56"/>
  <c r="A72" i="63" l="1"/>
  <c r="P71" i="63"/>
  <c r="A181" i="61"/>
  <c r="A51" i="60"/>
  <c r="J50" i="60"/>
  <c r="H50" i="60"/>
  <c r="I50" i="60"/>
  <c r="K50" i="60"/>
  <c r="A82" i="59"/>
  <c r="AE81" i="59"/>
  <c r="AA81" i="59"/>
  <c r="W81" i="59"/>
  <c r="Q81" i="59"/>
  <c r="AD81" i="59"/>
  <c r="Z81" i="59"/>
  <c r="T81" i="59"/>
  <c r="P81" i="59"/>
  <c r="AC81" i="59"/>
  <c r="Y81" i="59"/>
  <c r="S81" i="59"/>
  <c r="O81" i="59"/>
  <c r="R81" i="59"/>
  <c r="AB81" i="59"/>
  <c r="X81" i="59"/>
  <c r="V81" i="59"/>
  <c r="H81" i="59"/>
  <c r="A54" i="56"/>
  <c r="G53" i="56"/>
  <c r="A48" i="51"/>
  <c r="A49" i="51" s="1"/>
  <c r="A50" i="51" s="1"/>
  <c r="A51" i="51" s="1"/>
  <c r="A52" i="51" s="1"/>
  <c r="A53" i="51" s="1"/>
  <c r="A54" i="51" s="1"/>
  <c r="A55" i="51" s="1"/>
  <c r="A56" i="51" s="1"/>
  <c r="A57" i="51" s="1"/>
  <c r="A58" i="51" s="1"/>
  <c r="A59" i="51" s="1"/>
  <c r="A60" i="51" s="1"/>
  <c r="A61" i="51" s="1"/>
  <c r="A102" i="58"/>
  <c r="AB101" i="58"/>
  <c r="A73" i="63" l="1"/>
  <c r="A74" i="63" s="1"/>
  <c r="A75" i="63" s="1"/>
  <c r="B72" i="63"/>
  <c r="D72" i="63" s="1"/>
  <c r="A52" i="60"/>
  <c r="J51" i="60"/>
  <c r="H51" i="60"/>
  <c r="K51" i="60"/>
  <c r="G51" i="60" s="1"/>
  <c r="I51" i="60"/>
  <c r="A83" i="59"/>
  <c r="AC82" i="59"/>
  <c r="Y82" i="59"/>
  <c r="S82" i="59"/>
  <c r="AB82" i="59"/>
  <c r="X82" i="59"/>
  <c r="R82" i="59"/>
  <c r="AE82" i="59"/>
  <c r="AA82" i="59"/>
  <c r="W82" i="59"/>
  <c r="Q82" i="59"/>
  <c r="T82" i="59"/>
  <c r="P82" i="59"/>
  <c r="AD82" i="59"/>
  <c r="Z82" i="59"/>
  <c r="V82" i="59"/>
  <c r="H82" i="59"/>
  <c r="G50" i="60"/>
  <c r="A182" i="6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62" i="51"/>
  <c r="G54" i="56"/>
  <c r="H54" i="56"/>
  <c r="A55" i="56"/>
  <c r="A103" i="58"/>
  <c r="AB102" i="58"/>
  <c r="B75" i="63" l="1"/>
  <c r="D75" i="63" s="1"/>
  <c r="A76" i="63"/>
  <c r="A84" i="59"/>
  <c r="AE83" i="59"/>
  <c r="AA83" i="59"/>
  <c r="W83" i="59"/>
  <c r="Q83" i="59"/>
  <c r="AD83" i="59"/>
  <c r="Z83" i="59"/>
  <c r="T83" i="59"/>
  <c r="P83" i="59"/>
  <c r="AC83" i="59"/>
  <c r="Y83" i="59"/>
  <c r="S83" i="59"/>
  <c r="X83" i="59"/>
  <c r="R83" i="59"/>
  <c r="AB83" i="59"/>
  <c r="V83" i="59"/>
  <c r="H83" i="59"/>
  <c r="A53" i="60"/>
  <c r="J52" i="60"/>
  <c r="H52" i="60"/>
  <c r="N52" i="60"/>
  <c r="I52" i="60"/>
  <c r="K52" i="60"/>
  <c r="A56" i="56"/>
  <c r="G55" i="56"/>
  <c r="A104" i="58"/>
  <c r="A105" i="58" s="1"/>
  <c r="A106" i="58" s="1"/>
  <c r="A107" i="58" s="1"/>
  <c r="AB103" i="58"/>
  <c r="A63" i="51"/>
  <c r="B76" i="63" l="1"/>
  <c r="D76" i="63" s="1"/>
  <c r="A77" i="63"/>
  <c r="A54" i="60"/>
  <c r="J53" i="60"/>
  <c r="H53" i="60"/>
  <c r="K53" i="60"/>
  <c r="G53" i="60" s="1"/>
  <c r="N53" i="60"/>
  <c r="I53" i="60"/>
  <c r="G52" i="60"/>
  <c r="A85" i="59"/>
  <c r="AD84" i="59"/>
  <c r="Z84" i="59"/>
  <c r="T84" i="59"/>
  <c r="AC84" i="59"/>
  <c r="Y84" i="59"/>
  <c r="S84" i="59"/>
  <c r="AB84" i="59"/>
  <c r="X84" i="59"/>
  <c r="R84" i="59"/>
  <c r="AA84" i="59"/>
  <c r="W84" i="59"/>
  <c r="Q84" i="59"/>
  <c r="AE84" i="59"/>
  <c r="V84" i="59"/>
  <c r="H84" i="59"/>
  <c r="A57" i="56"/>
  <c r="G56" i="56"/>
  <c r="A64" i="51"/>
  <c r="A65" i="51" s="1"/>
  <c r="A108" i="58"/>
  <c r="A109" i="58" s="1"/>
  <c r="A110" i="58" s="1"/>
  <c r="AB107" i="58"/>
  <c r="W77" i="63" l="1"/>
  <c r="Z77" i="63"/>
  <c r="I77" i="63"/>
  <c r="F77" i="63" s="1"/>
  <c r="B77" i="63"/>
  <c r="D77" i="63" s="1"/>
  <c r="AB77" i="63"/>
  <c r="P77" i="63"/>
  <c r="S77" i="63"/>
  <c r="V77" i="63"/>
  <c r="AC77" i="63"/>
  <c r="Y77" i="63"/>
  <c r="T77" i="63"/>
  <c r="AE77" i="63"/>
  <c r="O77" i="63"/>
  <c r="R77" i="63"/>
  <c r="U77" i="63"/>
  <c r="K77" i="63" s="1"/>
  <c r="Q77" i="63"/>
  <c r="H77" i="63"/>
  <c r="AA77" i="63"/>
  <c r="AD77" i="63"/>
  <c r="N77" i="63"/>
  <c r="M77" i="63"/>
  <c r="X77" i="63"/>
  <c r="A78" i="63"/>
  <c r="A86" i="59"/>
  <c r="AC85" i="59"/>
  <c r="Y85" i="59"/>
  <c r="S85" i="59"/>
  <c r="AB85" i="59"/>
  <c r="X85" i="59"/>
  <c r="R85" i="59"/>
  <c r="AE85" i="59"/>
  <c r="AA85" i="59"/>
  <c r="W85" i="59"/>
  <c r="Q85" i="59"/>
  <c r="AD85" i="59"/>
  <c r="Z85" i="59"/>
  <c r="T85" i="59"/>
  <c r="V85" i="59"/>
  <c r="H85" i="59"/>
  <c r="A55" i="60"/>
  <c r="J54" i="60"/>
  <c r="H54" i="60"/>
  <c r="I54" i="60"/>
  <c r="K54" i="60"/>
  <c r="N54" i="60"/>
  <c r="A111" i="58"/>
  <c r="A112" i="58" s="1"/>
  <c r="AB110" i="58"/>
  <c r="A66" i="51"/>
  <c r="A58" i="56"/>
  <c r="G57" i="56"/>
  <c r="W78" i="63" l="1"/>
  <c r="Z78" i="63"/>
  <c r="I78" i="63"/>
  <c r="F78" i="63" s="1"/>
  <c r="U78" i="63"/>
  <c r="K78" i="63" s="1"/>
  <c r="P78" i="63"/>
  <c r="T78" i="63"/>
  <c r="S78" i="63"/>
  <c r="V78" i="63"/>
  <c r="Y78" i="63"/>
  <c r="M78" i="63"/>
  <c r="AC78" i="63"/>
  <c r="AE78" i="63"/>
  <c r="O78" i="63"/>
  <c r="R78" i="63"/>
  <c r="Q78" i="63"/>
  <c r="A79" i="63"/>
  <c r="B78" i="63"/>
  <c r="D78" i="63" s="1"/>
  <c r="AA78" i="63"/>
  <c r="AD78" i="63"/>
  <c r="N78" i="63"/>
  <c r="H78" i="63"/>
  <c r="X78" i="63"/>
  <c r="AB78" i="63"/>
  <c r="G54" i="60"/>
  <c r="A56" i="60"/>
  <c r="J55" i="60"/>
  <c r="H55" i="60"/>
  <c r="N55" i="60"/>
  <c r="K55" i="60"/>
  <c r="G55" i="60" s="1"/>
  <c r="I55" i="60"/>
  <c r="A87" i="59"/>
  <c r="AC86" i="59"/>
  <c r="Y86" i="59"/>
  <c r="S86" i="59"/>
  <c r="AB86" i="59"/>
  <c r="X86" i="59"/>
  <c r="R86" i="59"/>
  <c r="AE86" i="59"/>
  <c r="AA86" i="59"/>
  <c r="W86" i="59"/>
  <c r="AD86" i="59"/>
  <c r="Z86" i="59"/>
  <c r="T86" i="59"/>
  <c r="V86" i="59"/>
  <c r="H86" i="59"/>
  <c r="A67" i="51"/>
  <c r="A68" i="51" s="1"/>
  <c r="H58" i="56"/>
  <c r="A59" i="56"/>
  <c r="G58" i="56"/>
  <c r="A113" i="58"/>
  <c r="A114" i="58" s="1"/>
  <c r="A115" i="58" s="1"/>
  <c r="E112" i="58"/>
  <c r="W79" i="63" l="1"/>
  <c r="Z79" i="63"/>
  <c r="I79" i="63"/>
  <c r="F79" i="63" s="1"/>
  <c r="B79" i="63"/>
  <c r="D79" i="63" s="1"/>
  <c r="D81" i="63" s="1"/>
  <c r="D82" i="63" s="1"/>
  <c r="I19" i="31" s="1"/>
  <c r="T79" i="63"/>
  <c r="P79" i="63"/>
  <c r="S79" i="63"/>
  <c r="V79" i="63"/>
  <c r="AC79" i="63"/>
  <c r="Y79" i="63"/>
  <c r="Q79" i="63"/>
  <c r="AE79" i="63"/>
  <c r="O79" i="63"/>
  <c r="R79" i="63"/>
  <c r="U79" i="63"/>
  <c r="K79" i="63" s="1"/>
  <c r="H79" i="63"/>
  <c r="A80" i="63"/>
  <c r="AA79" i="63"/>
  <c r="AD79" i="63"/>
  <c r="N79" i="63"/>
  <c r="M79" i="63"/>
  <c r="AB79" i="63"/>
  <c r="X79" i="63"/>
  <c r="A57" i="60"/>
  <c r="J56" i="60"/>
  <c r="H56" i="60"/>
  <c r="N56" i="60"/>
  <c r="I56" i="60"/>
  <c r="K56" i="60"/>
  <c r="G56" i="60" s="1"/>
  <c r="A88" i="59"/>
  <c r="AE87" i="59"/>
  <c r="AA87" i="59"/>
  <c r="W87" i="59"/>
  <c r="Q87" i="59"/>
  <c r="AD87" i="59"/>
  <c r="Z87" i="59"/>
  <c r="T87" i="59"/>
  <c r="P87" i="59"/>
  <c r="AC87" i="59"/>
  <c r="Y87" i="59"/>
  <c r="S87" i="59"/>
  <c r="R87" i="59"/>
  <c r="AB87" i="59"/>
  <c r="X87" i="59"/>
  <c r="V87" i="59"/>
  <c r="H87" i="59"/>
  <c r="A116" i="58"/>
  <c r="AB115" i="58"/>
  <c r="G59" i="56"/>
  <c r="A60" i="56"/>
  <c r="A69" i="51"/>
  <c r="E6" i="63" l="1"/>
  <c r="Z80" i="63"/>
  <c r="I80" i="63"/>
  <c r="F80" i="63" s="1"/>
  <c r="Q80" i="63"/>
  <c r="T80" i="63"/>
  <c r="A81" i="63"/>
  <c r="O80" i="63"/>
  <c r="V80" i="63"/>
  <c r="AC80" i="63"/>
  <c r="M80" i="63"/>
  <c r="X80" i="63"/>
  <c r="P80" i="63"/>
  <c r="AD80" i="63"/>
  <c r="U80" i="63"/>
  <c r="K80" i="63" s="1"/>
  <c r="S80" i="63"/>
  <c r="R80" i="63"/>
  <c r="Y80" i="63"/>
  <c r="H80" i="63"/>
  <c r="AA80" i="63"/>
  <c r="AE80" i="63"/>
  <c r="N80" i="63"/>
  <c r="AB80" i="63"/>
  <c r="W80" i="63"/>
  <c r="A89" i="59"/>
  <c r="AC88" i="59"/>
  <c r="Y88" i="59"/>
  <c r="S88" i="59"/>
  <c r="AB88" i="59"/>
  <c r="X88" i="59"/>
  <c r="R88" i="59"/>
  <c r="AE88" i="59"/>
  <c r="AA88" i="59"/>
  <c r="W88" i="59"/>
  <c r="Q88" i="59"/>
  <c r="T88" i="59"/>
  <c r="P88" i="59"/>
  <c r="AD88" i="59"/>
  <c r="Z88" i="59"/>
  <c r="V88" i="59"/>
  <c r="H88" i="59"/>
  <c r="A58" i="60"/>
  <c r="J57" i="60"/>
  <c r="H57" i="60"/>
  <c r="K57" i="60"/>
  <c r="I57" i="60"/>
  <c r="A70" i="51"/>
  <c r="A71" i="51" s="1"/>
  <c r="A72" i="51" s="1"/>
  <c r="B60" i="56"/>
  <c r="D60" i="56" s="1"/>
  <c r="G60" i="56"/>
  <c r="A61" i="56"/>
  <c r="A117" i="58"/>
  <c r="AB116" i="58"/>
  <c r="T81" i="63" l="1"/>
  <c r="W81" i="63"/>
  <c r="R81" i="63"/>
  <c r="Q81" i="63"/>
  <c r="AC81" i="63"/>
  <c r="A82" i="63"/>
  <c r="P81" i="63"/>
  <c r="S81" i="63"/>
  <c r="I81" i="63"/>
  <c r="F81" i="63" s="1"/>
  <c r="H81" i="63"/>
  <c r="U81" i="63"/>
  <c r="K81" i="63" s="1"/>
  <c r="AB81" i="63"/>
  <c r="AE81" i="63"/>
  <c r="O81" i="63"/>
  <c r="V81" i="63"/>
  <c r="AD81" i="63"/>
  <c r="M81" i="63"/>
  <c r="X81" i="63"/>
  <c r="AA81" i="63"/>
  <c r="Z81" i="63"/>
  <c r="Y81" i="63"/>
  <c r="N81" i="63"/>
  <c r="N20" i="63"/>
  <c r="E18" i="63"/>
  <c r="G57" i="60"/>
  <c r="A59" i="60"/>
  <c r="J58" i="60"/>
  <c r="H58" i="60"/>
  <c r="I58" i="60"/>
  <c r="K58" i="60"/>
  <c r="G58" i="60" s="1"/>
  <c r="A90" i="59"/>
  <c r="AB89" i="59"/>
  <c r="X89" i="59"/>
  <c r="AE89" i="59"/>
  <c r="AA89" i="59"/>
  <c r="AD89" i="59"/>
  <c r="W89" i="59"/>
  <c r="Q89" i="59"/>
  <c r="AC89" i="59"/>
  <c r="T89" i="59"/>
  <c r="P89" i="59"/>
  <c r="Z89" i="59"/>
  <c r="S89" i="59"/>
  <c r="Y89" i="59"/>
  <c r="R89" i="59"/>
  <c r="V89" i="59"/>
  <c r="H89" i="59"/>
  <c r="G61" i="56"/>
  <c r="A62" i="56"/>
  <c r="A118" i="58"/>
  <c r="A119" i="58" s="1"/>
  <c r="AB117" i="58"/>
  <c r="A73" i="51"/>
  <c r="V82" i="63" l="1"/>
  <c r="AC82" i="63"/>
  <c r="M82" i="63"/>
  <c r="P82" i="63"/>
  <c r="O82" i="63"/>
  <c r="Z82" i="63"/>
  <c r="I82" i="63"/>
  <c r="F82" i="63" s="1"/>
  <c r="Q82" i="63"/>
  <c r="X82" i="63"/>
  <c r="W82" i="63"/>
  <c r="S82" i="63"/>
  <c r="R82" i="63"/>
  <c r="Y82" i="63"/>
  <c r="H82" i="63"/>
  <c r="AB82" i="63"/>
  <c r="T82" i="63"/>
  <c r="AD82" i="63"/>
  <c r="N82" i="63"/>
  <c r="U82" i="63"/>
  <c r="K82" i="63" s="1"/>
  <c r="A83" i="63"/>
  <c r="AE82" i="63"/>
  <c r="AA82" i="63"/>
  <c r="A60" i="60"/>
  <c r="J59" i="60"/>
  <c r="H59" i="60"/>
  <c r="N59" i="60"/>
  <c r="K59" i="60"/>
  <c r="G59" i="60" s="1"/>
  <c r="I59" i="60"/>
  <c r="A91" i="59"/>
  <c r="AC90" i="59"/>
  <c r="Y90" i="59"/>
  <c r="S90" i="59"/>
  <c r="M90" i="59"/>
  <c r="AB90" i="59"/>
  <c r="X90" i="59"/>
  <c r="R90" i="59"/>
  <c r="AE90" i="59"/>
  <c r="W90" i="59"/>
  <c r="AD90" i="59"/>
  <c r="T90" i="59"/>
  <c r="AA90" i="59"/>
  <c r="Q90" i="59"/>
  <c r="Z90" i="59"/>
  <c r="P90" i="59"/>
  <c r="V90" i="59"/>
  <c r="H90" i="59"/>
  <c r="A74" i="51"/>
  <c r="G62" i="56"/>
  <c r="A63" i="56"/>
  <c r="A120" i="58"/>
  <c r="A121" i="58" s="1"/>
  <c r="E119" i="58"/>
  <c r="Y83" i="63" l="1"/>
  <c r="H83" i="63"/>
  <c r="T83" i="63"/>
  <c r="O83" i="63"/>
  <c r="S83" i="63"/>
  <c r="I83" i="63"/>
  <c r="F83" i="63" s="1"/>
  <c r="U83" i="63"/>
  <c r="K83" i="63" s="1"/>
  <c r="A84" i="63"/>
  <c r="P83" i="63"/>
  <c r="AD83" i="63"/>
  <c r="AA83" i="63"/>
  <c r="AC83" i="63"/>
  <c r="M83" i="63"/>
  <c r="X83" i="63"/>
  <c r="W83" i="63"/>
  <c r="R83" i="63"/>
  <c r="Q83" i="63"/>
  <c r="AB83" i="63"/>
  <c r="AE83" i="63"/>
  <c r="V83" i="63"/>
  <c r="Z83" i="63"/>
  <c r="N83" i="63"/>
  <c r="A92" i="59"/>
  <c r="AD91" i="59"/>
  <c r="Z91" i="59"/>
  <c r="T91" i="59"/>
  <c r="P91" i="59"/>
  <c r="AC91" i="59"/>
  <c r="Y91" i="59"/>
  <c r="S91" i="59"/>
  <c r="M91" i="59"/>
  <c r="X91" i="59"/>
  <c r="AE91" i="59"/>
  <c r="W91" i="59"/>
  <c r="AB91" i="59"/>
  <c r="R91" i="59"/>
  <c r="AA91" i="59"/>
  <c r="Q91" i="59"/>
  <c r="V91" i="59"/>
  <c r="H91" i="59"/>
  <c r="A61" i="60"/>
  <c r="J60" i="60"/>
  <c r="H60" i="60"/>
  <c r="N60" i="60"/>
  <c r="I60" i="60"/>
  <c r="K60" i="60"/>
  <c r="G60" i="60" s="1"/>
  <c r="A122" i="58"/>
  <c r="A123" i="58" s="1"/>
  <c r="A124" i="58" s="1"/>
  <c r="AB121" i="58"/>
  <c r="A64" i="56"/>
  <c r="G63" i="56"/>
  <c r="A75" i="51"/>
  <c r="Y84" i="63" l="1"/>
  <c r="H84" i="63"/>
  <c r="T84" i="63"/>
  <c r="AE84" i="63"/>
  <c r="W84" i="63"/>
  <c r="N84" i="63"/>
  <c r="U84" i="63"/>
  <c r="K84" i="63" s="1"/>
  <c r="A85" i="63"/>
  <c r="P84" i="63"/>
  <c r="Z84" i="63"/>
  <c r="O84" i="63"/>
  <c r="AC84" i="63"/>
  <c r="M84" i="63"/>
  <c r="X84" i="63"/>
  <c r="S84" i="63"/>
  <c r="I84" i="63"/>
  <c r="F84" i="63" s="1"/>
  <c r="V84" i="63"/>
  <c r="Q84" i="63"/>
  <c r="AB84" i="63"/>
  <c r="AA84" i="63"/>
  <c r="R84" i="63"/>
  <c r="AD84" i="63"/>
  <c r="A62" i="60"/>
  <c r="J61" i="60"/>
  <c r="H61" i="60"/>
  <c r="K61" i="60"/>
  <c r="G61" i="60" s="1"/>
  <c r="I61" i="60"/>
  <c r="N61" i="60"/>
  <c r="A93" i="59"/>
  <c r="AE92" i="59"/>
  <c r="AA92" i="59"/>
  <c r="W92" i="59"/>
  <c r="Q92" i="59"/>
  <c r="AD92" i="59"/>
  <c r="Z92" i="59"/>
  <c r="T92" i="59"/>
  <c r="P92" i="59"/>
  <c r="Y92" i="59"/>
  <c r="M92" i="59"/>
  <c r="X92" i="59"/>
  <c r="AC92" i="59"/>
  <c r="S92" i="59"/>
  <c r="AB92" i="59"/>
  <c r="R92" i="59"/>
  <c r="V92" i="59"/>
  <c r="H92" i="59"/>
  <c r="A76" i="51"/>
  <c r="A77" i="51" s="1"/>
  <c r="A65" i="56"/>
  <c r="G64" i="56"/>
  <c r="A125" i="58"/>
  <c r="A126" i="58" s="1"/>
  <c r="F124" i="58"/>
  <c r="Y85" i="63" l="1"/>
  <c r="H85" i="63"/>
  <c r="T85" i="63"/>
  <c r="O85" i="63"/>
  <c r="AA85" i="63"/>
  <c r="I85" i="63"/>
  <c r="F85" i="63" s="1"/>
  <c r="AC85" i="63"/>
  <c r="M85" i="63"/>
  <c r="X85" i="63"/>
  <c r="W85" i="63"/>
  <c r="N85" i="63"/>
  <c r="R85" i="63"/>
  <c r="U85" i="63"/>
  <c r="K85" i="63" s="1"/>
  <c r="A86" i="63"/>
  <c r="P85" i="63"/>
  <c r="AD85" i="63"/>
  <c r="S85" i="63"/>
  <c r="Q85" i="63"/>
  <c r="AB85" i="63"/>
  <c r="AE85" i="63"/>
  <c r="V85" i="63"/>
  <c r="Z85" i="63"/>
  <c r="A94" i="59"/>
  <c r="AE93" i="59"/>
  <c r="AA93" i="59"/>
  <c r="W93" i="59"/>
  <c r="Q93" i="59"/>
  <c r="AD93" i="59"/>
  <c r="Z93" i="59"/>
  <c r="T93" i="59"/>
  <c r="P93" i="59"/>
  <c r="Y93" i="59"/>
  <c r="O93" i="59"/>
  <c r="X93" i="59"/>
  <c r="N93" i="59"/>
  <c r="AC93" i="59"/>
  <c r="S93" i="59"/>
  <c r="AB93" i="59"/>
  <c r="R93" i="59"/>
  <c r="V93" i="59"/>
  <c r="H93" i="59"/>
  <c r="A63" i="60"/>
  <c r="J62" i="60"/>
  <c r="H62" i="60"/>
  <c r="I62" i="60"/>
  <c r="K62" i="60"/>
  <c r="G62" i="60" s="1"/>
  <c r="N62" i="60"/>
  <c r="A66" i="56"/>
  <c r="G65" i="56"/>
  <c r="A127" i="58"/>
  <c r="A128" i="58" s="1"/>
  <c r="A129" i="58" s="1"/>
  <c r="E126" i="58"/>
  <c r="A78" i="51"/>
  <c r="A79" i="51" s="1"/>
  <c r="A80" i="51" s="1"/>
  <c r="D77" i="51"/>
  <c r="U86" i="63" l="1"/>
  <c r="K86" i="63" s="1"/>
  <c r="A87" i="63"/>
  <c r="P86" i="63"/>
  <c r="R86" i="63"/>
  <c r="O86" i="63"/>
  <c r="Q86" i="63"/>
  <c r="AB86" i="63"/>
  <c r="AA86" i="63"/>
  <c r="I86" i="63"/>
  <c r="F86" i="63" s="1"/>
  <c r="AD86" i="63"/>
  <c r="AC86" i="63"/>
  <c r="M86" i="63"/>
  <c r="X86" i="63"/>
  <c r="S86" i="63"/>
  <c r="AE86" i="63"/>
  <c r="V86" i="63"/>
  <c r="Y86" i="63"/>
  <c r="H86" i="63"/>
  <c r="T86" i="63"/>
  <c r="Z86" i="63"/>
  <c r="W86" i="63"/>
  <c r="N86" i="63"/>
  <c r="A64" i="60"/>
  <c r="J63" i="60"/>
  <c r="H63" i="60"/>
  <c r="N63" i="60"/>
  <c r="K63" i="60"/>
  <c r="G63" i="60" s="1"/>
  <c r="I63" i="60"/>
  <c r="A95" i="59"/>
  <c r="AE94" i="59"/>
  <c r="AA94" i="59"/>
  <c r="W94" i="59"/>
  <c r="Q94" i="59"/>
  <c r="AD94" i="59"/>
  <c r="Z94" i="59"/>
  <c r="T94" i="59"/>
  <c r="P94" i="59"/>
  <c r="Y94" i="59"/>
  <c r="O94" i="59"/>
  <c r="X94" i="59"/>
  <c r="N94" i="59"/>
  <c r="AC94" i="59"/>
  <c r="S94" i="59"/>
  <c r="AB94" i="59"/>
  <c r="R94" i="59"/>
  <c r="V94" i="59"/>
  <c r="H94" i="59"/>
  <c r="A81" i="51"/>
  <c r="A130" i="58"/>
  <c r="AB129" i="58"/>
  <c r="A67" i="56"/>
  <c r="G66" i="56"/>
  <c r="U87" i="63" l="1"/>
  <c r="K87" i="63" s="1"/>
  <c r="A88" i="63"/>
  <c r="P87" i="63"/>
  <c r="AD87" i="63"/>
  <c r="S87" i="63"/>
  <c r="Q87" i="63"/>
  <c r="AB87" i="63"/>
  <c r="AE87" i="63"/>
  <c r="V87" i="63"/>
  <c r="Z87" i="63"/>
  <c r="AC87" i="63"/>
  <c r="M87" i="63"/>
  <c r="X87" i="63"/>
  <c r="W87" i="63"/>
  <c r="N87" i="63"/>
  <c r="R87" i="63"/>
  <c r="Y87" i="63"/>
  <c r="H87" i="63"/>
  <c r="T87" i="63"/>
  <c r="O87" i="63"/>
  <c r="AA87" i="63"/>
  <c r="I87" i="63"/>
  <c r="F87" i="63" s="1"/>
  <c r="A96" i="59"/>
  <c r="AE95" i="59"/>
  <c r="AA95" i="59"/>
  <c r="W95" i="59"/>
  <c r="Q95" i="59"/>
  <c r="AD95" i="59"/>
  <c r="Z95" i="59"/>
  <c r="T95" i="59"/>
  <c r="P95" i="59"/>
  <c r="Y95" i="59"/>
  <c r="O95" i="59"/>
  <c r="X95" i="59"/>
  <c r="N95" i="59"/>
  <c r="AC95" i="59"/>
  <c r="S95" i="59"/>
  <c r="AB95" i="59"/>
  <c r="R95" i="59"/>
  <c r="V95" i="59"/>
  <c r="H95" i="59"/>
  <c r="A65" i="60"/>
  <c r="J64" i="60"/>
  <c r="H64" i="60"/>
  <c r="I64" i="60"/>
  <c r="K64" i="60"/>
  <c r="G64" i="60" s="1"/>
  <c r="A131" i="58"/>
  <c r="AB130" i="58"/>
  <c r="A68" i="56"/>
  <c r="G67" i="56"/>
  <c r="A82" i="51"/>
  <c r="X88" i="63" l="1"/>
  <c r="AA88" i="63"/>
  <c r="AD88" i="63"/>
  <c r="U88" i="63"/>
  <c r="K88" i="63" s="1"/>
  <c r="I88" i="63"/>
  <c r="F88" i="63" s="1"/>
  <c r="T88" i="63"/>
  <c r="W88" i="63"/>
  <c r="V88" i="63"/>
  <c r="M88" i="63"/>
  <c r="Y88" i="63"/>
  <c r="A89" i="63"/>
  <c r="P88" i="63"/>
  <c r="S88" i="63"/>
  <c r="N88" i="63"/>
  <c r="Z88" i="63"/>
  <c r="Q88" i="63"/>
  <c r="AB88" i="63"/>
  <c r="AE88" i="63"/>
  <c r="O88" i="63"/>
  <c r="AC88" i="63"/>
  <c r="R88" i="63"/>
  <c r="H88" i="63"/>
  <c r="A66" i="60"/>
  <c r="J65" i="60"/>
  <c r="H65" i="60"/>
  <c r="K65" i="60"/>
  <c r="G65" i="60" s="1"/>
  <c r="I65" i="60"/>
  <c r="A97" i="59"/>
  <c r="AB96" i="59"/>
  <c r="X96" i="59"/>
  <c r="R96" i="59"/>
  <c r="AE96" i="59"/>
  <c r="AA96" i="59"/>
  <c r="W96" i="59"/>
  <c r="Q96" i="59"/>
  <c r="Z96" i="59"/>
  <c r="P96" i="59"/>
  <c r="Y96" i="59"/>
  <c r="O96" i="59"/>
  <c r="AD96" i="59"/>
  <c r="T96" i="59"/>
  <c r="AC96" i="59"/>
  <c r="S96" i="59"/>
  <c r="V96" i="59"/>
  <c r="H96" i="59"/>
  <c r="A83" i="51"/>
  <c r="A69" i="56"/>
  <c r="G68" i="56"/>
  <c r="A132" i="58"/>
  <c r="A133" i="58" s="1"/>
  <c r="A134" i="58" s="1"/>
  <c r="A135" i="58" s="1"/>
  <c r="AB131" i="58"/>
  <c r="W89" i="63" l="1"/>
  <c r="Z89" i="63"/>
  <c r="I89" i="63"/>
  <c r="F89" i="63" s="1"/>
  <c r="AB89" i="63"/>
  <c r="H89" i="63"/>
  <c r="S89" i="63"/>
  <c r="V89" i="63"/>
  <c r="AC89" i="63"/>
  <c r="T89" i="63"/>
  <c r="A90" i="63"/>
  <c r="AE89" i="63"/>
  <c r="O89" i="63"/>
  <c r="R89" i="63"/>
  <c r="U89" i="63"/>
  <c r="K89" i="63" s="1"/>
  <c r="Y89" i="63"/>
  <c r="X89" i="63"/>
  <c r="AA89" i="63"/>
  <c r="AD89" i="63"/>
  <c r="N89" i="63"/>
  <c r="M89" i="63"/>
  <c r="Q89" i="63"/>
  <c r="P89" i="63"/>
  <c r="A98" i="59"/>
  <c r="AC97" i="59"/>
  <c r="Y97" i="59"/>
  <c r="S97" i="59"/>
  <c r="O97" i="59"/>
  <c r="AB97" i="59"/>
  <c r="X97" i="59"/>
  <c r="R97" i="59"/>
  <c r="AA97" i="59"/>
  <c r="Q97" i="59"/>
  <c r="Z97" i="59"/>
  <c r="P97" i="59"/>
  <c r="AE97" i="59"/>
  <c r="W97" i="59"/>
  <c r="AD97" i="59"/>
  <c r="T97" i="59"/>
  <c r="V97" i="59"/>
  <c r="H97" i="59"/>
  <c r="A67" i="60"/>
  <c r="J66" i="60"/>
  <c r="H66" i="60"/>
  <c r="I66" i="60"/>
  <c r="N66" i="60"/>
  <c r="K66" i="60"/>
  <c r="G66" i="60" s="1"/>
  <c r="G69" i="56"/>
  <c r="A70" i="56"/>
  <c r="A136" i="58"/>
  <c r="AB135" i="58"/>
  <c r="A84" i="51"/>
  <c r="AA90" i="63" l="1"/>
  <c r="AD90" i="63"/>
  <c r="N90" i="63"/>
  <c r="H90" i="63"/>
  <c r="AC90" i="63"/>
  <c r="T90" i="63"/>
  <c r="W90" i="63"/>
  <c r="Z90" i="63"/>
  <c r="I90" i="63"/>
  <c r="F90" i="63" s="1"/>
  <c r="A91" i="63"/>
  <c r="U90" i="63"/>
  <c r="K90" i="63" s="1"/>
  <c r="S90" i="63"/>
  <c r="V90" i="63"/>
  <c r="Y90" i="63"/>
  <c r="X90" i="63"/>
  <c r="M90" i="63"/>
  <c r="AE90" i="63"/>
  <c r="O90" i="63"/>
  <c r="R90" i="63"/>
  <c r="Q90" i="63"/>
  <c r="P90" i="63"/>
  <c r="AB90" i="63"/>
  <c r="A68" i="60"/>
  <c r="J67" i="60"/>
  <c r="H67" i="60"/>
  <c r="N67" i="60"/>
  <c r="K67" i="60"/>
  <c r="G67" i="60" s="1"/>
  <c r="I67" i="60"/>
  <c r="A99" i="59"/>
  <c r="AD98" i="59"/>
  <c r="Z98" i="59"/>
  <c r="T98" i="59"/>
  <c r="P98" i="59"/>
  <c r="AC98" i="59"/>
  <c r="Y98" i="59"/>
  <c r="S98" i="59"/>
  <c r="O98" i="59"/>
  <c r="AB98" i="59"/>
  <c r="R98" i="59"/>
  <c r="AA98" i="59"/>
  <c r="Q98" i="59"/>
  <c r="X98" i="59"/>
  <c r="AE98" i="59"/>
  <c r="W98" i="59"/>
  <c r="V98" i="59"/>
  <c r="H98" i="59"/>
  <c r="A85" i="51"/>
  <c r="A86" i="51" s="1"/>
  <c r="D86" i="51" s="1"/>
  <c r="A137" i="58"/>
  <c r="A138" i="58" s="1"/>
  <c r="AB136" i="58"/>
  <c r="AA91" i="63" l="1"/>
  <c r="AD91" i="63"/>
  <c r="N91" i="63"/>
  <c r="M91" i="63"/>
  <c r="Q91" i="63"/>
  <c r="P91" i="63"/>
  <c r="W91" i="63"/>
  <c r="Z91" i="63"/>
  <c r="I91" i="63"/>
  <c r="F91" i="63" s="1"/>
  <c r="AB91" i="63"/>
  <c r="H91" i="63"/>
  <c r="S91" i="63"/>
  <c r="V91" i="63"/>
  <c r="AC91" i="63"/>
  <c r="T91" i="63"/>
  <c r="A92" i="63"/>
  <c r="AE91" i="63"/>
  <c r="O91" i="63"/>
  <c r="R91" i="63"/>
  <c r="U91" i="63"/>
  <c r="K91" i="63" s="1"/>
  <c r="Y91" i="63"/>
  <c r="X91" i="63"/>
  <c r="A100" i="59"/>
  <c r="AB99" i="59"/>
  <c r="X99" i="59"/>
  <c r="R99" i="59"/>
  <c r="AE99" i="59"/>
  <c r="AA99" i="59"/>
  <c r="W99" i="59"/>
  <c r="Q99" i="59"/>
  <c r="AD99" i="59"/>
  <c r="T99" i="59"/>
  <c r="AC99" i="59"/>
  <c r="S99" i="59"/>
  <c r="Z99" i="59"/>
  <c r="P99" i="59"/>
  <c r="Y99" i="59"/>
  <c r="V99" i="59"/>
  <c r="H99" i="59"/>
  <c r="A69" i="60"/>
  <c r="J68" i="60"/>
  <c r="H68" i="60"/>
  <c r="N68" i="60"/>
  <c r="I68" i="60"/>
  <c r="K68" i="60"/>
  <c r="G68" i="60" s="1"/>
  <c r="A139" i="58"/>
  <c r="A140" i="58" s="1"/>
  <c r="A141" i="58" s="1"/>
  <c r="A142" i="58" s="1"/>
  <c r="F138" i="58"/>
  <c r="AA92" i="63" l="1"/>
  <c r="AD92" i="63"/>
  <c r="N92" i="63"/>
  <c r="H92" i="63"/>
  <c r="AC92" i="63"/>
  <c r="T92" i="63"/>
  <c r="W92" i="63"/>
  <c r="Z92" i="63"/>
  <c r="I92" i="63"/>
  <c r="F92" i="63" s="1"/>
  <c r="A93" i="63"/>
  <c r="U92" i="63"/>
  <c r="K92" i="63" s="1"/>
  <c r="S92" i="63"/>
  <c r="V92" i="63"/>
  <c r="Y92" i="63"/>
  <c r="X92" i="63"/>
  <c r="M92" i="63"/>
  <c r="AE92" i="63"/>
  <c r="O92" i="63"/>
  <c r="R92" i="63"/>
  <c r="Q92" i="63"/>
  <c r="P92" i="63"/>
  <c r="AB92" i="63"/>
  <c r="A70" i="60"/>
  <c r="J69" i="60"/>
  <c r="H69" i="60"/>
  <c r="K69" i="60"/>
  <c r="G69" i="60" s="1"/>
  <c r="N69" i="60"/>
  <c r="I69" i="60"/>
  <c r="A101" i="59"/>
  <c r="AD100" i="59"/>
  <c r="Z100" i="59"/>
  <c r="T100" i="59"/>
  <c r="P100" i="59"/>
  <c r="AC100" i="59"/>
  <c r="X100" i="59"/>
  <c r="Q100" i="59"/>
  <c r="AB100" i="59"/>
  <c r="W100" i="59"/>
  <c r="AA100" i="59"/>
  <c r="Y100" i="59"/>
  <c r="S100" i="59"/>
  <c r="R100" i="59"/>
  <c r="AE100" i="59"/>
  <c r="V100" i="59"/>
  <c r="H100" i="59"/>
  <c r="A143" i="58"/>
  <c r="AB142" i="58"/>
  <c r="A94" i="63" l="1"/>
  <c r="S93" i="63"/>
  <c r="V93" i="63"/>
  <c r="AC93" i="63"/>
  <c r="T93" i="63"/>
  <c r="X93" i="63"/>
  <c r="AE93" i="63"/>
  <c r="O93" i="63"/>
  <c r="R93" i="63"/>
  <c r="U93" i="63"/>
  <c r="K93" i="63" s="1"/>
  <c r="Y93" i="63"/>
  <c r="P93" i="63"/>
  <c r="AA93" i="63"/>
  <c r="AD93" i="63"/>
  <c r="N93" i="63"/>
  <c r="M93" i="63"/>
  <c r="Q93" i="63"/>
  <c r="W93" i="63"/>
  <c r="Z93" i="63"/>
  <c r="I93" i="63"/>
  <c r="F93" i="63" s="1"/>
  <c r="AB93" i="63"/>
  <c r="H93" i="63"/>
  <c r="A102" i="59"/>
  <c r="AB101" i="59"/>
  <c r="X101" i="59"/>
  <c r="R101" i="59"/>
  <c r="AE101" i="59"/>
  <c r="Z101" i="59"/>
  <c r="S101" i="59"/>
  <c r="AD101" i="59"/>
  <c r="Y101" i="59"/>
  <c r="Q101" i="59"/>
  <c r="W101" i="59"/>
  <c r="T101" i="59"/>
  <c r="AC101" i="59"/>
  <c r="P101" i="59"/>
  <c r="AA101" i="59"/>
  <c r="V101" i="59"/>
  <c r="H101" i="59"/>
  <c r="A71" i="60"/>
  <c r="A72" i="60" s="1"/>
  <c r="A73" i="60" s="1"/>
  <c r="A74" i="60" s="1"/>
  <c r="A75" i="60" s="1"/>
  <c r="J70" i="60"/>
  <c r="H70" i="60"/>
  <c r="I70" i="60"/>
  <c r="K70" i="60"/>
  <c r="N70" i="60"/>
  <c r="A144" i="58"/>
  <c r="A145" i="58" s="1"/>
  <c r="AB143" i="58"/>
  <c r="A95" i="63" l="1"/>
  <c r="P94" i="63"/>
  <c r="S94" i="63"/>
  <c r="M94" i="63"/>
  <c r="Q94" i="63"/>
  <c r="H94" i="63"/>
  <c r="AB94" i="63"/>
  <c r="AE94" i="63"/>
  <c r="O94" i="63"/>
  <c r="Z94" i="63"/>
  <c r="AD94" i="63"/>
  <c r="V94" i="63"/>
  <c r="X94" i="63"/>
  <c r="AA94" i="63"/>
  <c r="AC94" i="63"/>
  <c r="R94" i="63"/>
  <c r="N94" i="63"/>
  <c r="T94" i="63"/>
  <c r="W94" i="63"/>
  <c r="U94" i="63"/>
  <c r="K94" i="63" s="1"/>
  <c r="I94" i="63"/>
  <c r="F94" i="63" s="1"/>
  <c r="Y94" i="63"/>
  <c r="A76" i="60"/>
  <c r="I75" i="60"/>
  <c r="J75" i="60"/>
  <c r="G70" i="60"/>
  <c r="L6" i="60"/>
  <c r="A103" i="59"/>
  <c r="AD102" i="59"/>
  <c r="Z102" i="59"/>
  <c r="T102" i="59"/>
  <c r="P102" i="59"/>
  <c r="AB102" i="59"/>
  <c r="W102" i="59"/>
  <c r="AA102" i="59"/>
  <c r="S102" i="59"/>
  <c r="AE102" i="59"/>
  <c r="R102" i="59"/>
  <c r="AC102" i="59"/>
  <c r="Q102" i="59"/>
  <c r="Y102" i="59"/>
  <c r="X102" i="59"/>
  <c r="V102" i="59"/>
  <c r="H102" i="59"/>
  <c r="A146" i="58"/>
  <c r="A147" i="58" s="1"/>
  <c r="A148" i="58" s="1"/>
  <c r="A149" i="58" s="1"/>
  <c r="A150" i="58" s="1"/>
  <c r="A151" i="58" s="1"/>
  <c r="A152" i="58" s="1"/>
  <c r="F145" i="58"/>
  <c r="V95" i="63" l="1"/>
  <c r="AC95" i="63"/>
  <c r="M95" i="63"/>
  <c r="X95" i="63"/>
  <c r="W95" i="63"/>
  <c r="R95" i="63"/>
  <c r="Y95" i="63"/>
  <c r="H95" i="63"/>
  <c r="T95" i="63"/>
  <c r="AE95" i="63"/>
  <c r="AD95" i="63"/>
  <c r="N95" i="63"/>
  <c r="U95" i="63"/>
  <c r="K95" i="63" s="1"/>
  <c r="A96" i="63"/>
  <c r="P95" i="63"/>
  <c r="S95" i="63"/>
  <c r="Z95" i="63"/>
  <c r="I95" i="63"/>
  <c r="F95" i="63" s="1"/>
  <c r="Q95" i="63"/>
  <c r="AB95" i="63"/>
  <c r="AA95" i="63"/>
  <c r="O95" i="63"/>
  <c r="A104" i="59"/>
  <c r="AB103" i="59"/>
  <c r="X103" i="59"/>
  <c r="R103" i="59"/>
  <c r="AD103" i="59"/>
  <c r="Y103" i="59"/>
  <c r="Q103" i="59"/>
  <c r="AC103" i="59"/>
  <c r="W103" i="59"/>
  <c r="P103" i="59"/>
  <c r="AA103" i="59"/>
  <c r="Z103" i="59"/>
  <c r="T103" i="59"/>
  <c r="S103" i="59"/>
  <c r="AE103" i="59"/>
  <c r="V103" i="59"/>
  <c r="H103" i="59"/>
  <c r="N5" i="60"/>
  <c r="M6" i="60"/>
  <c r="A77" i="60"/>
  <c r="I76" i="60"/>
  <c r="J76" i="60"/>
  <c r="A153" i="58"/>
  <c r="A154" i="58" s="1"/>
  <c r="A155" i="58" s="1"/>
  <c r="A156" i="58" s="1"/>
  <c r="F152" i="58"/>
  <c r="W96" i="63" l="1"/>
  <c r="Z96" i="63"/>
  <c r="I96" i="63"/>
  <c r="F96" i="63" s="1"/>
  <c r="Q96" i="63"/>
  <c r="T96" i="63"/>
  <c r="S96" i="63"/>
  <c r="V96" i="63"/>
  <c r="AC96" i="63"/>
  <c r="M96" i="63"/>
  <c r="P96" i="63"/>
  <c r="AE96" i="63"/>
  <c r="O96" i="63"/>
  <c r="R96" i="63"/>
  <c r="Y96" i="63"/>
  <c r="H96" i="63"/>
  <c r="A97" i="63"/>
  <c r="AA96" i="63"/>
  <c r="AD96" i="63"/>
  <c r="N96" i="63"/>
  <c r="U96" i="63"/>
  <c r="K96" i="63" s="1"/>
  <c r="X96" i="63"/>
  <c r="AB96" i="63"/>
  <c r="A78" i="60"/>
  <c r="I77" i="60"/>
  <c r="J77" i="60"/>
  <c r="A105" i="59"/>
  <c r="AD104" i="59"/>
  <c r="Z104" i="59"/>
  <c r="T104" i="59"/>
  <c r="P104" i="59"/>
  <c r="AA104" i="59"/>
  <c r="S104" i="59"/>
  <c r="AE104" i="59"/>
  <c r="Y104" i="59"/>
  <c r="R104" i="59"/>
  <c r="X104" i="59"/>
  <c r="W104" i="59"/>
  <c r="AC104" i="59"/>
  <c r="Q104" i="59"/>
  <c r="AB104" i="59"/>
  <c r="V104" i="59"/>
  <c r="H104" i="59"/>
  <c r="A157" i="58"/>
  <c r="F156" i="58"/>
  <c r="E156" i="58"/>
  <c r="D15" i="58" s="1"/>
  <c r="N157" i="58" s="1"/>
  <c r="O157" i="58" s="1"/>
  <c r="X97" i="63" l="1"/>
  <c r="AA97" i="63"/>
  <c r="AD97" i="63"/>
  <c r="N97" i="63"/>
  <c r="U97" i="63"/>
  <c r="K97" i="63" s="1"/>
  <c r="T97" i="63"/>
  <c r="W97" i="63"/>
  <c r="Z97" i="63"/>
  <c r="I97" i="63"/>
  <c r="F97" i="63" s="1"/>
  <c r="M97" i="63"/>
  <c r="A98" i="63"/>
  <c r="P97" i="63"/>
  <c r="S97" i="63"/>
  <c r="V97" i="63"/>
  <c r="Y97" i="63"/>
  <c r="AC97" i="63"/>
  <c r="AB97" i="63"/>
  <c r="AE97" i="63"/>
  <c r="O97" i="63"/>
  <c r="R97" i="63"/>
  <c r="H97" i="63"/>
  <c r="Q97" i="63"/>
  <c r="A106" i="59"/>
  <c r="AE105" i="59"/>
  <c r="AA105" i="59"/>
  <c r="W105" i="59"/>
  <c r="Q105" i="59"/>
  <c r="AB105" i="59"/>
  <c r="T105" i="59"/>
  <c r="N105" i="59"/>
  <c r="Z105" i="59"/>
  <c r="S105" i="59"/>
  <c r="AD105" i="59"/>
  <c r="R105" i="59"/>
  <c r="AC105" i="59"/>
  <c r="P105" i="59"/>
  <c r="Y105" i="59"/>
  <c r="X105" i="59"/>
  <c r="V105" i="59"/>
  <c r="H105" i="59"/>
  <c r="A79" i="60"/>
  <c r="I78" i="60"/>
  <c r="J78" i="60"/>
  <c r="A158" i="58"/>
  <c r="F157" i="58"/>
  <c r="E157" i="58"/>
  <c r="W98" i="63" l="1"/>
  <c r="Z98" i="63"/>
  <c r="I98" i="63"/>
  <c r="F98" i="63" s="1"/>
  <c r="Q98" i="63"/>
  <c r="P98" i="63"/>
  <c r="S98" i="63"/>
  <c r="V98" i="63"/>
  <c r="AC98" i="63"/>
  <c r="M98" i="63"/>
  <c r="AB98" i="63"/>
  <c r="AE98" i="63"/>
  <c r="O98" i="63"/>
  <c r="R98" i="63"/>
  <c r="Y98" i="63"/>
  <c r="H98" i="63"/>
  <c r="T98" i="63"/>
  <c r="AA98" i="63"/>
  <c r="AD98" i="63"/>
  <c r="N98" i="63"/>
  <c r="U98" i="63"/>
  <c r="K98" i="63" s="1"/>
  <c r="A99" i="63"/>
  <c r="X98" i="63"/>
  <c r="A80" i="60"/>
  <c r="K79" i="60"/>
  <c r="I79" i="60"/>
  <c r="J79" i="60"/>
  <c r="N79" i="60"/>
  <c r="A107" i="59"/>
  <c r="AB106" i="59"/>
  <c r="X106" i="59"/>
  <c r="R106" i="59"/>
  <c r="AC106" i="59"/>
  <c r="W106" i="59"/>
  <c r="P106" i="59"/>
  <c r="AA106" i="59"/>
  <c r="T106" i="59"/>
  <c r="N106" i="59"/>
  <c r="Z106" i="59"/>
  <c r="Y106" i="59"/>
  <c r="AE106" i="59"/>
  <c r="S106" i="59"/>
  <c r="Q106" i="59"/>
  <c r="AD106" i="59"/>
  <c r="V106" i="59"/>
  <c r="H106" i="59"/>
  <c r="A159" i="58"/>
  <c r="F158" i="58"/>
  <c r="E158" i="58"/>
  <c r="D29" i="58" s="1"/>
  <c r="D22" i="58"/>
  <c r="Q157" i="58"/>
  <c r="V99" i="63" l="1"/>
  <c r="AC99" i="63"/>
  <c r="M99" i="63"/>
  <c r="X99" i="63"/>
  <c r="S99" i="63"/>
  <c r="R99" i="63"/>
  <c r="Y99" i="63"/>
  <c r="H99" i="63"/>
  <c r="T99" i="63"/>
  <c r="AA99" i="63"/>
  <c r="AD99" i="63"/>
  <c r="N99" i="63"/>
  <c r="U99" i="63"/>
  <c r="K99" i="63" s="1"/>
  <c r="A100" i="63"/>
  <c r="P99" i="63"/>
  <c r="O99" i="63"/>
  <c r="Z99" i="63"/>
  <c r="I99" i="63"/>
  <c r="F99" i="63" s="1"/>
  <c r="Q99" i="63"/>
  <c r="AB99" i="63"/>
  <c r="W99" i="63"/>
  <c r="AE99" i="63"/>
  <c r="A108" i="59"/>
  <c r="AC107" i="59"/>
  <c r="Y107" i="59"/>
  <c r="S107" i="59"/>
  <c r="N107" i="59"/>
  <c r="AD107" i="59"/>
  <c r="X107" i="59"/>
  <c r="Q107" i="59"/>
  <c r="AB107" i="59"/>
  <c r="W107" i="59"/>
  <c r="P107" i="59"/>
  <c r="T107" i="59"/>
  <c r="AE107" i="59"/>
  <c r="R107" i="59"/>
  <c r="AA107" i="59"/>
  <c r="Z107" i="59"/>
  <c r="V107" i="59"/>
  <c r="H107" i="59"/>
  <c r="G79" i="60"/>
  <c r="A81" i="60"/>
  <c r="I80" i="60"/>
  <c r="J80" i="60"/>
  <c r="K80" i="60"/>
  <c r="G80" i="60" s="1"/>
  <c r="N80" i="60"/>
  <c r="A160" i="58"/>
  <c r="E159" i="58"/>
  <c r="F159" i="58"/>
  <c r="N159" i="58"/>
  <c r="N158" i="58"/>
  <c r="U100" i="63" l="1"/>
  <c r="K100" i="63" s="1"/>
  <c r="A101" i="63"/>
  <c r="P100" i="63"/>
  <c r="S100" i="63"/>
  <c r="Z100" i="63"/>
  <c r="Q100" i="63"/>
  <c r="AB100" i="63"/>
  <c r="AE100" i="63"/>
  <c r="O100" i="63"/>
  <c r="I100" i="63"/>
  <c r="F100" i="63" s="1"/>
  <c r="AC100" i="63"/>
  <c r="M100" i="63"/>
  <c r="X100" i="63"/>
  <c r="AA100" i="63"/>
  <c r="AD100" i="63"/>
  <c r="V100" i="63"/>
  <c r="Y100" i="63"/>
  <c r="H100" i="63"/>
  <c r="T100" i="63"/>
  <c r="W100" i="63"/>
  <c r="N100" i="63"/>
  <c r="R100" i="63"/>
  <c r="A82" i="60"/>
  <c r="I81" i="60"/>
  <c r="K81" i="60"/>
  <c r="G81" i="60" s="1"/>
  <c r="N81" i="60"/>
  <c r="J81" i="60"/>
  <c r="A109" i="59"/>
  <c r="AB108" i="59"/>
  <c r="X108" i="59"/>
  <c r="R108" i="59"/>
  <c r="N108" i="59"/>
  <c r="AC108" i="59"/>
  <c r="W108" i="59"/>
  <c r="P108" i="59"/>
  <c r="AA108" i="59"/>
  <c r="T108" i="59"/>
  <c r="O108" i="59"/>
  <c r="Z108" i="59"/>
  <c r="M108" i="59"/>
  <c r="Y108" i="59"/>
  <c r="AE108" i="59"/>
  <c r="S108" i="59"/>
  <c r="AD108" i="59"/>
  <c r="Q108" i="59"/>
  <c r="V108" i="59"/>
  <c r="H108" i="59"/>
  <c r="D36" i="58"/>
  <c r="A161" i="58"/>
  <c r="F160" i="58"/>
  <c r="E160" i="58"/>
  <c r="Q158" i="58"/>
  <c r="O158" i="58"/>
  <c r="Q159" i="58"/>
  <c r="O159" i="58"/>
  <c r="X101" i="63" l="1"/>
  <c r="AA101" i="63"/>
  <c r="AD101" i="63"/>
  <c r="N101" i="63"/>
  <c r="H101" i="63"/>
  <c r="T101" i="63"/>
  <c r="W101" i="63"/>
  <c r="Z101" i="63"/>
  <c r="I101" i="63"/>
  <c r="F101" i="63" s="1"/>
  <c r="AC101" i="63"/>
  <c r="A102" i="63"/>
  <c r="P101" i="63"/>
  <c r="S101" i="63"/>
  <c r="V101" i="63"/>
  <c r="U101" i="63"/>
  <c r="K101" i="63" s="1"/>
  <c r="Y101" i="63"/>
  <c r="AB101" i="63"/>
  <c r="AE101" i="63"/>
  <c r="O101" i="63"/>
  <c r="R101" i="63"/>
  <c r="Q101" i="63"/>
  <c r="M101" i="63"/>
  <c r="A110" i="59"/>
  <c r="AC109" i="59"/>
  <c r="Y109" i="59"/>
  <c r="S109" i="59"/>
  <c r="O109" i="59"/>
  <c r="AD109" i="59"/>
  <c r="X109" i="59"/>
  <c r="Q109" i="59"/>
  <c r="AB109" i="59"/>
  <c r="W109" i="59"/>
  <c r="P109" i="59"/>
  <c r="T109" i="59"/>
  <c r="AE109" i="59"/>
  <c r="R109" i="59"/>
  <c r="AA109" i="59"/>
  <c r="Z109" i="59"/>
  <c r="V109" i="59"/>
  <c r="H109" i="59"/>
  <c r="A83" i="60"/>
  <c r="I82" i="60"/>
  <c r="N82" i="60"/>
  <c r="K82" i="60"/>
  <c r="J82" i="60"/>
  <c r="D43" i="58"/>
  <c r="N161" i="58" s="1"/>
  <c r="N160" i="58"/>
  <c r="A162" i="58"/>
  <c r="F161" i="58"/>
  <c r="E161" i="58"/>
  <c r="W102" i="63" l="1"/>
  <c r="Z102" i="63"/>
  <c r="I102" i="63"/>
  <c r="F102" i="63" s="1"/>
  <c r="Q102" i="63"/>
  <c r="X102" i="63"/>
  <c r="S102" i="63"/>
  <c r="V102" i="63"/>
  <c r="AC102" i="63"/>
  <c r="M102" i="63"/>
  <c r="P102" i="63"/>
  <c r="AE102" i="63"/>
  <c r="O102" i="63"/>
  <c r="R102" i="63"/>
  <c r="Y102" i="63"/>
  <c r="H102" i="63"/>
  <c r="A103" i="63"/>
  <c r="AA102" i="63"/>
  <c r="AD102" i="63"/>
  <c r="N102" i="63"/>
  <c r="U102" i="63"/>
  <c r="K102" i="63" s="1"/>
  <c r="AB102" i="63"/>
  <c r="T102" i="63"/>
  <c r="G82" i="60"/>
  <c r="A84" i="60"/>
  <c r="K83" i="60"/>
  <c r="G83" i="60" s="1"/>
  <c r="I83" i="60"/>
  <c r="J83" i="60"/>
  <c r="N83" i="60"/>
  <c r="A111" i="59"/>
  <c r="AD110" i="59"/>
  <c r="Z110" i="59"/>
  <c r="T110" i="59"/>
  <c r="P110" i="59"/>
  <c r="AE110" i="59"/>
  <c r="Y110" i="59"/>
  <c r="R110" i="59"/>
  <c r="AC110" i="59"/>
  <c r="X110" i="59"/>
  <c r="Q110" i="59"/>
  <c r="AB110" i="59"/>
  <c r="O110" i="59"/>
  <c r="AA110" i="59"/>
  <c r="W110" i="59"/>
  <c r="S110" i="59"/>
  <c r="V110" i="59"/>
  <c r="H110" i="59"/>
  <c r="A163" i="58"/>
  <c r="F162" i="58"/>
  <c r="E162" i="58"/>
  <c r="Q160" i="58"/>
  <c r="O160" i="58"/>
  <c r="Q161" i="58"/>
  <c r="O161" i="58"/>
  <c r="D50" i="58"/>
  <c r="V103" i="63" l="1"/>
  <c r="AC103" i="63"/>
  <c r="M103" i="63"/>
  <c r="X103" i="63"/>
  <c r="AE103" i="63"/>
  <c r="R103" i="63"/>
  <c r="Y103" i="63"/>
  <c r="H103" i="63"/>
  <c r="T103" i="63"/>
  <c r="O103" i="63"/>
  <c r="AD103" i="63"/>
  <c r="N103" i="63"/>
  <c r="U103" i="63"/>
  <c r="K103" i="63" s="1"/>
  <c r="A104" i="63"/>
  <c r="P103" i="63"/>
  <c r="W103" i="63"/>
  <c r="Z103" i="63"/>
  <c r="I103" i="63"/>
  <c r="F103" i="63" s="1"/>
  <c r="Q103" i="63"/>
  <c r="AB103" i="63"/>
  <c r="S103" i="63"/>
  <c r="AA103" i="63"/>
  <c r="A85" i="60"/>
  <c r="I84" i="60"/>
  <c r="J84" i="60"/>
  <c r="N84" i="60"/>
  <c r="K84" i="60"/>
  <c r="G84" i="60" s="1"/>
  <c r="A112" i="59"/>
  <c r="AE111" i="59"/>
  <c r="AA111" i="59"/>
  <c r="W111" i="59"/>
  <c r="Q111" i="59"/>
  <c r="Z111" i="59"/>
  <c r="S111" i="59"/>
  <c r="AD111" i="59"/>
  <c r="Y111" i="59"/>
  <c r="R111" i="59"/>
  <c r="X111" i="59"/>
  <c r="T111" i="59"/>
  <c r="AC111" i="59"/>
  <c r="P111" i="59"/>
  <c r="AB111" i="59"/>
  <c r="O111" i="59"/>
  <c r="V111" i="59"/>
  <c r="H111" i="59"/>
  <c r="D57" i="58"/>
  <c r="N163" i="58" s="1"/>
  <c r="N162" i="58"/>
  <c r="A164" i="58"/>
  <c r="F163" i="58"/>
  <c r="E163" i="58"/>
  <c r="U104" i="63" l="1"/>
  <c r="K104" i="63" s="1"/>
  <c r="A105" i="63"/>
  <c r="P104" i="63"/>
  <c r="S104" i="63"/>
  <c r="V104" i="63"/>
  <c r="Q104" i="63"/>
  <c r="AB104" i="63"/>
  <c r="AE104" i="63"/>
  <c r="O104" i="63"/>
  <c r="AD104" i="63"/>
  <c r="AC104" i="63"/>
  <c r="M104" i="63"/>
  <c r="X104" i="63"/>
  <c r="AA104" i="63"/>
  <c r="Z104" i="63"/>
  <c r="R104" i="63"/>
  <c r="Y104" i="63"/>
  <c r="H104" i="63"/>
  <c r="T104" i="63"/>
  <c r="W104" i="63"/>
  <c r="I104" i="63"/>
  <c r="F104" i="63" s="1"/>
  <c r="N104" i="63"/>
  <c r="A113" i="59"/>
  <c r="AE112" i="59"/>
  <c r="AA112" i="59"/>
  <c r="W112" i="59"/>
  <c r="Q112" i="59"/>
  <c r="Z112" i="59"/>
  <c r="S112" i="59"/>
  <c r="N112" i="59"/>
  <c r="AD112" i="59"/>
  <c r="Y112" i="59"/>
  <c r="R112" i="59"/>
  <c r="AC112" i="59"/>
  <c r="P112" i="59"/>
  <c r="AB112" i="59"/>
  <c r="O112" i="59"/>
  <c r="X112" i="59"/>
  <c r="T112" i="59"/>
  <c r="V112" i="59"/>
  <c r="H112" i="59"/>
  <c r="A86" i="60"/>
  <c r="I85" i="60"/>
  <c r="K85" i="60"/>
  <c r="G85" i="60" s="1"/>
  <c r="N85" i="60"/>
  <c r="J85" i="60"/>
  <c r="Q162" i="58"/>
  <c r="O162" i="58"/>
  <c r="D64" i="58"/>
  <c r="A165" i="58"/>
  <c r="F164" i="58"/>
  <c r="E164" i="58"/>
  <c r="D71" i="58" s="1"/>
  <c r="Q163" i="58"/>
  <c r="O163" i="58"/>
  <c r="X105" i="63" l="1"/>
  <c r="AA105" i="63"/>
  <c r="AD105" i="63"/>
  <c r="N105" i="63"/>
  <c r="M105" i="63"/>
  <c r="T105" i="63"/>
  <c r="W105" i="63"/>
  <c r="Z105" i="63"/>
  <c r="I105" i="63"/>
  <c r="F105" i="63" s="1"/>
  <c r="Y105" i="63"/>
  <c r="A106" i="63"/>
  <c r="P105" i="63"/>
  <c r="S105" i="63"/>
  <c r="V105" i="63"/>
  <c r="Q105" i="63"/>
  <c r="U105" i="63"/>
  <c r="K105" i="63" s="1"/>
  <c r="AB105" i="63"/>
  <c r="AE105" i="63"/>
  <c r="O105" i="63"/>
  <c r="R105" i="63"/>
  <c r="AC105" i="63"/>
  <c r="H105" i="63"/>
  <c r="A87" i="60"/>
  <c r="I86" i="60"/>
  <c r="N86" i="60"/>
  <c r="K86" i="60"/>
  <c r="G86" i="60" s="1"/>
  <c r="J86" i="60"/>
  <c r="A114" i="59"/>
  <c r="AE113" i="59"/>
  <c r="AA113" i="59"/>
  <c r="W113" i="59"/>
  <c r="Q113" i="59"/>
  <c r="Z113" i="59"/>
  <c r="S113" i="59"/>
  <c r="N113" i="59"/>
  <c r="AD113" i="59"/>
  <c r="Y113" i="59"/>
  <c r="R113" i="59"/>
  <c r="X113" i="59"/>
  <c r="T113" i="59"/>
  <c r="AC113" i="59"/>
  <c r="P113" i="59"/>
  <c r="AB113" i="59"/>
  <c r="O113" i="59"/>
  <c r="V113" i="59"/>
  <c r="H113" i="59"/>
  <c r="N164" i="58"/>
  <c r="A166" i="58"/>
  <c r="F165" i="58"/>
  <c r="E165" i="58"/>
  <c r="W106" i="63" l="1"/>
  <c r="Z106" i="63"/>
  <c r="I106" i="63"/>
  <c r="F106" i="63" s="1"/>
  <c r="Q106" i="63"/>
  <c r="T106" i="63"/>
  <c r="S106" i="63"/>
  <c r="V106" i="63"/>
  <c r="AC106" i="63"/>
  <c r="M106" i="63"/>
  <c r="A107" i="63"/>
  <c r="AE106" i="63"/>
  <c r="O106" i="63"/>
  <c r="R106" i="63"/>
  <c r="Y106" i="63"/>
  <c r="H106" i="63"/>
  <c r="AB106" i="63"/>
  <c r="AA106" i="63"/>
  <c r="AD106" i="63"/>
  <c r="N106" i="63"/>
  <c r="U106" i="63"/>
  <c r="K106" i="63" s="1"/>
  <c r="X106" i="63"/>
  <c r="P106" i="63"/>
  <c r="A115" i="59"/>
  <c r="AE114" i="59"/>
  <c r="AA114" i="59"/>
  <c r="W114" i="59"/>
  <c r="AD114" i="59"/>
  <c r="Y114" i="59"/>
  <c r="R114" i="59"/>
  <c r="AC114" i="59"/>
  <c r="X114" i="59"/>
  <c r="T114" i="59"/>
  <c r="S114" i="59"/>
  <c r="AB114" i="59"/>
  <c r="Z114" i="59"/>
  <c r="V114" i="59"/>
  <c r="H114" i="59"/>
  <c r="A88" i="60"/>
  <c r="K87" i="60"/>
  <c r="G87" i="60" s="1"/>
  <c r="I87" i="60"/>
  <c r="J87" i="60"/>
  <c r="N87" i="60"/>
  <c r="A167" i="58"/>
  <c r="F166" i="58"/>
  <c r="E166" i="58"/>
  <c r="D85" i="58" s="1"/>
  <c r="D78" i="58"/>
  <c r="Q164" i="58"/>
  <c r="O164" i="58"/>
  <c r="V107" i="63" l="1"/>
  <c r="AC107" i="63"/>
  <c r="M107" i="63"/>
  <c r="X107" i="63"/>
  <c r="O107" i="63"/>
  <c r="Z107" i="63"/>
  <c r="I107" i="63"/>
  <c r="F107" i="63" s="1"/>
  <c r="Q107" i="63"/>
  <c r="AB107" i="63"/>
  <c r="W107" i="63"/>
  <c r="R107" i="63"/>
  <c r="Y107" i="63"/>
  <c r="H107" i="63"/>
  <c r="T107" i="63"/>
  <c r="AA107" i="63"/>
  <c r="AD107" i="63"/>
  <c r="N107" i="63"/>
  <c r="U107" i="63"/>
  <c r="K107" i="63" s="1"/>
  <c r="A108" i="63"/>
  <c r="P107" i="63"/>
  <c r="S107" i="63"/>
  <c r="AE107" i="63"/>
  <c r="A89" i="60"/>
  <c r="I88" i="60"/>
  <c r="J88" i="60"/>
  <c r="K88" i="60"/>
  <c r="G88" i="60" s="1"/>
  <c r="N88" i="60"/>
  <c r="A116" i="59"/>
  <c r="AD115" i="59"/>
  <c r="Z115" i="59"/>
  <c r="T115" i="59"/>
  <c r="P115" i="59"/>
  <c r="AC115" i="59"/>
  <c r="X115" i="59"/>
  <c r="Q115" i="59"/>
  <c r="AB115" i="59"/>
  <c r="W115" i="59"/>
  <c r="O115" i="59"/>
  <c r="AA115" i="59"/>
  <c r="N115" i="59"/>
  <c r="Y115" i="59"/>
  <c r="M115" i="59"/>
  <c r="S115" i="59"/>
  <c r="AE115" i="59"/>
  <c r="R115" i="59"/>
  <c r="V115" i="59"/>
  <c r="H115" i="59"/>
  <c r="A168" i="58"/>
  <c r="F167" i="58"/>
  <c r="E167" i="58"/>
  <c r="U108" i="63" l="1"/>
  <c r="K108" i="63" s="1"/>
  <c r="A109" i="63"/>
  <c r="P108" i="63"/>
  <c r="S108" i="63"/>
  <c r="Z108" i="63"/>
  <c r="Q108" i="63"/>
  <c r="AB108" i="63"/>
  <c r="AE108" i="63"/>
  <c r="O108" i="63"/>
  <c r="N108" i="63"/>
  <c r="AC108" i="63"/>
  <c r="M108" i="63"/>
  <c r="X108" i="63"/>
  <c r="AA108" i="63"/>
  <c r="V108" i="63"/>
  <c r="I108" i="63"/>
  <c r="F108" i="63" s="1"/>
  <c r="Y108" i="63"/>
  <c r="H108" i="63"/>
  <c r="T108" i="63"/>
  <c r="W108" i="63"/>
  <c r="R108" i="63"/>
  <c r="AD108" i="63"/>
  <c r="A117" i="59"/>
  <c r="AB116" i="59"/>
  <c r="X116" i="59"/>
  <c r="R116" i="59"/>
  <c r="AE116" i="59"/>
  <c r="Z116" i="59"/>
  <c r="S116" i="59"/>
  <c r="AD116" i="59"/>
  <c r="Y116" i="59"/>
  <c r="Q116" i="59"/>
  <c r="W116" i="59"/>
  <c r="T116" i="59"/>
  <c r="AC116" i="59"/>
  <c r="P116" i="59"/>
  <c r="AA116" i="59"/>
  <c r="V116" i="59"/>
  <c r="H116" i="59"/>
  <c r="A90" i="60"/>
  <c r="I89" i="60"/>
  <c r="K89" i="60"/>
  <c r="G89" i="60" s="1"/>
  <c r="N89" i="60"/>
  <c r="J89" i="60"/>
  <c r="D92" i="58"/>
  <c r="A169" i="58"/>
  <c r="F168" i="58"/>
  <c r="E168" i="58"/>
  <c r="D99" i="58" s="1"/>
  <c r="X109" i="63" l="1"/>
  <c r="AA109" i="63"/>
  <c r="AD109" i="63"/>
  <c r="N109" i="63"/>
  <c r="Y109" i="63"/>
  <c r="T109" i="63"/>
  <c r="W109" i="63"/>
  <c r="Z109" i="63"/>
  <c r="I109" i="63"/>
  <c r="F109" i="63" s="1"/>
  <c r="H109" i="63"/>
  <c r="A110" i="63"/>
  <c r="P109" i="63"/>
  <c r="S109" i="63"/>
  <c r="V109" i="63"/>
  <c r="AC109" i="63"/>
  <c r="U109" i="63"/>
  <c r="K109" i="63" s="1"/>
  <c r="AB109" i="63"/>
  <c r="AE109" i="63"/>
  <c r="O109" i="63"/>
  <c r="R109" i="63"/>
  <c r="M109" i="63"/>
  <c r="Q109" i="63"/>
  <c r="A91" i="60"/>
  <c r="A92" i="60" s="1"/>
  <c r="I90" i="60"/>
  <c r="N90" i="60"/>
  <c r="K90" i="60"/>
  <c r="J90" i="60"/>
  <c r="A118" i="59"/>
  <c r="AB117" i="59"/>
  <c r="X117" i="59"/>
  <c r="R117" i="59"/>
  <c r="N117" i="59"/>
  <c r="AE117" i="59"/>
  <c r="Z117" i="59"/>
  <c r="S117" i="59"/>
  <c r="AD117" i="59"/>
  <c r="Y117" i="59"/>
  <c r="Q117" i="59"/>
  <c r="AC117" i="59"/>
  <c r="P117" i="59"/>
  <c r="AA117" i="59"/>
  <c r="O117" i="59"/>
  <c r="W117" i="59"/>
  <c r="T117" i="59"/>
  <c r="V117" i="59"/>
  <c r="H117" i="59"/>
  <c r="A170" i="58"/>
  <c r="F169" i="58"/>
  <c r="E169" i="58"/>
  <c r="D106" i="58" s="1"/>
  <c r="W110" i="63" l="1"/>
  <c r="Z110" i="63"/>
  <c r="I110" i="63"/>
  <c r="F110" i="63" s="1"/>
  <c r="Q110" i="63"/>
  <c r="A111" i="63"/>
  <c r="S110" i="63"/>
  <c r="V110" i="63"/>
  <c r="AC110" i="63"/>
  <c r="M110" i="63"/>
  <c r="P110" i="63"/>
  <c r="AE110" i="63"/>
  <c r="O110" i="63"/>
  <c r="R110" i="63"/>
  <c r="Y110" i="63"/>
  <c r="H110" i="63"/>
  <c r="AB110" i="63"/>
  <c r="AA110" i="63"/>
  <c r="AD110" i="63"/>
  <c r="N110" i="63"/>
  <c r="U110" i="63"/>
  <c r="K110" i="63" s="1"/>
  <c r="T110" i="63"/>
  <c r="X110" i="63"/>
  <c r="A119" i="59"/>
  <c r="AE118" i="59"/>
  <c r="AA118" i="59"/>
  <c r="W118" i="59"/>
  <c r="Q118" i="59"/>
  <c r="M118" i="59"/>
  <c r="AD118" i="59"/>
  <c r="Y118" i="59"/>
  <c r="R118" i="59"/>
  <c r="AC118" i="59"/>
  <c r="X118" i="59"/>
  <c r="P118" i="59"/>
  <c r="T118" i="59"/>
  <c r="S118" i="59"/>
  <c r="AB118" i="59"/>
  <c r="O118" i="59"/>
  <c r="Z118" i="59"/>
  <c r="N118" i="59"/>
  <c r="V118" i="59"/>
  <c r="H118" i="59"/>
  <c r="G90" i="60"/>
  <c r="L14" i="60"/>
  <c r="A93" i="60"/>
  <c r="M92" i="60"/>
  <c r="A171" i="58"/>
  <c r="F170" i="58"/>
  <c r="E170" i="58"/>
  <c r="D113" i="58" s="1"/>
  <c r="V111" i="63" l="1"/>
  <c r="AC111" i="63"/>
  <c r="M111" i="63"/>
  <c r="X111" i="63"/>
  <c r="W111" i="63"/>
  <c r="R111" i="63"/>
  <c r="Y111" i="63"/>
  <c r="H111" i="63"/>
  <c r="T111" i="63"/>
  <c r="O111" i="63"/>
  <c r="AD111" i="63"/>
  <c r="N111" i="63"/>
  <c r="U111" i="63"/>
  <c r="K111" i="63" s="1"/>
  <c r="A112" i="63"/>
  <c r="P111" i="63"/>
  <c r="AE111" i="63"/>
  <c r="Z111" i="63"/>
  <c r="I111" i="63"/>
  <c r="F111" i="63" s="1"/>
  <c r="Q111" i="63"/>
  <c r="AB111" i="63"/>
  <c r="AA111" i="63"/>
  <c r="S111" i="63"/>
  <c r="M14" i="60"/>
  <c r="N13" i="60"/>
  <c r="A94" i="60"/>
  <c r="M93" i="60"/>
  <c r="A120" i="59"/>
  <c r="AD119" i="59"/>
  <c r="Z119" i="59"/>
  <c r="T119" i="59"/>
  <c r="P119" i="59"/>
  <c r="AC119" i="59"/>
  <c r="X119" i="59"/>
  <c r="Q119" i="59"/>
  <c r="AB119" i="59"/>
  <c r="W119" i="59"/>
  <c r="O119" i="59"/>
  <c r="AA119" i="59"/>
  <c r="N119" i="59"/>
  <c r="Y119" i="59"/>
  <c r="M119" i="59"/>
  <c r="S119" i="59"/>
  <c r="AE119" i="59"/>
  <c r="R119" i="59"/>
  <c r="V119" i="59"/>
  <c r="H119" i="59"/>
  <c r="A172" i="58"/>
  <c r="F171" i="58"/>
  <c r="E171" i="58"/>
  <c r="D120" i="58" s="1"/>
  <c r="U112" i="63" l="1"/>
  <c r="K112" i="63" s="1"/>
  <c r="A113" i="63"/>
  <c r="P112" i="63"/>
  <c r="S112" i="63"/>
  <c r="N112" i="63"/>
  <c r="Q112" i="63"/>
  <c r="AB112" i="63"/>
  <c r="AE112" i="63"/>
  <c r="O112" i="63"/>
  <c r="V112" i="63"/>
  <c r="AC112" i="63"/>
  <c r="M112" i="63"/>
  <c r="X112" i="63"/>
  <c r="AA112" i="63"/>
  <c r="R112" i="63"/>
  <c r="I112" i="63"/>
  <c r="F112" i="63" s="1"/>
  <c r="Y112" i="63"/>
  <c r="H112" i="63"/>
  <c r="T112" i="63"/>
  <c r="W112" i="63"/>
  <c r="AD112" i="63"/>
  <c r="Z112" i="63"/>
  <c r="A121" i="59"/>
  <c r="AE120" i="59"/>
  <c r="AA120" i="59"/>
  <c r="W120" i="59"/>
  <c r="Q120" i="59"/>
  <c r="AD120" i="59"/>
  <c r="Y120" i="59"/>
  <c r="R120" i="59"/>
  <c r="AC120" i="59"/>
  <c r="X120" i="59"/>
  <c r="P120" i="59"/>
  <c r="T120" i="59"/>
  <c r="S120" i="59"/>
  <c r="AB120" i="59"/>
  <c r="O120" i="59"/>
  <c r="Z120" i="59"/>
  <c r="V120" i="59"/>
  <c r="H120" i="59"/>
  <c r="A95" i="60"/>
  <c r="M94" i="60"/>
  <c r="A173" i="58"/>
  <c r="F172" i="58"/>
  <c r="E172" i="58"/>
  <c r="D127" i="58" s="1"/>
  <c r="Z113" i="63" l="1"/>
  <c r="P113" i="63"/>
  <c r="O113" i="63"/>
  <c r="N113" i="63"/>
  <c r="U113" i="63"/>
  <c r="K113" i="63" s="1"/>
  <c r="AC113" i="63"/>
  <c r="AB113" i="63"/>
  <c r="AA113" i="63"/>
  <c r="I113" i="63"/>
  <c r="F113" i="63" s="1"/>
  <c r="A114" i="63"/>
  <c r="AE113" i="63"/>
  <c r="X113" i="63"/>
  <c r="W113" i="63"/>
  <c r="V113" i="63"/>
  <c r="Y113" i="63"/>
  <c r="Q113" i="63"/>
  <c r="AD113" i="63"/>
  <c r="T113" i="63"/>
  <c r="S113" i="63"/>
  <c r="R113" i="63"/>
  <c r="H113" i="63"/>
  <c r="M113" i="63"/>
  <c r="A96" i="60"/>
  <c r="A97" i="60" s="1"/>
  <c r="A98" i="60" s="1"/>
  <c r="A99" i="60" s="1"/>
  <c r="A122" i="59"/>
  <c r="AC121" i="59"/>
  <c r="Y121" i="59"/>
  <c r="T121" i="59"/>
  <c r="AA121" i="59"/>
  <c r="V121" i="59"/>
  <c r="AE121" i="59"/>
  <c r="Z121" i="59"/>
  <c r="S121" i="59"/>
  <c r="AD121" i="59"/>
  <c r="R121" i="59"/>
  <c r="AB121" i="59"/>
  <c r="Q121" i="59"/>
  <c r="X121" i="59"/>
  <c r="H121" i="59"/>
  <c r="W121" i="59"/>
  <c r="A174" i="58"/>
  <c r="F173" i="58"/>
  <c r="E173" i="58"/>
  <c r="D134" i="58" s="1"/>
  <c r="V114" i="63" l="1"/>
  <c r="AC114" i="63"/>
  <c r="M114" i="63"/>
  <c r="AA114" i="63"/>
  <c r="P114" i="63"/>
  <c r="R114" i="63"/>
  <c r="Y114" i="63"/>
  <c r="H114" i="63"/>
  <c r="S114" i="63"/>
  <c r="AE114" i="63"/>
  <c r="AD114" i="63"/>
  <c r="N114" i="63"/>
  <c r="U114" i="63"/>
  <c r="K114" i="63" s="1"/>
  <c r="AB114" i="63"/>
  <c r="A115" i="63"/>
  <c r="W114" i="63"/>
  <c r="Z114" i="63"/>
  <c r="I114" i="63"/>
  <c r="F114" i="63" s="1"/>
  <c r="Q114" i="63"/>
  <c r="T114" i="63"/>
  <c r="X114" i="63"/>
  <c r="O114" i="63"/>
  <c r="A123" i="59"/>
  <c r="AD122" i="59"/>
  <c r="Z122" i="59"/>
  <c r="V122" i="59"/>
  <c r="Q122" i="59"/>
  <c r="AB122" i="59"/>
  <c r="W122" i="59"/>
  <c r="P122" i="59"/>
  <c r="AA122" i="59"/>
  <c r="T122" i="59"/>
  <c r="Y122" i="59"/>
  <c r="X122" i="59"/>
  <c r="AE122" i="59"/>
  <c r="S122" i="59"/>
  <c r="H122" i="59"/>
  <c r="AC122" i="59"/>
  <c r="R122" i="59"/>
  <c r="A100" i="60"/>
  <c r="A101" i="60" s="1"/>
  <c r="N99" i="60"/>
  <c r="A175" i="58"/>
  <c r="F174" i="58"/>
  <c r="E174" i="58"/>
  <c r="D141" i="58" s="1"/>
  <c r="U115" i="63" l="1"/>
  <c r="K115" i="63" s="1"/>
  <c r="A116" i="63"/>
  <c r="P115" i="63"/>
  <c r="R115" i="63"/>
  <c r="O115" i="63"/>
  <c r="Q115" i="63"/>
  <c r="AB115" i="63"/>
  <c r="AA115" i="63"/>
  <c r="I115" i="63"/>
  <c r="F115" i="63" s="1"/>
  <c r="AD115" i="63"/>
  <c r="AC115" i="63"/>
  <c r="M115" i="63"/>
  <c r="X115" i="63"/>
  <c r="S115" i="63"/>
  <c r="AE115" i="63"/>
  <c r="V115" i="63"/>
  <c r="Y115" i="63"/>
  <c r="H115" i="63"/>
  <c r="T115" i="63"/>
  <c r="Z115" i="63"/>
  <c r="W115" i="63"/>
  <c r="N115" i="63"/>
  <c r="A102" i="60"/>
  <c r="N101" i="60"/>
  <c r="A124" i="59"/>
  <c r="AB123" i="59"/>
  <c r="X123" i="59"/>
  <c r="S123" i="59"/>
  <c r="O123" i="59"/>
  <c r="AE123" i="59"/>
  <c r="Z123" i="59"/>
  <c r="T123" i="59"/>
  <c r="N123" i="59"/>
  <c r="AD123" i="59"/>
  <c r="Y123" i="59"/>
  <c r="R123" i="59"/>
  <c r="M123" i="59"/>
  <c r="AC123" i="59"/>
  <c r="Q123" i="59"/>
  <c r="AA123" i="59"/>
  <c r="P123" i="59"/>
  <c r="H123" i="59"/>
  <c r="W123" i="59"/>
  <c r="V123" i="59"/>
  <c r="A176" i="58"/>
  <c r="A177" i="58" s="1"/>
  <c r="E175" i="58"/>
  <c r="F175" i="58"/>
  <c r="U116" i="63" l="1"/>
  <c r="K116" i="63" s="1"/>
  <c r="AB116" i="63"/>
  <c r="AE116" i="63"/>
  <c r="O116" i="63"/>
  <c r="H116" i="63"/>
  <c r="Q116" i="63"/>
  <c r="X116" i="63"/>
  <c r="AA116" i="63"/>
  <c r="Z116" i="63"/>
  <c r="R116" i="63"/>
  <c r="AC116" i="63"/>
  <c r="M116" i="63"/>
  <c r="T116" i="63"/>
  <c r="W116" i="63"/>
  <c r="I116" i="63"/>
  <c r="F116" i="63" s="1"/>
  <c r="N116" i="63"/>
  <c r="Y116" i="63"/>
  <c r="A117" i="63"/>
  <c r="P116" i="63"/>
  <c r="S116" i="63"/>
  <c r="V116" i="63"/>
  <c r="AD116" i="63"/>
  <c r="A125" i="59"/>
  <c r="AB124" i="59"/>
  <c r="X124" i="59"/>
  <c r="R124" i="59"/>
  <c r="AD124" i="59"/>
  <c r="Y124" i="59"/>
  <c r="AC124" i="59"/>
  <c r="W124" i="59"/>
  <c r="AA124" i="59"/>
  <c r="H124" i="59"/>
  <c r="Z124" i="59"/>
  <c r="T124" i="59"/>
  <c r="AE124" i="59"/>
  <c r="S124" i="59"/>
  <c r="V124" i="59"/>
  <c r="A103" i="60"/>
  <c r="N102" i="60"/>
  <c r="D148" i="58"/>
  <c r="I160" i="58"/>
  <c r="I157" i="58"/>
  <c r="I159" i="58"/>
  <c r="I158" i="58"/>
  <c r="A178" i="58"/>
  <c r="A179" i="58" s="1"/>
  <c r="R177" i="58"/>
  <c r="X117" i="63" l="1"/>
  <c r="AA117" i="63"/>
  <c r="AD117" i="63"/>
  <c r="N117" i="63"/>
  <c r="M117" i="63"/>
  <c r="T117" i="63"/>
  <c r="W117" i="63"/>
  <c r="Z117" i="63"/>
  <c r="I117" i="63"/>
  <c r="F117" i="63" s="1"/>
  <c r="Y117" i="63"/>
  <c r="A118" i="63"/>
  <c r="P117" i="63"/>
  <c r="S117" i="63"/>
  <c r="V117" i="63"/>
  <c r="Q117" i="63"/>
  <c r="H117" i="63"/>
  <c r="AB117" i="63"/>
  <c r="AE117" i="63"/>
  <c r="O117" i="63"/>
  <c r="R117" i="63"/>
  <c r="AC117" i="63"/>
  <c r="U117" i="63"/>
  <c r="K117" i="63" s="1"/>
  <c r="A104" i="60"/>
  <c r="A105" i="60" s="1"/>
  <c r="N103" i="60"/>
  <c r="A126" i="59"/>
  <c r="A127" i="59" s="1"/>
  <c r="A128" i="59" s="1"/>
  <c r="A129" i="59" s="1"/>
  <c r="A130" i="59" s="1"/>
  <c r="A131" i="59" s="1"/>
  <c r="A132" i="59" s="1"/>
  <c r="A133" i="59" s="1"/>
  <c r="A134" i="59" s="1"/>
  <c r="A135" i="59" s="1"/>
  <c r="A136" i="59" s="1"/>
  <c r="A137" i="59" s="1"/>
  <c r="A138" i="59" s="1"/>
  <c r="A139" i="59" s="1"/>
  <c r="A140" i="59" s="1"/>
  <c r="A141" i="59" s="1"/>
  <c r="A142" i="59" s="1"/>
  <c r="A143" i="59" s="1"/>
  <c r="A144" i="59" s="1"/>
  <c r="A145" i="59" s="1"/>
  <c r="A146" i="59" s="1"/>
  <c r="A147" i="59" s="1"/>
  <c r="A148" i="59" s="1"/>
  <c r="AE125" i="59"/>
  <c r="N52" i="59" s="1"/>
  <c r="AA125" i="59"/>
  <c r="J52" i="59" s="1"/>
  <c r="W125" i="59"/>
  <c r="Q125" i="59"/>
  <c r="M125" i="59"/>
  <c r="AC125" i="59"/>
  <c r="L52" i="59" s="1"/>
  <c r="X125" i="59"/>
  <c r="G52" i="59" s="1"/>
  <c r="P125" i="59"/>
  <c r="AB125" i="59"/>
  <c r="K52" i="59" s="1"/>
  <c r="T125" i="59"/>
  <c r="N51" i="59" s="1"/>
  <c r="O125" i="59"/>
  <c r="S125" i="59"/>
  <c r="M51" i="59" s="1"/>
  <c r="AD125" i="59"/>
  <c r="M52" i="59" s="1"/>
  <c r="R125" i="59"/>
  <c r="L51" i="59" s="1"/>
  <c r="Z125" i="59"/>
  <c r="I52" i="59" s="1"/>
  <c r="N125" i="59"/>
  <c r="Y125" i="59"/>
  <c r="H52" i="59" s="1"/>
  <c r="H125" i="59"/>
  <c r="K26" i="59" s="1"/>
  <c r="K28" i="59" s="1"/>
  <c r="V125" i="59"/>
  <c r="P51" i="59" s="1"/>
  <c r="I161" i="58"/>
  <c r="A180" i="58"/>
  <c r="A181" i="58" s="1"/>
  <c r="A182" i="58" s="1"/>
  <c r="A183" i="58" s="1"/>
  <c r="A184" i="58" s="1"/>
  <c r="A185" i="58" s="1"/>
  <c r="A186" i="58" s="1"/>
  <c r="A187" i="58" s="1"/>
  <c r="A188" i="58" s="1"/>
  <c r="A189" i="58" s="1"/>
  <c r="A190" i="58" s="1"/>
  <c r="A191" i="58" s="1"/>
  <c r="A192" i="58" s="1"/>
  <c r="A193" i="58" s="1"/>
  <c r="A194" i="58" s="1"/>
  <c r="A195" i="58" s="1"/>
  <c r="A196" i="58" s="1"/>
  <c r="A197" i="58" s="1"/>
  <c r="R179" i="58"/>
  <c r="W118" i="63" l="1"/>
  <c r="Z118" i="63"/>
  <c r="I118" i="63"/>
  <c r="F118" i="63" s="1"/>
  <c r="Q118" i="63"/>
  <c r="T118" i="63"/>
  <c r="S118" i="63"/>
  <c r="V118" i="63"/>
  <c r="AC118" i="63"/>
  <c r="M118" i="63"/>
  <c r="A119" i="63"/>
  <c r="AE118" i="63"/>
  <c r="O118" i="63"/>
  <c r="R118" i="63"/>
  <c r="Y118" i="63"/>
  <c r="H118" i="63"/>
  <c r="P118" i="63"/>
  <c r="AA118" i="63"/>
  <c r="AD118" i="63"/>
  <c r="N118" i="63"/>
  <c r="U118" i="63"/>
  <c r="K118" i="63" s="1"/>
  <c r="X118" i="63"/>
  <c r="AB118" i="63"/>
  <c r="A149" i="59"/>
  <c r="V148" i="59"/>
  <c r="K148" i="59"/>
  <c r="J148" i="59"/>
  <c r="N148" i="59"/>
  <c r="I148" i="59"/>
  <c r="H148" i="59"/>
  <c r="AA148" i="59"/>
  <c r="M148" i="59"/>
  <c r="L148" i="59"/>
  <c r="O148" i="59"/>
  <c r="G148" i="59"/>
  <c r="A106" i="60"/>
  <c r="N105" i="60"/>
  <c r="A198" i="58"/>
  <c r="A199" i="58" s="1"/>
  <c r="A200" i="58" s="1"/>
  <c r="A201" i="58" s="1"/>
  <c r="A202" i="58" s="1"/>
  <c r="A203" i="58" s="1"/>
  <c r="A204" i="58" s="1"/>
  <c r="A205" i="58" s="1"/>
  <c r="A206" i="58" s="1"/>
  <c r="A207" i="58" s="1"/>
  <c r="S197" i="58"/>
  <c r="V119" i="63" l="1"/>
  <c r="AC119" i="63"/>
  <c r="M119" i="63"/>
  <c r="X119" i="63"/>
  <c r="O119" i="63"/>
  <c r="R119" i="63"/>
  <c r="Y119" i="63"/>
  <c r="H119" i="63"/>
  <c r="T119" i="63"/>
  <c r="AA119" i="63"/>
  <c r="AD119" i="63"/>
  <c r="N119" i="63"/>
  <c r="U119" i="63"/>
  <c r="K119" i="63" s="1"/>
  <c r="A120" i="63"/>
  <c r="P119" i="63"/>
  <c r="W119" i="63"/>
  <c r="Z119" i="63"/>
  <c r="I119" i="63"/>
  <c r="F119" i="63" s="1"/>
  <c r="Q119" i="63"/>
  <c r="AB119" i="63"/>
  <c r="AE119" i="63"/>
  <c r="S119" i="63"/>
  <c r="A107" i="60"/>
  <c r="N106" i="60"/>
  <c r="A150" i="59"/>
  <c r="AA149" i="59"/>
  <c r="V149" i="59"/>
  <c r="G149" i="59"/>
  <c r="A208" i="58"/>
  <c r="A209" i="58" s="1"/>
  <c r="A210" i="58" s="1"/>
  <c r="A211" i="58" s="1"/>
  <c r="A212" i="58" s="1"/>
  <c r="U207" i="58"/>
  <c r="R207" i="58"/>
  <c r="S207" i="58"/>
  <c r="Y207" i="58"/>
  <c r="X207" i="58"/>
  <c r="V207" i="58"/>
  <c r="W207" i="58"/>
  <c r="T207" i="58"/>
  <c r="U120" i="63" l="1"/>
  <c r="K120" i="63" s="1"/>
  <c r="A121" i="63"/>
  <c r="P120" i="63"/>
  <c r="S120" i="63"/>
  <c r="AD120" i="63"/>
  <c r="Q120" i="63"/>
  <c r="AB120" i="63"/>
  <c r="AE120" i="63"/>
  <c r="O120" i="63"/>
  <c r="N120" i="63"/>
  <c r="AC120" i="63"/>
  <c r="M120" i="63"/>
  <c r="X120" i="63"/>
  <c r="AA120" i="63"/>
  <c r="V120" i="63"/>
  <c r="Z120" i="63"/>
  <c r="Y120" i="63"/>
  <c r="H120" i="63"/>
  <c r="T120" i="63"/>
  <c r="W120" i="63"/>
  <c r="R120" i="63"/>
  <c r="I120" i="63"/>
  <c r="F120" i="63" s="1"/>
  <c r="A151" i="59"/>
  <c r="AA150" i="59"/>
  <c r="V150" i="59"/>
  <c r="G150" i="59"/>
  <c r="A108" i="60"/>
  <c r="A109" i="60" s="1"/>
  <c r="A110" i="60" s="1"/>
  <c r="A111" i="60" s="1"/>
  <c r="A112" i="60" s="1"/>
  <c r="A113" i="60" s="1"/>
  <c r="A114" i="60" s="1"/>
  <c r="A115" i="60" s="1"/>
  <c r="A116" i="60" s="1"/>
  <c r="A117" i="60" s="1"/>
  <c r="N107" i="60"/>
  <c r="A213" i="58"/>
  <c r="T212" i="58"/>
  <c r="S212" i="58"/>
  <c r="R212" i="58"/>
  <c r="U212" i="58"/>
  <c r="V212" i="58"/>
  <c r="X121" i="63" l="1"/>
  <c r="AA121" i="63"/>
  <c r="AD121" i="63"/>
  <c r="N121" i="63"/>
  <c r="Y121" i="63"/>
  <c r="T121" i="63"/>
  <c r="W121" i="63"/>
  <c r="Z121" i="63"/>
  <c r="I121" i="63"/>
  <c r="F121" i="63" s="1"/>
  <c r="H121" i="63"/>
  <c r="A122" i="63"/>
  <c r="P121" i="63"/>
  <c r="S121" i="63"/>
  <c r="V121" i="63"/>
  <c r="AC121" i="63"/>
  <c r="U121" i="63"/>
  <c r="K121" i="63" s="1"/>
  <c r="AB121" i="63"/>
  <c r="AE121" i="63"/>
  <c r="O121" i="63"/>
  <c r="R121" i="63"/>
  <c r="M121" i="63"/>
  <c r="Q121" i="63"/>
  <c r="A118" i="60"/>
  <c r="L117" i="60"/>
  <c r="H117" i="60"/>
  <c r="M117" i="60"/>
  <c r="K117" i="60"/>
  <c r="A152" i="59"/>
  <c r="AA151" i="59"/>
  <c r="V151" i="59"/>
  <c r="G151" i="59"/>
  <c r="A214" i="58"/>
  <c r="A215" i="58" s="1"/>
  <c r="A216" i="58" s="1"/>
  <c r="A217" i="58" s="1"/>
  <c r="A218" i="58" s="1"/>
  <c r="S213" i="58"/>
  <c r="T213" i="58"/>
  <c r="V213" i="58"/>
  <c r="U213" i="58"/>
  <c r="W122" i="63" l="1"/>
  <c r="Z122" i="63"/>
  <c r="I122" i="63"/>
  <c r="F122" i="63" s="1"/>
  <c r="Q122" i="63"/>
  <c r="A123" i="63"/>
  <c r="S122" i="63"/>
  <c r="V122" i="63"/>
  <c r="AC122" i="63"/>
  <c r="M122" i="63"/>
  <c r="P122" i="63"/>
  <c r="AE122" i="63"/>
  <c r="O122" i="63"/>
  <c r="R122" i="63"/>
  <c r="Y122" i="63"/>
  <c r="H122" i="63"/>
  <c r="AB122" i="63"/>
  <c r="AA122" i="63"/>
  <c r="AD122" i="63"/>
  <c r="N122" i="63"/>
  <c r="U122" i="63"/>
  <c r="K122" i="63" s="1"/>
  <c r="T122" i="63"/>
  <c r="X122" i="63"/>
  <c r="A153" i="59"/>
  <c r="V152" i="59"/>
  <c r="AA152" i="59"/>
  <c r="A119" i="60"/>
  <c r="L118" i="60"/>
  <c r="H118" i="60"/>
  <c r="K118" i="60"/>
  <c r="M118" i="60"/>
  <c r="A219" i="58"/>
  <c r="V218" i="58"/>
  <c r="V123" i="63" l="1"/>
  <c r="AC123" i="63"/>
  <c r="M123" i="63"/>
  <c r="X123" i="63"/>
  <c r="W123" i="63"/>
  <c r="R123" i="63"/>
  <c r="Y123" i="63"/>
  <c r="H123" i="63"/>
  <c r="T123" i="63"/>
  <c r="S123" i="63"/>
  <c r="AD123" i="63"/>
  <c r="N123" i="63"/>
  <c r="U123" i="63"/>
  <c r="K123" i="63" s="1"/>
  <c r="A124" i="63"/>
  <c r="P123" i="63"/>
  <c r="AE123" i="63"/>
  <c r="Z123" i="63"/>
  <c r="I123" i="63"/>
  <c r="F123" i="63" s="1"/>
  <c r="Q123" i="63"/>
  <c r="AB123" i="63"/>
  <c r="AA123" i="63"/>
  <c r="O123" i="63"/>
  <c r="A120" i="60"/>
  <c r="L119" i="60"/>
  <c r="H119" i="60"/>
  <c r="M119" i="60"/>
  <c r="K119" i="60"/>
  <c r="A154" i="59"/>
  <c r="AA153" i="59"/>
  <c r="V153" i="59"/>
  <c r="A220" i="58"/>
  <c r="V219" i="58"/>
  <c r="R219" i="58"/>
  <c r="U219" i="58"/>
  <c r="T219" i="58"/>
  <c r="S219" i="58"/>
  <c r="U124" i="63" l="1"/>
  <c r="K124" i="63" s="1"/>
  <c r="A125" i="63"/>
  <c r="P124" i="63"/>
  <c r="S124" i="63"/>
  <c r="N124" i="63"/>
  <c r="Q124" i="63"/>
  <c r="AB124" i="63"/>
  <c r="AE124" i="63"/>
  <c r="O124" i="63"/>
  <c r="Z124" i="63"/>
  <c r="AC124" i="63"/>
  <c r="M124" i="63"/>
  <c r="X124" i="63"/>
  <c r="AA124" i="63"/>
  <c r="R124" i="63"/>
  <c r="I124" i="63"/>
  <c r="F124" i="63" s="1"/>
  <c r="Y124" i="63"/>
  <c r="H124" i="63"/>
  <c r="T124" i="63"/>
  <c r="W124" i="63"/>
  <c r="AD124" i="63"/>
  <c r="V124" i="63"/>
  <c r="A155" i="59"/>
  <c r="V154" i="59"/>
  <c r="AD154" i="59"/>
  <c r="AA154" i="59"/>
  <c r="M154" i="59"/>
  <c r="H154" i="59"/>
  <c r="J154" i="59"/>
  <c r="G154" i="59"/>
  <c r="K154" i="59"/>
  <c r="I154" i="59"/>
  <c r="A121" i="60"/>
  <c r="L120" i="60"/>
  <c r="H120" i="60"/>
  <c r="K120" i="60"/>
  <c r="A221" i="58"/>
  <c r="A222" i="58" s="1"/>
  <c r="A223" i="58" s="1"/>
  <c r="A224" i="58" s="1"/>
  <c r="A225" i="58" s="1"/>
  <c r="T220" i="58"/>
  <c r="S220" i="58"/>
  <c r="U220" i="58"/>
  <c r="X125" i="63" l="1"/>
  <c r="G52" i="63" s="1"/>
  <c r="AA125" i="63"/>
  <c r="J52" i="63" s="1"/>
  <c r="AD125" i="63"/>
  <c r="M52" i="63" s="1"/>
  <c r="N125" i="63"/>
  <c r="H51" i="63" s="1"/>
  <c r="U125" i="63"/>
  <c r="T125" i="63"/>
  <c r="N51" i="63" s="1"/>
  <c r="W125" i="63"/>
  <c r="Z125" i="63"/>
  <c r="I52" i="63" s="1"/>
  <c r="I125" i="63"/>
  <c r="Q125" i="63"/>
  <c r="K51" i="63" s="1"/>
  <c r="A126" i="63"/>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P125" i="63"/>
  <c r="J51" i="63" s="1"/>
  <c r="S125" i="63"/>
  <c r="M51" i="63" s="1"/>
  <c r="V125" i="63"/>
  <c r="P51" i="63" s="1"/>
  <c r="Y125" i="63"/>
  <c r="H52" i="63" s="1"/>
  <c r="AC125" i="63"/>
  <c r="L52" i="63" s="1"/>
  <c r="AB125" i="63"/>
  <c r="K52" i="63" s="1"/>
  <c r="AE125" i="63"/>
  <c r="N52" i="63" s="1"/>
  <c r="O125" i="63"/>
  <c r="I51" i="63" s="1"/>
  <c r="R125" i="63"/>
  <c r="L51" i="63" s="1"/>
  <c r="H125" i="63"/>
  <c r="K26" i="63" s="1"/>
  <c r="K28" i="63" s="1"/>
  <c r="M125" i="63"/>
  <c r="G51" i="63" s="1"/>
  <c r="A122" i="60"/>
  <c r="L121" i="60"/>
  <c r="H121" i="60"/>
  <c r="M121" i="60"/>
  <c r="K121" i="60"/>
  <c r="A156" i="59"/>
  <c r="AD155" i="59"/>
  <c r="AA155" i="59"/>
  <c r="V155" i="59"/>
  <c r="G155" i="59"/>
  <c r="M155" i="59"/>
  <c r="A226" i="58"/>
  <c r="X225" i="58"/>
  <c r="U225" i="58"/>
  <c r="O148" i="63" l="1"/>
  <c r="AB148" i="63"/>
  <c r="AF148" i="63"/>
  <c r="I148" i="63"/>
  <c r="P148" i="63"/>
  <c r="P164" i="63" s="1"/>
  <c r="K148" i="63"/>
  <c r="W148" i="63"/>
  <c r="AA148" i="63"/>
  <c r="AE148" i="63"/>
  <c r="L148" i="63"/>
  <c r="AD148" i="63"/>
  <c r="G148" i="63"/>
  <c r="N148" i="63"/>
  <c r="V148" i="63"/>
  <c r="H148" i="63"/>
  <c r="X148" i="63"/>
  <c r="A149" i="63"/>
  <c r="J148" i="63"/>
  <c r="M148" i="63"/>
  <c r="Y148" i="63"/>
  <c r="F125" i="63"/>
  <c r="L28" i="63"/>
  <c r="K125" i="63"/>
  <c r="M28" i="63" s="1"/>
  <c r="O51" i="63"/>
  <c r="M32" i="63" s="1"/>
  <c r="A157" i="59"/>
  <c r="V156" i="59"/>
  <c r="AA156" i="59"/>
  <c r="G156" i="59"/>
  <c r="M156" i="59"/>
  <c r="A123" i="60"/>
  <c r="L122" i="60"/>
  <c r="H122" i="60"/>
  <c r="K122" i="60"/>
  <c r="M122" i="60"/>
  <c r="A227" i="58"/>
  <c r="X226" i="58"/>
  <c r="U226" i="58"/>
  <c r="O149" i="63" l="1"/>
  <c r="O165" i="63" s="1"/>
  <c r="W149" i="63"/>
  <c r="AA149" i="63"/>
  <c r="Y149" i="63"/>
  <c r="H149" i="63"/>
  <c r="H165" i="63" s="1"/>
  <c r="K149" i="63"/>
  <c r="K165" i="63" s="1"/>
  <c r="N149" i="63"/>
  <c r="N165" i="63" s="1"/>
  <c r="V149" i="63"/>
  <c r="P149" i="63"/>
  <c r="P165" i="63" s="1"/>
  <c r="AD149" i="63"/>
  <c r="G149" i="63"/>
  <c r="J149" i="63"/>
  <c r="J165" i="63" s="1"/>
  <c r="M149" i="63"/>
  <c r="M165" i="63" s="1"/>
  <c r="L149" i="63"/>
  <c r="L165" i="63" s="1"/>
  <c r="X149" i="63"/>
  <c r="AB149" i="63"/>
  <c r="A150" i="63"/>
  <c r="I149" i="63"/>
  <c r="I165" i="63" s="1"/>
  <c r="AF149" i="63"/>
  <c r="A124" i="60"/>
  <c r="L123" i="60"/>
  <c r="H123" i="60"/>
  <c r="M123" i="60"/>
  <c r="K123" i="60"/>
  <c r="A158" i="59"/>
  <c r="AA157" i="59"/>
  <c r="V157" i="59"/>
  <c r="G157" i="59"/>
  <c r="M157" i="59"/>
  <c r="A228" i="58"/>
  <c r="X228" i="58" s="1"/>
  <c r="X227" i="58"/>
  <c r="U227" i="58"/>
  <c r="P150" i="63" l="1"/>
  <c r="P166" i="63" s="1"/>
  <c r="X150" i="63"/>
  <c r="AB150" i="63"/>
  <c r="V150" i="63"/>
  <c r="AA150" i="63"/>
  <c r="L150" i="63"/>
  <c r="L166" i="63" s="1"/>
  <c r="O150" i="63"/>
  <c r="O166" i="63" s="1"/>
  <c r="W150" i="63"/>
  <c r="M150" i="63"/>
  <c r="M166" i="63" s="1"/>
  <c r="AF150" i="63"/>
  <c r="H150" i="63"/>
  <c r="H166" i="63" s="1"/>
  <c r="K150" i="63"/>
  <c r="K166" i="63" s="1"/>
  <c r="N150" i="63"/>
  <c r="N166" i="63" s="1"/>
  <c r="A151" i="63"/>
  <c r="Y150" i="63"/>
  <c r="AD150" i="63"/>
  <c r="G150" i="63"/>
  <c r="J150" i="63"/>
  <c r="J166" i="63" s="1"/>
  <c r="I150" i="63"/>
  <c r="I166" i="63" s="1"/>
  <c r="A159" i="59"/>
  <c r="AA158" i="59"/>
  <c r="V158" i="59"/>
  <c r="A125" i="60"/>
  <c r="L124" i="60"/>
  <c r="H124" i="60"/>
  <c r="M124" i="60"/>
  <c r="K124" i="60"/>
  <c r="D78" i="51"/>
  <c r="K32" i="51"/>
  <c r="E31" i="51"/>
  <c r="F30" i="51"/>
  <c r="H30" i="51" s="1"/>
  <c r="I30" i="51" s="1"/>
  <c r="J30" i="51" s="1"/>
  <c r="F29" i="51"/>
  <c r="H29" i="51" s="1"/>
  <c r="I29" i="51" s="1"/>
  <c r="J29" i="51" s="1"/>
  <c r="F28" i="51"/>
  <c r="H28" i="51" s="1"/>
  <c r="I28" i="51" s="1"/>
  <c r="J28" i="51" s="1"/>
  <c r="F27" i="51"/>
  <c r="H27" i="51" s="1"/>
  <c r="I27" i="51" s="1"/>
  <c r="J27" i="51" s="1"/>
  <c r="F26" i="51"/>
  <c r="H26" i="51" s="1"/>
  <c r="I26" i="51" s="1"/>
  <c r="J26" i="51" s="1"/>
  <c r="E25" i="51"/>
  <c r="K23" i="51"/>
  <c r="E22" i="51"/>
  <c r="F23" i="51" s="1"/>
  <c r="H23" i="51" s="1"/>
  <c r="I23" i="51" s="1"/>
  <c r="J23" i="51" s="1"/>
  <c r="F21" i="51"/>
  <c r="H21" i="51" s="1"/>
  <c r="I21" i="51" s="1"/>
  <c r="J21" i="51" s="1"/>
  <c r="E17" i="51"/>
  <c r="F20" i="51" s="1"/>
  <c r="H20" i="51" s="1"/>
  <c r="I20" i="51" s="1"/>
  <c r="J20" i="51" s="1"/>
  <c r="E13" i="51"/>
  <c r="F15" i="51" s="1"/>
  <c r="H15" i="51" s="1"/>
  <c r="I15" i="51" s="1"/>
  <c r="J15" i="51" s="1"/>
  <c r="E10" i="51"/>
  <c r="F12" i="51" s="1"/>
  <c r="H12" i="51" s="1"/>
  <c r="I12" i="51" s="1"/>
  <c r="J12" i="51" s="1"/>
  <c r="E3" i="51"/>
  <c r="D2" i="51"/>
  <c r="L1" i="51"/>
  <c r="D1" i="51"/>
  <c r="V151" i="63" l="1"/>
  <c r="Y151" i="63"/>
  <c r="AD151" i="63"/>
  <c r="G151" i="63"/>
  <c r="W151" i="63"/>
  <c r="M151" i="63"/>
  <c r="M167" i="63" s="1"/>
  <c r="P151" i="63"/>
  <c r="P167" i="63" s="1"/>
  <c r="J37" i="63" s="1"/>
  <c r="X151" i="63"/>
  <c r="N151" i="63"/>
  <c r="N167" i="63" s="1"/>
  <c r="A152" i="63"/>
  <c r="I151" i="63"/>
  <c r="I167" i="63" s="1"/>
  <c r="L151" i="63"/>
  <c r="L167" i="63" s="1"/>
  <c r="O151" i="63"/>
  <c r="O167" i="63" s="1"/>
  <c r="J151" i="63"/>
  <c r="J167" i="63" s="1"/>
  <c r="AA151" i="63"/>
  <c r="AF151" i="63"/>
  <c r="H151" i="63"/>
  <c r="H167" i="63" s="1"/>
  <c r="K151" i="63"/>
  <c r="K167" i="63" s="1"/>
  <c r="AB151" i="63"/>
  <c r="A126" i="60"/>
  <c r="L125" i="60"/>
  <c r="H125" i="60"/>
  <c r="M125" i="60"/>
  <c r="K125" i="60"/>
  <c r="A160" i="59"/>
  <c r="AA159" i="59"/>
  <c r="U42" i="59" s="1"/>
  <c r="V159" i="59"/>
  <c r="F11" i="51"/>
  <c r="H11" i="51" s="1"/>
  <c r="F14" i="51"/>
  <c r="H14" i="51" s="1"/>
  <c r="I14" i="51" s="1"/>
  <c r="J14" i="51" s="1"/>
  <c r="F9" i="51"/>
  <c r="H9" i="51" s="1"/>
  <c r="I9" i="51" s="1"/>
  <c r="J9" i="51" s="1"/>
  <c r="F8" i="51"/>
  <c r="H8" i="51" s="1"/>
  <c r="I8" i="51" s="1"/>
  <c r="J8" i="51" s="1"/>
  <c r="F7" i="51"/>
  <c r="H7" i="51" s="1"/>
  <c r="F18" i="51"/>
  <c r="H18" i="51" s="1"/>
  <c r="I18" i="51" s="1"/>
  <c r="J18" i="51" s="1"/>
  <c r="F32" i="51"/>
  <c r="H32" i="51" s="1"/>
  <c r="I32" i="51" s="1"/>
  <c r="J32" i="51" s="1"/>
  <c r="E77" i="51"/>
  <c r="F77" i="51" s="1"/>
  <c r="Y152" i="63" l="1"/>
  <c r="W152" i="63"/>
  <c r="AD152" i="63"/>
  <c r="AA152" i="63"/>
  <c r="X152" i="63"/>
  <c r="V152" i="63"/>
  <c r="AF152" i="63"/>
  <c r="AB152" i="63"/>
  <c r="A153" i="63"/>
  <c r="J34" i="63"/>
  <c r="A161" i="59"/>
  <c r="V160" i="59"/>
  <c r="AA160" i="59"/>
  <c r="A127" i="60"/>
  <c r="L126" i="60"/>
  <c r="H126" i="60"/>
  <c r="K126" i="60"/>
  <c r="M126" i="60"/>
  <c r="O20" i="51"/>
  <c r="O5" i="51"/>
  <c r="AB153" i="63" l="1"/>
  <c r="V153" i="63"/>
  <c r="W153" i="63"/>
  <c r="AF153" i="63"/>
  <c r="AD153" i="63"/>
  <c r="A154" i="63"/>
  <c r="Y153" i="63"/>
  <c r="X153" i="63"/>
  <c r="AA153" i="63"/>
  <c r="A128" i="60"/>
  <c r="L127" i="60"/>
  <c r="H127" i="60"/>
  <c r="M127" i="60"/>
  <c r="K127" i="60"/>
  <c r="A162" i="59"/>
  <c r="AA161" i="59"/>
  <c r="V161" i="59"/>
  <c r="O22" i="51"/>
  <c r="O7" i="51"/>
  <c r="M154" i="63" l="1"/>
  <c r="V154" i="63"/>
  <c r="Y154" i="63"/>
  <c r="AD154" i="63"/>
  <c r="H154" i="63"/>
  <c r="K154" i="63"/>
  <c r="P154" i="63"/>
  <c r="P170" i="63" s="1"/>
  <c r="J38" i="63" s="1"/>
  <c r="X154" i="63"/>
  <c r="AB154" i="63"/>
  <c r="A155" i="63"/>
  <c r="G154" i="63"/>
  <c r="J154" i="63"/>
  <c r="N154" i="63"/>
  <c r="N170" i="63" s="1"/>
  <c r="W154" i="63"/>
  <c r="AA154" i="63"/>
  <c r="AF154" i="63"/>
  <c r="I154" i="63"/>
  <c r="A163" i="59"/>
  <c r="AA162" i="59"/>
  <c r="V162" i="59"/>
  <c r="A129" i="60"/>
  <c r="L128" i="60"/>
  <c r="H128" i="60"/>
  <c r="M128" i="60"/>
  <c r="K128" i="60"/>
  <c r="O9" i="51"/>
  <c r="U26" i="51"/>
  <c r="O24" i="51"/>
  <c r="V155" i="63" l="1"/>
  <c r="Y155" i="63"/>
  <c r="X155" i="63"/>
  <c r="AB155" i="63"/>
  <c r="K155" i="63"/>
  <c r="K171" i="63" s="1"/>
  <c r="P155" i="63"/>
  <c r="P171" i="63" s="1"/>
  <c r="J39" i="63" s="1"/>
  <c r="N155" i="63"/>
  <c r="N171" i="63" s="1"/>
  <c r="W155" i="63"/>
  <c r="G155" i="63"/>
  <c r="J155" i="63"/>
  <c r="J171" i="63" s="1"/>
  <c r="I155" i="63"/>
  <c r="I171" i="63" s="1"/>
  <c r="M155" i="63"/>
  <c r="AA155" i="63"/>
  <c r="A156" i="63"/>
  <c r="AD155" i="63"/>
  <c r="H155" i="63"/>
  <c r="H171" i="63" s="1"/>
  <c r="J33" i="63"/>
  <c r="A130" i="60"/>
  <c r="L129" i="60"/>
  <c r="H129" i="60"/>
  <c r="M129" i="60"/>
  <c r="K129" i="60"/>
  <c r="A164" i="59"/>
  <c r="AA163" i="59"/>
  <c r="V163" i="59"/>
  <c r="U27" i="51"/>
  <c r="W27" i="51" s="1"/>
  <c r="W26" i="51"/>
  <c r="R11" i="51"/>
  <c r="Q11" i="51"/>
  <c r="P11" i="51"/>
  <c r="O11" i="51"/>
  <c r="O26" i="51"/>
  <c r="K156" i="63" l="1"/>
  <c r="K172" i="63" s="1"/>
  <c r="P156" i="63"/>
  <c r="P172" i="63" s="1"/>
  <c r="J40" i="63" s="1"/>
  <c r="N156" i="63"/>
  <c r="N172" i="63" s="1"/>
  <c r="W156" i="63"/>
  <c r="G156" i="63"/>
  <c r="J156" i="63"/>
  <c r="J172" i="63" s="1"/>
  <c r="I156" i="63"/>
  <c r="I172" i="63" s="1"/>
  <c r="M156" i="63"/>
  <c r="AA156" i="63"/>
  <c r="A157" i="63"/>
  <c r="AD156" i="63"/>
  <c r="H156" i="63"/>
  <c r="H172" i="63" s="1"/>
  <c r="V156" i="63"/>
  <c r="Y156" i="63"/>
  <c r="X156" i="63"/>
  <c r="AB156" i="63"/>
  <c r="A165" i="59"/>
  <c r="V164" i="59"/>
  <c r="AD164" i="59"/>
  <c r="AA164" i="59"/>
  <c r="A131" i="60"/>
  <c r="L130" i="60"/>
  <c r="H130" i="60"/>
  <c r="K130" i="60"/>
  <c r="M130" i="60"/>
  <c r="S28" i="51"/>
  <c r="O28" i="51"/>
  <c r="Q28" i="51"/>
  <c r="P28" i="51"/>
  <c r="Q13" i="51"/>
  <c r="P13" i="51"/>
  <c r="R13" i="51"/>
  <c r="O13" i="51"/>
  <c r="S11" i="51"/>
  <c r="K157" i="63" l="1"/>
  <c r="K173" i="63" s="1"/>
  <c r="J35" i="63" s="1"/>
  <c r="J157" i="63"/>
  <c r="J173" i="63" s="1"/>
  <c r="I157" i="63"/>
  <c r="I173" i="63" s="1"/>
  <c r="M157" i="63"/>
  <c r="G157" i="63"/>
  <c r="A158" i="63"/>
  <c r="H157" i="63"/>
  <c r="H173" i="63" s="1"/>
  <c r="AB157" i="63"/>
  <c r="AA157" i="63"/>
  <c r="Y157" i="63"/>
  <c r="AD157" i="63"/>
  <c r="W157" i="63"/>
  <c r="V157" i="63"/>
  <c r="N157" i="63"/>
  <c r="N173" i="63" s="1"/>
  <c r="J36" i="63" s="1"/>
  <c r="X157" i="63"/>
  <c r="A132" i="60"/>
  <c r="L131" i="60"/>
  <c r="H131" i="60"/>
  <c r="M131" i="60"/>
  <c r="K131" i="60"/>
  <c r="A166" i="59"/>
  <c r="AD165" i="59"/>
  <c r="V165" i="59"/>
  <c r="AA165" i="59"/>
  <c r="S13" i="51"/>
  <c r="T13" i="51" s="1"/>
  <c r="U13" i="51" s="1"/>
  <c r="V13" i="51" s="1"/>
  <c r="R28" i="51"/>
  <c r="S30" i="51"/>
  <c r="O30" i="51"/>
  <c r="Q30" i="51"/>
  <c r="P30" i="51"/>
  <c r="T11" i="51"/>
  <c r="U11" i="51" s="1"/>
  <c r="V11" i="51" s="1"/>
  <c r="AA158" i="63" l="1"/>
  <c r="X158" i="63"/>
  <c r="V158" i="63"/>
  <c r="AD158" i="63"/>
  <c r="AB158" i="63"/>
  <c r="A159" i="63"/>
  <c r="W158" i="63"/>
  <c r="Y158" i="63"/>
  <c r="A167" i="59"/>
  <c r="A168" i="59" s="1"/>
  <c r="A169" i="59" s="1"/>
  <c r="A170" i="59" s="1"/>
  <c r="A171" i="59" s="1"/>
  <c r="A172" i="59" s="1"/>
  <c r="A173" i="59" s="1"/>
  <c r="A174" i="59" s="1"/>
  <c r="A175" i="59" s="1"/>
  <c r="A176" i="59" s="1"/>
  <c r="AD166" i="59"/>
  <c r="AA166" i="59"/>
  <c r="V166" i="59"/>
  <c r="A133" i="60"/>
  <c r="L132" i="60"/>
  <c r="H132" i="60"/>
  <c r="K132" i="60"/>
  <c r="R30" i="51"/>
  <c r="A160" i="63" l="1"/>
  <c r="X159" i="63"/>
  <c r="Y159" i="63"/>
  <c r="AB159" i="63"/>
  <c r="AA159" i="63"/>
  <c r="P159" i="63"/>
  <c r="W159" i="63"/>
  <c r="V159" i="63"/>
  <c r="AD159" i="63"/>
  <c r="A134" i="60"/>
  <c r="L133" i="60"/>
  <c r="H133" i="60"/>
  <c r="M133" i="60"/>
  <c r="K133" i="60"/>
  <c r="A177" i="59"/>
  <c r="AF176" i="59"/>
  <c r="P175" i="63" l="1"/>
  <c r="J41" i="63" s="1"/>
  <c r="J43" i="63"/>
  <c r="AD160" i="63"/>
  <c r="X160" i="63"/>
  <c r="A161" i="63"/>
  <c r="Y160" i="63"/>
  <c r="AA160" i="63"/>
  <c r="Z160" i="63"/>
  <c r="P160" i="63"/>
  <c r="P176" i="63" s="1"/>
  <c r="W160" i="63"/>
  <c r="AB160" i="63"/>
  <c r="V160" i="63"/>
  <c r="A178" i="59"/>
  <c r="AF177" i="59"/>
  <c r="A135" i="60"/>
  <c r="L134" i="60"/>
  <c r="H134" i="60"/>
  <c r="K134" i="60"/>
  <c r="M134" i="60"/>
  <c r="K14" i="31"/>
  <c r="J42" i="63" l="1"/>
  <c r="J44" i="63" s="1"/>
  <c r="H178" i="63"/>
  <c r="AA161" i="63"/>
  <c r="V161" i="63"/>
  <c r="AB161" i="63"/>
  <c r="W161" i="63"/>
  <c r="AD161" i="63"/>
  <c r="X161" i="63"/>
  <c r="A162" i="63"/>
  <c r="Y161" i="63"/>
  <c r="Z161" i="63"/>
  <c r="P161" i="63"/>
  <c r="A136" i="60"/>
  <c r="L135" i="60"/>
  <c r="H135" i="60"/>
  <c r="M135" i="60"/>
  <c r="K135" i="60"/>
  <c r="A179" i="59"/>
  <c r="AF178" i="59"/>
  <c r="R188" i="58"/>
  <c r="R200" i="58"/>
  <c r="R193" i="58"/>
  <c r="R185" i="58"/>
  <c r="Y162" i="63" l="1"/>
  <c r="AA162" i="63"/>
  <c r="V162" i="63"/>
  <c r="P162" i="63"/>
  <c r="W162" i="63"/>
  <c r="AB162" i="63"/>
  <c r="A163" i="63"/>
  <c r="AD162" i="63"/>
  <c r="X162" i="63"/>
  <c r="Z162" i="63"/>
  <c r="A180" i="59"/>
  <c r="AF179" i="59"/>
  <c r="A137" i="60"/>
  <c r="L136" i="60"/>
  <c r="H136" i="60"/>
  <c r="M136" i="60"/>
  <c r="K136" i="60"/>
  <c r="B57" i="56"/>
  <c r="D74" i="51"/>
  <c r="D20" i="51"/>
  <c r="D8" i="51"/>
  <c r="D62" i="51"/>
  <c r="R187" i="58"/>
  <c r="R181" i="58"/>
  <c r="R201" i="58"/>
  <c r="R205" i="58"/>
  <c r="R191" i="58"/>
  <c r="R196" i="58"/>
  <c r="S205" i="58"/>
  <c r="R184" i="58"/>
  <c r="R190" i="58"/>
  <c r="R180" i="58"/>
  <c r="R192" i="58"/>
  <c r="R202" i="58"/>
  <c r="R199" i="58"/>
  <c r="R203" i="58"/>
  <c r="B6" i="48"/>
  <c r="W163" i="63" l="1"/>
  <c r="Y163" i="63"/>
  <c r="AB163" i="63"/>
  <c r="A164" i="63"/>
  <c r="AD163" i="63"/>
  <c r="Z163" i="63"/>
  <c r="X163" i="63"/>
  <c r="AA163" i="63"/>
  <c r="V163" i="63"/>
  <c r="A138" i="60"/>
  <c r="L137" i="60"/>
  <c r="H137" i="60"/>
  <c r="M137" i="60"/>
  <c r="K137" i="60"/>
  <c r="D7" i="60"/>
  <c r="A181" i="59"/>
  <c r="AF180" i="59"/>
  <c r="D19" i="60"/>
  <c r="M120" i="60"/>
  <c r="M132" i="60"/>
  <c r="B45" i="56"/>
  <c r="C7" i="56"/>
  <c r="C45" i="56" s="1"/>
  <c r="C19" i="56"/>
  <c r="C57" i="56" s="1"/>
  <c r="D57" i="56" s="1"/>
  <c r="B44" i="56"/>
  <c r="C6" i="56"/>
  <c r="D61" i="51"/>
  <c r="C10" i="56"/>
  <c r="B48" i="56"/>
  <c r="C8" i="56"/>
  <c r="D12" i="51"/>
  <c r="D66" i="51"/>
  <c r="D68" i="51"/>
  <c r="D21" i="51"/>
  <c r="D75" i="51"/>
  <c r="B66" i="56"/>
  <c r="D29" i="51"/>
  <c r="D83" i="51"/>
  <c r="D84" i="51"/>
  <c r="B65" i="56"/>
  <c r="D82" i="51"/>
  <c r="C26" i="56"/>
  <c r="D81" i="51"/>
  <c r="C18" i="56"/>
  <c r="D73" i="51"/>
  <c r="D19" i="51"/>
  <c r="B63" i="56"/>
  <c r="C25" i="56"/>
  <c r="D26" i="51"/>
  <c r="D80" i="51"/>
  <c r="D72" i="51"/>
  <c r="R213" i="58"/>
  <c r="R225" i="58"/>
  <c r="S196" i="58"/>
  <c r="R182" i="58"/>
  <c r="R228" i="58"/>
  <c r="S177" i="58"/>
  <c r="R194" i="58"/>
  <c r="R226" i="58"/>
  <c r="R227" i="58"/>
  <c r="B8" i="48"/>
  <c r="B10" i="48"/>
  <c r="E74" i="51"/>
  <c r="F74" i="51" s="1"/>
  <c r="K20" i="51"/>
  <c r="K8" i="51"/>
  <c r="E62" i="51"/>
  <c r="F62" i="51" s="1"/>
  <c r="A165" i="63" l="1"/>
  <c r="Y164" i="63"/>
  <c r="W164" i="63"/>
  <c r="Z164" i="63"/>
  <c r="AB164" i="63"/>
  <c r="V164" i="63"/>
  <c r="X164" i="63"/>
  <c r="AD164" i="63"/>
  <c r="AA164" i="63"/>
  <c r="D17" i="60"/>
  <c r="D18" i="60"/>
  <c r="D14" i="60"/>
  <c r="D29" i="60"/>
  <c r="D28" i="60"/>
  <c r="D13" i="60"/>
  <c r="A182" i="59"/>
  <c r="AF181" i="59"/>
  <c r="D20" i="60"/>
  <c r="D11" i="60"/>
  <c r="D10" i="60"/>
  <c r="D26" i="60"/>
  <c r="D27" i="60"/>
  <c r="D7" i="61"/>
  <c r="D7" i="59"/>
  <c r="B57" i="59"/>
  <c r="D6" i="60"/>
  <c r="D25" i="60"/>
  <c r="D19" i="61"/>
  <c r="N51" i="60"/>
  <c r="J131" i="60"/>
  <c r="N58" i="60"/>
  <c r="J119" i="60"/>
  <c r="N65" i="60"/>
  <c r="D8" i="60"/>
  <c r="A139" i="60"/>
  <c r="L138" i="60"/>
  <c r="H138" i="60"/>
  <c r="K138" i="60"/>
  <c r="M138" i="60"/>
  <c r="N50" i="60"/>
  <c r="J130" i="60"/>
  <c r="N64" i="60"/>
  <c r="J118" i="60"/>
  <c r="N57" i="60"/>
  <c r="J120" i="60"/>
  <c r="J132" i="60"/>
  <c r="D45" i="56"/>
  <c r="C11" i="56"/>
  <c r="C49" i="56" s="1"/>
  <c r="D18" i="51"/>
  <c r="E72" i="51" s="1"/>
  <c r="F72" i="51" s="1"/>
  <c r="D27" i="51"/>
  <c r="E81" i="51" s="1"/>
  <c r="F81" i="51" s="1"/>
  <c r="B49" i="56"/>
  <c r="C17" i="56"/>
  <c r="C55" i="56" s="1"/>
  <c r="B52" i="56"/>
  <c r="D30" i="51"/>
  <c r="K30" i="51" s="1"/>
  <c r="C28" i="56"/>
  <c r="C66" i="56" s="1"/>
  <c r="D66" i="56" s="1"/>
  <c r="C20" i="56"/>
  <c r="C58" i="56" s="1"/>
  <c r="B12" i="48"/>
  <c r="B14" i="48"/>
  <c r="B64" i="56"/>
  <c r="D9" i="51"/>
  <c r="K9" i="51" s="1"/>
  <c r="B46" i="56"/>
  <c r="E65" i="51"/>
  <c r="B58" i="56"/>
  <c r="D14" i="51"/>
  <c r="E68" i="51" s="1"/>
  <c r="F68" i="51" s="1"/>
  <c r="D63" i="51"/>
  <c r="D65" i="51"/>
  <c r="D15" i="51"/>
  <c r="E69" i="51" s="1"/>
  <c r="B55" i="56"/>
  <c r="B56" i="56"/>
  <c r="D69" i="51"/>
  <c r="D28" i="51"/>
  <c r="E82" i="51" s="1"/>
  <c r="F82" i="51" s="1"/>
  <c r="B51" i="56"/>
  <c r="C56" i="56"/>
  <c r="O19" i="56"/>
  <c r="C27" i="56"/>
  <c r="C65" i="56" s="1"/>
  <c r="D65" i="56" s="1"/>
  <c r="B67" i="56"/>
  <c r="C13" i="56"/>
  <c r="C51" i="56" s="1"/>
  <c r="C48" i="56"/>
  <c r="D48" i="56" s="1"/>
  <c r="C63" i="56"/>
  <c r="D63" i="56" s="1"/>
  <c r="C64" i="56"/>
  <c r="C14" i="56"/>
  <c r="C52" i="56" s="1"/>
  <c r="C44" i="56"/>
  <c r="D44" i="56" s="1"/>
  <c r="O15" i="56"/>
  <c r="C29" i="56"/>
  <c r="C67" i="56" s="1"/>
  <c r="C46" i="56"/>
  <c r="R6" i="51"/>
  <c r="P37" i="51"/>
  <c r="H60" i="56"/>
  <c r="W11" i="56"/>
  <c r="R8" i="51"/>
  <c r="R220" i="58"/>
  <c r="R208" i="58"/>
  <c r="E66" i="51"/>
  <c r="F66" i="51" s="1"/>
  <c r="K12" i="51"/>
  <c r="K29" i="51"/>
  <c r="E83" i="51"/>
  <c r="F83" i="51" s="1"/>
  <c r="K26" i="51"/>
  <c r="E80" i="51"/>
  <c r="F80" i="51" s="1"/>
  <c r="E75" i="51"/>
  <c r="F75" i="51" s="1"/>
  <c r="K21" i="51"/>
  <c r="E73" i="51"/>
  <c r="F73" i="51" s="1"/>
  <c r="E19" i="51"/>
  <c r="K19" i="51" s="1"/>
  <c r="E61" i="51"/>
  <c r="F61" i="51" s="1"/>
  <c r="K7" i="51"/>
  <c r="X165" i="63" l="1"/>
  <c r="Z165" i="63"/>
  <c r="AA165" i="63"/>
  <c r="V165" i="63"/>
  <c r="W165" i="63"/>
  <c r="AD165" i="63"/>
  <c r="AB165" i="63"/>
  <c r="A166" i="63"/>
  <c r="Y165" i="63"/>
  <c r="K11" i="51"/>
  <c r="K10" i="60"/>
  <c r="E84" i="51"/>
  <c r="F84" i="51" s="1"/>
  <c r="F65" i="51"/>
  <c r="O4" i="56"/>
  <c r="D52" i="56"/>
  <c r="D8" i="61"/>
  <c r="B58" i="59"/>
  <c r="B75" i="59"/>
  <c r="D6" i="61"/>
  <c r="B56" i="59"/>
  <c r="I85" i="59"/>
  <c r="J99" i="60"/>
  <c r="J3" i="60" s="1"/>
  <c r="D26" i="61"/>
  <c r="B76" i="59"/>
  <c r="M58" i="60"/>
  <c r="L58" i="60" s="1"/>
  <c r="J9" i="60"/>
  <c r="D29" i="61"/>
  <c r="B79" i="59"/>
  <c r="D18" i="61"/>
  <c r="B68" i="59"/>
  <c r="I24" i="60"/>
  <c r="I38" i="60"/>
  <c r="J105" i="60"/>
  <c r="J38" i="60" s="1"/>
  <c r="M66" i="60"/>
  <c r="L66" i="60" s="1"/>
  <c r="K9" i="60"/>
  <c r="M57" i="60"/>
  <c r="L57" i="60" s="1"/>
  <c r="M64" i="60"/>
  <c r="L64" i="60" s="1"/>
  <c r="S185" i="58"/>
  <c r="D11" i="61"/>
  <c r="B61" i="59"/>
  <c r="J11" i="60"/>
  <c r="J20" i="60"/>
  <c r="J101" i="60"/>
  <c r="J24" i="60" s="1"/>
  <c r="M59" i="60"/>
  <c r="L59" i="60" s="1"/>
  <c r="O6" i="60" s="1"/>
  <c r="K11" i="60"/>
  <c r="B77" i="59"/>
  <c r="D27" i="61"/>
  <c r="J106" i="60"/>
  <c r="J39" i="60" s="1"/>
  <c r="D10" i="61"/>
  <c r="B60" i="59"/>
  <c r="I9" i="60"/>
  <c r="M51" i="60"/>
  <c r="L51" i="60" s="1"/>
  <c r="S202" i="58"/>
  <c r="D28" i="61"/>
  <c r="B78" i="59"/>
  <c r="D49" i="56"/>
  <c r="A140" i="60"/>
  <c r="L139" i="60"/>
  <c r="H139" i="60"/>
  <c r="M139" i="60"/>
  <c r="K139" i="60"/>
  <c r="D19" i="59"/>
  <c r="B69" i="59"/>
  <c r="I117" i="60"/>
  <c r="J117" i="60"/>
  <c r="M52" i="60"/>
  <c r="L52" i="60" s="1"/>
  <c r="I3" i="60"/>
  <c r="I39" i="60"/>
  <c r="M50" i="60"/>
  <c r="L50" i="60" s="1"/>
  <c r="I11" i="60"/>
  <c r="I10" i="60"/>
  <c r="M65" i="60"/>
  <c r="L65" i="60" s="1"/>
  <c r="J19" i="60"/>
  <c r="J10" i="60"/>
  <c r="D20" i="61"/>
  <c r="B70" i="59"/>
  <c r="A183" i="59"/>
  <c r="AF182" i="59"/>
  <c r="I18" i="60"/>
  <c r="J18" i="60"/>
  <c r="D13" i="61"/>
  <c r="B63" i="59"/>
  <c r="S188" i="58"/>
  <c r="D14" i="61"/>
  <c r="B64" i="59"/>
  <c r="D17" i="61"/>
  <c r="B67" i="59"/>
  <c r="F69" i="51"/>
  <c r="K15" i="51"/>
  <c r="K28" i="51"/>
  <c r="E63" i="51"/>
  <c r="F63" i="51" s="1"/>
  <c r="O18" i="56"/>
  <c r="K18" i="51"/>
  <c r="Q36" i="51" s="1"/>
  <c r="W22" i="51" s="1"/>
  <c r="K14" i="51"/>
  <c r="O5" i="56"/>
  <c r="O6" i="56"/>
  <c r="D58" i="56"/>
  <c r="D64" i="56"/>
  <c r="D46" i="56"/>
  <c r="K27" i="51"/>
  <c r="D51" i="56"/>
  <c r="D55" i="56"/>
  <c r="H61" i="56"/>
  <c r="H47" i="56"/>
  <c r="E35" i="58"/>
  <c r="W9" i="56"/>
  <c r="R4" i="51"/>
  <c r="E49" i="58"/>
  <c r="E21" i="58"/>
  <c r="S193" i="58"/>
  <c r="H59" i="56"/>
  <c r="F63" i="56"/>
  <c r="F55" i="56"/>
  <c r="P45" i="51"/>
  <c r="Y11" i="56"/>
  <c r="F56" i="56"/>
  <c r="W47" i="56"/>
  <c r="D56" i="56"/>
  <c r="H57" i="56"/>
  <c r="H56" i="56"/>
  <c r="Y10" i="56"/>
  <c r="F66" i="56"/>
  <c r="W46" i="56"/>
  <c r="S181" i="58"/>
  <c r="F59" i="56"/>
  <c r="F58" i="56"/>
  <c r="F60" i="56"/>
  <c r="H63" i="56"/>
  <c r="W10" i="56"/>
  <c r="W24" i="56"/>
  <c r="B7" i="51"/>
  <c r="H48" i="56"/>
  <c r="F47" i="56"/>
  <c r="B13" i="51"/>
  <c r="H55" i="56"/>
  <c r="Y9" i="56"/>
  <c r="F44" i="56"/>
  <c r="F45" i="56"/>
  <c r="O22" i="56"/>
  <c r="P8" i="51"/>
  <c r="V22" i="51"/>
  <c r="P36" i="51"/>
  <c r="Q21" i="51"/>
  <c r="Q4" i="51"/>
  <c r="F54" i="56"/>
  <c r="X18" i="56"/>
  <c r="X9" i="56"/>
  <c r="H46" i="56"/>
  <c r="O3" i="56"/>
  <c r="P4" i="51"/>
  <c r="P46" i="51"/>
  <c r="Q23" i="51"/>
  <c r="Q6" i="51"/>
  <c r="Z31" i="56"/>
  <c r="W3" i="56"/>
  <c r="X20" i="56"/>
  <c r="X11" i="56"/>
  <c r="P6" i="51"/>
  <c r="X19" i="56"/>
  <c r="X10" i="56"/>
  <c r="F46" i="56"/>
  <c r="O7" i="56"/>
  <c r="D67" i="56"/>
  <c r="Q25" i="51"/>
  <c r="Q8" i="51"/>
  <c r="F48" i="56"/>
  <c r="O13" i="56"/>
  <c r="O14" i="56"/>
  <c r="AB44" i="58"/>
  <c r="AB31" i="56"/>
  <c r="X22" i="51"/>
  <c r="R221" i="58"/>
  <c r="R214" i="58"/>
  <c r="AB60" i="58"/>
  <c r="R209" i="58"/>
  <c r="Q45" i="51"/>
  <c r="P5" i="51"/>
  <c r="P7" i="51"/>
  <c r="P9" i="51"/>
  <c r="Q5" i="51"/>
  <c r="Q7" i="51"/>
  <c r="Q9" i="51"/>
  <c r="R5" i="51"/>
  <c r="R7" i="51"/>
  <c r="R9" i="51"/>
  <c r="Q37" i="51"/>
  <c r="AB166" i="63" l="1"/>
  <c r="AA166" i="63"/>
  <c r="Y166" i="63"/>
  <c r="W166" i="63"/>
  <c r="V166" i="63"/>
  <c r="X166" i="63"/>
  <c r="AD166" i="63"/>
  <c r="A167" i="63"/>
  <c r="A168" i="63" s="1"/>
  <c r="A169" i="63" s="1"/>
  <c r="A170" i="63" s="1"/>
  <c r="A171" i="63" s="1"/>
  <c r="A172" i="63" s="1"/>
  <c r="A173" i="63" s="1"/>
  <c r="A174" i="63" s="1"/>
  <c r="A175" i="63" s="1"/>
  <c r="A176" i="63" s="1"/>
  <c r="F89" i="51"/>
  <c r="F90" i="51" s="1"/>
  <c r="I21" i="31" s="1"/>
  <c r="B8" i="51"/>
  <c r="S192" i="58"/>
  <c r="O17" i="56"/>
  <c r="Q46" i="51"/>
  <c r="Q47" i="51" s="1"/>
  <c r="Q26" i="51"/>
  <c r="Q24" i="51"/>
  <c r="Q22" i="51"/>
  <c r="T209" i="58"/>
  <c r="M83" i="60"/>
  <c r="L83" i="60" s="1"/>
  <c r="I20" i="60"/>
  <c r="I104" i="59"/>
  <c r="U208" i="58"/>
  <c r="I84" i="59"/>
  <c r="D29" i="59"/>
  <c r="D25" i="59"/>
  <c r="D17" i="59"/>
  <c r="D14" i="59"/>
  <c r="M60" i="60"/>
  <c r="L60" i="60" s="1"/>
  <c r="M87" i="60"/>
  <c r="L87" i="60" s="1"/>
  <c r="Y12" i="59"/>
  <c r="Z12" i="59" s="1"/>
  <c r="C69" i="59"/>
  <c r="D69" i="59" s="1"/>
  <c r="D27" i="59"/>
  <c r="U86" i="59"/>
  <c r="K86" i="59" s="1"/>
  <c r="U210" i="58"/>
  <c r="I86" i="59"/>
  <c r="M88" i="60"/>
  <c r="L88" i="60" s="1"/>
  <c r="O14" i="60" s="1"/>
  <c r="D11" i="59"/>
  <c r="L9" i="60"/>
  <c r="J107" i="60"/>
  <c r="J40" i="60" s="1"/>
  <c r="J150" i="59"/>
  <c r="D8" i="59"/>
  <c r="A184" i="59"/>
  <c r="AF183" i="59"/>
  <c r="M84" i="60"/>
  <c r="L84" i="60" s="1"/>
  <c r="L10" i="60"/>
  <c r="D28" i="59"/>
  <c r="M53" i="60"/>
  <c r="L53" i="60" s="1"/>
  <c r="M67" i="60"/>
  <c r="L67" i="60" s="1"/>
  <c r="D18" i="59"/>
  <c r="M80" i="60"/>
  <c r="L80" i="60" s="1"/>
  <c r="V18" i="61"/>
  <c r="Q114" i="59"/>
  <c r="K51" i="59" s="1"/>
  <c r="M114" i="59"/>
  <c r="P114" i="59"/>
  <c r="J51" i="59" s="1"/>
  <c r="N114" i="59"/>
  <c r="D13" i="59"/>
  <c r="D20" i="59"/>
  <c r="I19" i="60"/>
  <c r="L11" i="60"/>
  <c r="L31" i="60"/>
  <c r="A141" i="60"/>
  <c r="L140" i="60"/>
  <c r="H140" i="60"/>
  <c r="M140" i="60"/>
  <c r="K140" i="60"/>
  <c r="M79" i="60"/>
  <c r="L79" i="60" s="1"/>
  <c r="N100" i="59"/>
  <c r="AF150" i="59"/>
  <c r="N78" i="59"/>
  <c r="N79" i="59"/>
  <c r="O101" i="59"/>
  <c r="AD157" i="59"/>
  <c r="AD160" i="59"/>
  <c r="O80" i="59"/>
  <c r="M89" i="59"/>
  <c r="N88" i="59"/>
  <c r="AD158" i="59"/>
  <c r="AD150" i="59"/>
  <c r="O92" i="59"/>
  <c r="M100" i="59"/>
  <c r="O89" i="59"/>
  <c r="O99" i="59"/>
  <c r="O79" i="59"/>
  <c r="AD149" i="59"/>
  <c r="N101" i="59"/>
  <c r="N87" i="59"/>
  <c r="AF149" i="59"/>
  <c r="N89" i="59"/>
  <c r="O90" i="59"/>
  <c r="M87" i="59"/>
  <c r="M78" i="59"/>
  <c r="N99" i="59"/>
  <c r="O91" i="59"/>
  <c r="M80" i="59"/>
  <c r="AD159" i="59"/>
  <c r="O100" i="59"/>
  <c r="M88" i="59"/>
  <c r="M99" i="59"/>
  <c r="AF151" i="59"/>
  <c r="O88" i="59"/>
  <c r="O87" i="59"/>
  <c r="AD151" i="59"/>
  <c r="N80" i="59"/>
  <c r="M101" i="59"/>
  <c r="M79" i="59"/>
  <c r="C57" i="59"/>
  <c r="D57" i="59" s="1"/>
  <c r="Y8" i="59"/>
  <c r="Z8" i="59" s="1"/>
  <c r="N103" i="59"/>
  <c r="N81" i="59"/>
  <c r="O83" i="59"/>
  <c r="O102" i="59"/>
  <c r="N102" i="59"/>
  <c r="M103" i="59"/>
  <c r="O82" i="59"/>
  <c r="O103" i="59"/>
  <c r="M102" i="59"/>
  <c r="N83" i="59"/>
  <c r="M83" i="59"/>
  <c r="M81" i="59"/>
  <c r="N82" i="59"/>
  <c r="M104" i="59"/>
  <c r="N104" i="59"/>
  <c r="M82" i="59"/>
  <c r="O104" i="59"/>
  <c r="I40" i="60"/>
  <c r="P86" i="59"/>
  <c r="P85" i="59"/>
  <c r="P84" i="59"/>
  <c r="O122" i="59"/>
  <c r="D26" i="59"/>
  <c r="N122" i="59"/>
  <c r="M122" i="59"/>
  <c r="M84" i="59"/>
  <c r="AF148" i="59"/>
  <c r="AD148" i="59"/>
  <c r="M77" i="59"/>
  <c r="M86" i="59"/>
  <c r="O86" i="59"/>
  <c r="N86" i="59"/>
  <c r="N77" i="59"/>
  <c r="AD156" i="59"/>
  <c r="Q86" i="59"/>
  <c r="P77" i="59"/>
  <c r="M85" i="59"/>
  <c r="O85" i="59"/>
  <c r="O84" i="59"/>
  <c r="N84" i="59"/>
  <c r="N85" i="59"/>
  <c r="O77" i="59"/>
  <c r="D6" i="59"/>
  <c r="O121" i="59"/>
  <c r="M121" i="59"/>
  <c r="N121" i="59"/>
  <c r="AD163" i="59"/>
  <c r="Z165" i="59"/>
  <c r="AE148" i="59"/>
  <c r="AF154" i="59"/>
  <c r="P121" i="59"/>
  <c r="D25" i="61"/>
  <c r="AB46" i="58"/>
  <c r="U209" i="58"/>
  <c r="E77" i="58"/>
  <c r="D68" i="56"/>
  <c r="D69" i="56" s="1"/>
  <c r="I22" i="31" s="1"/>
  <c r="S203" i="58"/>
  <c r="Z10" i="56"/>
  <c r="B12" i="51"/>
  <c r="F82" i="58"/>
  <c r="E91" i="58"/>
  <c r="S182" i="58"/>
  <c r="S187" i="58"/>
  <c r="H49" i="56"/>
  <c r="F61" i="56"/>
  <c r="F57" i="56"/>
  <c r="S180" i="58"/>
  <c r="S201" i="58"/>
  <c r="S4" i="51"/>
  <c r="S200" i="58"/>
  <c r="F49" i="56"/>
  <c r="AA23" i="58"/>
  <c r="O20" i="56"/>
  <c r="AA30" i="58"/>
  <c r="S199" i="58"/>
  <c r="W18" i="56"/>
  <c r="Z11" i="56"/>
  <c r="S8" i="51"/>
  <c r="P23" i="51"/>
  <c r="P21" i="51"/>
  <c r="B9" i="51"/>
  <c r="Y19" i="56"/>
  <c r="W19" i="56"/>
  <c r="P47" i="51"/>
  <c r="W48" i="56"/>
  <c r="Z9" i="56"/>
  <c r="S6" i="51"/>
  <c r="Y20" i="56"/>
  <c r="W20" i="56"/>
  <c r="H66" i="56"/>
  <c r="F70" i="56"/>
  <c r="O25" i="56"/>
  <c r="P25" i="51"/>
  <c r="H50" i="56"/>
  <c r="F67" i="56"/>
  <c r="H64" i="56"/>
  <c r="F50" i="56"/>
  <c r="H68" i="56"/>
  <c r="F52" i="56"/>
  <c r="F53" i="56"/>
  <c r="AA131" i="58"/>
  <c r="B16" i="51"/>
  <c r="F69" i="56"/>
  <c r="H51" i="56"/>
  <c r="H53" i="56"/>
  <c r="T4" i="51"/>
  <c r="F51" i="56"/>
  <c r="H67" i="56"/>
  <c r="AA101" i="58"/>
  <c r="S191" i="58"/>
  <c r="S184" i="58"/>
  <c r="S194" i="58"/>
  <c r="AA102" i="58"/>
  <c r="R210" i="58"/>
  <c r="E42" i="58"/>
  <c r="R222" i="58"/>
  <c r="R215" i="58"/>
  <c r="S9" i="51"/>
  <c r="P26" i="51"/>
  <c r="S7" i="51"/>
  <c r="P24" i="51"/>
  <c r="R24" i="51" s="1"/>
  <c r="P22" i="51"/>
  <c r="S5" i="51"/>
  <c r="T5" i="51" s="1"/>
  <c r="U5" i="51" s="1"/>
  <c r="V5" i="51" s="1"/>
  <c r="Y169" i="63" l="1"/>
  <c r="AC183" i="59"/>
  <c r="AM183" i="59" s="1"/>
  <c r="A177" i="63"/>
  <c r="AF176" i="63"/>
  <c r="AH176" i="63"/>
  <c r="G3" i="51"/>
  <c r="G16" i="51" s="1"/>
  <c r="R22" i="51"/>
  <c r="S22" i="51" s="1"/>
  <c r="W23" i="51" s="1"/>
  <c r="AA10" i="56"/>
  <c r="AB114" i="58"/>
  <c r="AA129" i="58"/>
  <c r="AA32" i="58"/>
  <c r="AA116" i="58"/>
  <c r="AA37" i="58"/>
  <c r="R26" i="51"/>
  <c r="S26" i="51" s="1"/>
  <c r="U84" i="59"/>
  <c r="K84" i="59" s="1"/>
  <c r="U85" i="59"/>
  <c r="K85" i="59" s="1"/>
  <c r="J86" i="59"/>
  <c r="F86" i="59" s="1"/>
  <c r="W161" i="59"/>
  <c r="W152" i="59"/>
  <c r="AA115" i="58"/>
  <c r="Y9" i="59"/>
  <c r="Z9" i="59" s="1"/>
  <c r="C56" i="59"/>
  <c r="D56" i="59" s="1"/>
  <c r="C76" i="59"/>
  <c r="D76" i="59" s="1"/>
  <c r="Y22" i="59"/>
  <c r="Z22" i="59" s="1"/>
  <c r="U122" i="59"/>
  <c r="K122" i="59" s="1"/>
  <c r="N155" i="59"/>
  <c r="U80" i="59"/>
  <c r="K80" i="59" s="1"/>
  <c r="A142" i="60"/>
  <c r="L141" i="60"/>
  <c r="H141" i="60"/>
  <c r="M141" i="60"/>
  <c r="K141" i="60"/>
  <c r="M11" i="60"/>
  <c r="H150" i="59"/>
  <c r="Z162" i="59"/>
  <c r="Z163" i="59"/>
  <c r="W157" i="59"/>
  <c r="P154" i="59"/>
  <c r="U81" i="59"/>
  <c r="K81" i="59" s="1"/>
  <c r="J151" i="59"/>
  <c r="P155" i="59"/>
  <c r="I80" i="59"/>
  <c r="M81" i="60"/>
  <c r="L81" i="60" s="1"/>
  <c r="W163" i="59"/>
  <c r="K20" i="60"/>
  <c r="U77" i="59"/>
  <c r="K77" i="59" s="1"/>
  <c r="I114" i="59"/>
  <c r="I83" i="59"/>
  <c r="U78" i="59"/>
  <c r="K78" i="59" s="1"/>
  <c r="C60" i="59"/>
  <c r="D60" i="59" s="1"/>
  <c r="Y16" i="59"/>
  <c r="Z16" i="59" s="1"/>
  <c r="N31" i="60"/>
  <c r="M69" i="60"/>
  <c r="L69" i="60" s="1"/>
  <c r="Y13" i="59"/>
  <c r="Z13" i="59" s="1"/>
  <c r="C68" i="59"/>
  <c r="D68" i="59" s="1"/>
  <c r="C78" i="59"/>
  <c r="D78" i="59" s="1"/>
  <c r="Y24" i="59"/>
  <c r="Z24" i="59" s="1"/>
  <c r="I77" i="59"/>
  <c r="A185" i="59"/>
  <c r="AH184" i="59"/>
  <c r="AJ184" i="59" s="1"/>
  <c r="AF184" i="59"/>
  <c r="K18" i="60"/>
  <c r="U114" i="59"/>
  <c r="K114" i="59" s="1"/>
  <c r="I102" i="59"/>
  <c r="U83" i="59"/>
  <c r="K83" i="59" s="1"/>
  <c r="I122" i="59"/>
  <c r="AD161" i="59"/>
  <c r="AF152" i="59"/>
  <c r="W166" i="59"/>
  <c r="I149" i="59"/>
  <c r="I82" i="59"/>
  <c r="I150" i="59"/>
  <c r="W154" i="59"/>
  <c r="Y154" i="59"/>
  <c r="AA122" i="58"/>
  <c r="I151" i="59"/>
  <c r="N9" i="60"/>
  <c r="M85" i="60"/>
  <c r="L85" i="60" s="1"/>
  <c r="I79" i="59"/>
  <c r="Y17" i="59"/>
  <c r="Z17" i="59" s="1"/>
  <c r="C63" i="59"/>
  <c r="D63" i="59" s="1"/>
  <c r="H155" i="59"/>
  <c r="I99" i="59"/>
  <c r="N11" i="60"/>
  <c r="N154" i="59"/>
  <c r="M61" i="60"/>
  <c r="L61" i="60" s="1"/>
  <c r="AD162" i="59"/>
  <c r="W150" i="59"/>
  <c r="M9" i="60"/>
  <c r="U82" i="59"/>
  <c r="K82" i="59" s="1"/>
  <c r="C77" i="59"/>
  <c r="D77" i="59" s="1"/>
  <c r="Y21" i="59"/>
  <c r="Z21" i="59" s="1"/>
  <c r="I156" i="59"/>
  <c r="I103" i="59"/>
  <c r="C64" i="59"/>
  <c r="D64" i="59" s="1"/>
  <c r="Y19" i="59"/>
  <c r="C67" i="59"/>
  <c r="D67" i="59" s="1"/>
  <c r="Y11" i="59"/>
  <c r="Z11" i="59" s="1"/>
  <c r="Y14" i="59"/>
  <c r="Z14" i="59" s="1"/>
  <c r="W165" i="59"/>
  <c r="AD152" i="59"/>
  <c r="AD153" i="59"/>
  <c r="Z161" i="59"/>
  <c r="J149" i="59"/>
  <c r="J165" i="59" s="1"/>
  <c r="W148" i="59"/>
  <c r="H149" i="59"/>
  <c r="U117" i="59"/>
  <c r="K117" i="59" s="1"/>
  <c r="N116" i="59"/>
  <c r="U79" i="59"/>
  <c r="K79" i="59" s="1"/>
  <c r="M68" i="60"/>
  <c r="L68" i="60" s="1"/>
  <c r="K19" i="60"/>
  <c r="C70" i="59"/>
  <c r="D70" i="59" s="1"/>
  <c r="Y15" i="59"/>
  <c r="Z15" i="59" s="1"/>
  <c r="O105" i="59"/>
  <c r="M105" i="59"/>
  <c r="M117" i="59"/>
  <c r="M10" i="60"/>
  <c r="Y10" i="59"/>
  <c r="Z10" i="59" s="1"/>
  <c r="C58" i="59"/>
  <c r="D58" i="59" s="1"/>
  <c r="I155" i="59"/>
  <c r="I121" i="59"/>
  <c r="M54" i="60"/>
  <c r="L54" i="60" s="1"/>
  <c r="Y18" i="59"/>
  <c r="Z18" i="59" s="1"/>
  <c r="C61" i="59"/>
  <c r="D61" i="59" s="1"/>
  <c r="AF153" i="59"/>
  <c r="H151" i="59"/>
  <c r="U121" i="59"/>
  <c r="K121" i="59" s="1"/>
  <c r="C75" i="59"/>
  <c r="D75" i="59" s="1"/>
  <c r="Y20" i="59"/>
  <c r="Z20" i="59" s="1"/>
  <c r="W149" i="59"/>
  <c r="Z160" i="59"/>
  <c r="I81" i="59"/>
  <c r="C79" i="59"/>
  <c r="D79" i="59" s="1"/>
  <c r="Y23" i="59"/>
  <c r="Z23" i="59" s="1"/>
  <c r="I157" i="59"/>
  <c r="I78" i="59"/>
  <c r="M89" i="60"/>
  <c r="L89" i="60" s="1"/>
  <c r="Y151" i="59"/>
  <c r="P5" i="56"/>
  <c r="P22" i="56"/>
  <c r="E28" i="58"/>
  <c r="AA19" i="58"/>
  <c r="AA46" i="58"/>
  <c r="AB123" i="58"/>
  <c r="T208" i="58"/>
  <c r="AB124" i="58"/>
  <c r="S226" i="58"/>
  <c r="AB47" i="58"/>
  <c r="AB38" i="58"/>
  <c r="AA16" i="58"/>
  <c r="V225" i="58"/>
  <c r="AA39" i="58"/>
  <c r="F68" i="56"/>
  <c r="E56" i="58"/>
  <c r="AA24" i="58"/>
  <c r="H69" i="56"/>
  <c r="AA18" i="58"/>
  <c r="E63" i="58"/>
  <c r="AA38" i="58"/>
  <c r="AA130" i="58"/>
  <c r="F64" i="56"/>
  <c r="H52" i="56"/>
  <c r="B11" i="51"/>
  <c r="AB25" i="58"/>
  <c r="H62" i="56"/>
  <c r="J32" i="56" s="1"/>
  <c r="AB26" i="58"/>
  <c r="E84" i="58"/>
  <c r="AA25" i="58"/>
  <c r="AB40" i="58"/>
  <c r="S210" i="58"/>
  <c r="AB16" i="58"/>
  <c r="Z22" i="51"/>
  <c r="AB45" i="58"/>
  <c r="AA103" i="58"/>
  <c r="S225" i="58"/>
  <c r="AB122" i="58"/>
  <c r="F62" i="56"/>
  <c r="I32" i="56" s="1"/>
  <c r="B14" i="51"/>
  <c r="V226" i="58"/>
  <c r="F31" i="58"/>
  <c r="AA44" i="58"/>
  <c r="S209" i="58"/>
  <c r="AA31" i="58"/>
  <c r="AA142" i="58"/>
  <c r="W26" i="56"/>
  <c r="W25" i="56"/>
  <c r="AA9" i="56"/>
  <c r="S21" i="51"/>
  <c r="R21" i="51"/>
  <c r="X33" i="56"/>
  <c r="Z19" i="56"/>
  <c r="R25" i="51"/>
  <c r="S25" i="51"/>
  <c r="O8" i="56"/>
  <c r="O28" i="56"/>
  <c r="O12" i="56"/>
  <c r="O27" i="56"/>
  <c r="O11" i="56"/>
  <c r="O10" i="56"/>
  <c r="O26" i="56"/>
  <c r="O23" i="56"/>
  <c r="AA11" i="56"/>
  <c r="AA17" i="58"/>
  <c r="T210" i="58"/>
  <c r="B15" i="51"/>
  <c r="O16" i="56"/>
  <c r="O21" i="56"/>
  <c r="T6" i="51"/>
  <c r="S23" i="51"/>
  <c r="R23" i="51"/>
  <c r="X42" i="56"/>
  <c r="Z20" i="56"/>
  <c r="T8" i="51"/>
  <c r="Y18" i="56"/>
  <c r="L12" i="51"/>
  <c r="L11" i="51"/>
  <c r="L18" i="51"/>
  <c r="L9" i="51"/>
  <c r="AA45" i="58"/>
  <c r="S208" i="58"/>
  <c r="AA67" i="58"/>
  <c r="AA72" i="58"/>
  <c r="R216" i="58"/>
  <c r="T214" i="58"/>
  <c r="AA121" i="58"/>
  <c r="T216" i="58"/>
  <c r="R223" i="58"/>
  <c r="T7" i="51"/>
  <c r="U7" i="51" s="1"/>
  <c r="V7" i="51" s="1"/>
  <c r="T9" i="51"/>
  <c r="U9" i="51" s="1"/>
  <c r="V9" i="51" s="1"/>
  <c r="S24" i="51" l="1"/>
  <c r="G24" i="51"/>
  <c r="G31" i="51"/>
  <c r="AJ176" i="63"/>
  <c r="AK176" i="63" s="1"/>
  <c r="AE176" i="63" s="1"/>
  <c r="AI176" i="63"/>
  <c r="AB176" i="63" s="1"/>
  <c r="N190" i="63" s="1"/>
  <c r="AH177" i="63"/>
  <c r="AF177" i="63"/>
  <c r="A178" i="63"/>
  <c r="AA79" i="58"/>
  <c r="M62" i="60"/>
  <c r="L62" i="60" s="1"/>
  <c r="AA52" i="58"/>
  <c r="H165" i="59"/>
  <c r="J2" i="59"/>
  <c r="J84" i="59"/>
  <c r="F84" i="59" s="1"/>
  <c r="F101" i="58"/>
  <c r="J167" i="59"/>
  <c r="AG183" i="59"/>
  <c r="AA100" i="58"/>
  <c r="AG185" i="59"/>
  <c r="AC185" i="59"/>
  <c r="AM185" i="59" s="1"/>
  <c r="Y150" i="59"/>
  <c r="AA53" i="58"/>
  <c r="U99" i="59"/>
  <c r="K99" i="59" s="1"/>
  <c r="J81" i="59"/>
  <c r="F81" i="59" s="1"/>
  <c r="AG180" i="59"/>
  <c r="AC180" i="59"/>
  <c r="AM180" i="59" s="1"/>
  <c r="I2" i="59"/>
  <c r="U123" i="59"/>
  <c r="K123" i="59" s="1"/>
  <c r="J114" i="59"/>
  <c r="F114" i="59" s="1"/>
  <c r="AG213" i="59"/>
  <c r="AC213" i="59"/>
  <c r="AM213" i="59" s="1"/>
  <c r="N171" i="59"/>
  <c r="AH176" i="59"/>
  <c r="AJ176" i="59" s="1"/>
  <c r="W151" i="59"/>
  <c r="I87" i="59"/>
  <c r="L18" i="60"/>
  <c r="K150" i="59"/>
  <c r="I88" i="59"/>
  <c r="H8" i="61"/>
  <c r="U104" i="59"/>
  <c r="K104" i="59" s="1"/>
  <c r="I123" i="59"/>
  <c r="J102" i="60"/>
  <c r="J25" i="60" s="1"/>
  <c r="W162" i="59"/>
  <c r="U89" i="59"/>
  <c r="K89" i="59" s="1"/>
  <c r="Z164" i="59"/>
  <c r="AH178" i="59"/>
  <c r="AJ178" i="59" s="1"/>
  <c r="AA143" i="58"/>
  <c r="U87" i="59"/>
  <c r="K87" i="59" s="1"/>
  <c r="AG220" i="59"/>
  <c r="P170" i="59"/>
  <c r="J38" i="59" s="1"/>
  <c r="J121" i="59"/>
  <c r="F121" i="59" s="1"/>
  <c r="AC220" i="59"/>
  <c r="AM220" i="59" s="1"/>
  <c r="J82" i="59"/>
  <c r="F82" i="59" s="1"/>
  <c r="I172" i="59"/>
  <c r="AC181" i="59"/>
  <c r="AM181" i="59" s="1"/>
  <c r="AG181" i="59"/>
  <c r="L19" i="60"/>
  <c r="I89" i="59"/>
  <c r="K151" i="59"/>
  <c r="AH177" i="59"/>
  <c r="AJ177" i="59" s="1"/>
  <c r="AH183" i="59"/>
  <c r="AJ183" i="59" s="1"/>
  <c r="Z19" i="59"/>
  <c r="X37" i="59" s="1"/>
  <c r="W37" i="59"/>
  <c r="U88" i="59"/>
  <c r="K88" i="59" s="1"/>
  <c r="U103" i="59"/>
  <c r="K103" i="59" s="1"/>
  <c r="H157" i="59"/>
  <c r="I101" i="59"/>
  <c r="I165" i="59"/>
  <c r="K149" i="59"/>
  <c r="J79" i="59"/>
  <c r="F79" i="59" s="1"/>
  <c r="AC178" i="59"/>
  <c r="AM178" i="59" s="1"/>
  <c r="AG178" i="59"/>
  <c r="I25" i="60"/>
  <c r="U101" i="59"/>
  <c r="K101" i="59" s="1"/>
  <c r="H156" i="59"/>
  <c r="I100" i="59"/>
  <c r="A143" i="60"/>
  <c r="L142" i="60"/>
  <c r="H142" i="60"/>
  <c r="J142" i="60"/>
  <c r="K142" i="60"/>
  <c r="M142" i="60"/>
  <c r="Y156" i="59"/>
  <c r="J77" i="59"/>
  <c r="F77" i="59" s="1"/>
  <c r="N170" i="59"/>
  <c r="J33" i="59" s="1"/>
  <c r="AG176" i="59"/>
  <c r="AC176" i="59"/>
  <c r="U102" i="59"/>
  <c r="K102" i="59" s="1"/>
  <c r="J83" i="59"/>
  <c r="F83" i="59" s="1"/>
  <c r="AG182" i="59"/>
  <c r="AC182" i="59"/>
  <c r="I173" i="59"/>
  <c r="N10" i="60"/>
  <c r="M86" i="60"/>
  <c r="L86" i="60" s="1"/>
  <c r="W156" i="59"/>
  <c r="M55" i="60"/>
  <c r="L55" i="60" s="1"/>
  <c r="I167" i="59"/>
  <c r="I166" i="59"/>
  <c r="AH180" i="59"/>
  <c r="AJ180" i="59" s="1"/>
  <c r="Y158" i="59"/>
  <c r="V26" i="61"/>
  <c r="V59" i="61"/>
  <c r="V55" i="61"/>
  <c r="V141" i="61"/>
  <c r="V174" i="61"/>
  <c r="H171" i="59"/>
  <c r="AG177" i="59"/>
  <c r="AC177" i="59"/>
  <c r="J78" i="59"/>
  <c r="F78" i="59" s="1"/>
  <c r="H2" i="59"/>
  <c r="Y149" i="59"/>
  <c r="P156" i="59"/>
  <c r="J34" i="60"/>
  <c r="L20" i="60"/>
  <c r="W158" i="59"/>
  <c r="Y155" i="59"/>
  <c r="M106" i="59"/>
  <c r="O106" i="59"/>
  <c r="J32" i="60"/>
  <c r="AG184" i="59"/>
  <c r="AC184" i="59"/>
  <c r="J166" i="59"/>
  <c r="J85" i="59"/>
  <c r="F85" i="59" s="1"/>
  <c r="D81" i="59"/>
  <c r="D82" i="59" s="1"/>
  <c r="I20" i="31" s="1"/>
  <c r="W160" i="59"/>
  <c r="AH179" i="59"/>
  <c r="AJ179" i="59" s="1"/>
  <c r="M95" i="59"/>
  <c r="N92" i="59"/>
  <c r="W153" i="59"/>
  <c r="U105" i="59"/>
  <c r="K105" i="59" s="1"/>
  <c r="U100" i="59"/>
  <c r="K100" i="59" s="1"/>
  <c r="O9" i="60"/>
  <c r="AH182" i="59"/>
  <c r="AJ182" i="59" s="1"/>
  <c r="AH181" i="59"/>
  <c r="AJ181" i="59" s="1"/>
  <c r="M107" i="59"/>
  <c r="O107" i="59"/>
  <c r="W155" i="59"/>
  <c r="M93" i="59"/>
  <c r="N90" i="59"/>
  <c r="M82" i="60"/>
  <c r="L82" i="60" s="1"/>
  <c r="A186" i="59"/>
  <c r="AH185" i="59"/>
  <c r="AJ185" i="59" s="1"/>
  <c r="AF185" i="59"/>
  <c r="M94" i="59"/>
  <c r="N91" i="59"/>
  <c r="I117" i="59"/>
  <c r="P148" i="59"/>
  <c r="AC179" i="59"/>
  <c r="AM179" i="59" s="1"/>
  <c r="AG179" i="59"/>
  <c r="J80" i="59"/>
  <c r="F80" i="59" s="1"/>
  <c r="H167" i="59"/>
  <c r="Y148" i="59"/>
  <c r="Y157" i="59"/>
  <c r="V46" i="61"/>
  <c r="V76" i="61"/>
  <c r="G79" i="61"/>
  <c r="G78" i="61"/>
  <c r="M90" i="60"/>
  <c r="L90" i="60" s="1"/>
  <c r="Y153" i="59"/>
  <c r="H166" i="59"/>
  <c r="P171" i="59"/>
  <c r="J39" i="59" s="1"/>
  <c r="J122" i="59"/>
  <c r="F122" i="59" s="1"/>
  <c r="AC221" i="59"/>
  <c r="AG221" i="59"/>
  <c r="Y152" i="59"/>
  <c r="M56" i="60"/>
  <c r="L56" i="60" s="1"/>
  <c r="AA107" i="58"/>
  <c r="AA73" i="58"/>
  <c r="AA117" i="58"/>
  <c r="F115" i="58"/>
  <c r="F103" i="58"/>
  <c r="F102" i="58"/>
  <c r="AA51" i="58"/>
  <c r="AA123" i="58"/>
  <c r="AB68" i="58"/>
  <c r="F46" i="58"/>
  <c r="F25" i="58"/>
  <c r="V220" i="58"/>
  <c r="V227" i="58"/>
  <c r="S216" i="58"/>
  <c r="E98" i="58"/>
  <c r="S214" i="58"/>
  <c r="V208" i="58"/>
  <c r="E105" i="58"/>
  <c r="F39" i="58"/>
  <c r="F18" i="58"/>
  <c r="F38" i="58"/>
  <c r="AB100" i="58"/>
  <c r="AB75" i="58"/>
  <c r="AA66" i="58"/>
  <c r="AB80" i="58"/>
  <c r="H65" i="56"/>
  <c r="AB54" i="58"/>
  <c r="F19" i="58"/>
  <c r="AB108" i="58"/>
  <c r="V210" i="58"/>
  <c r="T215" i="58"/>
  <c r="V209" i="58"/>
  <c r="B18" i="51"/>
  <c r="L21" i="51"/>
  <c r="L7" i="51"/>
  <c r="F17" i="58"/>
  <c r="AB128" i="58"/>
  <c r="E70" i="58"/>
  <c r="AB74" i="58"/>
  <c r="F24" i="58"/>
  <c r="F45" i="58"/>
  <c r="F117" i="58"/>
  <c r="F123" i="58"/>
  <c r="F32" i="58"/>
  <c r="AB109" i="58"/>
  <c r="F65" i="56"/>
  <c r="AB82" i="58"/>
  <c r="F116" i="58"/>
  <c r="AA114" i="58"/>
  <c r="S215" i="58"/>
  <c r="F122" i="58"/>
  <c r="X32" i="56"/>
  <c r="Z18" i="56"/>
  <c r="AB11" i="56"/>
  <c r="O9" i="56"/>
  <c r="O24" i="56"/>
  <c r="U4" i="51"/>
  <c r="U6" i="51"/>
  <c r="AB9" i="56"/>
  <c r="AA81" i="58"/>
  <c r="U8" i="51"/>
  <c r="AB10" i="56"/>
  <c r="P38" i="51"/>
  <c r="P39" i="51"/>
  <c r="AA75" i="58"/>
  <c r="F44" i="58"/>
  <c r="F37" i="58"/>
  <c r="F23" i="58"/>
  <c r="F30" i="58"/>
  <c r="Q38" i="51"/>
  <c r="Q39" i="51" s="1"/>
  <c r="W25" i="51" s="1"/>
  <c r="W24" i="51"/>
  <c r="AJ177" i="63" l="1"/>
  <c r="AK177" i="63" s="1"/>
  <c r="AI177" i="63"/>
  <c r="AB177" i="63" s="1"/>
  <c r="H185" i="63" s="1"/>
  <c r="A179" i="63"/>
  <c r="AF178" i="63"/>
  <c r="AH178" i="63"/>
  <c r="AE177" i="63"/>
  <c r="AD176" i="63"/>
  <c r="AL176" i="63" s="1"/>
  <c r="M70" i="60"/>
  <c r="L70" i="60" s="1"/>
  <c r="O11" i="60"/>
  <c r="AA144" i="58"/>
  <c r="I92" i="59"/>
  <c r="F16" i="58"/>
  <c r="J33" i="60"/>
  <c r="X210" i="58"/>
  <c r="I90" i="59"/>
  <c r="I91" i="59"/>
  <c r="AK183" i="59"/>
  <c r="AK185" i="59"/>
  <c r="AK180" i="59"/>
  <c r="W208" i="58"/>
  <c r="AK182" i="59"/>
  <c r="AA74" i="58"/>
  <c r="F74" i="58"/>
  <c r="H172" i="59"/>
  <c r="F53" i="58"/>
  <c r="AI183" i="59"/>
  <c r="AB183" i="59" s="1"/>
  <c r="J185" i="59" s="1"/>
  <c r="F131" i="58"/>
  <c r="F52" i="58"/>
  <c r="AK181" i="59"/>
  <c r="AA65" i="58"/>
  <c r="AA87" i="58"/>
  <c r="AG188" i="59"/>
  <c r="J89" i="59"/>
  <c r="F89" i="59" s="1"/>
  <c r="K167" i="59"/>
  <c r="AC188" i="59"/>
  <c r="AM188" i="59" s="1"/>
  <c r="AJ200" i="59"/>
  <c r="AI179" i="59"/>
  <c r="AB179" i="59" s="1"/>
  <c r="H187" i="59" s="1"/>
  <c r="AJ188" i="59"/>
  <c r="I107" i="59"/>
  <c r="G32" i="61"/>
  <c r="G31" i="61"/>
  <c r="W18" i="61"/>
  <c r="X18" i="61" s="1"/>
  <c r="AJ203" i="59"/>
  <c r="AI182" i="59"/>
  <c r="AB182" i="59" s="1"/>
  <c r="I187" i="59" s="1"/>
  <c r="W159" i="59"/>
  <c r="X38" i="59" s="1"/>
  <c r="AJ216" i="59"/>
  <c r="AI176" i="59"/>
  <c r="AB176" i="59" s="1"/>
  <c r="N190" i="59" s="1"/>
  <c r="I26" i="60"/>
  <c r="AJ199" i="59"/>
  <c r="AI178" i="59"/>
  <c r="AJ187" i="59"/>
  <c r="V146" i="61"/>
  <c r="L149" i="59"/>
  <c r="AG202" i="59"/>
  <c r="AC202" i="59"/>
  <c r="AM202" i="59" s="1"/>
  <c r="J103" i="59"/>
  <c r="F103" i="59" s="1"/>
  <c r="AJ222" i="59"/>
  <c r="AK178" i="59"/>
  <c r="W164" i="59"/>
  <c r="J50" i="61"/>
  <c r="W59" i="61" s="1"/>
  <c r="X59" i="61" s="1"/>
  <c r="I50" i="61"/>
  <c r="W55" i="61" s="1"/>
  <c r="X55" i="61" s="1"/>
  <c r="U90" i="59"/>
  <c r="K90" i="59" s="1"/>
  <c r="AK176" i="59"/>
  <c r="AE176" i="59" s="1"/>
  <c r="AI185" i="59"/>
  <c r="J156" i="59"/>
  <c r="AM221" i="59"/>
  <c r="AK179" i="59"/>
  <c r="E6" i="59"/>
  <c r="L151" i="59"/>
  <c r="AM177" i="59"/>
  <c r="I105" i="59"/>
  <c r="O10" i="60"/>
  <c r="U107" i="59"/>
  <c r="K107" i="59" s="1"/>
  <c r="AK177" i="59"/>
  <c r="L150" i="59"/>
  <c r="P172" i="59"/>
  <c r="J40" i="59" s="1"/>
  <c r="AC222" i="59"/>
  <c r="AM222" i="59" s="1"/>
  <c r="AG222" i="59"/>
  <c r="J123" i="59"/>
  <c r="F123" i="59" s="1"/>
  <c r="H174" i="61"/>
  <c r="V50" i="61"/>
  <c r="V71" i="61"/>
  <c r="I108" i="59"/>
  <c r="M151" i="59"/>
  <c r="I125" i="60"/>
  <c r="I127" i="60"/>
  <c r="I106" i="59"/>
  <c r="AJ201" i="59"/>
  <c r="AI180" i="59"/>
  <c r="AB180" i="59" s="1"/>
  <c r="I185" i="59" s="1"/>
  <c r="AA128" i="58"/>
  <c r="AA68" i="58"/>
  <c r="AG200" i="59"/>
  <c r="AC200" i="59"/>
  <c r="AM200" i="59" s="1"/>
  <c r="J101" i="59"/>
  <c r="F101" i="59" s="1"/>
  <c r="A187" i="59"/>
  <c r="AH187" i="59" s="1"/>
  <c r="AF186" i="59"/>
  <c r="I93" i="59"/>
  <c r="AM184" i="59"/>
  <c r="J157" i="59"/>
  <c r="J87" i="59"/>
  <c r="F87" i="59" s="1"/>
  <c r="AG186" i="59"/>
  <c r="AC186" i="59"/>
  <c r="AM186" i="59" s="1"/>
  <c r="K165" i="59"/>
  <c r="K2" i="59"/>
  <c r="AJ198" i="59"/>
  <c r="AI177" i="59"/>
  <c r="AB177" i="59" s="1"/>
  <c r="H185" i="59" s="1"/>
  <c r="AJ186" i="59"/>
  <c r="J155" i="59"/>
  <c r="M63" i="60"/>
  <c r="L63" i="60" s="1"/>
  <c r="AG203" i="59"/>
  <c r="AC203" i="59"/>
  <c r="AM203" i="59" s="1"/>
  <c r="J104" i="59"/>
  <c r="F104" i="59" s="1"/>
  <c r="I128" i="60"/>
  <c r="I126" i="60"/>
  <c r="AM176" i="59"/>
  <c r="U106" i="59"/>
  <c r="K106" i="59" s="1"/>
  <c r="AC187" i="59"/>
  <c r="AM187" i="59" s="1"/>
  <c r="AG187" i="59"/>
  <c r="K166" i="59"/>
  <c r="J88" i="59"/>
  <c r="F88" i="59" s="1"/>
  <c r="H173" i="59"/>
  <c r="U92" i="59"/>
  <c r="K92" i="59" s="1"/>
  <c r="T222" i="58"/>
  <c r="AJ202" i="59"/>
  <c r="AI181" i="59"/>
  <c r="AB181" i="59" s="1"/>
  <c r="I186" i="59" s="1"/>
  <c r="H71" i="61"/>
  <c r="W71" i="61" s="1"/>
  <c r="G141" i="61"/>
  <c r="U91" i="59"/>
  <c r="K91" i="59" s="1"/>
  <c r="T221" i="58"/>
  <c r="I8" i="59"/>
  <c r="AC201" i="59"/>
  <c r="AM201" i="59" s="1"/>
  <c r="J102" i="59"/>
  <c r="F102" i="59" s="1"/>
  <c r="AG201" i="59"/>
  <c r="I171" i="59"/>
  <c r="M149" i="59"/>
  <c r="M96" i="59"/>
  <c r="N96" i="59"/>
  <c r="AI184" i="59"/>
  <c r="AK184" i="59"/>
  <c r="M110" i="59"/>
  <c r="I46" i="61"/>
  <c r="W46" i="61" s="1"/>
  <c r="X46" i="61" s="1"/>
  <c r="H76" i="61"/>
  <c r="J99" i="59"/>
  <c r="F99" i="59" s="1"/>
  <c r="AC198" i="59"/>
  <c r="AM198" i="59" s="1"/>
  <c r="AG198" i="59"/>
  <c r="H8" i="59"/>
  <c r="V78" i="61"/>
  <c r="AM182" i="59"/>
  <c r="Y159" i="59"/>
  <c r="P164" i="59"/>
  <c r="J117" i="59"/>
  <c r="F117" i="59" s="1"/>
  <c r="AC216" i="59"/>
  <c r="AG216" i="59"/>
  <c r="A144" i="60"/>
  <c r="J143" i="60"/>
  <c r="L143" i="60"/>
  <c r="H143" i="60"/>
  <c r="M143" i="60"/>
  <c r="K143" i="60"/>
  <c r="J103" i="60"/>
  <c r="J26" i="60" s="1"/>
  <c r="J100" i="59"/>
  <c r="F100" i="59" s="1"/>
  <c r="AG199" i="59"/>
  <c r="AC199" i="59"/>
  <c r="AM199" i="59" s="1"/>
  <c r="AH186" i="59"/>
  <c r="I140" i="60"/>
  <c r="I139" i="60"/>
  <c r="I138" i="60"/>
  <c r="I137" i="60"/>
  <c r="H50" i="61"/>
  <c r="W50" i="61" s="1"/>
  <c r="H128" i="61"/>
  <c r="H26" i="61"/>
  <c r="V83" i="61"/>
  <c r="M98" i="59"/>
  <c r="N98" i="59"/>
  <c r="I95" i="59"/>
  <c r="N110" i="59"/>
  <c r="F130" i="58"/>
  <c r="U216" i="58"/>
  <c r="F129" i="58"/>
  <c r="U215" i="58"/>
  <c r="F73" i="58"/>
  <c r="AA108" i="58"/>
  <c r="F67" i="58"/>
  <c r="W210" i="58"/>
  <c r="Z23" i="51"/>
  <c r="AA23" i="51" s="1"/>
  <c r="AA88" i="58"/>
  <c r="W209" i="58"/>
  <c r="U214" i="58"/>
  <c r="AA60" i="58"/>
  <c r="V24" i="51"/>
  <c r="V6" i="51"/>
  <c r="F75" i="58"/>
  <c r="AA109" i="58"/>
  <c r="F72" i="58"/>
  <c r="V8" i="51"/>
  <c r="V25" i="51"/>
  <c r="AC9" i="56"/>
  <c r="V4" i="51"/>
  <c r="AC11" i="56"/>
  <c r="AC10" i="56"/>
  <c r="J30" i="56"/>
  <c r="AA86" i="58"/>
  <c r="AA54" i="58"/>
  <c r="F54" i="58"/>
  <c r="F121" i="58"/>
  <c r="F114" i="58"/>
  <c r="F100" i="58"/>
  <c r="W38" i="51"/>
  <c r="W37" i="51"/>
  <c r="I11" i="51" s="1"/>
  <c r="J11" i="51" s="1"/>
  <c r="AB178" i="59" l="1"/>
  <c r="H186" i="59" s="1"/>
  <c r="AF179" i="63"/>
  <c r="AH179" i="63"/>
  <c r="A180" i="63"/>
  <c r="AD177" i="63"/>
  <c r="AL177" i="63" s="1"/>
  <c r="AJ178" i="63"/>
  <c r="AK178" i="63" s="1"/>
  <c r="AE178" i="63" s="1"/>
  <c r="AI178" i="63"/>
  <c r="AB178" i="63" s="1"/>
  <c r="H186" i="63" s="1"/>
  <c r="AB185" i="59"/>
  <c r="J187" i="59" s="1"/>
  <c r="I34" i="60"/>
  <c r="I32" i="60"/>
  <c r="V216" i="58"/>
  <c r="AK203" i="59"/>
  <c r="AB184" i="59"/>
  <c r="J186" i="59" s="1"/>
  <c r="X50" i="61"/>
  <c r="J173" i="59"/>
  <c r="V215" i="58"/>
  <c r="X71" i="61"/>
  <c r="M165" i="59"/>
  <c r="Z24" i="51"/>
  <c r="AA24" i="51" s="1"/>
  <c r="F68" i="58"/>
  <c r="U94" i="59"/>
  <c r="K94" i="59" s="1"/>
  <c r="AA38" i="59"/>
  <c r="AB36" i="59"/>
  <c r="AA37" i="59"/>
  <c r="AA36" i="59"/>
  <c r="AB40" i="59"/>
  <c r="AB39" i="59"/>
  <c r="AA35" i="59"/>
  <c r="Z37" i="59"/>
  <c r="Z38" i="59"/>
  <c r="AB35" i="59"/>
  <c r="X39" i="59"/>
  <c r="Z36" i="59"/>
  <c r="AA40" i="59"/>
  <c r="Z40" i="59"/>
  <c r="Z39" i="59"/>
  <c r="AB37" i="59"/>
  <c r="AA39" i="59"/>
  <c r="AB38" i="59"/>
  <c r="J91" i="59"/>
  <c r="F91" i="59" s="1"/>
  <c r="AC190" i="59"/>
  <c r="AM190" i="59" s="1"/>
  <c r="L166" i="59"/>
  <c r="AG190" i="59"/>
  <c r="AE177" i="59"/>
  <c r="AD176" i="59"/>
  <c r="AL176" i="59" s="1"/>
  <c r="AK200" i="59"/>
  <c r="AJ206" i="59"/>
  <c r="J174" i="61"/>
  <c r="W174" i="61"/>
  <c r="X174" i="61" s="1"/>
  <c r="I96" i="59"/>
  <c r="M150" i="59"/>
  <c r="U110" i="59"/>
  <c r="K110" i="59" s="1"/>
  <c r="I98" i="59"/>
  <c r="AJ205" i="59"/>
  <c r="AK199" i="59"/>
  <c r="A145" i="60"/>
  <c r="L144" i="60"/>
  <c r="H144" i="60"/>
  <c r="J144" i="60"/>
  <c r="M144" i="60"/>
  <c r="K144" i="60"/>
  <c r="K157" i="59"/>
  <c r="I144" i="60"/>
  <c r="I142" i="60"/>
  <c r="W141" i="61"/>
  <c r="X141" i="61" s="1"/>
  <c r="K155" i="59"/>
  <c r="K32" i="60"/>
  <c r="I109" i="59"/>
  <c r="U95" i="59"/>
  <c r="K95" i="59" s="1"/>
  <c r="N156" i="59"/>
  <c r="I33" i="60"/>
  <c r="N109" i="59"/>
  <c r="H51" i="59" s="1"/>
  <c r="J172" i="59"/>
  <c r="L165" i="59"/>
  <c r="L2" i="59"/>
  <c r="J92" i="59"/>
  <c r="F92" i="59" s="1"/>
  <c r="L167" i="59"/>
  <c r="AG191" i="59"/>
  <c r="AC191" i="59"/>
  <c r="AM191" i="59" s="1"/>
  <c r="U98" i="59"/>
  <c r="K98" i="59" s="1"/>
  <c r="AG205" i="59"/>
  <c r="AC205" i="59"/>
  <c r="AM205" i="59" s="1"/>
  <c r="J106" i="59"/>
  <c r="F106" i="59" s="1"/>
  <c r="AK216" i="59"/>
  <c r="I110" i="59"/>
  <c r="AJ204" i="59"/>
  <c r="AK201" i="59"/>
  <c r="J105" i="59"/>
  <c r="F105" i="59" s="1"/>
  <c r="AG204" i="59"/>
  <c r="AC204" i="59"/>
  <c r="AM204" i="59" s="1"/>
  <c r="J8" i="59"/>
  <c r="AC189" i="59"/>
  <c r="AM189" i="59" s="1"/>
  <c r="J90" i="59"/>
  <c r="F90" i="59" s="1"/>
  <c r="AG189" i="59"/>
  <c r="AJ192" i="59" s="1"/>
  <c r="U96" i="59"/>
  <c r="K96" i="59" s="1"/>
  <c r="I123" i="60"/>
  <c r="I121" i="60"/>
  <c r="I122" i="60"/>
  <c r="I124" i="60"/>
  <c r="I120" i="60"/>
  <c r="I118" i="60"/>
  <c r="AC206" i="59"/>
  <c r="AM206" i="59" s="1"/>
  <c r="J107" i="59"/>
  <c r="F107" i="59" s="1"/>
  <c r="AG206" i="59"/>
  <c r="M109" i="59"/>
  <c r="G51" i="59" s="1"/>
  <c r="N174" i="61"/>
  <c r="K156" i="59"/>
  <c r="O116" i="59"/>
  <c r="I115" i="59"/>
  <c r="N149" i="59"/>
  <c r="K34" i="60"/>
  <c r="AK188" i="59"/>
  <c r="AJ191" i="59"/>
  <c r="W26" i="61"/>
  <c r="X26" i="61" s="1"/>
  <c r="N151" i="59"/>
  <c r="M113" i="59"/>
  <c r="AM216" i="59"/>
  <c r="I129" i="60"/>
  <c r="AK198" i="59"/>
  <c r="W76" i="61"/>
  <c r="X76" i="61" s="1"/>
  <c r="H141" i="61"/>
  <c r="AI187" i="59"/>
  <c r="AK187" i="59"/>
  <c r="AJ190" i="59"/>
  <c r="J171" i="59"/>
  <c r="AG192" i="59"/>
  <c r="J93" i="59"/>
  <c r="F93" i="59" s="1"/>
  <c r="AC192" i="59"/>
  <c r="AM192" i="59" s="1"/>
  <c r="AJ189" i="59"/>
  <c r="AI186" i="59"/>
  <c r="AK186" i="59"/>
  <c r="A188" i="59"/>
  <c r="AF187" i="59"/>
  <c r="U109" i="59"/>
  <c r="U93" i="59"/>
  <c r="K93" i="59" s="1"/>
  <c r="AK222" i="59"/>
  <c r="O114" i="59"/>
  <c r="I51" i="59" s="1"/>
  <c r="M116" i="59"/>
  <c r="I136" i="60"/>
  <c r="I134" i="60"/>
  <c r="I135" i="60"/>
  <c r="I133" i="60"/>
  <c r="U108" i="59"/>
  <c r="K108" i="59" s="1"/>
  <c r="N20" i="59"/>
  <c r="E18" i="59"/>
  <c r="I71" i="61"/>
  <c r="J71" i="61"/>
  <c r="M111" i="59"/>
  <c r="N111" i="59"/>
  <c r="AK202" i="59"/>
  <c r="S228" i="58"/>
  <c r="M97" i="59"/>
  <c r="I94" i="59"/>
  <c r="N97" i="59"/>
  <c r="U115" i="59"/>
  <c r="K115" i="59" s="1"/>
  <c r="F108" i="58"/>
  <c r="AA59" i="58"/>
  <c r="AA94" i="58"/>
  <c r="F128" i="58"/>
  <c r="AA58" i="58"/>
  <c r="V214" i="58"/>
  <c r="X209" i="58"/>
  <c r="Y210" i="58"/>
  <c r="F66" i="58"/>
  <c r="Z25" i="51"/>
  <c r="S227" i="58"/>
  <c r="T223" i="58"/>
  <c r="AA95" i="58"/>
  <c r="X208" i="58"/>
  <c r="F80" i="58"/>
  <c r="W33" i="56"/>
  <c r="V23" i="51"/>
  <c r="V38" i="51"/>
  <c r="Q5" i="56"/>
  <c r="Q14" i="56"/>
  <c r="Q6" i="56"/>
  <c r="Q4" i="56"/>
  <c r="Q3" i="56"/>
  <c r="Q15" i="56"/>
  <c r="Q19" i="56"/>
  <c r="Q18" i="56"/>
  <c r="Q22" i="56"/>
  <c r="Q17" i="56"/>
  <c r="Q25" i="56"/>
  <c r="Q13" i="56"/>
  <c r="Q16" i="56"/>
  <c r="Q7" i="56"/>
  <c r="Q8" i="56"/>
  <c r="Q20" i="56"/>
  <c r="Q10" i="56"/>
  <c r="Q27" i="56"/>
  <c r="Q21" i="56"/>
  <c r="Q12" i="56"/>
  <c r="Q11" i="56"/>
  <c r="Q26" i="56"/>
  <c r="Q9" i="56"/>
  <c r="Q23" i="56"/>
  <c r="Q28" i="56"/>
  <c r="Q24" i="56"/>
  <c r="W42" i="56"/>
  <c r="W32" i="56"/>
  <c r="F87" i="58"/>
  <c r="F89" i="58"/>
  <c r="AA80" i="58"/>
  <c r="AA89" i="58"/>
  <c r="F65" i="58"/>
  <c r="W39" i="51"/>
  <c r="I7" i="51"/>
  <c r="J7" i="51" s="1"/>
  <c r="AD178" i="63" l="1"/>
  <c r="AL178" i="63" s="1"/>
  <c r="AH180" i="63"/>
  <c r="A181" i="63"/>
  <c r="AF180" i="63"/>
  <c r="AJ179" i="63"/>
  <c r="AK179" i="63" s="1"/>
  <c r="AE179" i="63" s="1"/>
  <c r="AI179" i="63"/>
  <c r="AB179" i="63" s="1"/>
  <c r="H187" i="63" s="1"/>
  <c r="I143" i="60"/>
  <c r="M2" i="59"/>
  <c r="J126" i="60"/>
  <c r="I119" i="60"/>
  <c r="AB186" i="59"/>
  <c r="K185" i="59" s="1"/>
  <c r="AB187" i="59"/>
  <c r="K186" i="59" s="1"/>
  <c r="F110" i="58"/>
  <c r="F109" i="58"/>
  <c r="AA110" i="58"/>
  <c r="AA25" i="51"/>
  <c r="K171" i="59"/>
  <c r="W83" i="61"/>
  <c r="X83" i="61" s="1"/>
  <c r="W78" i="61"/>
  <c r="X78" i="61" s="1"/>
  <c r="I130" i="60"/>
  <c r="J138" i="60"/>
  <c r="I131" i="60"/>
  <c r="W146" i="61"/>
  <c r="X146" i="61" s="1"/>
  <c r="AG194" i="59"/>
  <c r="AC194" i="59"/>
  <c r="AM194" i="59" s="1"/>
  <c r="J95" i="59"/>
  <c r="F95" i="59" s="1"/>
  <c r="M167" i="59"/>
  <c r="AJ207" i="59"/>
  <c r="AK204" i="59"/>
  <c r="L32" i="60"/>
  <c r="K173" i="59"/>
  <c r="M166" i="59"/>
  <c r="U111" i="59"/>
  <c r="K111" i="59" s="1"/>
  <c r="AD177" i="59"/>
  <c r="AL177" i="59" s="1"/>
  <c r="AE178" i="59"/>
  <c r="N157" i="59"/>
  <c r="I116" i="59"/>
  <c r="I132" i="60"/>
  <c r="N6" i="60" s="1"/>
  <c r="AK192" i="59"/>
  <c r="AJ195" i="59"/>
  <c r="L34" i="60"/>
  <c r="AK189" i="59"/>
  <c r="I141" i="60"/>
  <c r="K33" i="60"/>
  <c r="U118" i="59"/>
  <c r="K118" i="59" s="1"/>
  <c r="N150" i="59"/>
  <c r="AJ193" i="59"/>
  <c r="AK190" i="59"/>
  <c r="AC193" i="59"/>
  <c r="AM193" i="59" s="1"/>
  <c r="J94" i="59"/>
  <c r="F94" i="59" s="1"/>
  <c r="AG193" i="59"/>
  <c r="U97" i="59"/>
  <c r="K97" i="59" s="1"/>
  <c r="K109" i="59"/>
  <c r="A189" i="59"/>
  <c r="AF188" i="59"/>
  <c r="AH188" i="59"/>
  <c r="AI188" i="59" s="1"/>
  <c r="J96" i="59"/>
  <c r="F96" i="59" s="1"/>
  <c r="AG195" i="59"/>
  <c r="AC195" i="59"/>
  <c r="AM195" i="59" s="1"/>
  <c r="N165" i="59"/>
  <c r="C141" i="61"/>
  <c r="AG214" i="59"/>
  <c r="AC214" i="59"/>
  <c r="AM214" i="59" s="1"/>
  <c r="J115" i="59"/>
  <c r="F115" i="59" s="1"/>
  <c r="AC209" i="59"/>
  <c r="AM209" i="59" s="1"/>
  <c r="J110" i="59"/>
  <c r="F110" i="59" s="1"/>
  <c r="AG209" i="59"/>
  <c r="AC207" i="59"/>
  <c r="AM207" i="59" s="1"/>
  <c r="AG207" i="59"/>
  <c r="J108" i="59"/>
  <c r="F108" i="59" s="1"/>
  <c r="K8" i="59"/>
  <c r="AB25" i="59"/>
  <c r="AK205" i="59"/>
  <c r="AJ208" i="59"/>
  <c r="AJ194" i="59"/>
  <c r="AK191" i="59"/>
  <c r="N172" i="59"/>
  <c r="U113" i="59"/>
  <c r="K113" i="59" s="1"/>
  <c r="Y166" i="59"/>
  <c r="U116" i="59"/>
  <c r="K116" i="59" s="1"/>
  <c r="AJ209" i="59"/>
  <c r="AK206" i="59"/>
  <c r="AJ214" i="59"/>
  <c r="J121" i="60"/>
  <c r="AC208" i="59"/>
  <c r="AM208" i="59" s="1"/>
  <c r="AG208" i="59"/>
  <c r="J109" i="59"/>
  <c r="K172" i="59"/>
  <c r="A146" i="60"/>
  <c r="J145" i="60"/>
  <c r="L145" i="60"/>
  <c r="H145" i="60"/>
  <c r="I145" i="60"/>
  <c r="M145" i="60"/>
  <c r="K145" i="60"/>
  <c r="I97" i="59"/>
  <c r="M112" i="59"/>
  <c r="F81" i="58"/>
  <c r="F59" i="58"/>
  <c r="F60" i="58"/>
  <c r="Y209" i="58"/>
  <c r="S223" i="58"/>
  <c r="AB96" i="58"/>
  <c r="AB61" i="58"/>
  <c r="Y208" i="58"/>
  <c r="F86" i="58"/>
  <c r="Z42" i="56"/>
  <c r="Y42" i="56"/>
  <c r="V39" i="51"/>
  <c r="V37" i="51"/>
  <c r="Z26" i="51"/>
  <c r="AA26" i="51" s="1"/>
  <c r="Z33" i="56"/>
  <c r="Y33" i="56"/>
  <c r="Y32" i="56"/>
  <c r="X23" i="51"/>
  <c r="F51" i="58"/>
  <c r="F88" i="58"/>
  <c r="AA61" i="58"/>
  <c r="F61" i="58"/>
  <c r="AD179" i="63" l="1"/>
  <c r="AL179" i="63" s="1"/>
  <c r="AH181" i="63"/>
  <c r="A182" i="63"/>
  <c r="AF181" i="63"/>
  <c r="AJ180" i="63"/>
  <c r="AK180" i="63" s="1"/>
  <c r="AE180" i="63" s="1"/>
  <c r="AI180" i="63"/>
  <c r="AB180" i="63" s="1"/>
  <c r="I185" i="63" s="1"/>
  <c r="J35" i="59"/>
  <c r="J125" i="60"/>
  <c r="N2" i="59"/>
  <c r="AK207" i="59"/>
  <c r="I45" i="60"/>
  <c r="O149" i="59"/>
  <c r="O165" i="59" s="1"/>
  <c r="AK214" i="59"/>
  <c r="AJ215" i="59"/>
  <c r="AG210" i="59"/>
  <c r="J111" i="59"/>
  <c r="AC210" i="59"/>
  <c r="AM210" i="59" s="1"/>
  <c r="A190" i="59"/>
  <c r="AF189" i="59"/>
  <c r="AH189" i="59"/>
  <c r="AI189" i="59" s="1"/>
  <c r="AB189" i="59" s="1"/>
  <c r="L185" i="59" s="1"/>
  <c r="AJ196" i="59"/>
  <c r="AK193" i="59"/>
  <c r="I112" i="59"/>
  <c r="V223" i="58"/>
  <c r="I120" i="59"/>
  <c r="I113" i="59"/>
  <c r="O151" i="59"/>
  <c r="N167" i="59"/>
  <c r="J98" i="59"/>
  <c r="F98" i="59" s="1"/>
  <c r="AG197" i="59"/>
  <c r="AC197" i="59"/>
  <c r="AM197" i="59" s="1"/>
  <c r="J122" i="60"/>
  <c r="N9" i="59"/>
  <c r="AC215" i="59"/>
  <c r="AM215" i="59" s="1"/>
  <c r="J116" i="59"/>
  <c r="F116" i="59" s="1"/>
  <c r="AG215" i="59"/>
  <c r="L33" i="60"/>
  <c r="N173" i="59"/>
  <c r="J36" i="59" s="1"/>
  <c r="L92" i="60"/>
  <c r="AK194" i="59"/>
  <c r="AJ197" i="59"/>
  <c r="J137" i="60"/>
  <c r="U119" i="59"/>
  <c r="K119" i="59" s="1"/>
  <c r="A147" i="60"/>
  <c r="L146" i="60"/>
  <c r="H146" i="60"/>
  <c r="K146" i="60"/>
  <c r="I146" i="60"/>
  <c r="M146" i="60"/>
  <c r="F109" i="59"/>
  <c r="AK208" i="59"/>
  <c r="AK209" i="59"/>
  <c r="AB188" i="59"/>
  <c r="K187" i="59" s="1"/>
  <c r="U120" i="59"/>
  <c r="K120" i="59" s="1"/>
  <c r="J146" i="60"/>
  <c r="N32" i="60"/>
  <c r="M120" i="59"/>
  <c r="J134" i="60"/>
  <c r="J133" i="60"/>
  <c r="U112" i="59"/>
  <c r="K112" i="59" s="1"/>
  <c r="I111" i="59"/>
  <c r="J45" i="60"/>
  <c r="AJ210" i="59"/>
  <c r="AK195" i="59"/>
  <c r="AC196" i="59"/>
  <c r="AM196" i="59" s="1"/>
  <c r="AG196" i="59"/>
  <c r="J97" i="59"/>
  <c r="F97" i="59" s="1"/>
  <c r="N166" i="59"/>
  <c r="AD178" i="59"/>
  <c r="AL178" i="59" s="1"/>
  <c r="AE179" i="59"/>
  <c r="L93" i="60"/>
  <c r="N120" i="59"/>
  <c r="S221" i="58"/>
  <c r="U223" i="58"/>
  <c r="Z27" i="51"/>
  <c r="AA27" i="51" s="1"/>
  <c r="W40" i="51" s="1"/>
  <c r="S222" i="58"/>
  <c r="Y23" i="51"/>
  <c r="Z32" i="56"/>
  <c r="X24" i="51"/>
  <c r="Y24" i="51" s="1"/>
  <c r="F79" i="58"/>
  <c r="F107" i="58"/>
  <c r="AA93" i="58"/>
  <c r="AD180" i="63" l="1"/>
  <c r="AL180" i="63" s="1"/>
  <c r="A183" i="63"/>
  <c r="AF182" i="63"/>
  <c r="AH182" i="63"/>
  <c r="AI181" i="63"/>
  <c r="AB181" i="63" s="1"/>
  <c r="I186" i="63" s="1"/>
  <c r="AJ181" i="63"/>
  <c r="AK181" i="63" s="1"/>
  <c r="AE181" i="63" s="1"/>
  <c r="J123" i="60"/>
  <c r="J128" i="60"/>
  <c r="J127" i="60"/>
  <c r="O2" i="59"/>
  <c r="AK215" i="59"/>
  <c r="P149" i="59"/>
  <c r="P165" i="59" s="1"/>
  <c r="J44" i="60"/>
  <c r="I44" i="60"/>
  <c r="AJ212" i="59"/>
  <c r="AK197" i="59"/>
  <c r="P151" i="59"/>
  <c r="A191" i="59"/>
  <c r="AF190" i="59"/>
  <c r="AH190" i="59"/>
  <c r="AI190" i="59" s="1"/>
  <c r="N33" i="60"/>
  <c r="O32" i="60"/>
  <c r="F111" i="59"/>
  <c r="AD179" i="59"/>
  <c r="AL179" i="59" s="1"/>
  <c r="AE180" i="59"/>
  <c r="AG211" i="59"/>
  <c r="J112" i="59"/>
  <c r="F112" i="59" s="1"/>
  <c r="AC211" i="59"/>
  <c r="AM211" i="59" s="1"/>
  <c r="I118" i="59"/>
  <c r="H9" i="61"/>
  <c r="A148" i="60"/>
  <c r="J147" i="60"/>
  <c r="L147" i="60"/>
  <c r="H147" i="60"/>
  <c r="M147" i="60"/>
  <c r="K147" i="60"/>
  <c r="I147" i="60"/>
  <c r="J34" i="59"/>
  <c r="V144" i="61"/>
  <c r="AC217" i="59"/>
  <c r="AM217" i="59" s="1"/>
  <c r="J118" i="59"/>
  <c r="AG217" i="59"/>
  <c r="AJ217" i="59"/>
  <c r="AK210" i="59"/>
  <c r="I125" i="59"/>
  <c r="L28" i="59" s="1"/>
  <c r="AK196" i="59"/>
  <c r="AJ211" i="59"/>
  <c r="J135" i="60"/>
  <c r="V27" i="61"/>
  <c r="V175" i="61"/>
  <c r="V72" i="61"/>
  <c r="V142" i="61"/>
  <c r="V51" i="61"/>
  <c r="L94" i="60"/>
  <c r="M42" i="60" s="1"/>
  <c r="J140" i="60"/>
  <c r="J139" i="60"/>
  <c r="AG212" i="59"/>
  <c r="AC212" i="59"/>
  <c r="AM212" i="59" s="1"/>
  <c r="O167" i="59"/>
  <c r="J113" i="59"/>
  <c r="F113" i="59" s="1"/>
  <c r="H11" i="61"/>
  <c r="O150" i="59"/>
  <c r="O166" i="59" s="1"/>
  <c r="U221" i="58"/>
  <c r="U222" i="58"/>
  <c r="AB32" i="56"/>
  <c r="AC32" i="56" s="1"/>
  <c r="W52" i="56"/>
  <c r="X52" i="56"/>
  <c r="W53" i="56"/>
  <c r="X53" i="56"/>
  <c r="V40" i="51"/>
  <c r="X25" i="51"/>
  <c r="Y25" i="51" s="1"/>
  <c r="F58" i="58"/>
  <c r="AF183" i="63" l="1"/>
  <c r="AH183" i="63"/>
  <c r="A184" i="63"/>
  <c r="AD181" i="63"/>
  <c r="AL181" i="63" s="1"/>
  <c r="AJ182" i="63"/>
  <c r="AK182" i="63" s="1"/>
  <c r="AE182" i="63" s="1"/>
  <c r="AI182" i="63"/>
  <c r="AB182" i="63" s="1"/>
  <c r="I187" i="63" s="1"/>
  <c r="J124" i="60"/>
  <c r="I119" i="59"/>
  <c r="Y161" i="59"/>
  <c r="F118" i="59"/>
  <c r="Y160" i="59"/>
  <c r="J47" i="60"/>
  <c r="I47" i="60"/>
  <c r="M95" i="60"/>
  <c r="L95" i="60"/>
  <c r="V177" i="61"/>
  <c r="V74" i="61"/>
  <c r="W144" i="61"/>
  <c r="X144" i="61" s="1"/>
  <c r="P167" i="59"/>
  <c r="AG219" i="59"/>
  <c r="J120" i="59"/>
  <c r="F120" i="59" s="1"/>
  <c r="AC219" i="59"/>
  <c r="AM219" i="59" s="1"/>
  <c r="AK212" i="59"/>
  <c r="AJ219" i="59"/>
  <c r="H72" i="61"/>
  <c r="W72" i="61" s="1"/>
  <c r="X72" i="61" s="1"/>
  <c r="AJ218" i="59"/>
  <c r="AK211" i="59"/>
  <c r="P150" i="59"/>
  <c r="P166" i="59" s="1"/>
  <c r="Y163" i="59"/>
  <c r="V53" i="61"/>
  <c r="H74" i="61"/>
  <c r="W74" i="61" s="1"/>
  <c r="J141" i="60"/>
  <c r="J136" i="60"/>
  <c r="H51" i="61"/>
  <c r="AC218" i="59"/>
  <c r="AM218" i="59" s="1"/>
  <c r="AG218" i="59"/>
  <c r="J119" i="59"/>
  <c r="AD180" i="59"/>
  <c r="AL180" i="59" s="1"/>
  <c r="AE181" i="59"/>
  <c r="AB190" i="59"/>
  <c r="L186" i="59" s="1"/>
  <c r="I124" i="59"/>
  <c r="J46" i="60"/>
  <c r="I46" i="60"/>
  <c r="Q124" i="59"/>
  <c r="P124" i="59"/>
  <c r="Y162" i="59"/>
  <c r="Y164" i="59"/>
  <c r="M124" i="59"/>
  <c r="W53" i="61"/>
  <c r="V29" i="61"/>
  <c r="P160" i="59"/>
  <c r="AK217" i="59"/>
  <c r="A149" i="60"/>
  <c r="L148" i="60"/>
  <c r="H148" i="60"/>
  <c r="J148" i="60"/>
  <c r="M148" i="60"/>
  <c r="K148" i="60"/>
  <c r="I148" i="60"/>
  <c r="G142" i="61"/>
  <c r="H175" i="61"/>
  <c r="O33" i="60"/>
  <c r="N34" i="60"/>
  <c r="O34" i="60" s="1"/>
  <c r="O124" i="59"/>
  <c r="H29" i="61"/>
  <c r="W29" i="61" s="1"/>
  <c r="H177" i="61"/>
  <c r="W177" i="61" s="1"/>
  <c r="P2" i="59"/>
  <c r="A192" i="59"/>
  <c r="AF191" i="59"/>
  <c r="AH191" i="59"/>
  <c r="AI191" i="59" s="1"/>
  <c r="AB191" i="59" s="1"/>
  <c r="L187" i="59" s="1"/>
  <c r="H10" i="61"/>
  <c r="L11" i="61"/>
  <c r="V143" i="61"/>
  <c r="N124" i="59"/>
  <c r="Y165" i="59"/>
  <c r="V221" i="58"/>
  <c r="V222" i="58"/>
  <c r="E140" i="58"/>
  <c r="AB33" i="56"/>
  <c r="AC33" i="56" s="1"/>
  <c r="X54" i="56"/>
  <c r="W54" i="56"/>
  <c r="Y226" i="58"/>
  <c r="W175" i="61" l="1"/>
  <c r="X175" i="61" s="1"/>
  <c r="A185" i="63"/>
  <c r="AH184" i="63"/>
  <c r="AF184" i="63"/>
  <c r="AJ183" i="63"/>
  <c r="AK183" i="63" s="1"/>
  <c r="AE183" i="63" s="1"/>
  <c r="AI183" i="63"/>
  <c r="AB183" i="63" s="1"/>
  <c r="J185" i="63" s="1"/>
  <c r="AD182" i="63"/>
  <c r="AL182" i="63" s="1"/>
  <c r="K11" i="61"/>
  <c r="F119" i="59"/>
  <c r="E147" i="58"/>
  <c r="J129" i="60"/>
  <c r="AA137" i="58"/>
  <c r="AA96" i="58"/>
  <c r="I11" i="61"/>
  <c r="AJ224" i="59"/>
  <c r="U124" i="59"/>
  <c r="K124" i="59" s="1"/>
  <c r="AJ223" i="59"/>
  <c r="U125" i="59"/>
  <c r="AB151" i="58"/>
  <c r="AB152" i="58"/>
  <c r="F96" i="58"/>
  <c r="AB149" i="58"/>
  <c r="G143" i="61"/>
  <c r="W143" i="61" s="1"/>
  <c r="X143" i="61" s="1"/>
  <c r="V52" i="61"/>
  <c r="H73" i="61"/>
  <c r="W73" i="61" s="1"/>
  <c r="A193" i="59"/>
  <c r="AH192" i="59"/>
  <c r="AI192" i="59" s="1"/>
  <c r="AB192" i="59" s="1"/>
  <c r="M185" i="59" s="1"/>
  <c r="AF192" i="59"/>
  <c r="N52" i="61"/>
  <c r="P175" i="61"/>
  <c r="H79" i="61"/>
  <c r="V81" i="61"/>
  <c r="AG224" i="59"/>
  <c r="P176" i="59"/>
  <c r="AC224" i="59"/>
  <c r="J125" i="59"/>
  <c r="AA136" i="58"/>
  <c r="H28" i="61"/>
  <c r="V73" i="61"/>
  <c r="V179" i="61"/>
  <c r="W27" i="61"/>
  <c r="X27" i="61" s="1"/>
  <c r="N32" i="61"/>
  <c r="W142" i="61"/>
  <c r="X142" i="61" s="1"/>
  <c r="H84" i="61"/>
  <c r="H78" i="61"/>
  <c r="X29" i="61"/>
  <c r="AK219" i="59"/>
  <c r="X177" i="61"/>
  <c r="V28" i="61"/>
  <c r="H52" i="61"/>
  <c r="W52" i="61" s="1"/>
  <c r="N33" i="61"/>
  <c r="A150" i="60"/>
  <c r="J149" i="60"/>
  <c r="L149" i="60"/>
  <c r="H149" i="60"/>
  <c r="I149" i="60"/>
  <c r="M149" i="60"/>
  <c r="K149" i="60"/>
  <c r="V75" i="61"/>
  <c r="AK218" i="59"/>
  <c r="W51" i="61"/>
  <c r="X51" i="61" s="1"/>
  <c r="J124" i="59"/>
  <c r="F124" i="59" s="1"/>
  <c r="AC223" i="59"/>
  <c r="AM223" i="59" s="1"/>
  <c r="AG223" i="59"/>
  <c r="P9" i="59"/>
  <c r="L19" i="59" s="1"/>
  <c r="K18" i="59" s="1"/>
  <c r="J37" i="59"/>
  <c r="P177" i="61"/>
  <c r="H176" i="61"/>
  <c r="W176" i="61" s="1"/>
  <c r="V176" i="61"/>
  <c r="N31" i="61"/>
  <c r="J11" i="61"/>
  <c r="P176" i="61"/>
  <c r="Y227" i="58"/>
  <c r="L42" i="60"/>
  <c r="P161" i="59"/>
  <c r="P159" i="59"/>
  <c r="AA5" i="59" s="1"/>
  <c r="AE182" i="59"/>
  <c r="AD181" i="59"/>
  <c r="AL181" i="59" s="1"/>
  <c r="N149" i="61"/>
  <c r="X53" i="61"/>
  <c r="N51" i="61"/>
  <c r="X74" i="61"/>
  <c r="P162" i="59"/>
  <c r="AA135" i="58"/>
  <c r="AB137" i="58"/>
  <c r="F144" i="58"/>
  <c r="AB138" i="58"/>
  <c r="F143" i="58"/>
  <c r="Y225" i="58"/>
  <c r="F95" i="58"/>
  <c r="E133" i="58"/>
  <c r="F94" i="58"/>
  <c r="AB42" i="56"/>
  <c r="AC42" i="56" s="1"/>
  <c r="N172" i="58"/>
  <c r="N156" i="58"/>
  <c r="N175" i="58"/>
  <c r="N166" i="58"/>
  <c r="N169" i="58"/>
  <c r="N165" i="58"/>
  <c r="N167" i="58"/>
  <c r="N171" i="58"/>
  <c r="N174" i="58"/>
  <c r="N173" i="58"/>
  <c r="N168" i="58"/>
  <c r="N170" i="58"/>
  <c r="W28" i="61" l="1"/>
  <c r="X28" i="61" s="1"/>
  <c r="I33" i="61"/>
  <c r="AD183" i="63"/>
  <c r="AL183" i="63" s="1"/>
  <c r="AI184" i="63"/>
  <c r="AB184" i="63" s="1"/>
  <c r="J186" i="63" s="1"/>
  <c r="AJ184" i="63"/>
  <c r="AK184" i="63" s="1"/>
  <c r="AE184" i="63" s="1"/>
  <c r="A186" i="63"/>
  <c r="AF185" i="63"/>
  <c r="AH185" i="63"/>
  <c r="K125" i="59"/>
  <c r="M28" i="59" s="1"/>
  <c r="O51" i="59"/>
  <c r="F125" i="59"/>
  <c r="L26" i="59"/>
  <c r="M26" i="59" s="1"/>
  <c r="M32" i="59"/>
  <c r="X73" i="61"/>
  <c r="F136" i="58"/>
  <c r="X176" i="61"/>
  <c r="I32" i="61"/>
  <c r="AE183" i="59"/>
  <c r="AD182" i="59"/>
  <c r="AL182" i="59" s="1"/>
  <c r="AK223" i="59"/>
  <c r="K131" i="61"/>
  <c r="H75" i="61"/>
  <c r="J46" i="61"/>
  <c r="A194" i="59"/>
  <c r="AF193" i="59"/>
  <c r="AH193" i="59"/>
  <c r="AI193" i="59" s="1"/>
  <c r="AB193" i="59" s="1"/>
  <c r="M186" i="59" s="1"/>
  <c r="X52" i="61"/>
  <c r="V47" i="61"/>
  <c r="AB11" i="59"/>
  <c r="AB8" i="59"/>
  <c r="AB15" i="59"/>
  <c r="AB9" i="59"/>
  <c r="AB12" i="59"/>
  <c r="AB14" i="59"/>
  <c r="AB26" i="59"/>
  <c r="AB10" i="59"/>
  <c r="W38" i="59"/>
  <c r="AB13" i="59"/>
  <c r="AB19" i="59"/>
  <c r="AB18" i="59"/>
  <c r="AB17" i="59"/>
  <c r="AB16" i="59"/>
  <c r="AB23" i="59"/>
  <c r="AB20" i="59"/>
  <c r="AB22" i="59"/>
  <c r="AB21" i="59"/>
  <c r="AB24" i="59"/>
  <c r="H129" i="61"/>
  <c r="V147" i="61"/>
  <c r="L131" i="61"/>
  <c r="P175" i="59"/>
  <c r="J41" i="59" s="1"/>
  <c r="A151" i="60"/>
  <c r="L150" i="60"/>
  <c r="H150" i="60"/>
  <c r="J150" i="60"/>
  <c r="K150" i="60"/>
  <c r="I150" i="60"/>
  <c r="N14" i="60" s="1"/>
  <c r="M150" i="60"/>
  <c r="N79" i="61"/>
  <c r="N81" i="61"/>
  <c r="AM224" i="59"/>
  <c r="H82" i="61"/>
  <c r="H130" i="61"/>
  <c r="H81" i="61"/>
  <c r="N177" i="61"/>
  <c r="N176" i="61"/>
  <c r="J42" i="59"/>
  <c r="F137" i="58"/>
  <c r="I74" i="61"/>
  <c r="N82" i="61"/>
  <c r="N78" i="61"/>
  <c r="N84" i="61"/>
  <c r="V149" i="61"/>
  <c r="H131" i="61"/>
  <c r="J43" i="59"/>
  <c r="AK224" i="59"/>
  <c r="G81" i="61"/>
  <c r="G82" i="61"/>
  <c r="V86" i="61"/>
  <c r="AB145" i="58"/>
  <c r="F142" i="58"/>
  <c r="AB144" i="58"/>
  <c r="J141" i="58" s="1"/>
  <c r="F141" i="58" s="1"/>
  <c r="X55" i="56"/>
  <c r="W55" i="56"/>
  <c r="Q170" i="58"/>
  <c r="O170" i="58"/>
  <c r="Q171" i="58"/>
  <c r="O171" i="58"/>
  <c r="O166" i="58"/>
  <c r="Q166" i="58"/>
  <c r="O168" i="58"/>
  <c r="Q168" i="58"/>
  <c r="O167" i="58"/>
  <c r="Q167" i="58"/>
  <c r="Q175" i="58"/>
  <c r="O175" i="58"/>
  <c r="Q173" i="58"/>
  <c r="O173" i="58"/>
  <c r="O165" i="58"/>
  <c r="Q165" i="58"/>
  <c r="Q156" i="58"/>
  <c r="O156" i="58"/>
  <c r="J15" i="58"/>
  <c r="F15" i="58" s="1"/>
  <c r="J29" i="58"/>
  <c r="F29" i="58" s="1"/>
  <c r="J22" i="58"/>
  <c r="F22" i="58" s="1"/>
  <c r="J43" i="58"/>
  <c r="F43" i="58" s="1"/>
  <c r="J36" i="58"/>
  <c r="F36" i="58" s="1"/>
  <c r="J113" i="58"/>
  <c r="F113" i="58" s="1"/>
  <c r="J120" i="58"/>
  <c r="F120" i="58" s="1"/>
  <c r="J99" i="58"/>
  <c r="F99" i="58" s="1"/>
  <c r="J64" i="58"/>
  <c r="F64" i="58" s="1"/>
  <c r="J71" i="58"/>
  <c r="F71" i="58" s="1"/>
  <c r="J127" i="58"/>
  <c r="F127" i="58" s="1"/>
  <c r="J50" i="58"/>
  <c r="F50" i="58" s="1"/>
  <c r="J85" i="58"/>
  <c r="F85" i="58" s="1"/>
  <c r="J106" i="58"/>
  <c r="F106" i="58" s="1"/>
  <c r="J78" i="58"/>
  <c r="F78" i="58" s="1"/>
  <c r="J57" i="58"/>
  <c r="F57" i="58" s="1"/>
  <c r="Q174" i="58"/>
  <c r="O174" i="58"/>
  <c r="Q169" i="58"/>
  <c r="O169" i="58"/>
  <c r="Q172" i="58"/>
  <c r="O172" i="58"/>
  <c r="F93" i="58"/>
  <c r="F135" i="58"/>
  <c r="J92" i="58"/>
  <c r="F92" i="58" s="1"/>
  <c r="AJ185" i="63" l="1"/>
  <c r="AK185" i="63" s="1"/>
  <c r="AE185" i="63" s="1"/>
  <c r="AI185" i="63"/>
  <c r="AB185" i="63" s="1"/>
  <c r="J187" i="63" s="1"/>
  <c r="A187" i="63"/>
  <c r="AF186" i="63"/>
  <c r="AH186" i="63"/>
  <c r="AI186" i="63" s="1"/>
  <c r="AB186" i="63" s="1"/>
  <c r="K185" i="63" s="1"/>
  <c r="AD184" i="63"/>
  <c r="AL184" i="63" s="1"/>
  <c r="I31" i="61"/>
  <c r="I38" i="61" s="1"/>
  <c r="J31" i="61" s="1"/>
  <c r="J134" i="58"/>
  <c r="F134" i="58" s="1"/>
  <c r="H178" i="59"/>
  <c r="AB164" i="59"/>
  <c r="X164" i="59"/>
  <c r="AB156" i="59"/>
  <c r="X156" i="59"/>
  <c r="AB162" i="59"/>
  <c r="X162" i="59"/>
  <c r="AB149" i="59"/>
  <c r="X149" i="59"/>
  <c r="AB161" i="59"/>
  <c r="X161" i="59"/>
  <c r="H142" i="61"/>
  <c r="O149" i="61"/>
  <c r="A195" i="59"/>
  <c r="AF194" i="59"/>
  <c r="AH194" i="59"/>
  <c r="AI194" i="59" s="1"/>
  <c r="AB194" i="59" s="1"/>
  <c r="M187" i="59" s="1"/>
  <c r="P178" i="61"/>
  <c r="H144" i="61"/>
  <c r="W149" i="61" s="1"/>
  <c r="X149" i="61" s="1"/>
  <c r="C144" i="61"/>
  <c r="J44" i="59"/>
  <c r="V148" i="61"/>
  <c r="X159" i="59"/>
  <c r="AB151" i="59"/>
  <c r="X151" i="59"/>
  <c r="AB154" i="59"/>
  <c r="X154" i="59"/>
  <c r="AB163" i="59"/>
  <c r="X163" i="59"/>
  <c r="AB152" i="59"/>
  <c r="X152" i="59"/>
  <c r="A152" i="60"/>
  <c r="J151" i="60"/>
  <c r="L151" i="60"/>
  <c r="H151" i="60"/>
  <c r="M151" i="60"/>
  <c r="K151" i="60"/>
  <c r="I151" i="60"/>
  <c r="V31" i="59"/>
  <c r="W75" i="61"/>
  <c r="X75" i="61" s="1"/>
  <c r="AD183" i="59"/>
  <c r="AL183" i="59" s="1"/>
  <c r="AE184" i="59"/>
  <c r="N175" i="61"/>
  <c r="W179" i="61"/>
  <c r="X179" i="61" s="1"/>
  <c r="H143" i="61"/>
  <c r="W148" i="61" s="1"/>
  <c r="AB160" i="59"/>
  <c r="X160" i="59"/>
  <c r="AB155" i="59"/>
  <c r="X155" i="59"/>
  <c r="X148" i="59"/>
  <c r="AB166" i="59"/>
  <c r="X166" i="59"/>
  <c r="AB165" i="59"/>
  <c r="X165" i="59"/>
  <c r="J74" i="61"/>
  <c r="W81" i="61"/>
  <c r="X81" i="61" s="1"/>
  <c r="AB153" i="59"/>
  <c r="X153" i="59"/>
  <c r="AB158" i="59"/>
  <c r="X158" i="59"/>
  <c r="AB157" i="59"/>
  <c r="X157" i="59"/>
  <c r="AB150" i="59"/>
  <c r="X150" i="59"/>
  <c r="C143" i="61"/>
  <c r="I131" i="61"/>
  <c r="J131" i="61"/>
  <c r="Q176" i="61"/>
  <c r="W47" i="61"/>
  <c r="X47" i="61" s="1"/>
  <c r="AB148" i="59"/>
  <c r="AA149" i="58"/>
  <c r="V158" i="58"/>
  <c r="V160" i="58"/>
  <c r="Y228" i="58"/>
  <c r="I149" i="61" l="1"/>
  <c r="AH187" i="63"/>
  <c r="AI187" i="63" s="1"/>
  <c r="AB187" i="63" s="1"/>
  <c r="K186" i="63" s="1"/>
  <c r="A188" i="63"/>
  <c r="AF187" i="63"/>
  <c r="AD185" i="63"/>
  <c r="AL185" i="63" s="1"/>
  <c r="AE186" i="63"/>
  <c r="J32" i="61"/>
  <c r="X148" i="61"/>
  <c r="J33" i="61"/>
  <c r="F149" i="58"/>
  <c r="AB159" i="59"/>
  <c r="Z35" i="59" s="1"/>
  <c r="A196" i="59"/>
  <c r="AF195" i="59"/>
  <c r="AH195" i="59"/>
  <c r="AI195" i="59" s="1"/>
  <c r="AB195" i="59" s="1"/>
  <c r="N185" i="59" s="1"/>
  <c r="C142" i="61"/>
  <c r="A153" i="60"/>
  <c r="L152" i="60"/>
  <c r="H152" i="60"/>
  <c r="J152" i="60"/>
  <c r="M152" i="60"/>
  <c r="K152" i="60"/>
  <c r="I152" i="60"/>
  <c r="W147" i="61"/>
  <c r="X147" i="61" s="1"/>
  <c r="F61" i="61"/>
  <c r="F60" i="61"/>
  <c r="K53" i="61"/>
  <c r="I59" i="61" s="1"/>
  <c r="Y169" i="59"/>
  <c r="J175" i="61"/>
  <c r="AE185" i="59"/>
  <c r="AD184" i="59"/>
  <c r="AL184" i="59" s="1"/>
  <c r="W86" i="61"/>
  <c r="X86" i="61" s="1"/>
  <c r="O84" i="61"/>
  <c r="O81" i="61"/>
  <c r="O78" i="61"/>
  <c r="O82" i="61"/>
  <c r="O79" i="61"/>
  <c r="Q175" i="61"/>
  <c r="F89" i="61"/>
  <c r="F90" i="61"/>
  <c r="I77" i="61"/>
  <c r="P180" i="61"/>
  <c r="L191" i="61" s="1"/>
  <c r="AA150" i="58"/>
  <c r="AB150" i="58"/>
  <c r="F151" i="58"/>
  <c r="AA151" i="58"/>
  <c r="W160" i="58"/>
  <c r="W158" i="58"/>
  <c r="W162" i="58"/>
  <c r="T164" i="58" s="1"/>
  <c r="AF188" i="63" l="1"/>
  <c r="A189" i="63"/>
  <c r="AH188" i="63"/>
  <c r="AI188" i="63" s="1"/>
  <c r="AB188" i="63" s="1"/>
  <c r="K187" i="63" s="1"/>
  <c r="AD186" i="63"/>
  <c r="AL186" i="63" s="1"/>
  <c r="AE187" i="63"/>
  <c r="L25" i="61"/>
  <c r="F40" i="61" s="1"/>
  <c r="X182" i="61"/>
  <c r="J77" i="61"/>
  <c r="L87" i="61" s="1"/>
  <c r="AE186" i="59"/>
  <c r="AD185" i="59"/>
  <c r="AL185" i="59" s="1"/>
  <c r="F184" i="61"/>
  <c r="J176" i="61"/>
  <c r="I55" i="61"/>
  <c r="J55" i="61"/>
  <c r="A154" i="60"/>
  <c r="J153" i="60"/>
  <c r="L153" i="60"/>
  <c r="H153" i="60"/>
  <c r="I153" i="60"/>
  <c r="M153" i="60"/>
  <c r="K153" i="60"/>
  <c r="Q178" i="61"/>
  <c r="C149" i="61"/>
  <c r="F148" i="61"/>
  <c r="F147" i="61"/>
  <c r="A197" i="59"/>
  <c r="AF196" i="59"/>
  <c r="AH196" i="59"/>
  <c r="AI196" i="59" s="1"/>
  <c r="AB196" i="59" s="1"/>
  <c r="N186" i="59" s="1"/>
  <c r="F150" i="58"/>
  <c r="AH189" i="63" l="1"/>
  <c r="AI189" i="63" s="1"/>
  <c r="AB189" i="63" s="1"/>
  <c r="L185" i="63" s="1"/>
  <c r="A190" i="63"/>
  <c r="AF189" i="63"/>
  <c r="AD187" i="63"/>
  <c r="AL187" i="63" s="1"/>
  <c r="AE188" i="63"/>
  <c r="X183" i="61"/>
  <c r="C70" i="61" s="1"/>
  <c r="L49" i="61"/>
  <c r="F62" i="61" s="1"/>
  <c r="C148" i="61"/>
  <c r="O147" i="61"/>
  <c r="P181" i="61"/>
  <c r="L192" i="61" s="1"/>
  <c r="K82" i="61"/>
  <c r="K79" i="61"/>
  <c r="K81" i="61"/>
  <c r="K84" i="61"/>
  <c r="L78" i="61"/>
  <c r="L82" i="61"/>
  <c r="L79" i="61"/>
  <c r="L81" i="61"/>
  <c r="K78" i="61"/>
  <c r="L84" i="61"/>
  <c r="A155" i="60"/>
  <c r="L154" i="60"/>
  <c r="H154" i="60"/>
  <c r="J154" i="60"/>
  <c r="K154" i="60"/>
  <c r="I154" i="60"/>
  <c r="M154" i="60"/>
  <c r="J177" i="61"/>
  <c r="L181" i="61" s="1"/>
  <c r="F183" i="61"/>
  <c r="A198" i="59"/>
  <c r="AF197" i="59"/>
  <c r="AH197" i="59"/>
  <c r="AI197" i="59" s="1"/>
  <c r="AB197" i="59" s="1"/>
  <c r="N187" i="59" s="1"/>
  <c r="C150" i="61"/>
  <c r="O148" i="61"/>
  <c r="N148" i="61"/>
  <c r="AD186" i="59"/>
  <c r="AL186" i="59" s="1"/>
  <c r="AE187" i="59"/>
  <c r="J148" i="58"/>
  <c r="F148" i="58" s="1"/>
  <c r="AH190" i="63" l="1"/>
  <c r="AI190" i="63" s="1"/>
  <c r="AB190" i="63" s="1"/>
  <c r="L186" i="63" s="1"/>
  <c r="A191" i="63"/>
  <c r="AF190" i="63"/>
  <c r="AE189" i="63"/>
  <c r="AD188" i="63"/>
  <c r="AL188" i="63" s="1"/>
  <c r="C49" i="61"/>
  <c r="I24" i="61"/>
  <c r="C172" i="61"/>
  <c r="I139" i="61"/>
  <c r="I23" i="31"/>
  <c r="I32" i="31" s="1"/>
  <c r="I33" i="31" s="1"/>
  <c r="A2" i="107" s="1"/>
  <c r="L70" i="61"/>
  <c r="L121" i="61" s="1"/>
  <c r="N147" i="61"/>
  <c r="AD187" i="59"/>
  <c r="AL187" i="59" s="1"/>
  <c r="AE188" i="59"/>
  <c r="A199" i="59"/>
  <c r="AF198" i="59"/>
  <c r="AH198" i="59"/>
  <c r="AI198" i="59" s="1"/>
  <c r="AB198" i="59" s="1"/>
  <c r="H191" i="59" s="1"/>
  <c r="A156" i="60"/>
  <c r="J155" i="60"/>
  <c r="L155" i="60"/>
  <c r="H155" i="60"/>
  <c r="M155" i="60"/>
  <c r="K155" i="60"/>
  <c r="I155" i="60"/>
  <c r="K174" i="61"/>
  <c r="K177" i="61"/>
  <c r="K175" i="61"/>
  <c r="K176" i="61"/>
  <c r="B1" i="105" l="1"/>
  <c r="A2" i="106"/>
  <c r="B1" i="94"/>
  <c r="A2" i="102"/>
  <c r="A2" i="98"/>
  <c r="A2" i="104"/>
  <c r="A2" i="101"/>
  <c r="E1" i="97"/>
  <c r="A1" i="96"/>
  <c r="A2" i="103"/>
  <c r="A3" i="95"/>
  <c r="A2" i="99"/>
  <c r="A2" i="100"/>
  <c r="A1" i="70"/>
  <c r="E2" i="63"/>
  <c r="C2" i="66"/>
  <c r="C2" i="65"/>
  <c r="B2" i="64"/>
  <c r="A1" i="69"/>
  <c r="AE190" i="63"/>
  <c r="AD189" i="63"/>
  <c r="AL189" i="63" s="1"/>
  <c r="A192" i="63"/>
  <c r="AF191" i="63"/>
  <c r="AH191" i="63"/>
  <c r="AI191" i="63" s="1"/>
  <c r="AB191" i="63" s="1"/>
  <c r="L187" i="63" s="1"/>
  <c r="F91" i="61"/>
  <c r="I147" i="61"/>
  <c r="A157" i="60"/>
  <c r="L156" i="60"/>
  <c r="H156" i="60"/>
  <c r="J156" i="60"/>
  <c r="M156" i="60"/>
  <c r="K156" i="60"/>
  <c r="I156" i="60"/>
  <c r="AD188" i="59"/>
  <c r="AL188" i="59" s="1"/>
  <c r="AE189" i="59"/>
  <c r="I148" i="61"/>
  <c r="A200" i="59"/>
  <c r="AF199" i="59"/>
  <c r="AH199" i="59"/>
  <c r="AI199" i="59" s="1"/>
  <c r="AB199" i="59" s="1"/>
  <c r="H192" i="59" s="1"/>
  <c r="N150" i="61"/>
  <c r="F134" i="61"/>
  <c r="F157" i="61"/>
  <c r="E2" i="59"/>
  <c r="F2" i="61"/>
  <c r="E2" i="60"/>
  <c r="B1" i="58"/>
  <c r="B2" i="48"/>
  <c r="D2" i="56"/>
  <c r="E2" i="51"/>
  <c r="L2" i="51" s="1"/>
  <c r="A193" i="63" l="1"/>
  <c r="AF192" i="63"/>
  <c r="AH192" i="63"/>
  <c r="AI192" i="63" s="1"/>
  <c r="AB192" i="63" s="1"/>
  <c r="M185" i="63" s="1"/>
  <c r="AE191" i="63"/>
  <c r="AD190" i="63"/>
  <c r="AL190" i="63" s="1"/>
  <c r="H153" i="61"/>
  <c r="K147" i="61" s="1"/>
  <c r="A201" i="59"/>
  <c r="AF200" i="59"/>
  <c r="AH200" i="59"/>
  <c r="AI200" i="59" s="1"/>
  <c r="AB200" i="59" s="1"/>
  <c r="H193" i="59" s="1"/>
  <c r="AD189" i="59"/>
  <c r="AL189" i="59" s="1"/>
  <c r="AE190" i="59"/>
  <c r="A158" i="60"/>
  <c r="J157" i="60"/>
  <c r="L157" i="60"/>
  <c r="H157" i="60"/>
  <c r="I157" i="60"/>
  <c r="M157" i="60"/>
  <c r="K157" i="60"/>
  <c r="AE192" i="63" l="1"/>
  <c r="AD191" i="63"/>
  <c r="AL191" i="63" s="1"/>
  <c r="AH193" i="63"/>
  <c r="AI193" i="63" s="1"/>
  <c r="AB193" i="63" s="1"/>
  <c r="M186" i="63" s="1"/>
  <c r="AF193" i="63"/>
  <c r="A194" i="63"/>
  <c r="J147" i="61"/>
  <c r="K149" i="61"/>
  <c r="J149" i="61"/>
  <c r="J148" i="61"/>
  <c r="K148" i="61"/>
  <c r="AE191" i="59"/>
  <c r="AD190" i="59"/>
  <c r="AL190" i="59" s="1"/>
  <c r="A202" i="59"/>
  <c r="AH201" i="59"/>
  <c r="AI201" i="59" s="1"/>
  <c r="AB201" i="59" s="1"/>
  <c r="I191" i="59" s="1"/>
  <c r="AF201" i="59"/>
  <c r="A159" i="60"/>
  <c r="L158" i="60"/>
  <c r="H158" i="60"/>
  <c r="J158" i="60"/>
  <c r="K158" i="60"/>
  <c r="I158" i="60"/>
  <c r="M158" i="60"/>
  <c r="A195" i="63" l="1"/>
  <c r="AF194" i="63"/>
  <c r="AH194" i="63"/>
  <c r="AI194" i="63" s="1"/>
  <c r="AB194" i="63" s="1"/>
  <c r="M187" i="63" s="1"/>
  <c r="AE193" i="63"/>
  <c r="AD192" i="63"/>
  <c r="AL192" i="63" s="1"/>
  <c r="L140" i="61"/>
  <c r="F155" i="61" s="1"/>
  <c r="A160" i="60"/>
  <c r="J159" i="60"/>
  <c r="L159" i="60"/>
  <c r="H159" i="60"/>
  <c r="M159" i="60"/>
  <c r="K159" i="60"/>
  <c r="I159" i="60"/>
  <c r="A203" i="59"/>
  <c r="AH202" i="59"/>
  <c r="AI202" i="59" s="1"/>
  <c r="AB202" i="59" s="1"/>
  <c r="I192" i="59" s="1"/>
  <c r="AF202" i="59"/>
  <c r="AE192" i="59"/>
  <c r="AD191" i="59"/>
  <c r="AL191" i="59" s="1"/>
  <c r="AE194" i="63" l="1"/>
  <c r="AD193" i="63"/>
  <c r="AL193" i="63" s="1"/>
  <c r="A196" i="63"/>
  <c r="AF195" i="63"/>
  <c r="AH195" i="63"/>
  <c r="AI195" i="63" s="1"/>
  <c r="AB195" i="63" s="1"/>
  <c r="N185" i="63" s="1"/>
  <c r="L172" i="61"/>
  <c r="L195" i="61" s="1"/>
  <c r="F198" i="61" s="1"/>
  <c r="A161" i="60"/>
  <c r="L160" i="60"/>
  <c r="H160" i="60"/>
  <c r="J160" i="60"/>
  <c r="M160" i="60"/>
  <c r="K160" i="60"/>
  <c r="I160" i="60"/>
  <c r="A204" i="59"/>
  <c r="AF203" i="59"/>
  <c r="AH203" i="59"/>
  <c r="AI203" i="59" s="1"/>
  <c r="AB203" i="59" s="1"/>
  <c r="I193" i="59" s="1"/>
  <c r="AD192" i="59"/>
  <c r="AL192" i="59" s="1"/>
  <c r="AE193" i="59"/>
  <c r="AH196" i="63" l="1"/>
  <c r="AI196" i="63" s="1"/>
  <c r="AB196" i="63" s="1"/>
  <c r="N186" i="63" s="1"/>
  <c r="A197" i="63"/>
  <c r="AF196" i="63"/>
  <c r="AE195" i="63"/>
  <c r="AD194" i="63"/>
  <c r="AL194" i="63" s="1"/>
  <c r="F185" i="61"/>
  <c r="A205" i="59"/>
  <c r="AF204" i="59"/>
  <c r="AH204" i="59"/>
  <c r="AI204" i="59" s="1"/>
  <c r="AB204" i="59" s="1"/>
  <c r="J191" i="59" s="1"/>
  <c r="AE194" i="59"/>
  <c r="AD193" i="59"/>
  <c r="AL193" i="59" s="1"/>
  <c r="A162" i="60"/>
  <c r="J161" i="60"/>
  <c r="L161" i="60"/>
  <c r="H161" i="60"/>
  <c r="I161" i="60"/>
  <c r="M161" i="60"/>
  <c r="K161" i="60"/>
  <c r="AE196" i="63" l="1"/>
  <c r="AD195" i="63"/>
  <c r="AL195" i="63" s="1"/>
  <c r="AF197" i="63"/>
  <c r="AH197" i="63"/>
  <c r="AI197" i="63" s="1"/>
  <c r="AB197" i="63" s="1"/>
  <c r="N187" i="63" s="1"/>
  <c r="A198" i="63"/>
  <c r="A163" i="60"/>
  <c r="L162" i="60"/>
  <c r="H162" i="60"/>
  <c r="J162" i="60"/>
  <c r="K162" i="60"/>
  <c r="I162" i="60"/>
  <c r="M162" i="60"/>
  <c r="AE195" i="59"/>
  <c r="AD194" i="59"/>
  <c r="AL194" i="59" s="1"/>
  <c r="A206" i="59"/>
  <c r="AF205" i="59"/>
  <c r="AH205" i="59"/>
  <c r="AI205" i="59" s="1"/>
  <c r="AB205" i="59" s="1"/>
  <c r="J192" i="59" s="1"/>
  <c r="A199" i="63" l="1"/>
  <c r="AF198" i="63"/>
  <c r="AH198" i="63"/>
  <c r="AI198" i="63" s="1"/>
  <c r="AB198" i="63" s="1"/>
  <c r="H191" i="63" s="1"/>
  <c r="AE197" i="63"/>
  <c r="AD196" i="63"/>
  <c r="AL196" i="63" s="1"/>
  <c r="A207" i="59"/>
  <c r="AF206" i="59"/>
  <c r="AH206" i="59"/>
  <c r="AI206" i="59" s="1"/>
  <c r="AB206" i="59" s="1"/>
  <c r="J193" i="59" s="1"/>
  <c r="A164" i="60"/>
  <c r="J163" i="60"/>
  <c r="L163" i="60"/>
  <c r="H163" i="60"/>
  <c r="M163" i="60"/>
  <c r="K163" i="60"/>
  <c r="I163" i="60"/>
  <c r="AD195" i="59"/>
  <c r="AL195" i="59" s="1"/>
  <c r="AE196" i="59"/>
  <c r="AE198" i="63" l="1"/>
  <c r="AD197" i="63"/>
  <c r="AL197" i="63" s="1"/>
  <c r="A200" i="63"/>
  <c r="AF199" i="63"/>
  <c r="AH199" i="63"/>
  <c r="AI199" i="63" s="1"/>
  <c r="AB199" i="63" s="1"/>
  <c r="H192" i="63" s="1"/>
  <c r="A165" i="60"/>
  <c r="L164" i="60"/>
  <c r="H164" i="60"/>
  <c r="J164" i="60"/>
  <c r="M164" i="60"/>
  <c r="K164" i="60"/>
  <c r="I164" i="60"/>
  <c r="AE197" i="59"/>
  <c r="AD196" i="59"/>
  <c r="AL196" i="59" s="1"/>
  <c r="A208" i="59"/>
  <c r="AF207" i="59"/>
  <c r="AH207" i="59"/>
  <c r="AI207" i="59" s="1"/>
  <c r="AB207" i="59" s="1"/>
  <c r="K191" i="59" s="1"/>
  <c r="A201" i="63" l="1"/>
  <c r="AH200" i="63"/>
  <c r="AI200" i="63" s="1"/>
  <c r="AB200" i="63" s="1"/>
  <c r="H193" i="63" s="1"/>
  <c r="AF200" i="63"/>
  <c r="AD198" i="63"/>
  <c r="AL198" i="63" s="1"/>
  <c r="AE199" i="63"/>
  <c r="A166" i="60"/>
  <c r="J165" i="60"/>
  <c r="L165" i="60"/>
  <c r="H165" i="60"/>
  <c r="I165" i="60"/>
  <c r="M165" i="60"/>
  <c r="K165" i="60"/>
  <c r="A209" i="59"/>
  <c r="AF208" i="59"/>
  <c r="AH208" i="59"/>
  <c r="AI208" i="59" s="1"/>
  <c r="AB208" i="59" s="1"/>
  <c r="K192" i="59" s="1"/>
  <c r="AD197" i="59"/>
  <c r="AL197" i="59" s="1"/>
  <c r="AE198" i="59"/>
  <c r="AE200" i="63" l="1"/>
  <c r="AD199" i="63"/>
  <c r="AL199" i="63" s="1"/>
  <c r="AF201" i="63"/>
  <c r="AH201" i="63"/>
  <c r="AI201" i="63" s="1"/>
  <c r="AB201" i="63" s="1"/>
  <c r="I191" i="63" s="1"/>
  <c r="A202" i="63"/>
  <c r="A167" i="60"/>
  <c r="L166" i="60"/>
  <c r="H166" i="60"/>
  <c r="J166" i="60"/>
  <c r="K166" i="60"/>
  <c r="I166" i="60"/>
  <c r="M166" i="60"/>
  <c r="AD198" i="59"/>
  <c r="AL198" i="59" s="1"/>
  <c r="AE199" i="59"/>
  <c r="A210" i="59"/>
  <c r="AF209" i="59"/>
  <c r="AH209" i="59"/>
  <c r="AI209" i="59" s="1"/>
  <c r="AB209" i="59" s="1"/>
  <c r="K193" i="59" s="1"/>
  <c r="AF202" i="63" l="1"/>
  <c r="AH202" i="63"/>
  <c r="AI202" i="63" s="1"/>
  <c r="AB202" i="63" s="1"/>
  <c r="I192" i="63" s="1"/>
  <c r="A203" i="63"/>
  <c r="AE201" i="63"/>
  <c r="AD200" i="63"/>
  <c r="AL200" i="63" s="1"/>
  <c r="A211" i="59"/>
  <c r="AF210" i="59"/>
  <c r="AH210" i="59"/>
  <c r="AI210" i="59" s="1"/>
  <c r="AB210" i="59" s="1"/>
  <c r="O185" i="59" s="1"/>
  <c r="AE200" i="59"/>
  <c r="AD199" i="59"/>
  <c r="AL199" i="59" s="1"/>
  <c r="J167" i="60"/>
  <c r="L167" i="60"/>
  <c r="H167" i="60"/>
  <c r="M167" i="60"/>
  <c r="K167" i="60"/>
  <c r="I167" i="60"/>
  <c r="AD201" i="63" l="1"/>
  <c r="AL201" i="63" s="1"/>
  <c r="AE202" i="63"/>
  <c r="AH203" i="63"/>
  <c r="AI203" i="63" s="1"/>
  <c r="AB203" i="63" s="1"/>
  <c r="I193" i="63" s="1"/>
  <c r="A204" i="63"/>
  <c r="AF203" i="63"/>
  <c r="AE201" i="59"/>
  <c r="AD200" i="59"/>
  <c r="AL200" i="59" s="1"/>
  <c r="A212" i="59"/>
  <c r="AF211" i="59"/>
  <c r="AH211" i="59"/>
  <c r="AI211" i="59" s="1"/>
  <c r="AB211" i="59" s="1"/>
  <c r="O186" i="59" s="1"/>
  <c r="AF204" i="63" l="1"/>
  <c r="AH204" i="63"/>
  <c r="AI204" i="63" s="1"/>
  <c r="AB204" i="63" s="1"/>
  <c r="J191" i="63" s="1"/>
  <c r="A205" i="63"/>
  <c r="AD202" i="63"/>
  <c r="AL202" i="63" s="1"/>
  <c r="AE203" i="63"/>
  <c r="A213" i="59"/>
  <c r="AF212" i="59"/>
  <c r="AH212" i="59"/>
  <c r="AI212" i="59" s="1"/>
  <c r="AB212" i="59" s="1"/>
  <c r="O187" i="59" s="1"/>
  <c r="AD201" i="59"/>
  <c r="AL201" i="59" s="1"/>
  <c r="AE202" i="59"/>
  <c r="AD203" i="63" l="1"/>
  <c r="AL203" i="63" s="1"/>
  <c r="AE204" i="63"/>
  <c r="AH205" i="63"/>
  <c r="AI205" i="63" s="1"/>
  <c r="AB205" i="63" s="1"/>
  <c r="J192" i="63" s="1"/>
  <c r="AF205" i="63"/>
  <c r="A206" i="63"/>
  <c r="AD202" i="59"/>
  <c r="AL202" i="59" s="1"/>
  <c r="AE203" i="59"/>
  <c r="A214" i="59"/>
  <c r="AH213" i="59"/>
  <c r="AF213" i="59"/>
  <c r="AD204" i="63" l="1"/>
  <c r="AL204" i="63" s="1"/>
  <c r="AE205" i="63"/>
  <c r="AF206" i="63"/>
  <c r="AH206" i="63"/>
  <c r="AI206" i="63" s="1"/>
  <c r="AB206" i="63" s="1"/>
  <c r="J193" i="63" s="1"/>
  <c r="A207" i="63"/>
  <c r="AD203" i="59"/>
  <c r="AL203" i="59" s="1"/>
  <c r="AE204" i="59"/>
  <c r="AJ213" i="59"/>
  <c r="AK213" i="59" s="1"/>
  <c r="AI213" i="59"/>
  <c r="AB213" i="59" s="1"/>
  <c r="N191" i="59" s="1"/>
  <c r="A215" i="59"/>
  <c r="AF214" i="59"/>
  <c r="AH214" i="59"/>
  <c r="AI214" i="59" s="1"/>
  <c r="AB214" i="59" s="1"/>
  <c r="N192" i="59" s="1"/>
  <c r="AD205" i="63" l="1"/>
  <c r="AL205" i="63" s="1"/>
  <c r="AE206" i="63"/>
  <c r="AH207" i="63"/>
  <c r="AI207" i="63" s="1"/>
  <c r="AB207" i="63" s="1"/>
  <c r="K191" i="63" s="1"/>
  <c r="AF207" i="63"/>
  <c r="A208" i="63"/>
  <c r="AE205" i="59"/>
  <c r="AD204" i="59"/>
  <c r="AL204" i="59" s="1"/>
  <c r="A216" i="59"/>
  <c r="AF215" i="59"/>
  <c r="AH215" i="59"/>
  <c r="AI215" i="59" s="1"/>
  <c r="AB215" i="59" s="1"/>
  <c r="N193" i="59" s="1"/>
  <c r="AD206" i="63" l="1"/>
  <c r="AL206" i="63" s="1"/>
  <c r="AE207" i="63"/>
  <c r="AF208" i="63"/>
  <c r="AH208" i="63"/>
  <c r="AI208" i="63" s="1"/>
  <c r="AB208" i="63" s="1"/>
  <c r="K192" i="63" s="1"/>
  <c r="A209" i="63"/>
  <c r="A217" i="59"/>
  <c r="AF216" i="59"/>
  <c r="AH216" i="59"/>
  <c r="AI216" i="59" s="1"/>
  <c r="AB216" i="59" s="1"/>
  <c r="P184" i="59" s="1"/>
  <c r="AE206" i="59"/>
  <c r="AD205" i="59"/>
  <c r="AL205" i="59" s="1"/>
  <c r="AD207" i="63" l="1"/>
  <c r="AL207" i="63" s="1"/>
  <c r="AE208" i="63"/>
  <c r="AH209" i="63"/>
  <c r="AI209" i="63" s="1"/>
  <c r="AB209" i="63" s="1"/>
  <c r="K193" i="63" s="1"/>
  <c r="A210" i="63"/>
  <c r="AF209" i="63"/>
  <c r="AD206" i="59"/>
  <c r="AL206" i="59" s="1"/>
  <c r="AE207" i="59"/>
  <c r="A218" i="59"/>
  <c r="AF217" i="59"/>
  <c r="AH217" i="59"/>
  <c r="AI217" i="59" s="1"/>
  <c r="AB217" i="59" s="1"/>
  <c r="P185" i="59" s="1"/>
  <c r="AF210" i="63" l="1"/>
  <c r="AH210" i="63"/>
  <c r="AI210" i="63" s="1"/>
  <c r="AB210" i="63" s="1"/>
  <c r="O185" i="63" s="1"/>
  <c r="A211" i="63"/>
  <c r="AE209" i="63"/>
  <c r="AD208" i="63"/>
  <c r="AL208" i="63" s="1"/>
  <c r="AE208" i="59"/>
  <c r="AD207" i="59"/>
  <c r="AL207" i="59" s="1"/>
  <c r="A219" i="59"/>
  <c r="AF218" i="59"/>
  <c r="AH218" i="59"/>
  <c r="AI218" i="59" s="1"/>
  <c r="AB218" i="59" s="1"/>
  <c r="P186" i="59" s="1"/>
  <c r="AD209" i="63" l="1"/>
  <c r="AL209" i="63" s="1"/>
  <c r="AE210" i="63"/>
  <c r="A212" i="63"/>
  <c r="AF211" i="63"/>
  <c r="AH211" i="63"/>
  <c r="AI211" i="63" s="1"/>
  <c r="AB211" i="63" s="1"/>
  <c r="O186" i="63" s="1"/>
  <c r="AD208" i="59"/>
  <c r="AL208" i="59" s="1"/>
  <c r="AE209" i="59"/>
  <c r="A220" i="59"/>
  <c r="AF219" i="59"/>
  <c r="AH219" i="59"/>
  <c r="AI219" i="59" s="1"/>
  <c r="AB219" i="59" s="1"/>
  <c r="P187" i="59" s="1"/>
  <c r="A213" i="63" l="1"/>
  <c r="AF212" i="63"/>
  <c r="AH212" i="63"/>
  <c r="AI212" i="63" s="1"/>
  <c r="AB212" i="63" s="1"/>
  <c r="O187" i="63" s="1"/>
  <c r="AE211" i="63"/>
  <c r="AD210" i="63"/>
  <c r="AL210" i="63" s="1"/>
  <c r="AE210" i="59"/>
  <c r="AD209" i="59"/>
  <c r="AL209" i="59" s="1"/>
  <c r="A221" i="59"/>
  <c r="AF220" i="59"/>
  <c r="AH220" i="59"/>
  <c r="AE212" i="63" l="1"/>
  <c r="AD211" i="63"/>
  <c r="AL211" i="63" s="1"/>
  <c r="A214" i="63"/>
  <c r="AF213" i="63"/>
  <c r="AH213" i="63"/>
  <c r="AD210" i="59"/>
  <c r="AL210" i="59" s="1"/>
  <c r="AE211" i="59"/>
  <c r="AJ220" i="59"/>
  <c r="AK220" i="59" s="1"/>
  <c r="AI220" i="59"/>
  <c r="AB220" i="59" s="1"/>
  <c r="P190" i="59" s="1"/>
  <c r="A222" i="59"/>
  <c r="AF221" i="59"/>
  <c r="AH221" i="59"/>
  <c r="A215" i="63" l="1"/>
  <c r="AH214" i="63"/>
  <c r="AI214" i="63" s="1"/>
  <c r="AB214" i="63" s="1"/>
  <c r="N192" i="63" s="1"/>
  <c r="AF214" i="63"/>
  <c r="AJ213" i="63"/>
  <c r="AK213" i="63" s="1"/>
  <c r="AI213" i="63"/>
  <c r="AD212" i="63"/>
  <c r="AL212" i="63" s="1"/>
  <c r="AE213" i="63"/>
  <c r="AJ221" i="59"/>
  <c r="AK221" i="59" s="1"/>
  <c r="AK225" i="59" s="1"/>
  <c r="AD4" i="59" s="1"/>
  <c r="AI221" i="59"/>
  <c r="AB221" i="59" s="1"/>
  <c r="P191" i="59" s="1"/>
  <c r="AD211" i="59"/>
  <c r="AL211" i="59" s="1"/>
  <c r="AE212" i="59"/>
  <c r="A223" i="59"/>
  <c r="AF222" i="59"/>
  <c r="AH222" i="59"/>
  <c r="AI222" i="59" s="1"/>
  <c r="AB222" i="59" s="1"/>
  <c r="P192" i="59" s="1"/>
  <c r="AE214" i="63" l="1"/>
  <c r="AD213" i="63"/>
  <c r="AL213" i="63" s="1"/>
  <c r="AB213" i="63"/>
  <c r="N191" i="63" s="1"/>
  <c r="AF215" i="63"/>
  <c r="AH215" i="63"/>
  <c r="AI215" i="63" s="1"/>
  <c r="AB215" i="63" s="1"/>
  <c r="N193" i="63" s="1"/>
  <c r="A216" i="63"/>
  <c r="A224" i="59"/>
  <c r="AF223" i="59"/>
  <c r="AH223" i="59"/>
  <c r="AI223" i="59" s="1"/>
  <c r="AB223" i="59" s="1"/>
  <c r="P195" i="59" s="1"/>
  <c r="AD212" i="59"/>
  <c r="AL212" i="59" s="1"/>
  <c r="AE213" i="59"/>
  <c r="AD214" i="63" l="1"/>
  <c r="AL214" i="63" s="1"/>
  <c r="AE215" i="63"/>
  <c r="AH216" i="63"/>
  <c r="AI216" i="63" s="1"/>
  <c r="AB216" i="63" s="1"/>
  <c r="P184" i="63" s="1"/>
  <c r="A217" i="63"/>
  <c r="AF216" i="63"/>
  <c r="AD213" i="59"/>
  <c r="AL213" i="59" s="1"/>
  <c r="AE214" i="59"/>
  <c r="A225" i="59"/>
  <c r="AF224" i="59"/>
  <c r="AH224" i="59"/>
  <c r="AI224" i="59" s="1"/>
  <c r="AF217" i="63" l="1"/>
  <c r="A218" i="63"/>
  <c r="AH217" i="63"/>
  <c r="AI217" i="63" s="1"/>
  <c r="AB217" i="63" s="1"/>
  <c r="P185" i="63" s="1"/>
  <c r="AD215" i="63"/>
  <c r="AL215" i="63" s="1"/>
  <c r="AE216" i="63"/>
  <c r="AI225" i="59"/>
  <c r="AB224" i="59"/>
  <c r="P196" i="59" s="1"/>
  <c r="AE215" i="59"/>
  <c r="AD214" i="59"/>
  <c r="AL214" i="59" s="1"/>
  <c r="AH218" i="63" l="1"/>
  <c r="AI218" i="63" s="1"/>
  <c r="AB218" i="63" s="1"/>
  <c r="P186" i="63" s="1"/>
  <c r="A219" i="63"/>
  <c r="AF218" i="63"/>
  <c r="AD216" i="63"/>
  <c r="AL216" i="63" s="1"/>
  <c r="AE217" i="63"/>
  <c r="AD215" i="59"/>
  <c r="AL215" i="59" s="1"/>
  <c r="AE216" i="59"/>
  <c r="AD217" i="63" l="1"/>
  <c r="AL217" i="63" s="1"/>
  <c r="AE218" i="63"/>
  <c r="AF219" i="63"/>
  <c r="AH219" i="63"/>
  <c r="AI219" i="63" s="1"/>
  <c r="AB219" i="63" s="1"/>
  <c r="P187" i="63" s="1"/>
  <c r="A220" i="63"/>
  <c r="AD216" i="59"/>
  <c r="AL216" i="59" s="1"/>
  <c r="AE217" i="59"/>
  <c r="AE219" i="63" l="1"/>
  <c r="AD218" i="63"/>
  <c r="AL218" i="63" s="1"/>
  <c r="AH220" i="63"/>
  <c r="A221" i="63"/>
  <c r="AF220" i="63"/>
  <c r="AE218" i="59"/>
  <c r="AD217" i="59"/>
  <c r="AL217" i="59" s="1"/>
  <c r="AF221" i="63" l="1"/>
  <c r="AH221" i="63"/>
  <c r="A222" i="63"/>
  <c r="AJ220" i="63"/>
  <c r="AK220" i="63" s="1"/>
  <c r="AI220" i="63"/>
  <c r="AB220" i="63" s="1"/>
  <c r="P190" i="63" s="1"/>
  <c r="AE220" i="63"/>
  <c r="AD219" i="63"/>
  <c r="AL219" i="63" s="1"/>
  <c r="AE219" i="59"/>
  <c r="AD218" i="59"/>
  <c r="AL218" i="59" s="1"/>
  <c r="AH222" i="63" l="1"/>
  <c r="AI222" i="63" s="1"/>
  <c r="AB222" i="63" s="1"/>
  <c r="P192" i="63" s="1"/>
  <c r="A223" i="63"/>
  <c r="AF222" i="63"/>
  <c r="AJ221" i="63"/>
  <c r="AK221" i="63" s="1"/>
  <c r="AK225" i="63" s="1"/>
  <c r="T4" i="63" s="1"/>
  <c r="AI221" i="63"/>
  <c r="AB221" i="63" s="1"/>
  <c r="P191" i="63" s="1"/>
  <c r="AD220" i="63"/>
  <c r="AL220" i="63" s="1"/>
  <c r="AD219" i="59"/>
  <c r="AL219" i="59" s="1"/>
  <c r="AE220" i="59"/>
  <c r="AE221" i="63" l="1"/>
  <c r="AE222" i="63" s="1"/>
  <c r="A224" i="63"/>
  <c r="AF223" i="63"/>
  <c r="AH223" i="63"/>
  <c r="AI223" i="63" s="1"/>
  <c r="AB223" i="63" s="1"/>
  <c r="P195" i="63" s="1"/>
  <c r="AD220" i="59"/>
  <c r="AL220" i="59" s="1"/>
  <c r="AE221" i="59"/>
  <c r="AD221" i="63" l="1"/>
  <c r="AL221" i="63" s="1"/>
  <c r="AH224" i="63"/>
  <c r="AI224" i="63" s="1"/>
  <c r="A225" i="63"/>
  <c r="AF224" i="63"/>
  <c r="AD222" i="63"/>
  <c r="AL222" i="63" s="1"/>
  <c r="AE223" i="63"/>
  <c r="AD221" i="59"/>
  <c r="AL221" i="59" s="1"/>
  <c r="AE222" i="59"/>
  <c r="AD223" i="63" l="1"/>
  <c r="AL223" i="63" s="1"/>
  <c r="AE224" i="63"/>
  <c r="AD224" i="63" s="1"/>
  <c r="AL224" i="63" s="1"/>
  <c r="AB224" i="63"/>
  <c r="P196" i="63" s="1"/>
  <c r="AI225" i="63"/>
  <c r="AD222" i="59"/>
  <c r="AL222" i="59" s="1"/>
  <c r="AE223" i="59"/>
  <c r="V22" i="63" l="1"/>
  <c r="V26" i="63"/>
  <c r="T46" i="63"/>
  <c r="T36" i="63"/>
  <c r="W16" i="63"/>
  <c r="U16" i="63" s="1"/>
  <c r="T10" i="63"/>
  <c r="V30" i="63"/>
  <c r="W42" i="63"/>
  <c r="U42" i="63" s="1"/>
  <c r="T38" i="63"/>
  <c r="T44" i="63"/>
  <c r="W26" i="63"/>
  <c r="U26" i="63" s="1"/>
  <c r="T26" i="63"/>
  <c r="W28" i="63"/>
  <c r="U28" i="63" s="1"/>
  <c r="T28" i="63"/>
  <c r="V8" i="63"/>
  <c r="T34" i="63"/>
  <c r="V12" i="63"/>
  <c r="T32" i="63"/>
  <c r="T20" i="63"/>
  <c r="W18" i="63"/>
  <c r="U18" i="63" s="1"/>
  <c r="W32" i="63"/>
  <c r="U32" i="63" s="1"/>
  <c r="T24" i="63"/>
  <c r="W38" i="63"/>
  <c r="U38" i="63" s="1"/>
  <c r="W34" i="63"/>
  <c r="U34" i="63" s="1"/>
  <c r="V40" i="63"/>
  <c r="W10" i="63"/>
  <c r="U10" i="63" s="1"/>
  <c r="W8" i="63"/>
  <c r="U8" i="63" s="1"/>
  <c r="W12" i="63"/>
  <c r="U12" i="63" s="1"/>
  <c r="W22" i="63"/>
  <c r="U22" i="63" s="1"/>
  <c r="W30" i="63"/>
  <c r="U30" i="63" s="1"/>
  <c r="T12" i="63"/>
  <c r="V16" i="63"/>
  <c r="V46" i="63"/>
  <c r="V20" i="63"/>
  <c r="T42" i="63"/>
  <c r="T16" i="63"/>
  <c r="V38" i="63"/>
  <c r="W36" i="63"/>
  <c r="U36" i="63" s="1"/>
  <c r="V42" i="63"/>
  <c r="T22" i="63"/>
  <c r="W40" i="63"/>
  <c r="U40" i="63" s="1"/>
  <c r="V14" i="63"/>
  <c r="V10" i="63"/>
  <c r="W44" i="63"/>
  <c r="U44" i="63" s="1"/>
  <c r="T30" i="63"/>
  <c r="T40" i="63"/>
  <c r="V32" i="63"/>
  <c r="V24" i="63"/>
  <c r="V28" i="63"/>
  <c r="W24" i="63"/>
  <c r="U24" i="63" s="1"/>
  <c r="T8" i="63"/>
  <c r="W20" i="63"/>
  <c r="U20" i="63" s="1"/>
  <c r="V44" i="63"/>
  <c r="V34" i="63"/>
  <c r="T14" i="63"/>
  <c r="V18" i="63"/>
  <c r="W14" i="63"/>
  <c r="U14" i="63" s="1"/>
  <c r="W46" i="63"/>
  <c r="U46" i="63" s="1"/>
  <c r="T18" i="63"/>
  <c r="V36" i="63"/>
  <c r="AE224" i="59"/>
  <c r="AD224" i="59" s="1"/>
  <c r="AL224" i="59" s="1"/>
  <c r="AD223" i="59"/>
  <c r="AL223" i="59" s="1"/>
  <c r="AF38" i="59" l="1"/>
  <c r="AD16" i="59"/>
  <c r="AF28" i="59"/>
  <c r="AG20" i="59"/>
  <c r="AE20" i="59" s="1"/>
  <c r="AD32" i="59"/>
  <c r="AG34" i="59"/>
  <c r="AE34" i="59" s="1"/>
  <c r="AD18" i="59"/>
  <c r="AG36" i="59"/>
  <c r="AE36" i="59" s="1"/>
  <c r="AD28" i="59"/>
  <c r="AG14" i="59"/>
  <c r="AE14" i="59" s="1"/>
  <c r="AG44" i="59"/>
  <c r="AE44" i="59" s="1"/>
  <c r="AF30" i="59"/>
  <c r="AD10" i="59"/>
  <c r="AD26" i="59"/>
  <c r="AF40" i="59"/>
  <c r="AG12" i="59"/>
  <c r="AE12" i="59" s="1"/>
  <c r="AF34" i="59"/>
  <c r="AG40" i="59"/>
  <c r="AE40" i="59" s="1"/>
  <c r="AG38" i="59"/>
  <c r="AE38" i="59" s="1"/>
  <c r="AF18" i="59"/>
  <c r="AF42" i="59"/>
  <c r="AD8" i="59"/>
  <c r="AD20" i="59"/>
  <c r="AG8" i="59"/>
  <c r="AE8" i="59" s="1"/>
  <c r="AG22" i="59"/>
  <c r="AE22" i="59" s="1"/>
  <c r="AG10" i="59"/>
  <c r="AE10" i="59" s="1"/>
  <c r="AF10" i="59"/>
  <c r="AF44" i="59"/>
  <c r="AF22" i="59"/>
  <c r="AD38" i="59"/>
  <c r="AD34" i="59"/>
  <c r="AG26" i="59"/>
  <c r="AE26" i="59" s="1"/>
  <c r="AF24" i="59"/>
  <c r="AG24" i="59"/>
  <c r="AE24" i="59" s="1"/>
  <c r="AD42" i="59"/>
  <c r="AF32" i="59"/>
  <c r="AG46" i="59"/>
  <c r="AE46" i="59" s="1"/>
  <c r="AF36" i="59"/>
  <c r="AD44" i="59"/>
  <c r="AD22" i="59"/>
  <c r="AD46" i="59"/>
  <c r="AF46" i="59"/>
  <c r="AD14" i="59"/>
  <c r="AD36" i="59"/>
  <c r="AG28" i="59"/>
  <c r="AE28" i="59" s="1"/>
  <c r="AF16" i="59"/>
  <c r="AF12" i="59"/>
  <c r="AG30" i="59"/>
  <c r="AE30" i="59" s="1"/>
  <c r="AF14" i="59"/>
  <c r="AF26" i="59"/>
  <c r="AG42" i="59"/>
  <c r="AE42" i="59" s="1"/>
  <c r="AD24" i="59"/>
  <c r="AD30" i="59"/>
  <c r="AG32" i="59"/>
  <c r="AE32" i="59" s="1"/>
  <c r="AD12" i="59"/>
  <c r="AG16" i="59"/>
  <c r="AE16" i="59" s="1"/>
  <c r="AF8" i="59"/>
  <c r="AG18" i="59"/>
  <c r="AE18" i="59" s="1"/>
  <c r="AD40" i="59"/>
  <c r="AF20"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 Javier Santibañez Gruber</author>
  </authors>
  <commentList>
    <comment ref="A1" authorId="0" shapeId="0" xr:uid="{E3196EEB-5DFA-4683-86CE-832F45B36113}">
      <text>
        <r>
          <rPr>
            <b/>
            <sz val="10"/>
            <color indexed="81"/>
            <rFont val="Tahoma"/>
            <family val="2"/>
          </rPr>
          <t xml:space="preserve">    1 - Consultas
    2 - Presentación general
    3 - Originalidad y conexión con la realidad de los casos planteados y herramientas utilizadas
    4 - Elementos generales de la interfaz entre usuario y aplicación
    5 - Otros aspectos relacionados con la información de partida y algunas simplificaciones</t>
        </r>
      </text>
    </comment>
    <comment ref="B1" authorId="0" shapeId="0" xr:uid="{57618D70-F40C-4294-B414-EB2380A0F149}">
      <text>
        <r>
          <rPr>
            <b/>
            <sz val="10"/>
            <color indexed="81"/>
            <rFont val="Tahoma"/>
            <family val="2"/>
          </rPr>
          <t xml:space="preserve">      6 - Instrucciones de uso
      7 - Rutinas perfil fondos
      8 - Rutinas coste fondos
      9 - Enunciado (sin infla)
    10 - Autoeval-sol básico (sin infla)
    11 - Autoeval-sol avanza (sin infla)
    12 - Solución correcta (sin infla)
    13 - Sensitividad (sin infla)
    14 - Preguntas cortas (sin infla)
    15 - Test (sin infla)
    16 - Discusión criterios
    17 - Conceptos generales inflación
    18 - Ej sencillo inflación en AM
    19 - Ej sencillo inflación en FM
    20 - Efectos de la inflación
    21 - Enunciado (con infla) básico
    22 - Autoeval-sol (con infla) básico
    23 - Solución (con infla) básico
    24 - Enunciado DISVISA
    25 - Planteamiento general DISVISA
    26 - Reflexión general DISVISA
    27 - Autoeval-sol DISVISA
    28 - Solución correcta DISVISA
    29 - Autoeval-sol alternat DISVISA
    30 - Solución alternativa DISVISA
    31 - Inflac vs No inflación DISVISA
    32 - Incrementalidad Autoeval-sol
    33 - Incrementalidad Solución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L4" authorId="0" shapeId="0" xr:uid="{873434F3-BA32-4B23-9AEE-423523A9846D}">
      <text>
        <r>
          <rPr>
            <b/>
            <sz val="9"/>
            <color indexed="81"/>
            <rFont val="Tahoma"/>
            <family val="2"/>
          </rPr>
          <t>Incremento anual de ventas que aporta el proyecto</t>
        </r>
      </text>
    </comment>
    <comment ref="M4" authorId="0" shapeId="0" xr:uid="{E3CE4833-2824-4AA5-A23F-325D2EB1DA68}">
      <text>
        <r>
          <rPr>
            <b/>
            <sz val="9"/>
            <color indexed="81"/>
            <rFont val="Tahoma"/>
            <family val="2"/>
          </rPr>
          <t>Incremento anual de costes operativos con desembolso que aporta el proyecto</t>
        </r>
      </text>
    </comment>
    <comment ref="N4" authorId="0" shapeId="0" xr:uid="{3EC291EC-AD1F-4FE0-AC5A-65EA315E19E4}">
      <text>
        <r>
          <rPr>
            <b/>
            <sz val="9"/>
            <color indexed="81"/>
            <rFont val="Tahoma"/>
            <family val="2"/>
          </rPr>
          <t>EBITDA incremental (diferencia entre ventas y costes operativos con desembolso) que aporta el proyecto</t>
        </r>
      </text>
    </comment>
    <comment ref="O4" authorId="0" shapeId="0" xr:uid="{7042879F-B957-4C58-B9AA-428CCCE9511F}">
      <text>
        <r>
          <rPr>
            <b/>
            <sz val="9"/>
            <color indexed="81"/>
            <rFont val="Tahoma"/>
            <family val="2"/>
          </rPr>
          <t>Incremento anual de las amortizaciones de inmovilizados que aporta el proyecto</t>
        </r>
      </text>
    </comment>
    <comment ref="P4" authorId="0" shapeId="0" xr:uid="{D62A2AA2-5E53-40B8-B3C0-C53570DAE594}">
      <text>
        <r>
          <rPr>
            <b/>
            <sz val="9"/>
            <color indexed="81"/>
            <rFont val="Tahoma"/>
            <family val="2"/>
          </rPr>
          <t>Incremento anual de beneficio antes de intereses e impuestos</t>
        </r>
      </text>
    </comment>
    <comment ref="Q4" authorId="0" shapeId="0" xr:uid="{841D4922-9E57-487E-A430-AB2FAB982A57}">
      <text>
        <r>
          <rPr>
            <b/>
            <sz val="9"/>
            <color indexed="81"/>
            <rFont val="Tahoma"/>
            <family val="2"/>
          </rPr>
          <t>Incremento anual de impuestos (Impuesto de sociedades)</t>
        </r>
      </text>
    </comment>
    <comment ref="R4" authorId="0" shapeId="0" xr:uid="{9A1D3829-FA5C-4D33-B0A7-A2F61D57CFBE}">
      <text>
        <r>
          <rPr>
            <b/>
            <sz val="9"/>
            <color indexed="81"/>
            <rFont val="Tahoma"/>
            <family val="2"/>
          </rPr>
          <t>Incremento anual de beneficio antes de intereses y después de impuestos</t>
        </r>
      </text>
    </comment>
    <comment ref="S4" authorId="0" shapeId="0" xr:uid="{DDB095C7-6F83-460F-9E3F-B44A715A3600}">
      <text>
        <r>
          <rPr>
            <b/>
            <sz val="9"/>
            <color indexed="81"/>
            <rFont val="Tahoma"/>
            <family val="2"/>
          </rPr>
          <t>Incremento de caja anual generado por el proyecto, antes de considerar las inversiones en fondo de maniobra</t>
        </r>
      </text>
    </comment>
    <comment ref="T4" authorId="0" shapeId="0" xr:uid="{01577824-DCA6-4873-8D93-2595743DC74A}">
      <text>
        <r>
          <rPr>
            <b/>
            <sz val="9"/>
            <color indexed="81"/>
            <rFont val="Tahoma"/>
            <family val="2"/>
          </rPr>
          <t>Saldo anual de fondo de maniobra generado por el proyecto</t>
        </r>
      </text>
    </comment>
    <comment ref="U4" authorId="0" shapeId="0" xr:uid="{9AB16435-DC47-49D9-ADED-2DCE15CBB81D}">
      <text>
        <r>
          <rPr>
            <b/>
            <sz val="9"/>
            <color indexed="81"/>
            <rFont val="Tahoma"/>
            <family val="2"/>
          </rPr>
          <t>Inversión anual en fondo de maniobra exigida por el proyecto</t>
        </r>
      </text>
    </comment>
    <comment ref="V4" authorId="0" shapeId="0" xr:uid="{25A81F71-365D-4276-82FF-84323D1C5176}">
      <text>
        <r>
          <rPr>
            <b/>
            <sz val="9"/>
            <color indexed="81"/>
            <rFont val="Tahoma"/>
            <family val="2"/>
          </rPr>
          <t>Flujo de caja operativo anual incremental que aporta el proyecto (es decir, sin considerar el desembolso inicial ni el valor residual)</t>
        </r>
      </text>
    </comment>
    <comment ref="W4" authorId="0" shapeId="0" xr:uid="{570296CE-D7AC-422B-9B55-5DDF7139AF0B}">
      <text>
        <r>
          <rPr>
            <b/>
            <sz val="9"/>
            <color indexed="81"/>
            <rFont val="Tahoma"/>
            <family val="2"/>
          </rPr>
          <t>Impacto anual en caja del proyecto: Generaciones de fondos anuales que incluyen el desembolso inicial y el valor residual (moneda corriente)</t>
        </r>
      </text>
    </comment>
    <comment ref="Y4" authorId="0" shapeId="0" xr:uid="{9DE7BD26-C8B6-4DED-9E42-7764926FBD1A}">
      <text>
        <r>
          <rPr>
            <b/>
            <sz val="9"/>
            <color indexed="81"/>
            <rFont val="Tahoma"/>
            <family val="2"/>
          </rPr>
          <t>Impacto anual en caja del proyecto: Generaciones de fondos anuales que incluyen el desembolso inicial y el valor residual (moneda constante)</t>
        </r>
      </text>
    </comment>
    <comment ref="W5" authorId="1" shapeId="0" xr:uid="{69847BE6-14E3-4B4E-BE10-3D0E7735CD6F}">
      <text>
        <r>
          <rPr>
            <b/>
            <sz val="9"/>
            <color indexed="81"/>
            <rFont val="Tahoma"/>
            <family val="2"/>
          </rPr>
          <t>056</t>
        </r>
      </text>
    </comment>
    <comment ref="Y5" authorId="1" shapeId="0" xr:uid="{EE624CAC-7E81-443A-B693-8B2ABD0367A5}">
      <text>
        <r>
          <rPr>
            <b/>
            <sz val="9"/>
            <color indexed="81"/>
            <rFont val="Tahoma"/>
            <family val="2"/>
          </rPr>
          <t>068</t>
        </r>
      </text>
    </comment>
    <comment ref="L6" authorId="1" shapeId="0" xr:uid="{4CC88EE5-C254-4B72-982F-D2A88C1BD888}">
      <text>
        <r>
          <rPr>
            <b/>
            <sz val="9"/>
            <color indexed="81"/>
            <rFont val="Tahoma"/>
            <family val="2"/>
          </rPr>
          <t>001</t>
        </r>
      </text>
    </comment>
    <comment ref="M6" authorId="1" shapeId="0" xr:uid="{9DA670A6-5E3D-4B88-B639-8388191B2DAB}">
      <text>
        <r>
          <rPr>
            <b/>
            <sz val="9"/>
            <color indexed="81"/>
            <rFont val="Tahoma"/>
            <family val="2"/>
          </rPr>
          <t>006</t>
        </r>
      </text>
    </comment>
    <comment ref="N6" authorId="1" shapeId="0" xr:uid="{F2B86005-B865-47C9-B9BF-8FDA8CD642E9}">
      <text>
        <r>
          <rPr>
            <b/>
            <sz val="9"/>
            <color indexed="81"/>
            <rFont val="Tahoma"/>
            <family val="2"/>
          </rPr>
          <t>011</t>
        </r>
      </text>
    </comment>
    <comment ref="O6" authorId="1" shapeId="0" xr:uid="{28B5357D-557B-44E4-AE5C-22ABA42DC16C}">
      <text>
        <r>
          <rPr>
            <b/>
            <sz val="9"/>
            <color indexed="81"/>
            <rFont val="Tahoma"/>
            <family val="2"/>
          </rPr>
          <t>016</t>
        </r>
      </text>
    </comment>
    <comment ref="P6" authorId="1" shapeId="0" xr:uid="{FCC4A99B-0CCE-403F-B5D7-1573E9868ED2}">
      <text>
        <r>
          <rPr>
            <b/>
            <sz val="9"/>
            <color indexed="81"/>
            <rFont val="Tahoma"/>
            <family val="2"/>
          </rPr>
          <t>021</t>
        </r>
      </text>
    </comment>
    <comment ref="Q6" authorId="1" shapeId="0" xr:uid="{E4E1FB28-7AC0-46F9-9B9B-39481D9D485A}">
      <text>
        <r>
          <rPr>
            <b/>
            <sz val="9"/>
            <color indexed="81"/>
            <rFont val="Tahoma"/>
            <family val="2"/>
          </rPr>
          <t>026</t>
        </r>
      </text>
    </comment>
    <comment ref="R6" authorId="1" shapeId="0" xr:uid="{3D1649F9-6DBE-45B3-8801-9803EF5ABE61}">
      <text>
        <r>
          <rPr>
            <b/>
            <sz val="9"/>
            <color indexed="81"/>
            <rFont val="Tahoma"/>
            <family val="2"/>
          </rPr>
          <t>031</t>
        </r>
      </text>
    </comment>
    <comment ref="S6" authorId="1" shapeId="0" xr:uid="{F76BBD37-A47D-4E9F-9606-9121ADE130E3}">
      <text>
        <r>
          <rPr>
            <b/>
            <sz val="9"/>
            <color indexed="81"/>
            <rFont val="Tahoma"/>
            <family val="2"/>
          </rPr>
          <t>036</t>
        </r>
      </text>
    </comment>
    <comment ref="T6" authorId="1" shapeId="0" xr:uid="{370ABE80-5434-4387-9443-609A3FE078F3}">
      <text>
        <r>
          <rPr>
            <b/>
            <sz val="9"/>
            <color indexed="81"/>
            <rFont val="Tahoma"/>
            <family val="2"/>
          </rPr>
          <t>041</t>
        </r>
      </text>
    </comment>
    <comment ref="U6" authorId="1" shapeId="0" xr:uid="{BC6AE64C-6591-44F8-81C4-8009A370C251}">
      <text>
        <r>
          <rPr>
            <b/>
            <sz val="9"/>
            <color indexed="81"/>
            <rFont val="Tahoma"/>
            <family val="2"/>
          </rPr>
          <t>046</t>
        </r>
      </text>
    </comment>
    <comment ref="V6" authorId="1" shapeId="0" xr:uid="{F1A4996B-51D7-4DC6-9ABE-8F2795F686F2}">
      <text>
        <r>
          <rPr>
            <b/>
            <sz val="9"/>
            <color indexed="81"/>
            <rFont val="Tahoma"/>
            <family val="2"/>
          </rPr>
          <t>051</t>
        </r>
      </text>
    </comment>
    <comment ref="W6" authorId="1" shapeId="0" xr:uid="{BE512674-AB0E-4E44-94FE-E7BFA5F0D8AD}">
      <text>
        <r>
          <rPr>
            <b/>
            <sz val="9"/>
            <color indexed="81"/>
            <rFont val="Tahoma"/>
            <family val="2"/>
          </rPr>
          <t>057</t>
        </r>
      </text>
    </comment>
    <comment ref="Y6" authorId="1" shapeId="0" xr:uid="{B2168E4A-2D4C-4E14-87C6-F6FE267CE868}">
      <text>
        <r>
          <rPr>
            <b/>
            <sz val="9"/>
            <color indexed="81"/>
            <rFont val="Tahoma"/>
            <family val="2"/>
          </rPr>
          <t>069</t>
        </r>
      </text>
    </comment>
    <comment ref="L7" authorId="1" shapeId="0" xr:uid="{D9E780A7-C121-4A61-A9CB-23F6A71FC927}">
      <text>
        <r>
          <rPr>
            <b/>
            <sz val="9"/>
            <color indexed="81"/>
            <rFont val="Tahoma"/>
            <family val="2"/>
          </rPr>
          <t>002</t>
        </r>
      </text>
    </comment>
    <comment ref="M7" authorId="1" shapeId="0" xr:uid="{0C295DE5-4EB0-4A7B-84D3-44A82315C5AC}">
      <text>
        <r>
          <rPr>
            <b/>
            <sz val="9"/>
            <color indexed="81"/>
            <rFont val="Tahoma"/>
            <family val="2"/>
          </rPr>
          <t>007</t>
        </r>
      </text>
    </comment>
    <comment ref="N7" authorId="1" shapeId="0" xr:uid="{FA194B4C-3D3A-41DC-A5EB-A0F5304CB231}">
      <text>
        <r>
          <rPr>
            <b/>
            <sz val="9"/>
            <color indexed="81"/>
            <rFont val="Tahoma"/>
            <family val="2"/>
          </rPr>
          <t>012</t>
        </r>
      </text>
    </comment>
    <comment ref="O7" authorId="1" shapeId="0" xr:uid="{C7E5BC27-CE1D-411E-8E2B-BB79989B190F}">
      <text>
        <r>
          <rPr>
            <b/>
            <sz val="9"/>
            <color indexed="81"/>
            <rFont val="Tahoma"/>
            <family val="2"/>
          </rPr>
          <t>017</t>
        </r>
      </text>
    </comment>
    <comment ref="P7" authorId="1" shapeId="0" xr:uid="{2EE9E4C2-63B2-47DB-ACAE-0D021562B48B}">
      <text>
        <r>
          <rPr>
            <b/>
            <sz val="9"/>
            <color indexed="81"/>
            <rFont val="Tahoma"/>
            <family val="2"/>
          </rPr>
          <t>022</t>
        </r>
      </text>
    </comment>
    <comment ref="Q7" authorId="1" shapeId="0" xr:uid="{E8E72572-DF36-4F93-A1E2-C62C3F086057}">
      <text>
        <r>
          <rPr>
            <b/>
            <sz val="9"/>
            <color indexed="81"/>
            <rFont val="Tahoma"/>
            <family val="2"/>
          </rPr>
          <t>027</t>
        </r>
      </text>
    </comment>
    <comment ref="R7" authorId="1" shapeId="0" xr:uid="{B8A17269-7F2D-473F-9D28-77D8F90CBE15}">
      <text>
        <r>
          <rPr>
            <b/>
            <sz val="9"/>
            <color indexed="81"/>
            <rFont val="Tahoma"/>
            <family val="2"/>
          </rPr>
          <t>032</t>
        </r>
      </text>
    </comment>
    <comment ref="S7" authorId="1" shapeId="0" xr:uid="{70F847AC-E973-4979-AEC3-0F881DFC767F}">
      <text>
        <r>
          <rPr>
            <b/>
            <sz val="9"/>
            <color indexed="81"/>
            <rFont val="Tahoma"/>
            <family val="2"/>
          </rPr>
          <t>037</t>
        </r>
      </text>
    </comment>
    <comment ref="T7" authorId="1" shapeId="0" xr:uid="{1A82F01E-0A90-40AF-97FD-3797FE9AEFDF}">
      <text>
        <r>
          <rPr>
            <b/>
            <sz val="9"/>
            <color indexed="81"/>
            <rFont val="Tahoma"/>
            <family val="2"/>
          </rPr>
          <t>042</t>
        </r>
      </text>
    </comment>
    <comment ref="U7" authorId="1" shapeId="0" xr:uid="{AD96D625-6057-481A-B867-8423DB6552BA}">
      <text>
        <r>
          <rPr>
            <b/>
            <sz val="9"/>
            <color indexed="81"/>
            <rFont val="Tahoma"/>
            <family val="2"/>
          </rPr>
          <t>047</t>
        </r>
      </text>
    </comment>
    <comment ref="V7" authorId="1" shapeId="0" xr:uid="{B57EA23E-5558-4873-9496-2BDA15072682}">
      <text>
        <r>
          <rPr>
            <b/>
            <sz val="9"/>
            <color indexed="81"/>
            <rFont val="Tahoma"/>
            <family val="2"/>
          </rPr>
          <t>052</t>
        </r>
      </text>
    </comment>
    <comment ref="W7" authorId="1" shapeId="0" xr:uid="{798F5630-D13D-477E-96AA-18BDF62D8E9F}">
      <text>
        <r>
          <rPr>
            <b/>
            <sz val="9"/>
            <color indexed="81"/>
            <rFont val="Tahoma"/>
            <family val="2"/>
          </rPr>
          <t>058</t>
        </r>
      </text>
    </comment>
    <comment ref="Y7" authorId="1" shapeId="0" xr:uid="{E4E20C4E-86A1-4245-A24C-C9D7C4C2B558}">
      <text>
        <r>
          <rPr>
            <b/>
            <sz val="9"/>
            <color indexed="81"/>
            <rFont val="Tahoma"/>
            <family val="2"/>
          </rPr>
          <t>070</t>
        </r>
      </text>
    </comment>
    <comment ref="L8" authorId="1" shapeId="0" xr:uid="{26B6BEB2-2104-4B3F-80A8-2ED735E2302C}">
      <text>
        <r>
          <rPr>
            <b/>
            <sz val="9"/>
            <color indexed="81"/>
            <rFont val="Tahoma"/>
            <family val="2"/>
          </rPr>
          <t>003</t>
        </r>
      </text>
    </comment>
    <comment ref="M8" authorId="1" shapeId="0" xr:uid="{F6A18B8B-7C4F-4AA1-AD06-1499669CF638}">
      <text>
        <r>
          <rPr>
            <b/>
            <sz val="9"/>
            <color indexed="81"/>
            <rFont val="Tahoma"/>
            <family val="2"/>
          </rPr>
          <t>008</t>
        </r>
      </text>
    </comment>
    <comment ref="N8" authorId="1" shapeId="0" xr:uid="{D70B20F6-3095-4B8F-B9ED-A7E6F3E7E700}">
      <text>
        <r>
          <rPr>
            <b/>
            <sz val="9"/>
            <color indexed="81"/>
            <rFont val="Tahoma"/>
            <family val="2"/>
          </rPr>
          <t>013</t>
        </r>
      </text>
    </comment>
    <comment ref="O8" authorId="1" shapeId="0" xr:uid="{59379FF8-B944-4FF9-B0D4-796DB28E4552}">
      <text>
        <r>
          <rPr>
            <b/>
            <sz val="9"/>
            <color indexed="81"/>
            <rFont val="Tahoma"/>
            <family val="2"/>
          </rPr>
          <t>018</t>
        </r>
      </text>
    </comment>
    <comment ref="P8" authorId="1" shapeId="0" xr:uid="{C7CDFF95-F078-4DA3-B7FA-50DD991C6081}">
      <text>
        <r>
          <rPr>
            <b/>
            <sz val="9"/>
            <color indexed="81"/>
            <rFont val="Tahoma"/>
            <family val="2"/>
          </rPr>
          <t>023</t>
        </r>
      </text>
    </comment>
    <comment ref="Q8" authorId="1" shapeId="0" xr:uid="{153EF653-9E0D-4993-9884-9E1E98410762}">
      <text>
        <r>
          <rPr>
            <b/>
            <sz val="9"/>
            <color indexed="81"/>
            <rFont val="Tahoma"/>
            <family val="2"/>
          </rPr>
          <t>028</t>
        </r>
      </text>
    </comment>
    <comment ref="R8" authorId="1" shapeId="0" xr:uid="{12EB6DC6-D7B7-47A2-A290-A5D0E3304FF8}">
      <text>
        <r>
          <rPr>
            <b/>
            <sz val="9"/>
            <color indexed="81"/>
            <rFont val="Tahoma"/>
            <family val="2"/>
          </rPr>
          <t>033</t>
        </r>
      </text>
    </comment>
    <comment ref="S8" authorId="1" shapeId="0" xr:uid="{5DDFEEED-B9B4-4FA5-9E53-72F2AB14536F}">
      <text>
        <r>
          <rPr>
            <b/>
            <sz val="9"/>
            <color indexed="81"/>
            <rFont val="Tahoma"/>
            <family val="2"/>
          </rPr>
          <t>038</t>
        </r>
      </text>
    </comment>
    <comment ref="T8" authorId="1" shapeId="0" xr:uid="{60656F2B-D69F-48B1-9B57-9DE40E5434BE}">
      <text>
        <r>
          <rPr>
            <b/>
            <sz val="9"/>
            <color indexed="81"/>
            <rFont val="Tahoma"/>
            <family val="2"/>
          </rPr>
          <t>043</t>
        </r>
      </text>
    </comment>
    <comment ref="U8" authorId="1" shapeId="0" xr:uid="{F8BDAA55-056C-4F35-BA74-3B335673991D}">
      <text>
        <r>
          <rPr>
            <b/>
            <sz val="9"/>
            <color indexed="81"/>
            <rFont val="Tahoma"/>
            <family val="2"/>
          </rPr>
          <t>048</t>
        </r>
      </text>
    </comment>
    <comment ref="V8" authorId="1" shapeId="0" xr:uid="{16F65497-1AFD-4791-90FB-498553988D9A}">
      <text>
        <r>
          <rPr>
            <b/>
            <sz val="9"/>
            <color indexed="81"/>
            <rFont val="Tahoma"/>
            <family val="2"/>
          </rPr>
          <t>053</t>
        </r>
      </text>
    </comment>
    <comment ref="W8" authorId="1" shapeId="0" xr:uid="{92961D98-4B05-4907-A943-F63BCAC21BDA}">
      <text>
        <r>
          <rPr>
            <b/>
            <sz val="9"/>
            <color indexed="81"/>
            <rFont val="Tahoma"/>
            <family val="2"/>
          </rPr>
          <t>059</t>
        </r>
      </text>
    </comment>
    <comment ref="Y8" authorId="1" shapeId="0" xr:uid="{73A44F72-6594-4062-BF24-768C30178122}">
      <text>
        <r>
          <rPr>
            <b/>
            <sz val="9"/>
            <color indexed="81"/>
            <rFont val="Tahoma"/>
            <family val="2"/>
          </rPr>
          <t>071</t>
        </r>
      </text>
    </comment>
    <comment ref="L9" authorId="1" shapeId="0" xr:uid="{5E161E69-94CE-49EE-A258-C3A73C31623E}">
      <text>
        <r>
          <rPr>
            <b/>
            <sz val="9"/>
            <color indexed="81"/>
            <rFont val="Tahoma"/>
            <family val="2"/>
          </rPr>
          <t>004</t>
        </r>
      </text>
    </comment>
    <comment ref="M9" authorId="1" shapeId="0" xr:uid="{FF15B702-91AE-49E1-AFDF-B0A8ACEB6C90}">
      <text>
        <r>
          <rPr>
            <b/>
            <sz val="9"/>
            <color indexed="81"/>
            <rFont val="Tahoma"/>
            <family val="2"/>
          </rPr>
          <t>009</t>
        </r>
      </text>
    </comment>
    <comment ref="N9" authorId="1" shapeId="0" xr:uid="{88627863-760B-4B47-9861-41C900BC24A6}">
      <text>
        <r>
          <rPr>
            <b/>
            <sz val="9"/>
            <color indexed="81"/>
            <rFont val="Tahoma"/>
            <family val="2"/>
          </rPr>
          <t>014</t>
        </r>
      </text>
    </comment>
    <comment ref="O9" authorId="1" shapeId="0" xr:uid="{F1BB97E0-7E77-432E-A1DB-50812387792F}">
      <text>
        <r>
          <rPr>
            <b/>
            <sz val="9"/>
            <color indexed="81"/>
            <rFont val="Tahoma"/>
            <family val="2"/>
          </rPr>
          <t>019</t>
        </r>
      </text>
    </comment>
    <comment ref="P9" authorId="1" shapeId="0" xr:uid="{C4A49F76-2229-4CA7-A040-A35CCD927C2F}">
      <text>
        <r>
          <rPr>
            <b/>
            <sz val="9"/>
            <color indexed="81"/>
            <rFont val="Tahoma"/>
            <family val="2"/>
          </rPr>
          <t>024</t>
        </r>
      </text>
    </comment>
    <comment ref="Q9" authorId="1" shapeId="0" xr:uid="{44E510D5-A3A0-4B09-901F-F2225A1E8855}">
      <text>
        <r>
          <rPr>
            <b/>
            <sz val="9"/>
            <color indexed="81"/>
            <rFont val="Tahoma"/>
            <family val="2"/>
          </rPr>
          <t>029</t>
        </r>
      </text>
    </comment>
    <comment ref="R9" authorId="1" shapeId="0" xr:uid="{A687765C-8C04-4EB5-BD29-BD0D2E33643D}">
      <text>
        <r>
          <rPr>
            <b/>
            <sz val="9"/>
            <color indexed="81"/>
            <rFont val="Tahoma"/>
            <family val="2"/>
          </rPr>
          <t>034</t>
        </r>
      </text>
    </comment>
    <comment ref="S9" authorId="1" shapeId="0" xr:uid="{8A00DFF1-0F81-435A-9111-59B40B1D47C4}">
      <text>
        <r>
          <rPr>
            <b/>
            <sz val="9"/>
            <color indexed="81"/>
            <rFont val="Tahoma"/>
            <family val="2"/>
          </rPr>
          <t>039</t>
        </r>
      </text>
    </comment>
    <comment ref="T9" authorId="1" shapeId="0" xr:uid="{B2F8DEE5-FBFD-4AA7-84E2-F20EECC4C5F0}">
      <text>
        <r>
          <rPr>
            <b/>
            <sz val="9"/>
            <color indexed="81"/>
            <rFont val="Tahoma"/>
            <family val="2"/>
          </rPr>
          <t>044</t>
        </r>
      </text>
    </comment>
    <comment ref="U9" authorId="1" shapeId="0" xr:uid="{4B0461EC-06C9-4732-BB6C-141F0FBE8F6C}">
      <text>
        <r>
          <rPr>
            <b/>
            <sz val="9"/>
            <color indexed="81"/>
            <rFont val="Tahoma"/>
            <family val="2"/>
          </rPr>
          <t>049</t>
        </r>
      </text>
    </comment>
    <comment ref="V9" authorId="1" shapeId="0" xr:uid="{2F2B6B6E-3202-499B-8046-DB941002F80E}">
      <text>
        <r>
          <rPr>
            <b/>
            <sz val="9"/>
            <color indexed="81"/>
            <rFont val="Tahoma"/>
            <family val="2"/>
          </rPr>
          <t>054</t>
        </r>
      </text>
    </comment>
    <comment ref="W9" authorId="1" shapeId="0" xr:uid="{0A407187-DB3A-4432-89C6-A37806E74C35}">
      <text>
        <r>
          <rPr>
            <b/>
            <sz val="9"/>
            <color indexed="81"/>
            <rFont val="Tahoma"/>
            <family val="2"/>
          </rPr>
          <t>060</t>
        </r>
      </text>
    </comment>
    <comment ref="Y9" authorId="1" shapeId="0" xr:uid="{7F277E89-478A-4773-848F-1B3CA226EDCA}">
      <text>
        <r>
          <rPr>
            <b/>
            <sz val="9"/>
            <color indexed="81"/>
            <rFont val="Tahoma"/>
            <family val="2"/>
          </rPr>
          <t>072</t>
        </r>
      </text>
    </comment>
    <comment ref="L10" authorId="1" shapeId="0" xr:uid="{B47ED91B-E4AB-41E6-BCBA-3A44FCA71945}">
      <text>
        <r>
          <rPr>
            <b/>
            <sz val="9"/>
            <color indexed="81"/>
            <rFont val="Tahoma"/>
            <family val="2"/>
          </rPr>
          <t>005</t>
        </r>
      </text>
    </comment>
    <comment ref="M10" authorId="1" shapeId="0" xr:uid="{79FC1B00-B30F-4FFF-AA30-09A695757F0A}">
      <text>
        <r>
          <rPr>
            <b/>
            <sz val="9"/>
            <color indexed="81"/>
            <rFont val="Tahoma"/>
            <family val="2"/>
          </rPr>
          <t>010</t>
        </r>
      </text>
    </comment>
    <comment ref="N10" authorId="1" shapeId="0" xr:uid="{F2279079-2323-40E3-AF56-E1925E8324D3}">
      <text>
        <r>
          <rPr>
            <b/>
            <sz val="9"/>
            <color indexed="81"/>
            <rFont val="Tahoma"/>
            <family val="2"/>
          </rPr>
          <t>015</t>
        </r>
      </text>
    </comment>
    <comment ref="O10" authorId="1" shapeId="0" xr:uid="{A0BF3C6D-E146-4DC5-873C-F6626061822B}">
      <text>
        <r>
          <rPr>
            <b/>
            <sz val="9"/>
            <color indexed="81"/>
            <rFont val="Tahoma"/>
            <family val="2"/>
          </rPr>
          <t>020</t>
        </r>
      </text>
    </comment>
    <comment ref="P10" authorId="1" shapeId="0" xr:uid="{077A7475-D7D8-4286-BB81-12F1B37978E6}">
      <text>
        <r>
          <rPr>
            <b/>
            <sz val="9"/>
            <color indexed="81"/>
            <rFont val="Tahoma"/>
            <family val="2"/>
          </rPr>
          <t>025</t>
        </r>
      </text>
    </comment>
    <comment ref="Q10" authorId="1" shapeId="0" xr:uid="{661BA359-7D91-43E2-949E-7DEB3DF73D2D}">
      <text>
        <r>
          <rPr>
            <b/>
            <sz val="9"/>
            <color indexed="81"/>
            <rFont val="Tahoma"/>
            <family val="2"/>
          </rPr>
          <t>030</t>
        </r>
      </text>
    </comment>
    <comment ref="R10" authorId="1" shapeId="0" xr:uid="{9A494AC1-9284-4EE9-AA53-A346D365A387}">
      <text>
        <r>
          <rPr>
            <b/>
            <sz val="9"/>
            <color indexed="81"/>
            <rFont val="Tahoma"/>
            <family val="2"/>
          </rPr>
          <t>035</t>
        </r>
      </text>
    </comment>
    <comment ref="S10" authorId="1" shapeId="0" xr:uid="{264ED6DD-A84C-479F-9C5A-59CDD21B0817}">
      <text>
        <r>
          <rPr>
            <b/>
            <sz val="9"/>
            <color indexed="81"/>
            <rFont val="Tahoma"/>
            <family val="2"/>
          </rPr>
          <t>040</t>
        </r>
      </text>
    </comment>
    <comment ref="T10" authorId="1" shapeId="0" xr:uid="{744B1D45-3B25-4758-AF38-6F634D6087A4}">
      <text>
        <r>
          <rPr>
            <b/>
            <sz val="9"/>
            <color indexed="81"/>
            <rFont val="Tahoma"/>
            <family val="2"/>
          </rPr>
          <t>045</t>
        </r>
      </text>
    </comment>
    <comment ref="U10" authorId="1" shapeId="0" xr:uid="{05C67B14-183C-4258-BFDF-E4BEC00D2EFB}">
      <text>
        <r>
          <rPr>
            <b/>
            <sz val="9"/>
            <color indexed="81"/>
            <rFont val="Tahoma"/>
            <family val="2"/>
          </rPr>
          <t>050</t>
        </r>
      </text>
    </comment>
    <comment ref="V10" authorId="1" shapeId="0" xr:uid="{67C48765-AA5C-486C-B415-B522A6A8BA7A}">
      <text>
        <r>
          <rPr>
            <b/>
            <sz val="9"/>
            <color indexed="81"/>
            <rFont val="Tahoma"/>
            <family val="2"/>
          </rPr>
          <t>055</t>
        </r>
      </text>
    </comment>
    <comment ref="W10" authorId="1" shapeId="0" xr:uid="{A773D987-EBC3-46F7-ABC1-CE3B6734F2C9}">
      <text>
        <r>
          <rPr>
            <b/>
            <sz val="9"/>
            <color indexed="81"/>
            <rFont val="Tahoma"/>
            <family val="2"/>
          </rPr>
          <t>061</t>
        </r>
      </text>
    </comment>
    <comment ref="Y10" authorId="1" shapeId="0" xr:uid="{79BB2602-7DFB-4FB8-898C-DE4867A72EBA}">
      <text>
        <r>
          <rPr>
            <b/>
            <sz val="9"/>
            <color indexed="81"/>
            <rFont val="Tahoma"/>
            <family val="2"/>
          </rPr>
          <t>073</t>
        </r>
      </text>
    </comment>
    <comment ref="K12" authorId="0" shapeId="0" xr:uid="{57A7C746-86C4-43E3-BDF7-BF595624BE61}">
      <text>
        <r>
          <rPr>
            <b/>
            <sz val="9"/>
            <color indexed="81"/>
            <rFont val="Tahoma"/>
            <family val="2"/>
          </rPr>
          <t>Desembolso inicial: inversión exigida por el proyecto en el momento cero</t>
        </r>
      </text>
    </comment>
    <comment ref="L12" authorId="1" shapeId="0" xr:uid="{3DA00C58-805E-494C-8C41-B77B1167DEAD}">
      <text>
        <r>
          <rPr>
            <b/>
            <sz val="9"/>
            <color indexed="81"/>
            <rFont val="Tahoma"/>
            <family val="2"/>
          </rPr>
          <t>062</t>
        </r>
      </text>
    </comment>
    <comment ref="N12" authorId="0" shapeId="0" xr:uid="{2206A40D-DE28-4AE3-876D-496BFE7E7D73}">
      <text>
        <r>
          <rPr>
            <b/>
            <sz val="9"/>
            <color indexed="81"/>
            <rFont val="Tahoma"/>
            <family val="2"/>
          </rPr>
          <t>Coste de los fondos (nominal)
K = (1+r) x (1+f) - 1</t>
        </r>
      </text>
    </comment>
    <comment ref="O12" authorId="1" shapeId="0" xr:uid="{0D0D88C7-4440-4D07-B86A-E63E2D5B414A}">
      <text>
        <r>
          <rPr>
            <b/>
            <sz val="9"/>
            <color indexed="81"/>
            <rFont val="Tahoma"/>
            <family val="2"/>
          </rPr>
          <t>066</t>
        </r>
      </text>
    </comment>
    <comment ref="X12" authorId="0" shapeId="0" xr:uid="{A8195962-C159-4197-96A9-541E27D997D6}">
      <text>
        <r>
          <rPr>
            <b/>
            <sz val="9"/>
            <color indexed="81"/>
            <rFont val="Tahoma"/>
            <family val="2"/>
          </rPr>
          <t>Coste de los fondos:
tipo de interés real</t>
        </r>
      </text>
    </comment>
    <comment ref="Y12" authorId="1" shapeId="0" xr:uid="{30714508-1595-4BB9-824E-19523BC12216}">
      <text>
        <r>
          <rPr>
            <b/>
            <sz val="9"/>
            <color indexed="81"/>
            <rFont val="Tahoma"/>
            <family val="2"/>
          </rPr>
          <t>074</t>
        </r>
      </text>
    </comment>
    <comment ref="K13" authorId="0" shapeId="0" xr:uid="{791C2359-2A12-4098-910E-69085EAE0FA4}">
      <text>
        <r>
          <rPr>
            <b/>
            <sz val="9"/>
            <color indexed="81"/>
            <rFont val="Tahoma"/>
            <family val="2"/>
          </rPr>
          <t>Valor residual generado por la liquidación del inmovilizado al final del proyecto</t>
        </r>
      </text>
    </comment>
    <comment ref="L13" authorId="1" shapeId="0" xr:uid="{1AEA8021-B5BE-4AB8-9CEF-3841CA48A50E}">
      <text>
        <r>
          <rPr>
            <b/>
            <sz val="9"/>
            <color indexed="81"/>
            <rFont val="Tahoma"/>
            <family val="2"/>
          </rPr>
          <t>063</t>
        </r>
      </text>
    </comment>
    <comment ref="K14" authorId="0" shapeId="0" xr:uid="{45644369-AE1D-498C-A549-FD2DC25F6F18}">
      <text>
        <r>
          <rPr>
            <b/>
            <sz val="9"/>
            <color indexed="81"/>
            <rFont val="Tahoma"/>
            <family val="2"/>
          </rPr>
          <t>Valor residual generado por la liquidación del fondo de maniobra incremental al final del proyecto</t>
        </r>
      </text>
    </comment>
    <comment ref="L14" authorId="1" shapeId="0" xr:uid="{4035734A-1FA4-425B-9CF0-39F0D7719F95}">
      <text>
        <r>
          <rPr>
            <b/>
            <sz val="9"/>
            <color indexed="81"/>
            <rFont val="Tahoma"/>
            <family val="2"/>
          </rPr>
          <t>064</t>
        </r>
      </text>
    </comment>
    <comment ref="N14" authorId="2" shapeId="0" xr:uid="{88ADC1AA-7FEC-4C53-A27F-82069A12D2C1}">
      <text>
        <r>
          <rPr>
            <b/>
            <sz val="9"/>
            <color indexed="81"/>
            <rFont val="Tahoma"/>
            <family val="2"/>
          </rPr>
          <t>Valor actualizado neto asociado al proyecto</t>
        </r>
      </text>
    </comment>
    <comment ref="O14" authorId="1" shapeId="0" xr:uid="{DBD2F8AF-2E59-4DAA-BAB0-6DA359363B80}">
      <text>
        <r>
          <rPr>
            <b/>
            <sz val="9"/>
            <color indexed="81"/>
            <rFont val="Tahoma"/>
            <family val="2"/>
          </rPr>
          <t>067</t>
        </r>
      </text>
    </comment>
    <comment ref="X14" authorId="2" shapeId="0" xr:uid="{674B09D3-1828-48FA-8B4B-4036FF28817B}">
      <text>
        <r>
          <rPr>
            <b/>
            <sz val="9"/>
            <color indexed="81"/>
            <rFont val="Tahoma"/>
            <family val="2"/>
          </rPr>
          <t>Valor actualizado neto asociado al proyecto</t>
        </r>
      </text>
    </comment>
    <comment ref="Y14" authorId="1" shapeId="0" xr:uid="{C1CFB252-7FCA-4493-BA69-67DD2A101164}">
      <text>
        <r>
          <rPr>
            <b/>
            <sz val="9"/>
            <color indexed="81"/>
            <rFont val="Tahoma"/>
            <family val="2"/>
          </rPr>
          <t>075</t>
        </r>
      </text>
    </comment>
    <comment ref="K15" authorId="0" shapeId="0" xr:uid="{53B005A2-12E7-419F-9CA1-264D09EB3EB1}">
      <text>
        <r>
          <rPr>
            <b/>
            <sz val="9"/>
            <color indexed="81"/>
            <rFont val="Tahoma"/>
            <family val="2"/>
          </rPr>
          <t>Valor residual incremental generado por el proyecto al final de su vida [∆VR AF + ∆VR FM]</t>
        </r>
      </text>
    </comment>
    <comment ref="L15" authorId="1" shapeId="0" xr:uid="{7FEE6E48-B1AB-43AD-9DFB-118D76CBEEA0}">
      <text>
        <r>
          <rPr>
            <b/>
            <sz val="9"/>
            <color indexed="81"/>
            <rFont val="Tahoma"/>
            <family val="2"/>
          </rPr>
          <t>065</t>
        </r>
      </text>
    </comment>
    <comment ref="L21" authorId="0" shapeId="0" xr:uid="{EBF30BAD-9E31-498E-9A5D-243F51F078DB}">
      <text>
        <r>
          <rPr>
            <b/>
            <sz val="9"/>
            <color indexed="81"/>
            <rFont val="Tahoma"/>
            <family val="2"/>
          </rPr>
          <t>Incremento anual de ventas que aporta el proyecto</t>
        </r>
      </text>
    </comment>
    <comment ref="M21" authorId="0" shapeId="0" xr:uid="{4FF3D731-F58B-4999-86BB-16936FE12CD8}">
      <text>
        <r>
          <rPr>
            <b/>
            <sz val="9"/>
            <color indexed="81"/>
            <rFont val="Tahoma"/>
            <family val="2"/>
          </rPr>
          <t>Incremento anual de costes operativos con desembolso que aporta el proyecto</t>
        </r>
      </text>
    </comment>
    <comment ref="N21" authorId="0" shapeId="0" xr:uid="{C2C6EC60-278E-4A9D-B29D-B977DD4D4799}">
      <text>
        <r>
          <rPr>
            <b/>
            <sz val="9"/>
            <color indexed="81"/>
            <rFont val="Tahoma"/>
            <family val="2"/>
          </rPr>
          <t>EBITDA incremental (diferencia entre ventas y costes operativos con desembolso) que aporta el proyecto</t>
        </r>
      </text>
    </comment>
    <comment ref="O21" authorId="0" shapeId="0" xr:uid="{A95DD841-D77B-4FE7-9B7D-AD8FC61162A7}">
      <text>
        <r>
          <rPr>
            <b/>
            <sz val="9"/>
            <color indexed="81"/>
            <rFont val="Tahoma"/>
            <family val="2"/>
          </rPr>
          <t>Incremento anual de las amortizaciones de inmovilizados que aporta el proyecto</t>
        </r>
      </text>
    </comment>
    <comment ref="P21" authorId="0" shapeId="0" xr:uid="{B9307CF0-217C-4E2C-8921-2D2D8FCD5BBF}">
      <text>
        <r>
          <rPr>
            <b/>
            <sz val="9"/>
            <color indexed="81"/>
            <rFont val="Tahoma"/>
            <family val="2"/>
          </rPr>
          <t>Incremento anual de beneficio antes de intereses e impuestos</t>
        </r>
      </text>
    </comment>
    <comment ref="Q21" authorId="0" shapeId="0" xr:uid="{7806B53E-C2C7-466A-863F-05333DFBB403}">
      <text>
        <r>
          <rPr>
            <b/>
            <sz val="9"/>
            <color indexed="81"/>
            <rFont val="Tahoma"/>
            <family val="2"/>
          </rPr>
          <t>Incremento anual de impuestos (Impuesto de sociedades)</t>
        </r>
      </text>
    </comment>
    <comment ref="R21" authorId="0" shapeId="0" xr:uid="{E8AAFDB4-843E-4E81-864C-12CC45530622}">
      <text>
        <r>
          <rPr>
            <b/>
            <sz val="9"/>
            <color indexed="81"/>
            <rFont val="Tahoma"/>
            <family val="2"/>
          </rPr>
          <t>Incremento anual de beneficio antes de intereses y después de impuestos</t>
        </r>
      </text>
    </comment>
    <comment ref="S21" authorId="0" shapeId="0" xr:uid="{56F7478E-082B-4E55-9178-0BD0230C8F99}">
      <text>
        <r>
          <rPr>
            <b/>
            <sz val="9"/>
            <color indexed="81"/>
            <rFont val="Tahoma"/>
            <family val="2"/>
          </rPr>
          <t>Incremento de caja anual generado por el proyecto, antes de considerar las inversiones en fondo de maniobra</t>
        </r>
      </text>
    </comment>
    <comment ref="T21" authorId="0" shapeId="0" xr:uid="{4BE5D653-D365-49C5-A936-BC3D4D99593A}">
      <text>
        <r>
          <rPr>
            <b/>
            <sz val="9"/>
            <color indexed="81"/>
            <rFont val="Tahoma"/>
            <family val="2"/>
          </rPr>
          <t>Saldo anual de fondo de maniobra generado por el proyecto</t>
        </r>
      </text>
    </comment>
    <comment ref="U21" authorId="0" shapeId="0" xr:uid="{4D854A86-2E6C-4413-AD7B-19579486A858}">
      <text>
        <r>
          <rPr>
            <b/>
            <sz val="9"/>
            <color indexed="81"/>
            <rFont val="Tahoma"/>
            <family val="2"/>
          </rPr>
          <t>Inversión anual en fondo de maniobra exigida por el proyecto</t>
        </r>
      </text>
    </comment>
    <comment ref="V21" authorId="0" shapeId="0" xr:uid="{84B7C5B0-02F7-4BBF-B52F-3428745F0719}">
      <text>
        <r>
          <rPr>
            <b/>
            <sz val="9"/>
            <color indexed="81"/>
            <rFont val="Tahoma"/>
            <family val="2"/>
          </rPr>
          <t>Flujo de caja operativo anual incremental que aporta el proyecto (es decir, sin considerar el desembolso inicial ni el valor residual)</t>
        </r>
      </text>
    </comment>
    <comment ref="W21" authorId="0" shapeId="0" xr:uid="{2614204D-7054-4B6D-98A4-F6072547D75D}">
      <text>
        <r>
          <rPr>
            <b/>
            <sz val="9"/>
            <color indexed="81"/>
            <rFont val="Tahoma"/>
            <family val="2"/>
          </rPr>
          <t>Impacto anual en caja del proyecto: Generaciones de fondos anuales que incluyen el desembolso inicial y el valor residual (moneda corriente)</t>
        </r>
      </text>
    </comment>
    <comment ref="W22" authorId="1" shapeId="0" xr:uid="{861FD807-7FA6-4E3E-9C47-32608C3CB6E1}">
      <text>
        <r>
          <rPr>
            <b/>
            <sz val="9"/>
            <color indexed="81"/>
            <rFont val="Tahoma"/>
            <family val="2"/>
          </rPr>
          <t>131</t>
        </r>
      </text>
    </comment>
    <comment ref="L23" authorId="1" shapeId="0" xr:uid="{1EA6DC8D-6CBF-4463-881C-25F905FDF7E1}">
      <text>
        <r>
          <rPr>
            <b/>
            <sz val="9"/>
            <color indexed="81"/>
            <rFont val="Tahoma"/>
            <family val="2"/>
          </rPr>
          <t>076</t>
        </r>
      </text>
    </comment>
    <comment ref="M23" authorId="1" shapeId="0" xr:uid="{67F49C20-DD1E-43CF-9935-5F68A8336F39}">
      <text>
        <r>
          <rPr>
            <b/>
            <sz val="9"/>
            <color indexed="81"/>
            <rFont val="Tahoma"/>
            <family val="2"/>
          </rPr>
          <t>081</t>
        </r>
      </text>
    </comment>
    <comment ref="N23" authorId="1" shapeId="0" xr:uid="{D64CC7E8-7E5D-4020-94F1-7B52F5FD3464}">
      <text>
        <r>
          <rPr>
            <b/>
            <sz val="9"/>
            <color indexed="81"/>
            <rFont val="Tahoma"/>
            <family val="2"/>
          </rPr>
          <t>086</t>
        </r>
      </text>
    </comment>
    <comment ref="O23" authorId="1" shapeId="0" xr:uid="{727ECB76-8247-4F9E-917D-0BB4A644191A}">
      <text>
        <r>
          <rPr>
            <b/>
            <sz val="9"/>
            <color indexed="81"/>
            <rFont val="Tahoma"/>
            <family val="2"/>
          </rPr>
          <t>091</t>
        </r>
      </text>
    </comment>
    <comment ref="P23" authorId="1" shapeId="0" xr:uid="{AB1B9C07-5A25-49D6-92B6-76A2E8881F9C}">
      <text>
        <r>
          <rPr>
            <b/>
            <sz val="9"/>
            <color indexed="81"/>
            <rFont val="Tahoma"/>
            <family val="2"/>
          </rPr>
          <t>096</t>
        </r>
      </text>
    </comment>
    <comment ref="Q23" authorId="1" shapeId="0" xr:uid="{0B197589-4479-4F8E-AE1B-7BE42E598E98}">
      <text>
        <r>
          <rPr>
            <b/>
            <sz val="9"/>
            <color indexed="81"/>
            <rFont val="Tahoma"/>
            <family val="2"/>
          </rPr>
          <t>101</t>
        </r>
      </text>
    </comment>
    <comment ref="R23" authorId="1" shapeId="0" xr:uid="{B93008C3-1EB7-447A-8F79-DCADB1F2C869}">
      <text>
        <r>
          <rPr>
            <b/>
            <sz val="9"/>
            <color indexed="81"/>
            <rFont val="Tahoma"/>
            <family val="2"/>
          </rPr>
          <t>106</t>
        </r>
      </text>
    </comment>
    <comment ref="S23" authorId="1" shapeId="0" xr:uid="{09EB42FB-9101-48E0-A76B-BD0B4019D554}">
      <text>
        <r>
          <rPr>
            <b/>
            <sz val="9"/>
            <color indexed="81"/>
            <rFont val="Tahoma"/>
            <family val="2"/>
          </rPr>
          <t>111</t>
        </r>
      </text>
    </comment>
    <comment ref="T23" authorId="1" shapeId="0" xr:uid="{FAF03784-7C3D-4793-A051-23C4D49764F1}">
      <text>
        <r>
          <rPr>
            <b/>
            <sz val="9"/>
            <color indexed="81"/>
            <rFont val="Tahoma"/>
            <family val="2"/>
          </rPr>
          <t>116</t>
        </r>
      </text>
    </comment>
    <comment ref="U23" authorId="1" shapeId="0" xr:uid="{4E6FC63A-00A2-4ED2-9227-F15F1CC43B1E}">
      <text>
        <r>
          <rPr>
            <b/>
            <sz val="9"/>
            <color indexed="81"/>
            <rFont val="Tahoma"/>
            <family val="2"/>
          </rPr>
          <t>121</t>
        </r>
      </text>
    </comment>
    <comment ref="V23" authorId="1" shapeId="0" xr:uid="{5B6D1080-881F-4D82-9434-24F3BC978874}">
      <text>
        <r>
          <rPr>
            <b/>
            <sz val="9"/>
            <color indexed="81"/>
            <rFont val="Tahoma"/>
            <family val="2"/>
          </rPr>
          <t>126</t>
        </r>
      </text>
    </comment>
    <comment ref="W23" authorId="1" shapeId="0" xr:uid="{1A666497-181D-406F-B6D0-62532F80C8B8}">
      <text>
        <r>
          <rPr>
            <b/>
            <sz val="9"/>
            <color indexed="81"/>
            <rFont val="Tahoma"/>
            <family val="2"/>
          </rPr>
          <t>132</t>
        </r>
      </text>
    </comment>
    <comment ref="L24" authorId="1" shapeId="0" xr:uid="{AAF168B4-97B5-4BE9-AF26-F4ECDC8AE77A}">
      <text>
        <r>
          <rPr>
            <b/>
            <sz val="9"/>
            <color indexed="81"/>
            <rFont val="Tahoma"/>
            <family val="2"/>
          </rPr>
          <t>077</t>
        </r>
      </text>
    </comment>
    <comment ref="M24" authorId="1" shapeId="0" xr:uid="{C8E1D4D1-4297-4F86-9FCC-DE9B6895E28B}">
      <text>
        <r>
          <rPr>
            <b/>
            <sz val="9"/>
            <color indexed="81"/>
            <rFont val="Tahoma"/>
            <family val="2"/>
          </rPr>
          <t>082</t>
        </r>
      </text>
    </comment>
    <comment ref="N24" authorId="1" shapeId="0" xr:uid="{7D2BD5AE-6D37-4977-BBAF-7659C2DD89F2}">
      <text>
        <r>
          <rPr>
            <b/>
            <sz val="9"/>
            <color indexed="81"/>
            <rFont val="Tahoma"/>
            <family val="2"/>
          </rPr>
          <t>087</t>
        </r>
      </text>
    </comment>
    <comment ref="O24" authorId="1" shapeId="0" xr:uid="{E7A336A6-5757-49AC-A049-582D5469ADDA}">
      <text>
        <r>
          <rPr>
            <b/>
            <sz val="9"/>
            <color indexed="81"/>
            <rFont val="Tahoma"/>
            <family val="2"/>
          </rPr>
          <t>092</t>
        </r>
      </text>
    </comment>
    <comment ref="P24" authorId="1" shapeId="0" xr:uid="{B7CCFC09-1914-47E8-B742-678F0146ADE8}">
      <text>
        <r>
          <rPr>
            <b/>
            <sz val="9"/>
            <color indexed="81"/>
            <rFont val="Tahoma"/>
            <family val="2"/>
          </rPr>
          <t>097</t>
        </r>
      </text>
    </comment>
    <comment ref="Q24" authorId="1" shapeId="0" xr:uid="{C2600A23-D021-4C8D-ADD4-F4EE552B2B0B}">
      <text>
        <r>
          <rPr>
            <b/>
            <sz val="9"/>
            <color indexed="81"/>
            <rFont val="Tahoma"/>
            <family val="2"/>
          </rPr>
          <t>102</t>
        </r>
      </text>
    </comment>
    <comment ref="R24" authorId="1" shapeId="0" xr:uid="{CFF3CC6B-9122-4D05-94E8-1209972DF9D4}">
      <text>
        <r>
          <rPr>
            <b/>
            <sz val="9"/>
            <color indexed="81"/>
            <rFont val="Tahoma"/>
            <family val="2"/>
          </rPr>
          <t>107</t>
        </r>
      </text>
    </comment>
    <comment ref="S24" authorId="1" shapeId="0" xr:uid="{E79084CF-1E60-441A-BDA9-5F753B63B509}">
      <text>
        <r>
          <rPr>
            <b/>
            <sz val="9"/>
            <color indexed="81"/>
            <rFont val="Tahoma"/>
            <family val="2"/>
          </rPr>
          <t>112</t>
        </r>
      </text>
    </comment>
    <comment ref="T24" authorId="1" shapeId="0" xr:uid="{C35FF9C2-F5AE-4420-B62B-40716DE8494A}">
      <text>
        <r>
          <rPr>
            <b/>
            <sz val="9"/>
            <color indexed="81"/>
            <rFont val="Tahoma"/>
            <family val="2"/>
          </rPr>
          <t>117</t>
        </r>
      </text>
    </comment>
    <comment ref="U24" authorId="1" shapeId="0" xr:uid="{B5D14C88-0398-4A86-903C-23B6A6818E49}">
      <text>
        <r>
          <rPr>
            <b/>
            <sz val="9"/>
            <color indexed="81"/>
            <rFont val="Tahoma"/>
            <family val="2"/>
          </rPr>
          <t>122</t>
        </r>
      </text>
    </comment>
    <comment ref="V24" authorId="1" shapeId="0" xr:uid="{04D4733B-620C-44ED-823E-03DC8ADB073E}">
      <text>
        <r>
          <rPr>
            <b/>
            <sz val="9"/>
            <color indexed="81"/>
            <rFont val="Tahoma"/>
            <family val="2"/>
          </rPr>
          <t>127</t>
        </r>
      </text>
    </comment>
    <comment ref="W24" authorId="1" shapeId="0" xr:uid="{C12DEEAC-FA4C-48D1-89BA-26F8C0073D63}">
      <text>
        <r>
          <rPr>
            <b/>
            <sz val="9"/>
            <color indexed="81"/>
            <rFont val="Tahoma"/>
            <family val="2"/>
          </rPr>
          <t>133</t>
        </r>
      </text>
    </comment>
    <comment ref="L25" authorId="1" shapeId="0" xr:uid="{70BDC48A-E0D6-4FAD-931A-9D833A823CC2}">
      <text>
        <r>
          <rPr>
            <b/>
            <sz val="9"/>
            <color indexed="81"/>
            <rFont val="Tahoma"/>
            <family val="2"/>
          </rPr>
          <t>078</t>
        </r>
      </text>
    </comment>
    <comment ref="M25" authorId="1" shapeId="0" xr:uid="{C396AB9E-65D4-473E-8FE6-645DA8F0F786}">
      <text>
        <r>
          <rPr>
            <b/>
            <sz val="9"/>
            <color indexed="81"/>
            <rFont val="Tahoma"/>
            <family val="2"/>
          </rPr>
          <t>083</t>
        </r>
      </text>
    </comment>
    <comment ref="N25" authorId="1" shapeId="0" xr:uid="{CC267101-1F52-4B7F-96C6-743E835A4402}">
      <text>
        <r>
          <rPr>
            <b/>
            <sz val="9"/>
            <color indexed="81"/>
            <rFont val="Tahoma"/>
            <family val="2"/>
          </rPr>
          <t>088</t>
        </r>
      </text>
    </comment>
    <comment ref="O25" authorId="1" shapeId="0" xr:uid="{FA44FF84-02DF-4366-BA22-779AFDB1F687}">
      <text>
        <r>
          <rPr>
            <b/>
            <sz val="9"/>
            <color indexed="81"/>
            <rFont val="Tahoma"/>
            <family val="2"/>
          </rPr>
          <t>093</t>
        </r>
      </text>
    </comment>
    <comment ref="P25" authorId="1" shapeId="0" xr:uid="{958B04CD-927A-4595-AFD0-E317CFF25413}">
      <text>
        <r>
          <rPr>
            <b/>
            <sz val="9"/>
            <color indexed="81"/>
            <rFont val="Tahoma"/>
            <family val="2"/>
          </rPr>
          <t>098</t>
        </r>
      </text>
    </comment>
    <comment ref="Q25" authorId="1" shapeId="0" xr:uid="{97789D6A-DEB9-41AC-87C1-1CAD075160FF}">
      <text>
        <r>
          <rPr>
            <b/>
            <sz val="9"/>
            <color indexed="81"/>
            <rFont val="Tahoma"/>
            <family val="2"/>
          </rPr>
          <t>103</t>
        </r>
      </text>
    </comment>
    <comment ref="R25" authorId="1" shapeId="0" xr:uid="{3B578DAC-8A0F-41D5-8935-16A7B1C0A4F5}">
      <text>
        <r>
          <rPr>
            <b/>
            <sz val="9"/>
            <color indexed="81"/>
            <rFont val="Tahoma"/>
            <family val="2"/>
          </rPr>
          <t>108</t>
        </r>
      </text>
    </comment>
    <comment ref="S25" authorId="1" shapeId="0" xr:uid="{DFC104E2-5CB6-44C1-A3D3-D8DE1DE3EF04}">
      <text>
        <r>
          <rPr>
            <b/>
            <sz val="9"/>
            <color indexed="81"/>
            <rFont val="Tahoma"/>
            <family val="2"/>
          </rPr>
          <t>113</t>
        </r>
      </text>
    </comment>
    <comment ref="T25" authorId="1" shapeId="0" xr:uid="{5E7EA7F7-EBFC-4902-AE0A-DAD6F4054F9C}">
      <text>
        <r>
          <rPr>
            <b/>
            <sz val="9"/>
            <color indexed="81"/>
            <rFont val="Tahoma"/>
            <family val="2"/>
          </rPr>
          <t>118</t>
        </r>
      </text>
    </comment>
    <comment ref="U25" authorId="1" shapeId="0" xr:uid="{9CDFA86B-6B3D-4E6F-93AC-D6F2FA45AB61}">
      <text>
        <r>
          <rPr>
            <b/>
            <sz val="9"/>
            <color indexed="81"/>
            <rFont val="Tahoma"/>
            <family val="2"/>
          </rPr>
          <t>123</t>
        </r>
      </text>
    </comment>
    <comment ref="V25" authorId="1" shapeId="0" xr:uid="{2D0BCAE7-B1C1-4580-A0B4-EA54AF07906F}">
      <text>
        <r>
          <rPr>
            <b/>
            <sz val="9"/>
            <color indexed="81"/>
            <rFont val="Tahoma"/>
            <family val="2"/>
          </rPr>
          <t>128</t>
        </r>
      </text>
    </comment>
    <comment ref="W25" authorId="1" shapeId="0" xr:uid="{B5D60D3B-CFB2-45D5-8476-7E255607FA87}">
      <text>
        <r>
          <rPr>
            <b/>
            <sz val="9"/>
            <color indexed="81"/>
            <rFont val="Tahoma"/>
            <family val="2"/>
          </rPr>
          <t>134</t>
        </r>
      </text>
    </comment>
    <comment ref="L26" authorId="1" shapeId="0" xr:uid="{794B8A45-0714-410C-B156-6A77C1B59843}">
      <text>
        <r>
          <rPr>
            <b/>
            <sz val="9"/>
            <color indexed="81"/>
            <rFont val="Tahoma"/>
            <family val="2"/>
          </rPr>
          <t>079</t>
        </r>
      </text>
    </comment>
    <comment ref="M26" authorId="1" shapeId="0" xr:uid="{951BC646-FD2D-4142-89C7-231AAE1C143C}">
      <text>
        <r>
          <rPr>
            <b/>
            <sz val="9"/>
            <color indexed="81"/>
            <rFont val="Tahoma"/>
            <family val="2"/>
          </rPr>
          <t>084</t>
        </r>
      </text>
    </comment>
    <comment ref="N26" authorId="1" shapeId="0" xr:uid="{EA4AE64A-F9B4-4939-8D8B-59E03AC0FD63}">
      <text>
        <r>
          <rPr>
            <b/>
            <sz val="9"/>
            <color indexed="81"/>
            <rFont val="Tahoma"/>
            <family val="2"/>
          </rPr>
          <t>089</t>
        </r>
      </text>
    </comment>
    <comment ref="O26" authorId="1" shapeId="0" xr:uid="{7C65F1EA-47AB-4857-85D1-A341903AF73B}">
      <text>
        <r>
          <rPr>
            <b/>
            <sz val="9"/>
            <color indexed="81"/>
            <rFont val="Tahoma"/>
            <family val="2"/>
          </rPr>
          <t>094</t>
        </r>
      </text>
    </comment>
    <comment ref="P26" authorId="1" shapeId="0" xr:uid="{CAA8C791-DF37-4547-BE85-A36C83EF47EB}">
      <text>
        <r>
          <rPr>
            <b/>
            <sz val="9"/>
            <color indexed="81"/>
            <rFont val="Tahoma"/>
            <family val="2"/>
          </rPr>
          <t>099</t>
        </r>
      </text>
    </comment>
    <comment ref="Q26" authorId="1" shapeId="0" xr:uid="{9DE45B36-D2FD-4524-9119-51F549D4DB96}">
      <text>
        <r>
          <rPr>
            <b/>
            <sz val="9"/>
            <color indexed="81"/>
            <rFont val="Tahoma"/>
            <family val="2"/>
          </rPr>
          <t>104</t>
        </r>
      </text>
    </comment>
    <comment ref="R26" authorId="1" shapeId="0" xr:uid="{51F61789-C7FE-477D-B329-C4AFC49C456B}">
      <text>
        <r>
          <rPr>
            <b/>
            <sz val="9"/>
            <color indexed="81"/>
            <rFont val="Tahoma"/>
            <family val="2"/>
          </rPr>
          <t>109</t>
        </r>
      </text>
    </comment>
    <comment ref="S26" authorId="1" shapeId="0" xr:uid="{12CD17DF-3D10-4633-83F3-8E35DDEA82C1}">
      <text>
        <r>
          <rPr>
            <b/>
            <sz val="9"/>
            <color indexed="81"/>
            <rFont val="Tahoma"/>
            <family val="2"/>
          </rPr>
          <t>114</t>
        </r>
      </text>
    </comment>
    <comment ref="T26" authorId="1" shapeId="0" xr:uid="{60E3809B-9078-4497-8937-C2CE69B0C608}">
      <text>
        <r>
          <rPr>
            <b/>
            <sz val="9"/>
            <color indexed="81"/>
            <rFont val="Tahoma"/>
            <family val="2"/>
          </rPr>
          <t>119</t>
        </r>
      </text>
    </comment>
    <comment ref="U26" authorId="1" shapeId="0" xr:uid="{3E014704-5078-48BF-89AF-EFBBC0749FB4}">
      <text>
        <r>
          <rPr>
            <b/>
            <sz val="9"/>
            <color indexed="81"/>
            <rFont val="Tahoma"/>
            <family val="2"/>
          </rPr>
          <t>124</t>
        </r>
      </text>
    </comment>
    <comment ref="V26" authorId="1" shapeId="0" xr:uid="{CBB4CEB0-2B5C-433B-AF6F-742FBD1F778B}">
      <text>
        <r>
          <rPr>
            <b/>
            <sz val="9"/>
            <color indexed="81"/>
            <rFont val="Tahoma"/>
            <family val="2"/>
          </rPr>
          <t>129</t>
        </r>
      </text>
    </comment>
    <comment ref="W26" authorId="1" shapeId="0" xr:uid="{100F5DC5-F989-4720-A838-3230DA773E10}">
      <text>
        <r>
          <rPr>
            <b/>
            <sz val="9"/>
            <color indexed="81"/>
            <rFont val="Tahoma"/>
            <family val="2"/>
          </rPr>
          <t>135</t>
        </r>
      </text>
    </comment>
    <comment ref="L27" authorId="1" shapeId="0" xr:uid="{04409D34-131A-41D8-A8CA-C922D1B4896A}">
      <text>
        <r>
          <rPr>
            <b/>
            <sz val="9"/>
            <color indexed="81"/>
            <rFont val="Tahoma"/>
            <family val="2"/>
          </rPr>
          <t>080</t>
        </r>
      </text>
    </comment>
    <comment ref="M27" authorId="1" shapeId="0" xr:uid="{3869C559-9EAA-46CD-9127-9CD80C532927}">
      <text>
        <r>
          <rPr>
            <b/>
            <sz val="9"/>
            <color indexed="81"/>
            <rFont val="Tahoma"/>
            <family val="2"/>
          </rPr>
          <t>085</t>
        </r>
      </text>
    </comment>
    <comment ref="N27" authorId="1" shapeId="0" xr:uid="{627F4AB7-440F-4A6A-87ED-68BBF8132D66}">
      <text>
        <r>
          <rPr>
            <b/>
            <sz val="9"/>
            <color indexed="81"/>
            <rFont val="Tahoma"/>
            <family val="2"/>
          </rPr>
          <t>090</t>
        </r>
      </text>
    </comment>
    <comment ref="O27" authorId="1" shapeId="0" xr:uid="{CDAFEC5B-F9FB-42B0-80D7-1B84C1C5A75A}">
      <text>
        <r>
          <rPr>
            <b/>
            <sz val="9"/>
            <color indexed="81"/>
            <rFont val="Tahoma"/>
            <family val="2"/>
          </rPr>
          <t>095</t>
        </r>
      </text>
    </comment>
    <comment ref="P27" authorId="1" shapeId="0" xr:uid="{E3527B60-47E2-4590-837E-30936E72B843}">
      <text>
        <r>
          <rPr>
            <b/>
            <sz val="9"/>
            <color indexed="81"/>
            <rFont val="Tahoma"/>
            <family val="2"/>
          </rPr>
          <t>100</t>
        </r>
      </text>
    </comment>
    <comment ref="Q27" authorId="1" shapeId="0" xr:uid="{A5F3EA54-078D-4AC9-AF54-AD75D6D5FA86}">
      <text>
        <r>
          <rPr>
            <b/>
            <sz val="9"/>
            <color indexed="81"/>
            <rFont val="Tahoma"/>
            <family val="2"/>
          </rPr>
          <t>105</t>
        </r>
      </text>
    </comment>
    <comment ref="R27" authorId="1" shapeId="0" xr:uid="{FAFBC8F0-AE2E-41D2-838D-9E4C609BA8CF}">
      <text>
        <r>
          <rPr>
            <b/>
            <sz val="9"/>
            <color indexed="81"/>
            <rFont val="Tahoma"/>
            <family val="2"/>
          </rPr>
          <t>110</t>
        </r>
      </text>
    </comment>
    <comment ref="S27" authorId="1" shapeId="0" xr:uid="{AC6DF967-C79C-4638-AF30-5ECF3CC98CF8}">
      <text>
        <r>
          <rPr>
            <b/>
            <sz val="9"/>
            <color indexed="81"/>
            <rFont val="Tahoma"/>
            <family val="2"/>
          </rPr>
          <t>115</t>
        </r>
      </text>
    </comment>
    <comment ref="T27" authorId="1" shapeId="0" xr:uid="{829C5883-B5F6-4B17-BB7F-2AE04AF9C5FD}">
      <text>
        <r>
          <rPr>
            <b/>
            <sz val="9"/>
            <color indexed="81"/>
            <rFont val="Tahoma"/>
            <family val="2"/>
          </rPr>
          <t>120</t>
        </r>
      </text>
    </comment>
    <comment ref="U27" authorId="1" shapeId="0" xr:uid="{E23850BD-31AB-4804-A8FD-3889FFF53E90}">
      <text>
        <r>
          <rPr>
            <b/>
            <sz val="9"/>
            <color indexed="81"/>
            <rFont val="Tahoma"/>
            <family val="2"/>
          </rPr>
          <t>125</t>
        </r>
      </text>
    </comment>
    <comment ref="V27" authorId="1" shapeId="0" xr:uid="{577D9390-8CDC-4594-9890-A577A72F271A}">
      <text>
        <r>
          <rPr>
            <b/>
            <sz val="9"/>
            <color indexed="81"/>
            <rFont val="Tahoma"/>
            <family val="2"/>
          </rPr>
          <t>130</t>
        </r>
      </text>
    </comment>
    <comment ref="W27" authorId="1" shapeId="0" xr:uid="{C322480C-0D42-40A8-9035-3C59562758D1}">
      <text>
        <r>
          <rPr>
            <b/>
            <sz val="9"/>
            <color indexed="81"/>
            <rFont val="Tahoma"/>
            <family val="2"/>
          </rPr>
          <t>136</t>
        </r>
      </text>
    </comment>
    <comment ref="K29" authorId="0" shapeId="0" xr:uid="{8AEA8E9F-2069-45DB-9BF9-F905DC1B502C}">
      <text>
        <r>
          <rPr>
            <b/>
            <sz val="9"/>
            <color indexed="81"/>
            <rFont val="Tahoma"/>
            <family val="2"/>
          </rPr>
          <t>Desembolso inicial: inversión exigida por el proyecto en el momento cero</t>
        </r>
      </text>
    </comment>
    <comment ref="L29" authorId="1" shapeId="0" xr:uid="{6A7E36B1-3E0C-40E4-A5C9-6AC1809EE903}">
      <text>
        <r>
          <rPr>
            <b/>
            <sz val="9"/>
            <color indexed="81"/>
            <rFont val="Tahoma"/>
            <family val="2"/>
          </rPr>
          <t>137</t>
        </r>
      </text>
    </comment>
    <comment ref="N29" authorId="0" shapeId="0" xr:uid="{33B3969A-86EE-44C8-9B04-4A36FEBEFF4C}">
      <text>
        <r>
          <rPr>
            <b/>
            <sz val="9"/>
            <color indexed="81"/>
            <rFont val="Tahoma"/>
            <family val="2"/>
          </rPr>
          <t>Coste de los fondos (nominal)
K = (1+r) x (1+f) - 1</t>
        </r>
      </text>
    </comment>
    <comment ref="O29" authorId="1" shapeId="0" xr:uid="{B4B474F1-252D-472C-8ED4-17EC9C664461}">
      <text>
        <r>
          <rPr>
            <b/>
            <sz val="9"/>
            <color indexed="81"/>
            <rFont val="Tahoma"/>
            <family val="2"/>
          </rPr>
          <t>141</t>
        </r>
      </text>
    </comment>
    <comment ref="K30" authorId="0" shapeId="0" xr:uid="{959AA12B-76CA-46B9-B0E0-4F2C15E4B907}">
      <text>
        <r>
          <rPr>
            <b/>
            <sz val="9"/>
            <color indexed="81"/>
            <rFont val="Tahoma"/>
            <family val="2"/>
          </rPr>
          <t>Valor residual generado por la liquidación del inmovilizado al final del proyecto</t>
        </r>
      </text>
    </comment>
    <comment ref="L30" authorId="1" shapeId="0" xr:uid="{86EAD444-5246-4793-97AC-1BE7CACA0684}">
      <text>
        <r>
          <rPr>
            <b/>
            <sz val="9"/>
            <color indexed="81"/>
            <rFont val="Tahoma"/>
            <family val="2"/>
          </rPr>
          <t>138</t>
        </r>
      </text>
    </comment>
    <comment ref="K31" authorId="0" shapeId="0" xr:uid="{D55A49C6-EAD4-4CE6-83B1-3D88C2C831DA}">
      <text>
        <r>
          <rPr>
            <b/>
            <sz val="9"/>
            <color indexed="81"/>
            <rFont val="Tahoma"/>
            <family val="2"/>
          </rPr>
          <t>Valor residual generado por la liquidación del fondo de maniobra incremental al final del proyecto</t>
        </r>
      </text>
    </comment>
    <comment ref="L31" authorId="1" shapeId="0" xr:uid="{9FE6EC04-4119-4F15-9E5D-C3E2BEC19128}">
      <text>
        <r>
          <rPr>
            <b/>
            <sz val="9"/>
            <color indexed="81"/>
            <rFont val="Tahoma"/>
            <family val="2"/>
          </rPr>
          <t>139</t>
        </r>
      </text>
    </comment>
    <comment ref="N31" authorId="2" shapeId="0" xr:uid="{FF98BC85-7063-4AA8-8475-473783A265A6}">
      <text>
        <r>
          <rPr>
            <b/>
            <sz val="9"/>
            <color indexed="81"/>
            <rFont val="Tahoma"/>
            <family val="2"/>
          </rPr>
          <t>Valor actualizado neto asociado al proyecto</t>
        </r>
      </text>
    </comment>
    <comment ref="O31" authorId="1" shapeId="0" xr:uid="{C1928C01-E913-47E9-80AA-895409E119FB}">
      <text>
        <r>
          <rPr>
            <b/>
            <sz val="9"/>
            <color indexed="81"/>
            <rFont val="Tahoma"/>
            <family val="2"/>
          </rPr>
          <t>142</t>
        </r>
      </text>
    </comment>
    <comment ref="K32" authorId="0" shapeId="0" xr:uid="{E0DA1259-FC99-4EAA-BBAD-B3A21111ED7D}">
      <text>
        <r>
          <rPr>
            <b/>
            <sz val="9"/>
            <color indexed="81"/>
            <rFont val="Tahoma"/>
            <family val="2"/>
          </rPr>
          <t>Valor residual incremental generado por el proyecto al final de su vida [∆VR AF + ∆VR FM]</t>
        </r>
      </text>
    </comment>
    <comment ref="L32" authorId="1" shapeId="0" xr:uid="{7F490202-6F99-4CA4-8AC3-901EE8B25635}">
      <text>
        <r>
          <rPr>
            <b/>
            <sz val="9"/>
            <color indexed="81"/>
            <rFont val="Tahoma"/>
            <family val="2"/>
          </rPr>
          <t>140</t>
        </r>
      </text>
    </comment>
    <comment ref="L38" authorId="0" shapeId="0" xr:uid="{D8BCDB47-9B15-4C70-9B69-80AB378DB274}">
      <text>
        <r>
          <rPr>
            <b/>
            <sz val="9"/>
            <color indexed="81"/>
            <rFont val="Tahoma"/>
            <family val="2"/>
          </rPr>
          <t>Incremento anual de ventas que aporta el proyecto</t>
        </r>
      </text>
    </comment>
    <comment ref="M38" authorId="0" shapeId="0" xr:uid="{A9F47526-DBF1-4F6F-8009-9FF749B9FD9A}">
      <text>
        <r>
          <rPr>
            <b/>
            <sz val="9"/>
            <color indexed="81"/>
            <rFont val="Tahoma"/>
            <family val="2"/>
          </rPr>
          <t>Incremento anual de costes operativos con desembolso que aporta el proyecto</t>
        </r>
      </text>
    </comment>
    <comment ref="N38" authorId="0" shapeId="0" xr:uid="{88588974-C5D2-4FEA-9327-A2FDD1D065F7}">
      <text>
        <r>
          <rPr>
            <b/>
            <sz val="9"/>
            <color indexed="81"/>
            <rFont val="Tahoma"/>
            <family val="2"/>
          </rPr>
          <t>EBITDA incremental (diferencia entre ventas y costes operativos con desembolso) que aporta el proyecto</t>
        </r>
      </text>
    </comment>
    <comment ref="O38" authorId="0" shapeId="0" xr:uid="{439D5E88-78E7-4FD2-800D-7EDAFC22A251}">
      <text>
        <r>
          <rPr>
            <b/>
            <sz val="9"/>
            <color indexed="81"/>
            <rFont val="Tahoma"/>
            <family val="2"/>
          </rPr>
          <t>Incremento anual de las amortizaciones de inmovilizados que aporta el proyecto</t>
        </r>
      </text>
    </comment>
    <comment ref="P38" authorId="0" shapeId="0" xr:uid="{4CB47226-13BD-407F-ADDA-7EB8D9739BF5}">
      <text>
        <r>
          <rPr>
            <b/>
            <sz val="9"/>
            <color indexed="81"/>
            <rFont val="Tahoma"/>
            <family val="2"/>
          </rPr>
          <t>Incremento anual de beneficio antes de intereses e impuestos</t>
        </r>
      </text>
    </comment>
    <comment ref="Q38" authorId="0" shapeId="0" xr:uid="{992362E9-2845-42DF-8196-01493E391722}">
      <text>
        <r>
          <rPr>
            <b/>
            <sz val="9"/>
            <color indexed="81"/>
            <rFont val="Tahoma"/>
            <family val="2"/>
          </rPr>
          <t>Incremento anual de impuestos (Impuesto de sociedades)</t>
        </r>
      </text>
    </comment>
    <comment ref="R38" authorId="0" shapeId="0" xr:uid="{D216A088-F2ED-4377-B934-55AC72AF5A82}">
      <text>
        <r>
          <rPr>
            <b/>
            <sz val="9"/>
            <color indexed="81"/>
            <rFont val="Tahoma"/>
            <family val="2"/>
          </rPr>
          <t>Incremento anual de beneficio antes de intereses y después de impuestos</t>
        </r>
      </text>
    </comment>
    <comment ref="S38" authorId="0" shapeId="0" xr:uid="{93D97D4A-AA0F-4415-8795-79D824CD1E65}">
      <text>
        <r>
          <rPr>
            <b/>
            <sz val="9"/>
            <color indexed="81"/>
            <rFont val="Tahoma"/>
            <family val="2"/>
          </rPr>
          <t>Incremento de caja anual generado por el proyecto, antes de considerar las inversiones en fondo de maniobra</t>
        </r>
      </text>
    </comment>
    <comment ref="T38" authorId="0" shapeId="0" xr:uid="{421294C5-22BB-466E-A575-2F519300FB17}">
      <text>
        <r>
          <rPr>
            <b/>
            <sz val="9"/>
            <color indexed="81"/>
            <rFont val="Tahoma"/>
            <family val="2"/>
          </rPr>
          <t>Saldo anual de fondo de maniobra generado por el proyecto</t>
        </r>
      </text>
    </comment>
    <comment ref="U38" authorId="0" shapeId="0" xr:uid="{DFEC0547-5783-429E-9E5D-DE6E92720D2A}">
      <text>
        <r>
          <rPr>
            <b/>
            <sz val="9"/>
            <color indexed="81"/>
            <rFont val="Tahoma"/>
            <family val="2"/>
          </rPr>
          <t>Inversión anual en fondo de maniobra exigida por el proyecto</t>
        </r>
      </text>
    </comment>
    <comment ref="V38" authorId="0" shapeId="0" xr:uid="{AE8F8B72-12B2-4AD2-BC0E-32A1F058DE20}">
      <text>
        <r>
          <rPr>
            <b/>
            <sz val="9"/>
            <color indexed="81"/>
            <rFont val="Tahoma"/>
            <family val="2"/>
          </rPr>
          <t>Flujo de caja operativo anual incremental que aporta el proyecto (es decir, sin considerar el desembolso inicial ni el valor residual)</t>
        </r>
      </text>
    </comment>
    <comment ref="W38" authorId="0" shapeId="0" xr:uid="{97E0A226-085E-4FA7-9D36-4A48146BB432}">
      <text>
        <r>
          <rPr>
            <b/>
            <sz val="9"/>
            <color indexed="81"/>
            <rFont val="Tahoma"/>
            <family val="2"/>
          </rPr>
          <t>Impacto anual en caja del proyecto: Generaciones de fondos anuales que incluyen el desembolso inicial y el valor residual (moneda corriente)</t>
        </r>
      </text>
    </comment>
    <comment ref="W39" authorId="1" shapeId="0" xr:uid="{3F18731C-EC7E-4E70-8403-E75D5171C1B7}">
      <text>
        <r>
          <rPr>
            <b/>
            <sz val="9"/>
            <color indexed="81"/>
            <rFont val="Tahoma"/>
            <family val="2"/>
          </rPr>
          <t>198</t>
        </r>
      </text>
    </comment>
    <comment ref="L40" authorId="1" shapeId="0" xr:uid="{DB8093E1-3FD0-4969-A18B-270A00863C40}">
      <text>
        <r>
          <rPr>
            <b/>
            <sz val="9"/>
            <color indexed="81"/>
            <rFont val="Tahoma"/>
            <family val="2"/>
          </rPr>
          <t>143</t>
        </r>
      </text>
    </comment>
    <comment ref="M40" authorId="1" shapeId="0" xr:uid="{E0B066CF-8183-4492-819D-859D9147D35B}">
      <text>
        <r>
          <rPr>
            <b/>
            <sz val="9"/>
            <color indexed="81"/>
            <rFont val="Tahoma"/>
            <family val="2"/>
          </rPr>
          <t>148</t>
        </r>
      </text>
    </comment>
    <comment ref="N40" authorId="1" shapeId="0" xr:uid="{82EFDF0A-7B29-4C0F-AC16-02743D5DCB67}">
      <text>
        <r>
          <rPr>
            <b/>
            <sz val="9"/>
            <color indexed="81"/>
            <rFont val="Tahoma"/>
            <family val="2"/>
          </rPr>
          <t>153</t>
        </r>
      </text>
    </comment>
    <comment ref="O40" authorId="1" shapeId="0" xr:uid="{B1ACDB85-0535-4325-AFEB-AC46DF527107}">
      <text>
        <r>
          <rPr>
            <b/>
            <sz val="9"/>
            <color indexed="81"/>
            <rFont val="Tahoma"/>
            <family val="2"/>
          </rPr>
          <t>158</t>
        </r>
      </text>
    </comment>
    <comment ref="P40" authorId="1" shapeId="0" xr:uid="{7CBD5D6F-6BC7-47C6-A977-475AFEA4FDEC}">
      <text>
        <r>
          <rPr>
            <b/>
            <sz val="9"/>
            <color indexed="81"/>
            <rFont val="Tahoma"/>
            <family val="2"/>
          </rPr>
          <t>163</t>
        </r>
      </text>
    </comment>
    <comment ref="Q40" authorId="1" shapeId="0" xr:uid="{D1F37856-21E8-404B-B790-503A1924A0B5}">
      <text>
        <r>
          <rPr>
            <b/>
            <sz val="9"/>
            <color indexed="81"/>
            <rFont val="Tahoma"/>
            <family val="2"/>
          </rPr>
          <t>168</t>
        </r>
      </text>
    </comment>
    <comment ref="R40" authorId="1" shapeId="0" xr:uid="{366E96D4-7A0D-424E-9DA6-53D79F4FC140}">
      <text>
        <r>
          <rPr>
            <b/>
            <sz val="9"/>
            <color indexed="81"/>
            <rFont val="Tahoma"/>
            <family val="2"/>
          </rPr>
          <t>173</t>
        </r>
      </text>
    </comment>
    <comment ref="S40" authorId="1" shapeId="0" xr:uid="{C51DF278-72CC-48D8-974B-FE629A5C383F}">
      <text>
        <r>
          <rPr>
            <b/>
            <sz val="9"/>
            <color indexed="81"/>
            <rFont val="Tahoma"/>
            <family val="2"/>
          </rPr>
          <t>178</t>
        </r>
      </text>
    </comment>
    <comment ref="T40" authorId="1" shapeId="0" xr:uid="{096B29D0-A8CE-4158-8255-27DB803040B7}">
      <text>
        <r>
          <rPr>
            <b/>
            <sz val="9"/>
            <color indexed="81"/>
            <rFont val="Tahoma"/>
            <family val="2"/>
          </rPr>
          <t>183</t>
        </r>
      </text>
    </comment>
    <comment ref="U40" authorId="1" shapeId="0" xr:uid="{71193179-9628-483D-99D1-7D5DDAC9066E}">
      <text>
        <r>
          <rPr>
            <b/>
            <sz val="9"/>
            <color indexed="81"/>
            <rFont val="Tahoma"/>
            <family val="2"/>
          </rPr>
          <t>188</t>
        </r>
      </text>
    </comment>
    <comment ref="V40" authorId="1" shapeId="0" xr:uid="{3C385A63-8927-4A1D-9653-0D36389B758F}">
      <text>
        <r>
          <rPr>
            <b/>
            <sz val="9"/>
            <color indexed="81"/>
            <rFont val="Tahoma"/>
            <family val="2"/>
          </rPr>
          <t>193</t>
        </r>
      </text>
    </comment>
    <comment ref="W40" authorId="1" shapeId="0" xr:uid="{B677B27A-4A38-4946-846D-2E77FC339F12}">
      <text>
        <r>
          <rPr>
            <b/>
            <sz val="9"/>
            <color indexed="81"/>
            <rFont val="Tahoma"/>
            <family val="2"/>
          </rPr>
          <t>199</t>
        </r>
      </text>
    </comment>
    <comment ref="L41" authorId="1" shapeId="0" xr:uid="{37ADF5B0-637D-4611-AB71-1C59C29603BB}">
      <text>
        <r>
          <rPr>
            <b/>
            <sz val="9"/>
            <color indexed="81"/>
            <rFont val="Tahoma"/>
            <family val="2"/>
          </rPr>
          <t>144</t>
        </r>
      </text>
    </comment>
    <comment ref="M41" authorId="1" shapeId="0" xr:uid="{35FD07D7-E6B6-42A2-9328-0F3B2FFFA4D2}">
      <text>
        <r>
          <rPr>
            <b/>
            <sz val="9"/>
            <color indexed="81"/>
            <rFont val="Tahoma"/>
            <family val="2"/>
          </rPr>
          <t>149</t>
        </r>
      </text>
    </comment>
    <comment ref="N41" authorId="1" shapeId="0" xr:uid="{10DAE12A-3D6B-48CF-AC8B-DFF782AA09ED}">
      <text>
        <r>
          <rPr>
            <b/>
            <sz val="9"/>
            <color indexed="81"/>
            <rFont val="Tahoma"/>
            <family val="2"/>
          </rPr>
          <t>154</t>
        </r>
      </text>
    </comment>
    <comment ref="O41" authorId="1" shapeId="0" xr:uid="{2F4ED788-D19C-4EAC-85AF-3AFDFB1BCC2A}">
      <text>
        <r>
          <rPr>
            <b/>
            <sz val="9"/>
            <color indexed="81"/>
            <rFont val="Tahoma"/>
            <family val="2"/>
          </rPr>
          <t>159</t>
        </r>
      </text>
    </comment>
    <comment ref="P41" authorId="1" shapeId="0" xr:uid="{548B59F1-6352-4532-8285-065D45EAE369}">
      <text>
        <r>
          <rPr>
            <b/>
            <sz val="9"/>
            <color indexed="81"/>
            <rFont val="Tahoma"/>
            <family val="2"/>
          </rPr>
          <t>164</t>
        </r>
      </text>
    </comment>
    <comment ref="Q41" authorId="1" shapeId="0" xr:uid="{39A23E44-FA4E-4CD8-B892-7B1E7BF48CA3}">
      <text>
        <r>
          <rPr>
            <b/>
            <sz val="9"/>
            <color indexed="81"/>
            <rFont val="Tahoma"/>
            <family val="2"/>
          </rPr>
          <t>169</t>
        </r>
      </text>
    </comment>
    <comment ref="R41" authorId="1" shapeId="0" xr:uid="{ADFA8BB8-E6A4-4838-97EC-1A12F3455235}">
      <text>
        <r>
          <rPr>
            <b/>
            <sz val="9"/>
            <color indexed="81"/>
            <rFont val="Tahoma"/>
            <family val="2"/>
          </rPr>
          <t>174</t>
        </r>
      </text>
    </comment>
    <comment ref="S41" authorId="1" shapeId="0" xr:uid="{93FD7031-DAED-4A7C-B2E0-6A23E3A255CD}">
      <text>
        <r>
          <rPr>
            <b/>
            <sz val="9"/>
            <color indexed="81"/>
            <rFont val="Tahoma"/>
            <family val="2"/>
          </rPr>
          <t>179</t>
        </r>
      </text>
    </comment>
    <comment ref="T41" authorId="1" shapeId="0" xr:uid="{FDBE33FA-B263-486F-A1D9-0CE32416C4AC}">
      <text>
        <r>
          <rPr>
            <b/>
            <sz val="9"/>
            <color indexed="81"/>
            <rFont val="Tahoma"/>
            <family val="2"/>
          </rPr>
          <t>184</t>
        </r>
      </text>
    </comment>
    <comment ref="U41" authorId="1" shapeId="0" xr:uid="{8792FDC4-AAC7-4788-AA59-5CF6DE6A4838}">
      <text>
        <r>
          <rPr>
            <b/>
            <sz val="9"/>
            <color indexed="81"/>
            <rFont val="Tahoma"/>
            <family val="2"/>
          </rPr>
          <t>189</t>
        </r>
      </text>
    </comment>
    <comment ref="V41" authorId="1" shapeId="0" xr:uid="{200437F4-E814-4DB2-A474-2084C53C9E18}">
      <text>
        <r>
          <rPr>
            <b/>
            <sz val="9"/>
            <color indexed="81"/>
            <rFont val="Tahoma"/>
            <family val="2"/>
          </rPr>
          <t>194</t>
        </r>
      </text>
    </comment>
    <comment ref="W41" authorId="1" shapeId="0" xr:uid="{BB1749A8-B130-4C20-A031-043BA8F8BFA7}">
      <text>
        <r>
          <rPr>
            <b/>
            <sz val="9"/>
            <color indexed="81"/>
            <rFont val="Tahoma"/>
            <family val="2"/>
          </rPr>
          <t>200</t>
        </r>
      </text>
    </comment>
    <comment ref="L42" authorId="1" shapeId="0" xr:uid="{83B4D75B-D941-423B-A7BB-BE1794D98D29}">
      <text>
        <r>
          <rPr>
            <b/>
            <sz val="9"/>
            <color indexed="81"/>
            <rFont val="Tahoma"/>
            <family val="2"/>
          </rPr>
          <t>145</t>
        </r>
      </text>
    </comment>
    <comment ref="M42" authorId="1" shapeId="0" xr:uid="{1E5B59B4-B196-4974-9B9C-1C5745748353}">
      <text>
        <r>
          <rPr>
            <b/>
            <sz val="9"/>
            <color indexed="81"/>
            <rFont val="Tahoma"/>
            <family val="2"/>
          </rPr>
          <t>150</t>
        </r>
      </text>
    </comment>
    <comment ref="N42" authorId="1" shapeId="0" xr:uid="{8AFBD370-594D-43BE-B068-640E7BC276A8}">
      <text>
        <r>
          <rPr>
            <b/>
            <sz val="9"/>
            <color indexed="81"/>
            <rFont val="Tahoma"/>
            <family val="2"/>
          </rPr>
          <t>155</t>
        </r>
      </text>
    </comment>
    <comment ref="O42" authorId="1" shapeId="0" xr:uid="{E1B271E2-212A-4782-AE14-0BAD5D784945}">
      <text>
        <r>
          <rPr>
            <b/>
            <sz val="9"/>
            <color indexed="81"/>
            <rFont val="Tahoma"/>
            <family val="2"/>
          </rPr>
          <t>160</t>
        </r>
      </text>
    </comment>
    <comment ref="P42" authorId="1" shapeId="0" xr:uid="{DC8AA5BA-70C2-43A3-804A-45595415F4C4}">
      <text>
        <r>
          <rPr>
            <b/>
            <sz val="9"/>
            <color indexed="81"/>
            <rFont val="Tahoma"/>
            <family val="2"/>
          </rPr>
          <t>165</t>
        </r>
      </text>
    </comment>
    <comment ref="Q42" authorId="1" shapeId="0" xr:uid="{DC0C1C39-FCA7-46AC-B25C-84076A8E5509}">
      <text>
        <r>
          <rPr>
            <b/>
            <sz val="9"/>
            <color indexed="81"/>
            <rFont val="Tahoma"/>
            <family val="2"/>
          </rPr>
          <t>170</t>
        </r>
      </text>
    </comment>
    <comment ref="R42" authorId="1" shapeId="0" xr:uid="{EA8CE552-0C5C-4D9A-8290-497797D06046}">
      <text>
        <r>
          <rPr>
            <b/>
            <sz val="9"/>
            <color indexed="81"/>
            <rFont val="Tahoma"/>
            <family val="2"/>
          </rPr>
          <t>175</t>
        </r>
      </text>
    </comment>
    <comment ref="S42" authorId="1" shapeId="0" xr:uid="{61F8E6FF-F1CB-4A43-8BB7-AFCD3EAD0A33}">
      <text>
        <r>
          <rPr>
            <b/>
            <sz val="9"/>
            <color indexed="81"/>
            <rFont val="Tahoma"/>
            <family val="2"/>
          </rPr>
          <t>180</t>
        </r>
      </text>
    </comment>
    <comment ref="T42" authorId="1" shapeId="0" xr:uid="{A6B94E97-66C3-403C-AAC5-F862FA34E6F3}">
      <text>
        <r>
          <rPr>
            <b/>
            <sz val="9"/>
            <color indexed="81"/>
            <rFont val="Tahoma"/>
            <family val="2"/>
          </rPr>
          <t>185</t>
        </r>
      </text>
    </comment>
    <comment ref="U42" authorId="1" shapeId="0" xr:uid="{ABA7E331-CE70-4E98-B18F-D71F4F190369}">
      <text>
        <r>
          <rPr>
            <b/>
            <sz val="9"/>
            <color indexed="81"/>
            <rFont val="Tahoma"/>
            <family val="2"/>
          </rPr>
          <t>190</t>
        </r>
      </text>
    </comment>
    <comment ref="V42" authorId="1" shapeId="0" xr:uid="{E17601E6-22B3-4216-A5B3-4CE7C7731C39}">
      <text>
        <r>
          <rPr>
            <b/>
            <sz val="9"/>
            <color indexed="81"/>
            <rFont val="Tahoma"/>
            <family val="2"/>
          </rPr>
          <t>195</t>
        </r>
      </text>
    </comment>
    <comment ref="W42" authorId="1" shapeId="0" xr:uid="{FA6A4C62-E85F-4BE3-B6FA-AD5160A099B9}">
      <text>
        <r>
          <rPr>
            <b/>
            <sz val="9"/>
            <color indexed="81"/>
            <rFont val="Tahoma"/>
            <family val="2"/>
          </rPr>
          <t>201</t>
        </r>
      </text>
    </comment>
    <comment ref="L43" authorId="1" shapeId="0" xr:uid="{5E81D5C5-671A-4202-A37C-9ACD195FC354}">
      <text>
        <r>
          <rPr>
            <b/>
            <sz val="9"/>
            <color indexed="81"/>
            <rFont val="Tahoma"/>
            <family val="2"/>
          </rPr>
          <t>146</t>
        </r>
      </text>
    </comment>
    <comment ref="M43" authorId="1" shapeId="0" xr:uid="{13E9DA36-BA04-452A-9A32-765E8B5FF189}">
      <text>
        <r>
          <rPr>
            <b/>
            <sz val="9"/>
            <color indexed="81"/>
            <rFont val="Tahoma"/>
            <family val="2"/>
          </rPr>
          <t>151</t>
        </r>
      </text>
    </comment>
    <comment ref="N43" authorId="1" shapeId="0" xr:uid="{9FDBF0B8-EAEC-4F46-816E-FCAAE33D705E}">
      <text>
        <r>
          <rPr>
            <b/>
            <sz val="9"/>
            <color indexed="81"/>
            <rFont val="Tahoma"/>
            <family val="2"/>
          </rPr>
          <t>156</t>
        </r>
      </text>
    </comment>
    <comment ref="O43" authorId="1" shapeId="0" xr:uid="{B50C1339-B66C-4B3C-894F-0448D80F1E22}">
      <text>
        <r>
          <rPr>
            <b/>
            <sz val="9"/>
            <color indexed="81"/>
            <rFont val="Tahoma"/>
            <family val="2"/>
          </rPr>
          <t>161</t>
        </r>
      </text>
    </comment>
    <comment ref="P43" authorId="1" shapeId="0" xr:uid="{E724A293-5409-4606-8CEA-EB6B9C313823}">
      <text>
        <r>
          <rPr>
            <b/>
            <sz val="9"/>
            <color indexed="81"/>
            <rFont val="Tahoma"/>
            <family val="2"/>
          </rPr>
          <t>166</t>
        </r>
      </text>
    </comment>
    <comment ref="Q43" authorId="1" shapeId="0" xr:uid="{17FBCB9C-3832-4625-AEE3-46E2CCEAE82B}">
      <text>
        <r>
          <rPr>
            <b/>
            <sz val="9"/>
            <color indexed="81"/>
            <rFont val="Tahoma"/>
            <family val="2"/>
          </rPr>
          <t>171</t>
        </r>
      </text>
    </comment>
    <comment ref="R43" authorId="1" shapeId="0" xr:uid="{E27A02B8-14C2-41F6-A497-028A08CB19D9}">
      <text>
        <r>
          <rPr>
            <b/>
            <sz val="9"/>
            <color indexed="81"/>
            <rFont val="Tahoma"/>
            <family val="2"/>
          </rPr>
          <t>176</t>
        </r>
      </text>
    </comment>
    <comment ref="S43" authorId="1" shapeId="0" xr:uid="{0E6441EC-F36D-4315-B437-BAD7E17DA494}">
      <text>
        <r>
          <rPr>
            <b/>
            <sz val="9"/>
            <color indexed="81"/>
            <rFont val="Tahoma"/>
            <family val="2"/>
          </rPr>
          <t>181</t>
        </r>
      </text>
    </comment>
    <comment ref="T43" authorId="1" shapeId="0" xr:uid="{C124354E-9196-4DE1-827C-BA5418F91491}">
      <text>
        <r>
          <rPr>
            <b/>
            <sz val="9"/>
            <color indexed="81"/>
            <rFont val="Tahoma"/>
            <family val="2"/>
          </rPr>
          <t>186</t>
        </r>
      </text>
    </comment>
    <comment ref="U43" authorId="1" shapeId="0" xr:uid="{9A1695C4-C611-478A-9762-255CE70EB5B0}">
      <text>
        <r>
          <rPr>
            <b/>
            <sz val="9"/>
            <color indexed="81"/>
            <rFont val="Tahoma"/>
            <family val="2"/>
          </rPr>
          <t>191</t>
        </r>
      </text>
    </comment>
    <comment ref="V43" authorId="1" shapeId="0" xr:uid="{BCF7B5F4-D31D-463C-8EE7-C6EE80E053F7}">
      <text>
        <r>
          <rPr>
            <b/>
            <sz val="9"/>
            <color indexed="81"/>
            <rFont val="Tahoma"/>
            <family val="2"/>
          </rPr>
          <t>196</t>
        </r>
      </text>
    </comment>
    <comment ref="W43" authorId="1" shapeId="0" xr:uid="{966B270E-A2C5-48BA-B3D0-7C29FE3E756A}">
      <text>
        <r>
          <rPr>
            <b/>
            <sz val="9"/>
            <color indexed="81"/>
            <rFont val="Tahoma"/>
            <family val="2"/>
          </rPr>
          <t>202</t>
        </r>
      </text>
    </comment>
    <comment ref="L44" authorId="1" shapeId="0" xr:uid="{4D867214-2F52-4BBE-B0F7-45B29593E5CF}">
      <text>
        <r>
          <rPr>
            <b/>
            <sz val="9"/>
            <color indexed="81"/>
            <rFont val="Tahoma"/>
            <family val="2"/>
          </rPr>
          <t>147</t>
        </r>
      </text>
    </comment>
    <comment ref="M44" authorId="1" shapeId="0" xr:uid="{DEAC5266-4929-4AE7-98D9-3AAACF6D73F0}">
      <text>
        <r>
          <rPr>
            <b/>
            <sz val="9"/>
            <color indexed="81"/>
            <rFont val="Tahoma"/>
            <family val="2"/>
          </rPr>
          <t>152</t>
        </r>
      </text>
    </comment>
    <comment ref="N44" authorId="1" shapeId="0" xr:uid="{468A151E-0AB7-410A-933D-3938049112CA}">
      <text>
        <r>
          <rPr>
            <b/>
            <sz val="9"/>
            <color indexed="81"/>
            <rFont val="Tahoma"/>
            <family val="2"/>
          </rPr>
          <t>157</t>
        </r>
      </text>
    </comment>
    <comment ref="O44" authorId="1" shapeId="0" xr:uid="{C1FBA365-3C71-4205-871F-E35B602A29AE}">
      <text>
        <r>
          <rPr>
            <b/>
            <sz val="9"/>
            <color indexed="81"/>
            <rFont val="Tahoma"/>
            <family val="2"/>
          </rPr>
          <t>162</t>
        </r>
      </text>
    </comment>
    <comment ref="P44" authorId="1" shapeId="0" xr:uid="{4E73FDC1-9990-444B-BC87-A6C42AE1ABC9}">
      <text>
        <r>
          <rPr>
            <b/>
            <sz val="9"/>
            <color indexed="81"/>
            <rFont val="Tahoma"/>
            <family val="2"/>
          </rPr>
          <t>167</t>
        </r>
      </text>
    </comment>
    <comment ref="Q44" authorId="1" shapeId="0" xr:uid="{4AF41284-D6F7-4C15-8C3F-2585F7E45ADD}">
      <text>
        <r>
          <rPr>
            <b/>
            <sz val="9"/>
            <color indexed="81"/>
            <rFont val="Tahoma"/>
            <family val="2"/>
          </rPr>
          <t>172</t>
        </r>
      </text>
    </comment>
    <comment ref="R44" authorId="1" shapeId="0" xr:uid="{8187C9D9-E987-4F5C-A851-FA3BEA284A0A}">
      <text>
        <r>
          <rPr>
            <b/>
            <sz val="9"/>
            <color indexed="81"/>
            <rFont val="Tahoma"/>
            <family val="2"/>
          </rPr>
          <t>177</t>
        </r>
      </text>
    </comment>
    <comment ref="S44" authorId="1" shapeId="0" xr:uid="{013F6C8F-E3F4-4FC4-8DFA-8D5843845890}">
      <text>
        <r>
          <rPr>
            <b/>
            <sz val="9"/>
            <color indexed="81"/>
            <rFont val="Tahoma"/>
            <family val="2"/>
          </rPr>
          <t>182</t>
        </r>
      </text>
    </comment>
    <comment ref="T44" authorId="1" shapeId="0" xr:uid="{538864FA-00BE-42BA-B193-CA0941812D7E}">
      <text>
        <r>
          <rPr>
            <b/>
            <sz val="9"/>
            <color indexed="81"/>
            <rFont val="Tahoma"/>
            <family val="2"/>
          </rPr>
          <t>187</t>
        </r>
      </text>
    </comment>
    <comment ref="U44" authorId="1" shapeId="0" xr:uid="{1FC047A3-39CC-4B48-9505-5D2A04C4E734}">
      <text>
        <r>
          <rPr>
            <b/>
            <sz val="9"/>
            <color indexed="81"/>
            <rFont val="Tahoma"/>
            <family val="2"/>
          </rPr>
          <t>192</t>
        </r>
      </text>
    </comment>
    <comment ref="V44" authorId="1" shapeId="0" xr:uid="{72A296F1-BC17-4DF3-B965-7DA92727C97C}">
      <text>
        <r>
          <rPr>
            <b/>
            <sz val="9"/>
            <color indexed="81"/>
            <rFont val="Tahoma"/>
            <family val="2"/>
          </rPr>
          <t>197</t>
        </r>
      </text>
    </comment>
    <comment ref="W44" authorId="1" shapeId="0" xr:uid="{0CED4A91-3228-4534-A5D0-E5CB402F40F4}">
      <text>
        <r>
          <rPr>
            <b/>
            <sz val="9"/>
            <color indexed="81"/>
            <rFont val="Tahoma"/>
            <family val="2"/>
          </rPr>
          <t>203</t>
        </r>
      </text>
    </comment>
    <comment ref="K46" authorId="0" shapeId="0" xr:uid="{A8BD9C28-AC01-4965-93C7-BBAAA8B33640}">
      <text>
        <r>
          <rPr>
            <b/>
            <sz val="9"/>
            <color indexed="81"/>
            <rFont val="Tahoma"/>
            <family val="2"/>
          </rPr>
          <t>Desembolso inicial: inversión exigida por el proyecto en el momento cero</t>
        </r>
      </text>
    </comment>
    <comment ref="L46" authorId="1" shapeId="0" xr:uid="{30F5E17E-13D5-4A95-94A0-30D0B6097794}">
      <text>
        <r>
          <rPr>
            <b/>
            <sz val="9"/>
            <color indexed="81"/>
            <rFont val="Tahoma"/>
            <family val="2"/>
          </rPr>
          <t>204</t>
        </r>
      </text>
    </comment>
    <comment ref="N46" authorId="0" shapeId="0" xr:uid="{2DC928FC-897D-470B-B6E3-D4CCEED22551}">
      <text>
        <r>
          <rPr>
            <b/>
            <sz val="9"/>
            <color indexed="81"/>
            <rFont val="Tahoma"/>
            <family val="2"/>
          </rPr>
          <t>Coste de los fondos (nominal)
K = (1+r) x (1+f) - 1</t>
        </r>
      </text>
    </comment>
    <comment ref="O46" authorId="1" shapeId="0" xr:uid="{AFAAA0C2-5316-4C10-9118-2619C999FEBE}">
      <text>
        <r>
          <rPr>
            <b/>
            <sz val="9"/>
            <color indexed="81"/>
            <rFont val="Tahoma"/>
            <family val="2"/>
          </rPr>
          <t>208</t>
        </r>
      </text>
    </comment>
    <comment ref="K47" authorId="0" shapeId="0" xr:uid="{61C51C25-AE64-4A4A-AA31-FFC44754F38F}">
      <text>
        <r>
          <rPr>
            <b/>
            <sz val="9"/>
            <color indexed="81"/>
            <rFont val="Tahoma"/>
            <family val="2"/>
          </rPr>
          <t>Valor residual generado por la liquidación del inmovilizado al final del proyecto</t>
        </r>
      </text>
    </comment>
    <comment ref="L47" authorId="1" shapeId="0" xr:uid="{F5843625-C0EE-4034-8331-6C41482DBF57}">
      <text>
        <r>
          <rPr>
            <b/>
            <sz val="9"/>
            <color indexed="81"/>
            <rFont val="Tahoma"/>
            <family val="2"/>
          </rPr>
          <t>205</t>
        </r>
      </text>
    </comment>
    <comment ref="K48" authorId="0" shapeId="0" xr:uid="{C4545CD7-428B-469E-8CAE-6145E3AEB0F8}">
      <text>
        <r>
          <rPr>
            <b/>
            <sz val="9"/>
            <color indexed="81"/>
            <rFont val="Tahoma"/>
            <family val="2"/>
          </rPr>
          <t>Valor residual generado por la liquidación del fondo de maniobra incremental al final del proyecto</t>
        </r>
      </text>
    </comment>
    <comment ref="L48" authorId="1" shapeId="0" xr:uid="{1CAAFD7A-16DA-4D1A-816D-0EED7E62DBAB}">
      <text>
        <r>
          <rPr>
            <b/>
            <sz val="9"/>
            <color indexed="81"/>
            <rFont val="Tahoma"/>
            <family val="2"/>
          </rPr>
          <t>206</t>
        </r>
      </text>
    </comment>
    <comment ref="N48" authorId="2" shapeId="0" xr:uid="{B9970E60-51CB-4D9E-BD62-5CF6FAEDA096}">
      <text>
        <r>
          <rPr>
            <b/>
            <sz val="9"/>
            <color indexed="81"/>
            <rFont val="Tahoma"/>
            <family val="2"/>
          </rPr>
          <t>Valor actualizado neto asociado al proyecto</t>
        </r>
      </text>
    </comment>
    <comment ref="O48" authorId="1" shapeId="0" xr:uid="{1D84217B-5F7F-4C43-809B-C5CE63E01653}">
      <text>
        <r>
          <rPr>
            <b/>
            <sz val="9"/>
            <color indexed="81"/>
            <rFont val="Tahoma"/>
            <family val="2"/>
          </rPr>
          <t>209</t>
        </r>
      </text>
    </comment>
    <comment ref="K49" authorId="0" shapeId="0" xr:uid="{425CD892-14C2-4537-A7A7-52088FB019F8}">
      <text>
        <r>
          <rPr>
            <b/>
            <sz val="9"/>
            <color indexed="81"/>
            <rFont val="Tahoma"/>
            <family val="2"/>
          </rPr>
          <t>Valor residual incremental generado por el proyecto al final de su vida [∆VR AF + ∆VR FM]</t>
        </r>
      </text>
    </comment>
    <comment ref="L49" authorId="1" shapeId="0" xr:uid="{BD8790CD-5CC6-412D-B0A4-B89F8984928E}">
      <text>
        <r>
          <rPr>
            <b/>
            <sz val="9"/>
            <color indexed="81"/>
            <rFont val="Tahoma"/>
            <family val="2"/>
          </rPr>
          <t>207</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L4" authorId="0" shapeId="0" xr:uid="{D999BCAF-2B60-47A0-B0AB-D1AB6102747B}">
      <text>
        <r>
          <rPr>
            <b/>
            <sz val="9"/>
            <color indexed="81"/>
            <rFont val="Tahoma"/>
            <family val="2"/>
          </rPr>
          <t>Incremento anual de ventas que aporta el proyecto</t>
        </r>
      </text>
    </comment>
    <comment ref="M4" authorId="0" shapeId="0" xr:uid="{3EC7B4B3-1335-41F0-8541-6E00C50F2515}">
      <text>
        <r>
          <rPr>
            <b/>
            <sz val="9"/>
            <color indexed="81"/>
            <rFont val="Tahoma"/>
            <family val="2"/>
          </rPr>
          <t>Incremento anual de costes operativos con desembolso que aporta el proyecto</t>
        </r>
      </text>
    </comment>
    <comment ref="N4" authorId="0" shapeId="0" xr:uid="{C777C782-7BE0-49BA-BEA0-0DFD172B9A2A}">
      <text>
        <r>
          <rPr>
            <b/>
            <sz val="9"/>
            <color indexed="81"/>
            <rFont val="Tahoma"/>
            <family val="2"/>
          </rPr>
          <t>EBITDA incremental (diferencia entre ventas y costes operativos con desembolso) que aporta el proyecto</t>
        </r>
      </text>
    </comment>
    <comment ref="O4" authorId="0" shapeId="0" xr:uid="{44D86849-F566-468F-B7D4-8BA39F2A054C}">
      <text>
        <r>
          <rPr>
            <b/>
            <sz val="9"/>
            <color indexed="81"/>
            <rFont val="Tahoma"/>
            <family val="2"/>
          </rPr>
          <t>Incremento anual de las amortizaciones de inmovilizados que aporta el proyecto</t>
        </r>
      </text>
    </comment>
    <comment ref="P4" authorId="0" shapeId="0" xr:uid="{6DA47F22-1303-4BD1-A7A5-CE5AABF1A3DF}">
      <text>
        <r>
          <rPr>
            <b/>
            <sz val="9"/>
            <color indexed="81"/>
            <rFont val="Tahoma"/>
            <family val="2"/>
          </rPr>
          <t>Incremento anual de beneficio antes de intereses e impuestos</t>
        </r>
      </text>
    </comment>
    <comment ref="Q4" authorId="0" shapeId="0" xr:uid="{7456B357-EE5A-4925-9A21-38A490CABCE1}">
      <text>
        <r>
          <rPr>
            <b/>
            <sz val="9"/>
            <color indexed="81"/>
            <rFont val="Tahoma"/>
            <family val="2"/>
          </rPr>
          <t>Incremento anual de impuestos (Impuesto de sociedades)</t>
        </r>
      </text>
    </comment>
    <comment ref="R4" authorId="0" shapeId="0" xr:uid="{C5140F67-FBB6-435A-AB4F-0EA1809F6BE7}">
      <text>
        <r>
          <rPr>
            <b/>
            <sz val="9"/>
            <color indexed="81"/>
            <rFont val="Tahoma"/>
            <family val="2"/>
          </rPr>
          <t>Incremento anual de beneficio antes de intereses y después de impuestos</t>
        </r>
      </text>
    </comment>
    <comment ref="S4" authorId="0" shapeId="0" xr:uid="{746E688A-9FC0-4A29-A19E-F9C6A5DF53E7}">
      <text>
        <r>
          <rPr>
            <b/>
            <sz val="9"/>
            <color indexed="81"/>
            <rFont val="Tahoma"/>
            <family val="2"/>
          </rPr>
          <t>Incremento de caja anual generado por el proyecto, antes de considerar las inversiones en fondo de maniobra</t>
        </r>
      </text>
    </comment>
    <comment ref="T4" authorId="0" shapeId="0" xr:uid="{B396BA37-73B1-4E3A-A518-AAE39BA939BF}">
      <text>
        <r>
          <rPr>
            <b/>
            <sz val="9"/>
            <color indexed="81"/>
            <rFont val="Tahoma"/>
            <family val="2"/>
          </rPr>
          <t>Saldo anual de fondo de maniobra generado por el proyecto</t>
        </r>
      </text>
    </comment>
    <comment ref="U4" authorId="0" shapeId="0" xr:uid="{295049E6-AC40-4EFB-87E5-B00A9B999A7B}">
      <text>
        <r>
          <rPr>
            <b/>
            <sz val="9"/>
            <color indexed="81"/>
            <rFont val="Tahoma"/>
            <family val="2"/>
          </rPr>
          <t>Inversión anual en fondo de maniobra exigida por el proyecto</t>
        </r>
      </text>
    </comment>
    <comment ref="V4" authorId="0" shapeId="0" xr:uid="{36BFFEDF-1EBD-4B9C-85BA-978716DBC651}">
      <text>
        <r>
          <rPr>
            <b/>
            <sz val="9"/>
            <color indexed="81"/>
            <rFont val="Tahoma"/>
            <family val="2"/>
          </rPr>
          <t>Flujo de caja operativo anual incremental que aporta el proyecto (es decir, sin considerar el desembolso inicial ni el valor residual)</t>
        </r>
      </text>
    </comment>
    <comment ref="W4" authorId="0" shapeId="0" xr:uid="{F782F797-1078-482C-B851-2AD9FD27C9DD}">
      <text>
        <r>
          <rPr>
            <b/>
            <sz val="9"/>
            <color indexed="81"/>
            <rFont val="Tahoma"/>
            <family val="2"/>
          </rPr>
          <t>Impacto anual en caja del proyecto: Generaciones de fondos anuales que incluyen el desembolso inicial y el valor residual (moneda corriente)</t>
        </r>
      </text>
    </comment>
    <comment ref="Y4" authorId="0" shapeId="0" xr:uid="{6FDA5545-6A63-49B4-8290-FEB5CA8C071F}">
      <text>
        <r>
          <rPr>
            <b/>
            <sz val="9"/>
            <color indexed="81"/>
            <rFont val="Tahoma"/>
            <family val="2"/>
          </rPr>
          <t>Impacto anual en caja del proyecto: Generaciones de fondos anuales que incluyen el desembolso inicial y el valor residual (moneda constante)</t>
        </r>
      </text>
    </comment>
    <comment ref="W5" authorId="1" shapeId="0" xr:uid="{6312CF47-3231-4C20-8455-FCA0C4E5477D}">
      <text>
        <r>
          <rPr>
            <b/>
            <sz val="9"/>
            <color indexed="81"/>
            <rFont val="Tahoma"/>
            <family val="2"/>
          </rPr>
          <t>056</t>
        </r>
      </text>
    </comment>
    <comment ref="Y5" authorId="1" shapeId="0" xr:uid="{3E7D3652-5D4B-4321-A05E-277AEF1D1D34}">
      <text>
        <r>
          <rPr>
            <b/>
            <sz val="9"/>
            <color indexed="81"/>
            <rFont val="Tahoma"/>
            <family val="2"/>
          </rPr>
          <t>068</t>
        </r>
      </text>
    </comment>
    <comment ref="L6" authorId="1" shapeId="0" xr:uid="{5B683F33-4CDF-4117-95FA-C0E7287700BF}">
      <text>
        <r>
          <rPr>
            <b/>
            <sz val="9"/>
            <color indexed="81"/>
            <rFont val="Tahoma"/>
            <family val="2"/>
          </rPr>
          <t>001</t>
        </r>
      </text>
    </comment>
    <comment ref="M6" authorId="1" shapeId="0" xr:uid="{B4C3E99D-B9CC-42D6-BC27-AD69F95F7F1B}">
      <text>
        <r>
          <rPr>
            <b/>
            <sz val="9"/>
            <color indexed="81"/>
            <rFont val="Tahoma"/>
            <family val="2"/>
          </rPr>
          <t>006</t>
        </r>
      </text>
    </comment>
    <comment ref="N6" authorId="1" shapeId="0" xr:uid="{CA291488-576B-4F85-9BDC-794755282379}">
      <text>
        <r>
          <rPr>
            <b/>
            <sz val="9"/>
            <color indexed="81"/>
            <rFont val="Tahoma"/>
            <family val="2"/>
          </rPr>
          <t>011</t>
        </r>
      </text>
    </comment>
    <comment ref="O6" authorId="1" shapeId="0" xr:uid="{3C6377F4-A2E6-4D73-8910-78B63DB884CD}">
      <text>
        <r>
          <rPr>
            <b/>
            <sz val="9"/>
            <color indexed="81"/>
            <rFont val="Tahoma"/>
            <family val="2"/>
          </rPr>
          <t>016</t>
        </r>
      </text>
    </comment>
    <comment ref="P6" authorId="1" shapeId="0" xr:uid="{867B3827-4749-4E82-8551-9588380356A5}">
      <text>
        <r>
          <rPr>
            <b/>
            <sz val="9"/>
            <color indexed="81"/>
            <rFont val="Tahoma"/>
            <family val="2"/>
          </rPr>
          <t>021</t>
        </r>
      </text>
    </comment>
    <comment ref="Q6" authorId="1" shapeId="0" xr:uid="{480D1ECF-6245-4896-85ED-A603EA269F8A}">
      <text>
        <r>
          <rPr>
            <b/>
            <sz val="9"/>
            <color indexed="81"/>
            <rFont val="Tahoma"/>
            <family val="2"/>
          </rPr>
          <t>026</t>
        </r>
      </text>
    </comment>
    <comment ref="R6" authorId="1" shapeId="0" xr:uid="{6567A0C1-84CF-4188-BBA1-F5AA2646ABF4}">
      <text>
        <r>
          <rPr>
            <b/>
            <sz val="9"/>
            <color indexed="81"/>
            <rFont val="Tahoma"/>
            <family val="2"/>
          </rPr>
          <t>031</t>
        </r>
      </text>
    </comment>
    <comment ref="S6" authorId="1" shapeId="0" xr:uid="{E0F0DA50-AC28-474D-A387-CA3C9DA02EAB}">
      <text>
        <r>
          <rPr>
            <b/>
            <sz val="9"/>
            <color indexed="81"/>
            <rFont val="Tahoma"/>
            <family val="2"/>
          </rPr>
          <t>036</t>
        </r>
      </text>
    </comment>
    <comment ref="T6" authorId="1" shapeId="0" xr:uid="{12D281D5-FFB4-448D-AC60-560BCCE892C7}">
      <text>
        <r>
          <rPr>
            <b/>
            <sz val="9"/>
            <color indexed="81"/>
            <rFont val="Tahoma"/>
            <family val="2"/>
          </rPr>
          <t>041</t>
        </r>
      </text>
    </comment>
    <comment ref="U6" authorId="1" shapeId="0" xr:uid="{1C148907-1A6D-4CEF-A784-F3FEF0BABDA7}">
      <text>
        <r>
          <rPr>
            <b/>
            <sz val="9"/>
            <color indexed="81"/>
            <rFont val="Tahoma"/>
            <family val="2"/>
          </rPr>
          <t>046</t>
        </r>
      </text>
    </comment>
    <comment ref="V6" authorId="1" shapeId="0" xr:uid="{91B376A6-D5AD-45A5-8663-2DE79B33A2FC}">
      <text>
        <r>
          <rPr>
            <b/>
            <sz val="9"/>
            <color indexed="81"/>
            <rFont val="Tahoma"/>
            <family val="2"/>
          </rPr>
          <t>051</t>
        </r>
      </text>
    </comment>
    <comment ref="W6" authorId="1" shapeId="0" xr:uid="{55B3EB7D-4683-4B34-B6C7-B1800C4A2B94}">
      <text>
        <r>
          <rPr>
            <b/>
            <sz val="9"/>
            <color indexed="81"/>
            <rFont val="Tahoma"/>
            <family val="2"/>
          </rPr>
          <t>057</t>
        </r>
      </text>
    </comment>
    <comment ref="Y6" authorId="1" shapeId="0" xr:uid="{0D90080E-97D3-40D1-97DD-BEBAF1B155ED}">
      <text>
        <r>
          <rPr>
            <b/>
            <sz val="9"/>
            <color indexed="81"/>
            <rFont val="Tahoma"/>
            <family val="2"/>
          </rPr>
          <t>069</t>
        </r>
      </text>
    </comment>
    <comment ref="L7" authorId="1" shapeId="0" xr:uid="{DF97C5B8-7241-48F3-B9D8-8F74D0B0062C}">
      <text>
        <r>
          <rPr>
            <b/>
            <sz val="9"/>
            <color indexed="81"/>
            <rFont val="Tahoma"/>
            <family val="2"/>
          </rPr>
          <t>002</t>
        </r>
      </text>
    </comment>
    <comment ref="M7" authorId="1" shapeId="0" xr:uid="{D4346385-2B5C-446A-8032-DC211951CB34}">
      <text>
        <r>
          <rPr>
            <b/>
            <sz val="9"/>
            <color indexed="81"/>
            <rFont val="Tahoma"/>
            <family val="2"/>
          </rPr>
          <t>007</t>
        </r>
      </text>
    </comment>
    <comment ref="N7" authorId="1" shapeId="0" xr:uid="{A6132D08-D1F9-4C62-B445-6EC932857FF5}">
      <text>
        <r>
          <rPr>
            <b/>
            <sz val="9"/>
            <color indexed="81"/>
            <rFont val="Tahoma"/>
            <family val="2"/>
          </rPr>
          <t>012</t>
        </r>
      </text>
    </comment>
    <comment ref="O7" authorId="1" shapeId="0" xr:uid="{F9DA4249-2281-4C46-946E-601024CD34CB}">
      <text>
        <r>
          <rPr>
            <b/>
            <sz val="9"/>
            <color indexed="81"/>
            <rFont val="Tahoma"/>
            <family val="2"/>
          </rPr>
          <t>017</t>
        </r>
      </text>
    </comment>
    <comment ref="P7" authorId="1" shapeId="0" xr:uid="{5F5F86BA-F589-48D3-8FF2-E8A12C0EF16A}">
      <text>
        <r>
          <rPr>
            <b/>
            <sz val="9"/>
            <color indexed="81"/>
            <rFont val="Tahoma"/>
            <family val="2"/>
          </rPr>
          <t>022</t>
        </r>
      </text>
    </comment>
    <comment ref="Q7" authorId="1" shapeId="0" xr:uid="{1147A4DB-676E-40C9-803C-590A3E52ED0C}">
      <text>
        <r>
          <rPr>
            <b/>
            <sz val="9"/>
            <color indexed="81"/>
            <rFont val="Tahoma"/>
            <family val="2"/>
          </rPr>
          <t>027</t>
        </r>
      </text>
    </comment>
    <comment ref="R7" authorId="1" shapeId="0" xr:uid="{8FE19EE9-2FB5-4E92-A5D9-6773F53D8333}">
      <text>
        <r>
          <rPr>
            <b/>
            <sz val="9"/>
            <color indexed="81"/>
            <rFont val="Tahoma"/>
            <family val="2"/>
          </rPr>
          <t>032</t>
        </r>
      </text>
    </comment>
    <comment ref="S7" authorId="1" shapeId="0" xr:uid="{AD9A2834-86F7-4E7B-90F7-D95B26066A84}">
      <text>
        <r>
          <rPr>
            <b/>
            <sz val="9"/>
            <color indexed="81"/>
            <rFont val="Tahoma"/>
            <family val="2"/>
          </rPr>
          <t>037</t>
        </r>
      </text>
    </comment>
    <comment ref="T7" authorId="1" shapeId="0" xr:uid="{A15FEA81-0596-4D0A-9D94-6372754DA0F2}">
      <text>
        <r>
          <rPr>
            <b/>
            <sz val="9"/>
            <color indexed="81"/>
            <rFont val="Tahoma"/>
            <family val="2"/>
          </rPr>
          <t>042</t>
        </r>
      </text>
    </comment>
    <comment ref="U7" authorId="1" shapeId="0" xr:uid="{A050E315-47F3-41FA-9744-DE6FA88CB32D}">
      <text>
        <r>
          <rPr>
            <b/>
            <sz val="9"/>
            <color indexed="81"/>
            <rFont val="Tahoma"/>
            <family val="2"/>
          </rPr>
          <t>047</t>
        </r>
      </text>
    </comment>
    <comment ref="V7" authorId="1" shapeId="0" xr:uid="{0F807776-1D0F-457D-8A13-7C924204C200}">
      <text>
        <r>
          <rPr>
            <b/>
            <sz val="9"/>
            <color indexed="81"/>
            <rFont val="Tahoma"/>
            <family val="2"/>
          </rPr>
          <t>052</t>
        </r>
      </text>
    </comment>
    <comment ref="W7" authorId="1" shapeId="0" xr:uid="{283C3968-9932-41D1-ADBD-9D2EF3470239}">
      <text>
        <r>
          <rPr>
            <b/>
            <sz val="9"/>
            <color indexed="81"/>
            <rFont val="Tahoma"/>
            <family val="2"/>
          </rPr>
          <t>058</t>
        </r>
      </text>
    </comment>
    <comment ref="Y7" authorId="1" shapeId="0" xr:uid="{296C81CF-1FE2-49A4-B086-B32183BF855C}">
      <text>
        <r>
          <rPr>
            <b/>
            <sz val="9"/>
            <color indexed="81"/>
            <rFont val="Tahoma"/>
            <family val="2"/>
          </rPr>
          <t>070</t>
        </r>
      </text>
    </comment>
    <comment ref="L8" authorId="1" shapeId="0" xr:uid="{F79BD4AD-0982-429E-A865-326B3E865C72}">
      <text>
        <r>
          <rPr>
            <b/>
            <sz val="9"/>
            <color indexed="81"/>
            <rFont val="Tahoma"/>
            <family val="2"/>
          </rPr>
          <t>003</t>
        </r>
      </text>
    </comment>
    <comment ref="M8" authorId="1" shapeId="0" xr:uid="{C15A4C42-EE89-4914-A6A3-5BD011F11470}">
      <text>
        <r>
          <rPr>
            <b/>
            <sz val="9"/>
            <color indexed="81"/>
            <rFont val="Tahoma"/>
            <family val="2"/>
          </rPr>
          <t>008</t>
        </r>
      </text>
    </comment>
    <comment ref="N8" authorId="1" shapeId="0" xr:uid="{87FDD802-D797-49FA-A8AC-4FBECCC9F089}">
      <text>
        <r>
          <rPr>
            <b/>
            <sz val="9"/>
            <color indexed="81"/>
            <rFont val="Tahoma"/>
            <family val="2"/>
          </rPr>
          <t>013</t>
        </r>
      </text>
    </comment>
    <comment ref="O8" authorId="1" shapeId="0" xr:uid="{34140B61-1184-46AF-AC73-179E449D55DE}">
      <text>
        <r>
          <rPr>
            <b/>
            <sz val="9"/>
            <color indexed="81"/>
            <rFont val="Tahoma"/>
            <family val="2"/>
          </rPr>
          <t>018</t>
        </r>
      </text>
    </comment>
    <comment ref="P8" authorId="1" shapeId="0" xr:uid="{F854EDCE-AFA9-4D44-BD52-DDAAF180F393}">
      <text>
        <r>
          <rPr>
            <b/>
            <sz val="9"/>
            <color indexed="81"/>
            <rFont val="Tahoma"/>
            <family val="2"/>
          </rPr>
          <t>023</t>
        </r>
      </text>
    </comment>
    <comment ref="Q8" authorId="1" shapeId="0" xr:uid="{F80CB5EC-BCAE-4227-8464-CFD59446B697}">
      <text>
        <r>
          <rPr>
            <b/>
            <sz val="9"/>
            <color indexed="81"/>
            <rFont val="Tahoma"/>
            <family val="2"/>
          </rPr>
          <t>028</t>
        </r>
      </text>
    </comment>
    <comment ref="R8" authorId="1" shapeId="0" xr:uid="{30F77D3D-9532-45EA-90B5-104F10D34EE7}">
      <text>
        <r>
          <rPr>
            <b/>
            <sz val="9"/>
            <color indexed="81"/>
            <rFont val="Tahoma"/>
            <family val="2"/>
          </rPr>
          <t>033</t>
        </r>
      </text>
    </comment>
    <comment ref="S8" authorId="1" shapeId="0" xr:uid="{B4B87CED-C5AD-4CDC-A1BE-7A7279B49502}">
      <text>
        <r>
          <rPr>
            <b/>
            <sz val="9"/>
            <color indexed="81"/>
            <rFont val="Tahoma"/>
            <family val="2"/>
          </rPr>
          <t>038</t>
        </r>
      </text>
    </comment>
    <comment ref="T8" authorId="1" shapeId="0" xr:uid="{AE6692F5-1484-42C5-A219-1AA2F1E315B2}">
      <text>
        <r>
          <rPr>
            <b/>
            <sz val="9"/>
            <color indexed="81"/>
            <rFont val="Tahoma"/>
            <family val="2"/>
          </rPr>
          <t>043</t>
        </r>
      </text>
    </comment>
    <comment ref="U8" authorId="1" shapeId="0" xr:uid="{300CA501-CD2D-4A31-B10A-BB96DF462B08}">
      <text>
        <r>
          <rPr>
            <b/>
            <sz val="9"/>
            <color indexed="81"/>
            <rFont val="Tahoma"/>
            <family val="2"/>
          </rPr>
          <t>048</t>
        </r>
      </text>
    </comment>
    <comment ref="V8" authorId="1" shapeId="0" xr:uid="{1390ED3D-56EC-488B-8C17-EE20A0ADEC0B}">
      <text>
        <r>
          <rPr>
            <b/>
            <sz val="9"/>
            <color indexed="81"/>
            <rFont val="Tahoma"/>
            <family val="2"/>
          </rPr>
          <t>053</t>
        </r>
      </text>
    </comment>
    <comment ref="W8" authorId="1" shapeId="0" xr:uid="{1B7FB2D3-9F58-4A79-8A83-59BE236C3396}">
      <text>
        <r>
          <rPr>
            <b/>
            <sz val="9"/>
            <color indexed="81"/>
            <rFont val="Tahoma"/>
            <family val="2"/>
          </rPr>
          <t>059</t>
        </r>
      </text>
    </comment>
    <comment ref="Y8" authorId="1" shapeId="0" xr:uid="{FA3C21ED-3427-430F-A715-FF688326BB17}">
      <text>
        <r>
          <rPr>
            <b/>
            <sz val="9"/>
            <color indexed="81"/>
            <rFont val="Tahoma"/>
            <family val="2"/>
          </rPr>
          <t>071</t>
        </r>
      </text>
    </comment>
    <comment ref="L9" authorId="1" shapeId="0" xr:uid="{61E8DFE2-D6F9-4651-90F5-6E85E8831C2C}">
      <text>
        <r>
          <rPr>
            <b/>
            <sz val="9"/>
            <color indexed="81"/>
            <rFont val="Tahoma"/>
            <family val="2"/>
          </rPr>
          <t>004</t>
        </r>
      </text>
    </comment>
    <comment ref="M9" authorId="1" shapeId="0" xr:uid="{4C89F8F1-B418-42F4-B251-825A9CB29A9D}">
      <text>
        <r>
          <rPr>
            <b/>
            <sz val="9"/>
            <color indexed="81"/>
            <rFont val="Tahoma"/>
            <family val="2"/>
          </rPr>
          <t>009</t>
        </r>
      </text>
    </comment>
    <comment ref="N9" authorId="1" shapeId="0" xr:uid="{7ACDBF5D-962C-4D2E-B2DB-947A81DEA5CF}">
      <text>
        <r>
          <rPr>
            <b/>
            <sz val="9"/>
            <color indexed="81"/>
            <rFont val="Tahoma"/>
            <family val="2"/>
          </rPr>
          <t>014</t>
        </r>
      </text>
    </comment>
    <comment ref="O9" authorId="1" shapeId="0" xr:uid="{43FEC0A2-7D30-4C6F-9E0F-0455F1A54789}">
      <text>
        <r>
          <rPr>
            <b/>
            <sz val="9"/>
            <color indexed="81"/>
            <rFont val="Tahoma"/>
            <family val="2"/>
          </rPr>
          <t>019</t>
        </r>
      </text>
    </comment>
    <comment ref="P9" authorId="1" shapeId="0" xr:uid="{B79B0FB3-B0F7-4F18-B69D-C00E3F9C6153}">
      <text>
        <r>
          <rPr>
            <b/>
            <sz val="9"/>
            <color indexed="81"/>
            <rFont val="Tahoma"/>
            <family val="2"/>
          </rPr>
          <t>024</t>
        </r>
      </text>
    </comment>
    <comment ref="Q9" authorId="1" shapeId="0" xr:uid="{8E250978-3646-40C9-A838-1042233881B9}">
      <text>
        <r>
          <rPr>
            <b/>
            <sz val="9"/>
            <color indexed="81"/>
            <rFont val="Tahoma"/>
            <family val="2"/>
          </rPr>
          <t>029</t>
        </r>
      </text>
    </comment>
    <comment ref="R9" authorId="1" shapeId="0" xr:uid="{DB5D3F9F-6366-4E50-8245-561560062AA7}">
      <text>
        <r>
          <rPr>
            <b/>
            <sz val="9"/>
            <color indexed="81"/>
            <rFont val="Tahoma"/>
            <family val="2"/>
          </rPr>
          <t>034</t>
        </r>
      </text>
    </comment>
    <comment ref="S9" authorId="1" shapeId="0" xr:uid="{9A9667DE-DAB2-41BD-915C-E96866D91E35}">
      <text>
        <r>
          <rPr>
            <b/>
            <sz val="9"/>
            <color indexed="81"/>
            <rFont val="Tahoma"/>
            <family val="2"/>
          </rPr>
          <t>039</t>
        </r>
      </text>
    </comment>
    <comment ref="T9" authorId="1" shapeId="0" xr:uid="{0522CF67-CEC0-49F7-9443-FEE76C8C5452}">
      <text>
        <r>
          <rPr>
            <b/>
            <sz val="9"/>
            <color indexed="81"/>
            <rFont val="Tahoma"/>
            <family val="2"/>
          </rPr>
          <t>044</t>
        </r>
      </text>
    </comment>
    <comment ref="U9" authorId="1" shapeId="0" xr:uid="{75F568C8-7964-4B20-8C16-2E2299D4B4B1}">
      <text>
        <r>
          <rPr>
            <b/>
            <sz val="9"/>
            <color indexed="81"/>
            <rFont val="Tahoma"/>
            <family val="2"/>
          </rPr>
          <t>049</t>
        </r>
      </text>
    </comment>
    <comment ref="V9" authorId="1" shapeId="0" xr:uid="{650604F6-B559-4C31-B541-736AC868412E}">
      <text>
        <r>
          <rPr>
            <b/>
            <sz val="9"/>
            <color indexed="81"/>
            <rFont val="Tahoma"/>
            <family val="2"/>
          </rPr>
          <t>054</t>
        </r>
      </text>
    </comment>
    <comment ref="W9" authorId="1" shapeId="0" xr:uid="{AEBCAE5B-601C-4E44-A386-6F597B3DDB4A}">
      <text>
        <r>
          <rPr>
            <b/>
            <sz val="9"/>
            <color indexed="81"/>
            <rFont val="Tahoma"/>
            <family val="2"/>
          </rPr>
          <t>060</t>
        </r>
      </text>
    </comment>
    <comment ref="Y9" authorId="1" shapeId="0" xr:uid="{637EF75A-002E-4943-B8B5-0B5D9CAF7DC8}">
      <text>
        <r>
          <rPr>
            <b/>
            <sz val="9"/>
            <color indexed="81"/>
            <rFont val="Tahoma"/>
            <family val="2"/>
          </rPr>
          <t>072</t>
        </r>
      </text>
    </comment>
    <comment ref="L10" authorId="1" shapeId="0" xr:uid="{48D4703B-5C99-45DF-A84F-5B13BB5B8803}">
      <text>
        <r>
          <rPr>
            <b/>
            <sz val="9"/>
            <color indexed="81"/>
            <rFont val="Tahoma"/>
            <family val="2"/>
          </rPr>
          <t>005</t>
        </r>
      </text>
    </comment>
    <comment ref="M10" authorId="1" shapeId="0" xr:uid="{3EFCF706-B75F-4E35-9B02-B6BDC9970978}">
      <text>
        <r>
          <rPr>
            <b/>
            <sz val="9"/>
            <color indexed="81"/>
            <rFont val="Tahoma"/>
            <family val="2"/>
          </rPr>
          <t>010</t>
        </r>
      </text>
    </comment>
    <comment ref="N10" authorId="1" shapeId="0" xr:uid="{84A6427B-21CA-45D4-AB02-4A982DC1F00E}">
      <text>
        <r>
          <rPr>
            <b/>
            <sz val="9"/>
            <color indexed="81"/>
            <rFont val="Tahoma"/>
            <family val="2"/>
          </rPr>
          <t>015</t>
        </r>
      </text>
    </comment>
    <comment ref="O10" authorId="1" shapeId="0" xr:uid="{832AF5E0-20FE-4133-84E3-29D762C4C84E}">
      <text>
        <r>
          <rPr>
            <b/>
            <sz val="9"/>
            <color indexed="81"/>
            <rFont val="Tahoma"/>
            <family val="2"/>
          </rPr>
          <t>020</t>
        </r>
      </text>
    </comment>
    <comment ref="P10" authorId="1" shapeId="0" xr:uid="{1840CFD0-67FF-48C7-B7C8-E02E1C17A399}">
      <text>
        <r>
          <rPr>
            <b/>
            <sz val="9"/>
            <color indexed="81"/>
            <rFont val="Tahoma"/>
            <family val="2"/>
          </rPr>
          <t>025</t>
        </r>
      </text>
    </comment>
    <comment ref="Q10" authorId="1" shapeId="0" xr:uid="{1DE530E3-55BE-4F7E-BFBD-9996718A385B}">
      <text>
        <r>
          <rPr>
            <b/>
            <sz val="9"/>
            <color indexed="81"/>
            <rFont val="Tahoma"/>
            <family val="2"/>
          </rPr>
          <t>030</t>
        </r>
      </text>
    </comment>
    <comment ref="R10" authorId="1" shapeId="0" xr:uid="{4FA8DC2B-32B2-4FD5-8309-D0065C9EC0EB}">
      <text>
        <r>
          <rPr>
            <b/>
            <sz val="9"/>
            <color indexed="81"/>
            <rFont val="Tahoma"/>
            <family val="2"/>
          </rPr>
          <t>035</t>
        </r>
      </text>
    </comment>
    <comment ref="S10" authorId="1" shapeId="0" xr:uid="{101D197A-39E3-4C12-9378-04F175A217C1}">
      <text>
        <r>
          <rPr>
            <b/>
            <sz val="9"/>
            <color indexed="81"/>
            <rFont val="Tahoma"/>
            <family val="2"/>
          </rPr>
          <t>040</t>
        </r>
      </text>
    </comment>
    <comment ref="T10" authorId="1" shapeId="0" xr:uid="{9AC5D40F-4683-455F-A945-EE9362CAA0AE}">
      <text>
        <r>
          <rPr>
            <b/>
            <sz val="9"/>
            <color indexed="81"/>
            <rFont val="Tahoma"/>
            <family val="2"/>
          </rPr>
          <t>045</t>
        </r>
      </text>
    </comment>
    <comment ref="U10" authorId="1" shapeId="0" xr:uid="{1EEA045B-5762-41A1-A476-CED6FDB228ED}">
      <text>
        <r>
          <rPr>
            <b/>
            <sz val="9"/>
            <color indexed="81"/>
            <rFont val="Tahoma"/>
            <family val="2"/>
          </rPr>
          <t>050</t>
        </r>
      </text>
    </comment>
    <comment ref="V10" authorId="1" shapeId="0" xr:uid="{07FD471B-067B-43FD-AA86-3839AAA65D09}">
      <text>
        <r>
          <rPr>
            <b/>
            <sz val="9"/>
            <color indexed="81"/>
            <rFont val="Tahoma"/>
            <family val="2"/>
          </rPr>
          <t>055</t>
        </r>
      </text>
    </comment>
    <comment ref="W10" authorId="1" shapeId="0" xr:uid="{560578E2-8DAE-4209-B9EF-62D6C0740E9E}">
      <text>
        <r>
          <rPr>
            <b/>
            <sz val="9"/>
            <color indexed="81"/>
            <rFont val="Tahoma"/>
            <family val="2"/>
          </rPr>
          <t>061</t>
        </r>
      </text>
    </comment>
    <comment ref="Y10" authorId="1" shapeId="0" xr:uid="{03226941-28EF-4FE0-879E-09ADA22C36B9}">
      <text>
        <r>
          <rPr>
            <b/>
            <sz val="9"/>
            <color indexed="81"/>
            <rFont val="Tahoma"/>
            <family val="2"/>
          </rPr>
          <t>073</t>
        </r>
      </text>
    </comment>
    <comment ref="K12" authorId="0" shapeId="0" xr:uid="{0787FF00-F2C8-4C60-BD46-DCDD7C9EA4A3}">
      <text>
        <r>
          <rPr>
            <b/>
            <sz val="9"/>
            <color indexed="81"/>
            <rFont val="Tahoma"/>
            <family val="2"/>
          </rPr>
          <t>Desembolso inicial: inversión exigida por el proyecto en el momento cero</t>
        </r>
      </text>
    </comment>
    <comment ref="L12" authorId="1" shapeId="0" xr:uid="{977B6845-A315-437A-B231-B07E730161D0}">
      <text>
        <r>
          <rPr>
            <b/>
            <sz val="9"/>
            <color indexed="81"/>
            <rFont val="Tahoma"/>
            <family val="2"/>
          </rPr>
          <t>062</t>
        </r>
      </text>
    </comment>
    <comment ref="N12" authorId="0" shapeId="0" xr:uid="{DD17E1F8-5194-4676-B1A0-9DFD4A152537}">
      <text>
        <r>
          <rPr>
            <b/>
            <sz val="9"/>
            <color indexed="81"/>
            <rFont val="Tahoma"/>
            <family val="2"/>
          </rPr>
          <t>Coste de los fondos (nominal)
K = (1+r) x (1+f) - 1</t>
        </r>
      </text>
    </comment>
    <comment ref="O12" authorId="1" shapeId="0" xr:uid="{9F38C2AE-EFF6-49F2-9006-6805A7947CA2}">
      <text>
        <r>
          <rPr>
            <b/>
            <sz val="9"/>
            <color indexed="81"/>
            <rFont val="Tahoma"/>
            <family val="2"/>
          </rPr>
          <t>066</t>
        </r>
      </text>
    </comment>
    <comment ref="X12" authorId="0" shapeId="0" xr:uid="{795D5794-9A99-407A-BA69-72BE607D81B5}">
      <text>
        <r>
          <rPr>
            <b/>
            <sz val="9"/>
            <color indexed="81"/>
            <rFont val="Tahoma"/>
            <family val="2"/>
          </rPr>
          <t>Coste de los fondos:
tipo de interés real</t>
        </r>
      </text>
    </comment>
    <comment ref="Y12" authorId="1" shapeId="0" xr:uid="{74B1035B-6F99-4612-8140-462C4833CCAC}">
      <text>
        <r>
          <rPr>
            <b/>
            <sz val="9"/>
            <color indexed="81"/>
            <rFont val="Tahoma"/>
            <family val="2"/>
          </rPr>
          <t>074</t>
        </r>
      </text>
    </comment>
    <comment ref="K13" authorId="0" shapeId="0" xr:uid="{15337DB0-1AC8-4D0F-A1A9-57C581916D0A}">
      <text>
        <r>
          <rPr>
            <b/>
            <sz val="9"/>
            <color indexed="81"/>
            <rFont val="Tahoma"/>
            <family val="2"/>
          </rPr>
          <t>Valor residual generado por la liquidación del inmovilizado al final del proyecto</t>
        </r>
      </text>
    </comment>
    <comment ref="L13" authorId="1" shapeId="0" xr:uid="{5186F3BA-6DCD-4270-A7AF-A8F95BB446C5}">
      <text>
        <r>
          <rPr>
            <b/>
            <sz val="9"/>
            <color indexed="81"/>
            <rFont val="Tahoma"/>
            <family val="2"/>
          </rPr>
          <t>063</t>
        </r>
      </text>
    </comment>
    <comment ref="K14" authorId="0" shapeId="0" xr:uid="{02DA0823-2281-44D0-A6A1-D2D95688B4D6}">
      <text>
        <r>
          <rPr>
            <b/>
            <sz val="9"/>
            <color indexed="81"/>
            <rFont val="Tahoma"/>
            <family val="2"/>
          </rPr>
          <t>Valor residual generado por la liquidación del fondo de maniobra incremental al final del proyecto</t>
        </r>
      </text>
    </comment>
    <comment ref="L14" authorId="1" shapeId="0" xr:uid="{ADD74A73-A420-464F-9537-3904DFB9910C}">
      <text>
        <r>
          <rPr>
            <b/>
            <sz val="9"/>
            <color indexed="81"/>
            <rFont val="Tahoma"/>
            <family val="2"/>
          </rPr>
          <t>064</t>
        </r>
      </text>
    </comment>
    <comment ref="N14" authorId="2" shapeId="0" xr:uid="{327AE9BB-EFB3-4451-88CE-BE21421FB6B8}">
      <text>
        <r>
          <rPr>
            <b/>
            <sz val="9"/>
            <color indexed="81"/>
            <rFont val="Tahoma"/>
            <family val="2"/>
          </rPr>
          <t>Valor actualizado neto asociado al proyecto</t>
        </r>
      </text>
    </comment>
    <comment ref="O14" authorId="1" shapeId="0" xr:uid="{9B3F710F-3B67-47F0-A2EA-5218303256B5}">
      <text>
        <r>
          <rPr>
            <b/>
            <sz val="9"/>
            <color indexed="81"/>
            <rFont val="Tahoma"/>
            <family val="2"/>
          </rPr>
          <t>067</t>
        </r>
      </text>
    </comment>
    <comment ref="X14" authorId="2" shapeId="0" xr:uid="{69261AFC-C042-4420-9B20-899B938B7A96}">
      <text>
        <r>
          <rPr>
            <b/>
            <sz val="9"/>
            <color indexed="81"/>
            <rFont val="Tahoma"/>
            <family val="2"/>
          </rPr>
          <t>Valor actualizado neto asociado al proyecto</t>
        </r>
      </text>
    </comment>
    <comment ref="Y14" authorId="1" shapeId="0" xr:uid="{4F4911B2-13A7-4D8A-A281-84443F53E5AC}">
      <text>
        <r>
          <rPr>
            <b/>
            <sz val="9"/>
            <color indexed="81"/>
            <rFont val="Tahoma"/>
            <family val="2"/>
          </rPr>
          <t>075</t>
        </r>
      </text>
    </comment>
    <comment ref="K15" authorId="0" shapeId="0" xr:uid="{E0DA29B3-6D24-4C2B-AA06-279689F60B21}">
      <text>
        <r>
          <rPr>
            <b/>
            <sz val="9"/>
            <color indexed="81"/>
            <rFont val="Tahoma"/>
            <family val="2"/>
          </rPr>
          <t>Valor residual incremental generado por el proyecto al final de su vida [∆VR AF + ∆VR FM]</t>
        </r>
      </text>
    </comment>
    <comment ref="L15" authorId="1" shapeId="0" xr:uid="{65A6E322-DC15-407F-90B8-59A482163745}">
      <text>
        <r>
          <rPr>
            <b/>
            <sz val="9"/>
            <color indexed="81"/>
            <rFont val="Tahoma"/>
            <family val="2"/>
          </rPr>
          <t>065</t>
        </r>
      </text>
    </comment>
    <comment ref="L21" authorId="0" shapeId="0" xr:uid="{BB9A888B-C460-4D02-AC33-8814B1CC0EA2}">
      <text>
        <r>
          <rPr>
            <b/>
            <sz val="9"/>
            <color indexed="81"/>
            <rFont val="Tahoma"/>
            <family val="2"/>
          </rPr>
          <t>Incremento anual de ventas que aporta el proyecto</t>
        </r>
      </text>
    </comment>
    <comment ref="M21" authorId="0" shapeId="0" xr:uid="{3AB7EDF1-BF9F-495F-93C9-95B19EBFFDB6}">
      <text>
        <r>
          <rPr>
            <b/>
            <sz val="9"/>
            <color indexed="81"/>
            <rFont val="Tahoma"/>
            <family val="2"/>
          </rPr>
          <t>Incremento anual de costes operativos con desembolso que aporta el proyecto</t>
        </r>
      </text>
    </comment>
    <comment ref="N21" authorId="0" shapeId="0" xr:uid="{11AFB482-91A1-4CE9-8075-8FD257B2C937}">
      <text>
        <r>
          <rPr>
            <b/>
            <sz val="9"/>
            <color indexed="81"/>
            <rFont val="Tahoma"/>
            <family val="2"/>
          </rPr>
          <t>EBITDA incremental (diferencia entre ventas y costes operativos con desembolso) que aporta el proyecto</t>
        </r>
      </text>
    </comment>
    <comment ref="O21" authorId="0" shapeId="0" xr:uid="{43FCFCF5-B318-4FED-9CCA-C868F82CC54B}">
      <text>
        <r>
          <rPr>
            <b/>
            <sz val="9"/>
            <color indexed="81"/>
            <rFont val="Tahoma"/>
            <family val="2"/>
          </rPr>
          <t>Incremento anual de las amortizaciones de inmovilizados que aporta el proyecto</t>
        </r>
      </text>
    </comment>
    <comment ref="P21" authorId="0" shapeId="0" xr:uid="{C4C2F8A6-AE50-4B51-89AC-5758BD6EE183}">
      <text>
        <r>
          <rPr>
            <b/>
            <sz val="9"/>
            <color indexed="81"/>
            <rFont val="Tahoma"/>
            <family val="2"/>
          </rPr>
          <t>Incremento anual de beneficio antes de intereses e impuestos</t>
        </r>
      </text>
    </comment>
    <comment ref="Q21" authorId="0" shapeId="0" xr:uid="{B0F013AD-B92A-4EC7-AF06-0699B0773EC7}">
      <text>
        <r>
          <rPr>
            <b/>
            <sz val="9"/>
            <color indexed="81"/>
            <rFont val="Tahoma"/>
            <family val="2"/>
          </rPr>
          <t>Incremento anual de impuestos (Impuesto de sociedades)</t>
        </r>
      </text>
    </comment>
    <comment ref="R21" authorId="0" shapeId="0" xr:uid="{79C94158-7B86-4624-B21C-8150D120ED91}">
      <text>
        <r>
          <rPr>
            <b/>
            <sz val="9"/>
            <color indexed="81"/>
            <rFont val="Tahoma"/>
            <family val="2"/>
          </rPr>
          <t>Incremento anual de beneficio antes de intereses y después de impuestos</t>
        </r>
      </text>
    </comment>
    <comment ref="S21" authorId="0" shapeId="0" xr:uid="{7A7922F3-2071-490C-B2A6-D094B0AFBA66}">
      <text>
        <r>
          <rPr>
            <b/>
            <sz val="9"/>
            <color indexed="81"/>
            <rFont val="Tahoma"/>
            <family val="2"/>
          </rPr>
          <t>Incremento de caja anual generado por el proyecto, antes de considerar las inversiones en fondo de maniobra</t>
        </r>
      </text>
    </comment>
    <comment ref="T21" authorId="0" shapeId="0" xr:uid="{3D09892F-82D7-4BA1-944D-13F336EF546B}">
      <text>
        <r>
          <rPr>
            <b/>
            <sz val="9"/>
            <color indexed="81"/>
            <rFont val="Tahoma"/>
            <family val="2"/>
          </rPr>
          <t>Saldo anual de fondo de maniobra generado por el proyecto</t>
        </r>
      </text>
    </comment>
    <comment ref="U21" authorId="0" shapeId="0" xr:uid="{34248B77-26C3-478A-B75A-B2BE7C8734D7}">
      <text>
        <r>
          <rPr>
            <b/>
            <sz val="9"/>
            <color indexed="81"/>
            <rFont val="Tahoma"/>
            <family val="2"/>
          </rPr>
          <t>Inversión anual en fondo de maniobra exigida por el proyecto</t>
        </r>
      </text>
    </comment>
    <comment ref="V21" authorId="0" shapeId="0" xr:uid="{BB1C4E96-26C7-47C1-968A-7308FF8634EE}">
      <text>
        <r>
          <rPr>
            <b/>
            <sz val="9"/>
            <color indexed="81"/>
            <rFont val="Tahoma"/>
            <family val="2"/>
          </rPr>
          <t>Flujo de caja operativo anual incremental que aporta el proyecto (es decir, sin considerar el desembolso inicial ni el valor residual)</t>
        </r>
      </text>
    </comment>
    <comment ref="W21" authorId="0" shapeId="0" xr:uid="{A6AB0A1C-42E9-4A65-AA4F-29F48091719B}">
      <text>
        <r>
          <rPr>
            <b/>
            <sz val="9"/>
            <color indexed="81"/>
            <rFont val="Tahoma"/>
            <family val="2"/>
          </rPr>
          <t>Impacto anual en caja del proyecto: Generaciones de fondos anuales que incluyen el desembolso inicial y el valor residual (moneda corriente)</t>
        </r>
      </text>
    </comment>
    <comment ref="W22" authorId="1" shapeId="0" xr:uid="{E7AF095A-2E09-4507-ADC9-5ECE7981BDB3}">
      <text>
        <r>
          <rPr>
            <b/>
            <sz val="9"/>
            <color indexed="81"/>
            <rFont val="Tahoma"/>
            <family val="2"/>
          </rPr>
          <t>131</t>
        </r>
      </text>
    </comment>
    <comment ref="L23" authorId="1" shapeId="0" xr:uid="{34448AA9-E532-4476-B3B9-FB7C77B62E22}">
      <text>
        <r>
          <rPr>
            <b/>
            <sz val="9"/>
            <color indexed="81"/>
            <rFont val="Tahoma"/>
            <family val="2"/>
          </rPr>
          <t>076</t>
        </r>
      </text>
    </comment>
    <comment ref="M23" authorId="1" shapeId="0" xr:uid="{B370DF74-8D36-4A6A-868C-754E0BA981A6}">
      <text>
        <r>
          <rPr>
            <b/>
            <sz val="9"/>
            <color indexed="81"/>
            <rFont val="Tahoma"/>
            <family val="2"/>
          </rPr>
          <t>081</t>
        </r>
      </text>
    </comment>
    <comment ref="N23" authorId="1" shapeId="0" xr:uid="{3B03F820-B7C6-4740-BBA4-1F751BFAA916}">
      <text>
        <r>
          <rPr>
            <b/>
            <sz val="9"/>
            <color indexed="81"/>
            <rFont val="Tahoma"/>
            <family val="2"/>
          </rPr>
          <t>086</t>
        </r>
      </text>
    </comment>
    <comment ref="O23" authorId="1" shapeId="0" xr:uid="{E28DEB1A-B288-43A2-86DA-33189C276EBE}">
      <text>
        <r>
          <rPr>
            <b/>
            <sz val="9"/>
            <color indexed="81"/>
            <rFont val="Tahoma"/>
            <family val="2"/>
          </rPr>
          <t>091</t>
        </r>
      </text>
    </comment>
    <comment ref="P23" authorId="1" shapeId="0" xr:uid="{7110F0C9-3049-41F6-A0EF-0B12A83D38CA}">
      <text>
        <r>
          <rPr>
            <b/>
            <sz val="9"/>
            <color indexed="81"/>
            <rFont val="Tahoma"/>
            <family val="2"/>
          </rPr>
          <t>096</t>
        </r>
      </text>
    </comment>
    <comment ref="Q23" authorId="1" shapeId="0" xr:uid="{A64163F9-691D-4C79-9374-E611C5C81874}">
      <text>
        <r>
          <rPr>
            <b/>
            <sz val="9"/>
            <color indexed="81"/>
            <rFont val="Tahoma"/>
            <family val="2"/>
          </rPr>
          <t>101</t>
        </r>
      </text>
    </comment>
    <comment ref="R23" authorId="1" shapeId="0" xr:uid="{0EBEA505-E9FB-4B49-96D1-D84E4CB8F285}">
      <text>
        <r>
          <rPr>
            <b/>
            <sz val="9"/>
            <color indexed="81"/>
            <rFont val="Tahoma"/>
            <family val="2"/>
          </rPr>
          <t>106</t>
        </r>
      </text>
    </comment>
    <comment ref="S23" authorId="1" shapeId="0" xr:uid="{328E060B-4A7C-4D7A-BD06-EDD9662990BC}">
      <text>
        <r>
          <rPr>
            <b/>
            <sz val="9"/>
            <color indexed="81"/>
            <rFont val="Tahoma"/>
            <family val="2"/>
          </rPr>
          <t>111</t>
        </r>
      </text>
    </comment>
    <comment ref="T23" authorId="1" shapeId="0" xr:uid="{9864D094-4319-44C3-AEC0-DEF34A9A715E}">
      <text>
        <r>
          <rPr>
            <b/>
            <sz val="9"/>
            <color indexed="81"/>
            <rFont val="Tahoma"/>
            <family val="2"/>
          </rPr>
          <t>116</t>
        </r>
      </text>
    </comment>
    <comment ref="U23" authorId="1" shapeId="0" xr:uid="{3BF7C0F8-763E-40CD-8CEA-F7E08E6E2676}">
      <text>
        <r>
          <rPr>
            <b/>
            <sz val="9"/>
            <color indexed="81"/>
            <rFont val="Tahoma"/>
            <family val="2"/>
          </rPr>
          <t>121</t>
        </r>
      </text>
    </comment>
    <comment ref="V23" authorId="1" shapeId="0" xr:uid="{494A8E37-B6E0-4871-AF9B-8710B5BB96B2}">
      <text>
        <r>
          <rPr>
            <b/>
            <sz val="9"/>
            <color indexed="81"/>
            <rFont val="Tahoma"/>
            <family val="2"/>
          </rPr>
          <t>126</t>
        </r>
      </text>
    </comment>
    <comment ref="W23" authorId="1" shapeId="0" xr:uid="{D135D50B-5C8F-41E0-BA13-643DC1F2C6B8}">
      <text>
        <r>
          <rPr>
            <b/>
            <sz val="9"/>
            <color indexed="81"/>
            <rFont val="Tahoma"/>
            <family val="2"/>
          </rPr>
          <t>132</t>
        </r>
      </text>
    </comment>
    <comment ref="L24" authorId="1" shapeId="0" xr:uid="{0F6854F6-EBF8-4B3D-8A43-AB60D485EE7E}">
      <text>
        <r>
          <rPr>
            <b/>
            <sz val="9"/>
            <color indexed="81"/>
            <rFont val="Tahoma"/>
            <family val="2"/>
          </rPr>
          <t>077</t>
        </r>
      </text>
    </comment>
    <comment ref="M24" authorId="1" shapeId="0" xr:uid="{0C18586A-B393-43F4-B118-892966443A15}">
      <text>
        <r>
          <rPr>
            <b/>
            <sz val="9"/>
            <color indexed="81"/>
            <rFont val="Tahoma"/>
            <family val="2"/>
          </rPr>
          <t>082</t>
        </r>
      </text>
    </comment>
    <comment ref="N24" authorId="1" shapeId="0" xr:uid="{F7BE991B-C7C6-4ADE-8FE8-AA7CF9138694}">
      <text>
        <r>
          <rPr>
            <b/>
            <sz val="9"/>
            <color indexed="81"/>
            <rFont val="Tahoma"/>
            <family val="2"/>
          </rPr>
          <t>087</t>
        </r>
      </text>
    </comment>
    <comment ref="O24" authorId="1" shapeId="0" xr:uid="{BCCDDE74-F805-4A62-993F-B9716668D1E4}">
      <text>
        <r>
          <rPr>
            <b/>
            <sz val="9"/>
            <color indexed="81"/>
            <rFont val="Tahoma"/>
            <family val="2"/>
          </rPr>
          <t>092</t>
        </r>
      </text>
    </comment>
    <comment ref="P24" authorId="1" shapeId="0" xr:uid="{20AFF5FA-9C5E-4C44-9179-5450C6F1D1B9}">
      <text>
        <r>
          <rPr>
            <b/>
            <sz val="9"/>
            <color indexed="81"/>
            <rFont val="Tahoma"/>
            <family val="2"/>
          </rPr>
          <t>097</t>
        </r>
      </text>
    </comment>
    <comment ref="Q24" authorId="1" shapeId="0" xr:uid="{B963341E-5A87-4E6A-8A7B-908934071ED7}">
      <text>
        <r>
          <rPr>
            <b/>
            <sz val="9"/>
            <color indexed="81"/>
            <rFont val="Tahoma"/>
            <family val="2"/>
          </rPr>
          <t>102</t>
        </r>
      </text>
    </comment>
    <comment ref="R24" authorId="1" shapeId="0" xr:uid="{FA3753CE-6EB7-458E-A70B-FBD0D8BCFC69}">
      <text>
        <r>
          <rPr>
            <b/>
            <sz val="9"/>
            <color indexed="81"/>
            <rFont val="Tahoma"/>
            <family val="2"/>
          </rPr>
          <t>107</t>
        </r>
      </text>
    </comment>
    <comment ref="S24" authorId="1" shapeId="0" xr:uid="{E89DAF6F-13F3-4A88-BAA6-49D5A446DE66}">
      <text>
        <r>
          <rPr>
            <b/>
            <sz val="9"/>
            <color indexed="81"/>
            <rFont val="Tahoma"/>
            <family val="2"/>
          </rPr>
          <t>112</t>
        </r>
      </text>
    </comment>
    <comment ref="T24" authorId="1" shapeId="0" xr:uid="{B2AEEBDD-2FFF-4F85-B81C-AC7B26A2A7B7}">
      <text>
        <r>
          <rPr>
            <b/>
            <sz val="9"/>
            <color indexed="81"/>
            <rFont val="Tahoma"/>
            <family val="2"/>
          </rPr>
          <t>117</t>
        </r>
      </text>
    </comment>
    <comment ref="U24" authorId="1" shapeId="0" xr:uid="{4FD086B6-C132-470D-8FDE-8D737955171D}">
      <text>
        <r>
          <rPr>
            <b/>
            <sz val="9"/>
            <color indexed="81"/>
            <rFont val="Tahoma"/>
            <family val="2"/>
          </rPr>
          <t>122</t>
        </r>
      </text>
    </comment>
    <comment ref="V24" authorId="1" shapeId="0" xr:uid="{B0009B35-057F-460A-AF7B-DEDDF53FAD63}">
      <text>
        <r>
          <rPr>
            <b/>
            <sz val="9"/>
            <color indexed="81"/>
            <rFont val="Tahoma"/>
            <family val="2"/>
          </rPr>
          <t>127</t>
        </r>
      </text>
    </comment>
    <comment ref="W24" authorId="1" shapeId="0" xr:uid="{E0D66AE5-729F-491C-B764-9B4CCB2C0CAB}">
      <text>
        <r>
          <rPr>
            <b/>
            <sz val="9"/>
            <color indexed="81"/>
            <rFont val="Tahoma"/>
            <family val="2"/>
          </rPr>
          <t>133</t>
        </r>
      </text>
    </comment>
    <comment ref="L25" authorId="1" shapeId="0" xr:uid="{DB6399ED-B242-4F9F-8FC2-298DE6457D69}">
      <text>
        <r>
          <rPr>
            <b/>
            <sz val="9"/>
            <color indexed="81"/>
            <rFont val="Tahoma"/>
            <family val="2"/>
          </rPr>
          <t>078</t>
        </r>
      </text>
    </comment>
    <comment ref="M25" authorId="1" shapeId="0" xr:uid="{69CCFB17-5A6D-4A40-8CA1-985EFAB47AAA}">
      <text>
        <r>
          <rPr>
            <b/>
            <sz val="9"/>
            <color indexed="81"/>
            <rFont val="Tahoma"/>
            <family val="2"/>
          </rPr>
          <t>083</t>
        </r>
      </text>
    </comment>
    <comment ref="N25" authorId="1" shapeId="0" xr:uid="{566596C7-46AB-43A0-B352-0D847976EB48}">
      <text>
        <r>
          <rPr>
            <b/>
            <sz val="9"/>
            <color indexed="81"/>
            <rFont val="Tahoma"/>
            <family val="2"/>
          </rPr>
          <t>088</t>
        </r>
      </text>
    </comment>
    <comment ref="O25" authorId="1" shapeId="0" xr:uid="{0A66D7C8-A16C-4D48-ADA4-2CC83E6DE29E}">
      <text>
        <r>
          <rPr>
            <b/>
            <sz val="9"/>
            <color indexed="81"/>
            <rFont val="Tahoma"/>
            <family val="2"/>
          </rPr>
          <t>093</t>
        </r>
      </text>
    </comment>
    <comment ref="P25" authorId="1" shapeId="0" xr:uid="{A5DE0F80-8A4F-4666-B740-64F040D0A7D1}">
      <text>
        <r>
          <rPr>
            <b/>
            <sz val="9"/>
            <color indexed="81"/>
            <rFont val="Tahoma"/>
            <family val="2"/>
          </rPr>
          <t>098</t>
        </r>
      </text>
    </comment>
    <comment ref="Q25" authorId="1" shapeId="0" xr:uid="{19810719-1DD2-4ED4-8999-63EA2249B07C}">
      <text>
        <r>
          <rPr>
            <b/>
            <sz val="9"/>
            <color indexed="81"/>
            <rFont val="Tahoma"/>
            <family val="2"/>
          </rPr>
          <t>103</t>
        </r>
      </text>
    </comment>
    <comment ref="R25" authorId="1" shapeId="0" xr:uid="{45AD4BCA-555C-4D9E-8E71-C22A4E31E2F7}">
      <text>
        <r>
          <rPr>
            <b/>
            <sz val="9"/>
            <color indexed="81"/>
            <rFont val="Tahoma"/>
            <family val="2"/>
          </rPr>
          <t>108</t>
        </r>
      </text>
    </comment>
    <comment ref="S25" authorId="1" shapeId="0" xr:uid="{07DFE4D5-453C-4A00-B1DF-9727B235B8C8}">
      <text>
        <r>
          <rPr>
            <b/>
            <sz val="9"/>
            <color indexed="81"/>
            <rFont val="Tahoma"/>
            <family val="2"/>
          </rPr>
          <t>113</t>
        </r>
      </text>
    </comment>
    <comment ref="T25" authorId="1" shapeId="0" xr:uid="{D297F1CA-0F49-40E1-AB46-74E8D940BA98}">
      <text>
        <r>
          <rPr>
            <b/>
            <sz val="9"/>
            <color indexed="81"/>
            <rFont val="Tahoma"/>
            <family val="2"/>
          </rPr>
          <t>118</t>
        </r>
      </text>
    </comment>
    <comment ref="U25" authorId="1" shapeId="0" xr:uid="{1AFAE7CE-22D8-4D7B-8B79-92CE51C9E8B5}">
      <text>
        <r>
          <rPr>
            <b/>
            <sz val="9"/>
            <color indexed="81"/>
            <rFont val="Tahoma"/>
            <family val="2"/>
          </rPr>
          <t>123</t>
        </r>
      </text>
    </comment>
    <comment ref="V25" authorId="1" shapeId="0" xr:uid="{B537C74D-B4BF-4CA7-A2CE-2178FF5AEF54}">
      <text>
        <r>
          <rPr>
            <b/>
            <sz val="9"/>
            <color indexed="81"/>
            <rFont val="Tahoma"/>
            <family val="2"/>
          </rPr>
          <t>128</t>
        </r>
      </text>
    </comment>
    <comment ref="W25" authorId="1" shapeId="0" xr:uid="{CD0651C2-F5D0-455B-8546-50EFD9F1D0D0}">
      <text>
        <r>
          <rPr>
            <b/>
            <sz val="9"/>
            <color indexed="81"/>
            <rFont val="Tahoma"/>
            <family val="2"/>
          </rPr>
          <t>134</t>
        </r>
      </text>
    </comment>
    <comment ref="L26" authorId="1" shapeId="0" xr:uid="{F772CE25-B394-4101-B28F-98738E0D6811}">
      <text>
        <r>
          <rPr>
            <b/>
            <sz val="9"/>
            <color indexed="81"/>
            <rFont val="Tahoma"/>
            <family val="2"/>
          </rPr>
          <t>079</t>
        </r>
      </text>
    </comment>
    <comment ref="M26" authorId="1" shapeId="0" xr:uid="{1ECBC074-FD84-4513-B5C9-13DCD902A012}">
      <text>
        <r>
          <rPr>
            <b/>
            <sz val="9"/>
            <color indexed="81"/>
            <rFont val="Tahoma"/>
            <family val="2"/>
          </rPr>
          <t>084</t>
        </r>
      </text>
    </comment>
    <comment ref="N26" authorId="1" shapeId="0" xr:uid="{4BF04C4A-E4F2-4160-BC62-1EB6B9A561DD}">
      <text>
        <r>
          <rPr>
            <b/>
            <sz val="9"/>
            <color indexed="81"/>
            <rFont val="Tahoma"/>
            <family val="2"/>
          </rPr>
          <t>089</t>
        </r>
      </text>
    </comment>
    <comment ref="O26" authorId="1" shapeId="0" xr:uid="{F70DBB41-7C38-4E67-A4FC-7DDCB74166EB}">
      <text>
        <r>
          <rPr>
            <b/>
            <sz val="9"/>
            <color indexed="81"/>
            <rFont val="Tahoma"/>
            <family val="2"/>
          </rPr>
          <t>094</t>
        </r>
      </text>
    </comment>
    <comment ref="P26" authorId="1" shapeId="0" xr:uid="{72D47D0E-E4C7-4931-8085-EC1E9D24CEAF}">
      <text>
        <r>
          <rPr>
            <b/>
            <sz val="9"/>
            <color indexed="81"/>
            <rFont val="Tahoma"/>
            <family val="2"/>
          </rPr>
          <t>099</t>
        </r>
      </text>
    </comment>
    <comment ref="Q26" authorId="1" shapeId="0" xr:uid="{A4DEDC5B-0B61-40BF-8521-3B4BC576641D}">
      <text>
        <r>
          <rPr>
            <b/>
            <sz val="9"/>
            <color indexed="81"/>
            <rFont val="Tahoma"/>
            <family val="2"/>
          </rPr>
          <t>104</t>
        </r>
      </text>
    </comment>
    <comment ref="R26" authorId="1" shapeId="0" xr:uid="{956E6245-4B90-40F3-9C0E-8FA95112AF3C}">
      <text>
        <r>
          <rPr>
            <b/>
            <sz val="9"/>
            <color indexed="81"/>
            <rFont val="Tahoma"/>
            <family val="2"/>
          </rPr>
          <t>109</t>
        </r>
      </text>
    </comment>
    <comment ref="S26" authorId="1" shapeId="0" xr:uid="{80928F96-810D-454D-9C7C-3C0D1A578719}">
      <text>
        <r>
          <rPr>
            <b/>
            <sz val="9"/>
            <color indexed="81"/>
            <rFont val="Tahoma"/>
            <family val="2"/>
          </rPr>
          <t>114</t>
        </r>
      </text>
    </comment>
    <comment ref="T26" authorId="1" shapeId="0" xr:uid="{465DB892-38B7-433D-8C17-EF3D39A7699D}">
      <text>
        <r>
          <rPr>
            <b/>
            <sz val="9"/>
            <color indexed="81"/>
            <rFont val="Tahoma"/>
            <family val="2"/>
          </rPr>
          <t>119</t>
        </r>
      </text>
    </comment>
    <comment ref="U26" authorId="1" shapeId="0" xr:uid="{19E4E6FB-A286-4DB2-B622-D5512F9F6ECB}">
      <text>
        <r>
          <rPr>
            <b/>
            <sz val="9"/>
            <color indexed="81"/>
            <rFont val="Tahoma"/>
            <family val="2"/>
          </rPr>
          <t>124</t>
        </r>
      </text>
    </comment>
    <comment ref="V26" authorId="1" shapeId="0" xr:uid="{6B51F199-0518-4504-92FA-91F107534268}">
      <text>
        <r>
          <rPr>
            <b/>
            <sz val="9"/>
            <color indexed="81"/>
            <rFont val="Tahoma"/>
            <family val="2"/>
          </rPr>
          <t>129</t>
        </r>
      </text>
    </comment>
    <comment ref="W26" authorId="1" shapeId="0" xr:uid="{90F02CB4-1089-4DDD-854E-52F848C2C08F}">
      <text>
        <r>
          <rPr>
            <b/>
            <sz val="9"/>
            <color indexed="81"/>
            <rFont val="Tahoma"/>
            <family val="2"/>
          </rPr>
          <t>135</t>
        </r>
      </text>
    </comment>
    <comment ref="L27" authorId="1" shapeId="0" xr:uid="{67AE2F0E-35F2-4B38-9F6E-6DC029552198}">
      <text>
        <r>
          <rPr>
            <b/>
            <sz val="9"/>
            <color indexed="81"/>
            <rFont val="Tahoma"/>
            <family val="2"/>
          </rPr>
          <t>080</t>
        </r>
      </text>
    </comment>
    <comment ref="M27" authorId="1" shapeId="0" xr:uid="{DE14642B-1155-4FA4-80D3-5DFBC7218BEB}">
      <text>
        <r>
          <rPr>
            <b/>
            <sz val="9"/>
            <color indexed="81"/>
            <rFont val="Tahoma"/>
            <family val="2"/>
          </rPr>
          <t>085</t>
        </r>
      </text>
    </comment>
    <comment ref="N27" authorId="1" shapeId="0" xr:uid="{DB3274F7-5147-49DD-8138-41BA0E907577}">
      <text>
        <r>
          <rPr>
            <b/>
            <sz val="9"/>
            <color indexed="81"/>
            <rFont val="Tahoma"/>
            <family val="2"/>
          </rPr>
          <t>090</t>
        </r>
      </text>
    </comment>
    <comment ref="O27" authorId="1" shapeId="0" xr:uid="{47D30903-8808-4DA1-9856-2A8BB934D42F}">
      <text>
        <r>
          <rPr>
            <b/>
            <sz val="9"/>
            <color indexed="81"/>
            <rFont val="Tahoma"/>
            <family val="2"/>
          </rPr>
          <t>095</t>
        </r>
      </text>
    </comment>
    <comment ref="P27" authorId="1" shapeId="0" xr:uid="{2920D99F-523B-48A8-B06F-D8EADBA7825B}">
      <text>
        <r>
          <rPr>
            <b/>
            <sz val="9"/>
            <color indexed="81"/>
            <rFont val="Tahoma"/>
            <family val="2"/>
          </rPr>
          <t>100</t>
        </r>
      </text>
    </comment>
    <comment ref="Q27" authorId="1" shapeId="0" xr:uid="{CCB71F42-BD60-4BE7-B7EC-C960EDF25614}">
      <text>
        <r>
          <rPr>
            <b/>
            <sz val="9"/>
            <color indexed="81"/>
            <rFont val="Tahoma"/>
            <family val="2"/>
          </rPr>
          <t>105</t>
        </r>
      </text>
    </comment>
    <comment ref="R27" authorId="1" shapeId="0" xr:uid="{1CF43AE4-7ACE-4F80-8B1C-4084F97F665C}">
      <text>
        <r>
          <rPr>
            <b/>
            <sz val="9"/>
            <color indexed="81"/>
            <rFont val="Tahoma"/>
            <family val="2"/>
          </rPr>
          <t>110</t>
        </r>
      </text>
    </comment>
    <comment ref="S27" authorId="1" shapeId="0" xr:uid="{6252BBCB-7861-4A9D-BFA3-6E0485FFD698}">
      <text>
        <r>
          <rPr>
            <b/>
            <sz val="9"/>
            <color indexed="81"/>
            <rFont val="Tahoma"/>
            <family val="2"/>
          </rPr>
          <t>115</t>
        </r>
      </text>
    </comment>
    <comment ref="T27" authorId="1" shapeId="0" xr:uid="{40D4E3DF-6BF3-4F2D-A324-A3CE0EDC7A04}">
      <text>
        <r>
          <rPr>
            <b/>
            <sz val="9"/>
            <color indexed="81"/>
            <rFont val="Tahoma"/>
            <family val="2"/>
          </rPr>
          <t>120</t>
        </r>
      </text>
    </comment>
    <comment ref="U27" authorId="1" shapeId="0" xr:uid="{02533AE1-8CB7-4DEC-BF3A-4C9B08CEB4CA}">
      <text>
        <r>
          <rPr>
            <b/>
            <sz val="9"/>
            <color indexed="81"/>
            <rFont val="Tahoma"/>
            <family val="2"/>
          </rPr>
          <t>125</t>
        </r>
      </text>
    </comment>
    <comment ref="V27" authorId="1" shapeId="0" xr:uid="{F45DDDC8-FFA8-45A9-A64E-2C1A7793D296}">
      <text>
        <r>
          <rPr>
            <b/>
            <sz val="9"/>
            <color indexed="81"/>
            <rFont val="Tahoma"/>
            <family val="2"/>
          </rPr>
          <t>130</t>
        </r>
      </text>
    </comment>
    <comment ref="W27" authorId="1" shapeId="0" xr:uid="{75DC4B44-205A-4F12-BD26-56362081774C}">
      <text>
        <r>
          <rPr>
            <b/>
            <sz val="9"/>
            <color indexed="81"/>
            <rFont val="Tahoma"/>
            <family val="2"/>
          </rPr>
          <t>136</t>
        </r>
      </text>
    </comment>
    <comment ref="K29" authorId="0" shapeId="0" xr:uid="{1736C166-DE89-4134-9418-00BF742C66DB}">
      <text>
        <r>
          <rPr>
            <b/>
            <sz val="9"/>
            <color indexed="81"/>
            <rFont val="Tahoma"/>
            <family val="2"/>
          </rPr>
          <t>Desembolso inicial: inversión exigida por el proyecto en el momento cero</t>
        </r>
      </text>
    </comment>
    <comment ref="L29" authorId="1" shapeId="0" xr:uid="{9817E492-E6D4-4DEF-BA98-800A6C4A587E}">
      <text>
        <r>
          <rPr>
            <b/>
            <sz val="9"/>
            <color indexed="81"/>
            <rFont val="Tahoma"/>
            <family val="2"/>
          </rPr>
          <t>137</t>
        </r>
      </text>
    </comment>
    <comment ref="N29" authorId="0" shapeId="0" xr:uid="{F0AC5947-04ED-4188-A786-7449D7B5BFB2}">
      <text>
        <r>
          <rPr>
            <b/>
            <sz val="9"/>
            <color indexed="81"/>
            <rFont val="Tahoma"/>
            <family val="2"/>
          </rPr>
          <t>Coste de los fondos (nominal)
K = (1+r) x (1+f) - 1</t>
        </r>
      </text>
    </comment>
    <comment ref="O29" authorId="1" shapeId="0" xr:uid="{D5912BEC-BDEB-4F33-9350-57DC7483B104}">
      <text>
        <r>
          <rPr>
            <b/>
            <sz val="9"/>
            <color indexed="81"/>
            <rFont val="Tahoma"/>
            <family val="2"/>
          </rPr>
          <t>141</t>
        </r>
      </text>
    </comment>
    <comment ref="K30" authorId="0" shapeId="0" xr:uid="{78D73B08-8173-47D1-8F10-4C4378007569}">
      <text>
        <r>
          <rPr>
            <b/>
            <sz val="9"/>
            <color indexed="81"/>
            <rFont val="Tahoma"/>
            <family val="2"/>
          </rPr>
          <t>Valor residual generado por la liquidación del inmovilizado al final del proyecto</t>
        </r>
      </text>
    </comment>
    <comment ref="L30" authorId="1" shapeId="0" xr:uid="{9F046400-8F5F-477E-8C55-33D62E654470}">
      <text>
        <r>
          <rPr>
            <b/>
            <sz val="9"/>
            <color indexed="81"/>
            <rFont val="Tahoma"/>
            <family val="2"/>
          </rPr>
          <t>138</t>
        </r>
      </text>
    </comment>
    <comment ref="K31" authorId="0" shapeId="0" xr:uid="{F3438E10-4DC4-44D8-B94E-DDBFD68069FF}">
      <text>
        <r>
          <rPr>
            <b/>
            <sz val="9"/>
            <color indexed="81"/>
            <rFont val="Tahoma"/>
            <family val="2"/>
          </rPr>
          <t>Valor residual generado por la liquidación del fondo de maniobra incremental al final del proyecto</t>
        </r>
      </text>
    </comment>
    <comment ref="L31" authorId="1" shapeId="0" xr:uid="{4293AD4F-352D-43F2-8823-7B59A3615D36}">
      <text>
        <r>
          <rPr>
            <b/>
            <sz val="9"/>
            <color indexed="81"/>
            <rFont val="Tahoma"/>
            <family val="2"/>
          </rPr>
          <t>139</t>
        </r>
      </text>
    </comment>
    <comment ref="N31" authorId="2" shapeId="0" xr:uid="{4801C5D9-F346-437B-8A9D-CE30E4553756}">
      <text>
        <r>
          <rPr>
            <b/>
            <sz val="9"/>
            <color indexed="81"/>
            <rFont val="Tahoma"/>
            <family val="2"/>
          </rPr>
          <t>Valor actualizado neto asociado al proyecto</t>
        </r>
      </text>
    </comment>
    <comment ref="O31" authorId="1" shapeId="0" xr:uid="{C4FD570D-67E6-45E8-9010-3B0746B7EC52}">
      <text>
        <r>
          <rPr>
            <b/>
            <sz val="9"/>
            <color indexed="81"/>
            <rFont val="Tahoma"/>
            <family val="2"/>
          </rPr>
          <t>142</t>
        </r>
      </text>
    </comment>
    <comment ref="K32" authorId="0" shapeId="0" xr:uid="{EF8FCE9F-BA7A-4CEC-A9D5-40A19619855E}">
      <text>
        <r>
          <rPr>
            <b/>
            <sz val="9"/>
            <color indexed="81"/>
            <rFont val="Tahoma"/>
            <family val="2"/>
          </rPr>
          <t>Valor residual incremental generado por el proyecto al final de su vida [∆VR AF + ∆VR FM]</t>
        </r>
      </text>
    </comment>
    <comment ref="L32" authorId="1" shapeId="0" xr:uid="{F7C08A3A-1C66-4EB4-A876-0C54D42E7BA6}">
      <text>
        <r>
          <rPr>
            <b/>
            <sz val="9"/>
            <color indexed="81"/>
            <rFont val="Tahoma"/>
            <family val="2"/>
          </rPr>
          <t>140</t>
        </r>
      </text>
    </comment>
    <comment ref="L38" authorId="0" shapeId="0" xr:uid="{A19E0DD4-4383-4C3E-9E9C-DD98EADC7B3D}">
      <text>
        <r>
          <rPr>
            <b/>
            <sz val="9"/>
            <color indexed="81"/>
            <rFont val="Tahoma"/>
            <family val="2"/>
          </rPr>
          <t>Incremento anual de ventas que aporta el proyecto</t>
        </r>
      </text>
    </comment>
    <comment ref="M38" authorId="0" shapeId="0" xr:uid="{F695BA1D-52CF-4E36-AC06-DDA7CC13FE5B}">
      <text>
        <r>
          <rPr>
            <b/>
            <sz val="9"/>
            <color indexed="81"/>
            <rFont val="Tahoma"/>
            <family val="2"/>
          </rPr>
          <t>Incremento anual de costes operativos con desembolso que aporta el proyecto</t>
        </r>
      </text>
    </comment>
    <comment ref="N38" authorId="0" shapeId="0" xr:uid="{A13DB0A0-B04A-4633-83FD-E5AACE1CD842}">
      <text>
        <r>
          <rPr>
            <b/>
            <sz val="9"/>
            <color indexed="81"/>
            <rFont val="Tahoma"/>
            <family val="2"/>
          </rPr>
          <t>EBITDA incremental (diferencia entre ventas y costes operativos con desembolso) que aporta el proyecto</t>
        </r>
      </text>
    </comment>
    <comment ref="O38" authorId="0" shapeId="0" xr:uid="{4C51F321-EF80-46DF-8D8B-4B7C264AAD30}">
      <text>
        <r>
          <rPr>
            <b/>
            <sz val="9"/>
            <color indexed="81"/>
            <rFont val="Tahoma"/>
            <family val="2"/>
          </rPr>
          <t>Incremento anual de las amortizaciones de inmovilizados que aporta el proyecto</t>
        </r>
      </text>
    </comment>
    <comment ref="P38" authorId="0" shapeId="0" xr:uid="{3BE778AE-5553-45F0-BE63-1B454E00C7F0}">
      <text>
        <r>
          <rPr>
            <b/>
            <sz val="9"/>
            <color indexed="81"/>
            <rFont val="Tahoma"/>
            <family val="2"/>
          </rPr>
          <t>Incremento anual de beneficio antes de intereses e impuestos</t>
        </r>
      </text>
    </comment>
    <comment ref="Q38" authorId="0" shapeId="0" xr:uid="{7697A6C8-7F2A-41A6-BE3F-CD7F3249FA36}">
      <text>
        <r>
          <rPr>
            <b/>
            <sz val="9"/>
            <color indexed="81"/>
            <rFont val="Tahoma"/>
            <family val="2"/>
          </rPr>
          <t>Incremento anual de impuestos (Impuesto de sociedades)</t>
        </r>
      </text>
    </comment>
    <comment ref="R38" authorId="0" shapeId="0" xr:uid="{62AF4894-C12A-404F-A611-24B04471340A}">
      <text>
        <r>
          <rPr>
            <b/>
            <sz val="9"/>
            <color indexed="81"/>
            <rFont val="Tahoma"/>
            <family val="2"/>
          </rPr>
          <t>Incremento anual de beneficio antes de intereses y después de impuestos</t>
        </r>
      </text>
    </comment>
    <comment ref="S38" authorId="0" shapeId="0" xr:uid="{FA3D0797-3453-4DF6-A48D-B4752D734C8F}">
      <text>
        <r>
          <rPr>
            <b/>
            <sz val="9"/>
            <color indexed="81"/>
            <rFont val="Tahoma"/>
            <family val="2"/>
          </rPr>
          <t>Incremento de caja anual generado por el proyecto, antes de considerar las inversiones en fondo de maniobra</t>
        </r>
      </text>
    </comment>
    <comment ref="T38" authorId="0" shapeId="0" xr:uid="{74AF06BF-1D7C-4484-A73C-F4CB53FD250D}">
      <text>
        <r>
          <rPr>
            <b/>
            <sz val="9"/>
            <color indexed="81"/>
            <rFont val="Tahoma"/>
            <family val="2"/>
          </rPr>
          <t>Saldo anual de fondo de maniobra generado por el proyecto</t>
        </r>
      </text>
    </comment>
    <comment ref="U38" authorId="0" shapeId="0" xr:uid="{17CCF95A-BD80-4B11-8FD4-4A8BCA1F0F88}">
      <text>
        <r>
          <rPr>
            <b/>
            <sz val="9"/>
            <color indexed="81"/>
            <rFont val="Tahoma"/>
            <family val="2"/>
          </rPr>
          <t>Inversión anual en fondo de maniobra exigida por el proyecto</t>
        </r>
      </text>
    </comment>
    <comment ref="V38" authorId="0" shapeId="0" xr:uid="{549F5EBF-D69D-4F3F-B8A8-DE2C46DAE11E}">
      <text>
        <r>
          <rPr>
            <b/>
            <sz val="9"/>
            <color indexed="81"/>
            <rFont val="Tahoma"/>
            <family val="2"/>
          </rPr>
          <t>Flujo de caja operativo anual incremental que aporta el proyecto (es decir, sin considerar el desembolso inicial ni el valor residual)</t>
        </r>
      </text>
    </comment>
    <comment ref="W38" authorId="0" shapeId="0" xr:uid="{3D093CC2-9E35-4FED-B742-73874652ADFE}">
      <text>
        <r>
          <rPr>
            <b/>
            <sz val="9"/>
            <color indexed="81"/>
            <rFont val="Tahoma"/>
            <family val="2"/>
          </rPr>
          <t>Impacto anual en caja del proyecto: Generaciones de fondos anuales que incluyen el desembolso inicial y el valor residual (moneda corriente)</t>
        </r>
      </text>
    </comment>
    <comment ref="W39" authorId="1" shapeId="0" xr:uid="{011655F3-E59A-423D-BD38-CF318E7ADA41}">
      <text>
        <r>
          <rPr>
            <b/>
            <sz val="9"/>
            <color indexed="81"/>
            <rFont val="Tahoma"/>
            <family val="2"/>
          </rPr>
          <t>198</t>
        </r>
      </text>
    </comment>
    <comment ref="L40" authorId="1" shapeId="0" xr:uid="{38BA5790-6BF6-482A-87DD-F4F2DF319F57}">
      <text>
        <r>
          <rPr>
            <b/>
            <sz val="9"/>
            <color indexed="81"/>
            <rFont val="Tahoma"/>
            <family val="2"/>
          </rPr>
          <t>143</t>
        </r>
      </text>
    </comment>
    <comment ref="M40" authorId="1" shapeId="0" xr:uid="{E6212D2A-95E8-49E4-9BC6-D830796909A7}">
      <text>
        <r>
          <rPr>
            <b/>
            <sz val="9"/>
            <color indexed="81"/>
            <rFont val="Tahoma"/>
            <family val="2"/>
          </rPr>
          <t>148</t>
        </r>
      </text>
    </comment>
    <comment ref="N40" authorId="1" shapeId="0" xr:uid="{F91C9581-E6E6-42CA-881E-BBBEA0833D68}">
      <text>
        <r>
          <rPr>
            <b/>
            <sz val="9"/>
            <color indexed="81"/>
            <rFont val="Tahoma"/>
            <family val="2"/>
          </rPr>
          <t>153</t>
        </r>
      </text>
    </comment>
    <comment ref="O40" authorId="1" shapeId="0" xr:uid="{01C3900B-7A90-49AA-B194-15F7579F4069}">
      <text>
        <r>
          <rPr>
            <b/>
            <sz val="9"/>
            <color indexed="81"/>
            <rFont val="Tahoma"/>
            <family val="2"/>
          </rPr>
          <t>158</t>
        </r>
      </text>
    </comment>
    <comment ref="P40" authorId="1" shapeId="0" xr:uid="{B7920D70-F5EA-470F-8753-E571A75AF9E2}">
      <text>
        <r>
          <rPr>
            <b/>
            <sz val="9"/>
            <color indexed="81"/>
            <rFont val="Tahoma"/>
            <family val="2"/>
          </rPr>
          <t>163</t>
        </r>
      </text>
    </comment>
    <comment ref="Q40" authorId="1" shapeId="0" xr:uid="{7A4F7E7A-70FD-4D6D-AE66-2D625CEC91CC}">
      <text>
        <r>
          <rPr>
            <b/>
            <sz val="9"/>
            <color indexed="81"/>
            <rFont val="Tahoma"/>
            <family val="2"/>
          </rPr>
          <t>168</t>
        </r>
      </text>
    </comment>
    <comment ref="R40" authorId="1" shapeId="0" xr:uid="{C426DB11-6C15-493E-A745-DA467CA4F8EC}">
      <text>
        <r>
          <rPr>
            <b/>
            <sz val="9"/>
            <color indexed="81"/>
            <rFont val="Tahoma"/>
            <family val="2"/>
          </rPr>
          <t>173</t>
        </r>
      </text>
    </comment>
    <comment ref="S40" authorId="1" shapeId="0" xr:uid="{A4B371CB-85DC-45DE-991A-F0F574A9166E}">
      <text>
        <r>
          <rPr>
            <b/>
            <sz val="9"/>
            <color indexed="81"/>
            <rFont val="Tahoma"/>
            <family val="2"/>
          </rPr>
          <t>178</t>
        </r>
      </text>
    </comment>
    <comment ref="T40" authorId="1" shapeId="0" xr:uid="{C025E7A4-495E-4CEA-8F6A-7E8A2299F19A}">
      <text>
        <r>
          <rPr>
            <b/>
            <sz val="9"/>
            <color indexed="81"/>
            <rFont val="Tahoma"/>
            <family val="2"/>
          </rPr>
          <t>183</t>
        </r>
      </text>
    </comment>
    <comment ref="U40" authorId="1" shapeId="0" xr:uid="{3EBDB570-C63C-4B0A-9AAA-665F338FCF41}">
      <text>
        <r>
          <rPr>
            <b/>
            <sz val="9"/>
            <color indexed="81"/>
            <rFont val="Tahoma"/>
            <family val="2"/>
          </rPr>
          <t>188</t>
        </r>
      </text>
    </comment>
    <comment ref="V40" authorId="1" shapeId="0" xr:uid="{B37B3E17-3DA0-4867-BC3A-A7AA2989AC74}">
      <text>
        <r>
          <rPr>
            <b/>
            <sz val="9"/>
            <color indexed="81"/>
            <rFont val="Tahoma"/>
            <family val="2"/>
          </rPr>
          <t>193</t>
        </r>
      </text>
    </comment>
    <comment ref="W40" authorId="1" shapeId="0" xr:uid="{7C7DADF5-574F-4B4D-861A-3DCD61C60A0F}">
      <text>
        <r>
          <rPr>
            <b/>
            <sz val="9"/>
            <color indexed="81"/>
            <rFont val="Tahoma"/>
            <family val="2"/>
          </rPr>
          <t>199</t>
        </r>
      </text>
    </comment>
    <comment ref="L41" authorId="1" shapeId="0" xr:uid="{70B4A145-A7CD-4941-836F-2DBB95FB74D7}">
      <text>
        <r>
          <rPr>
            <b/>
            <sz val="9"/>
            <color indexed="81"/>
            <rFont val="Tahoma"/>
            <family val="2"/>
          </rPr>
          <t>144</t>
        </r>
      </text>
    </comment>
    <comment ref="M41" authorId="1" shapeId="0" xr:uid="{EBE9DE3D-E462-46A2-87B5-9B2EDB060E87}">
      <text>
        <r>
          <rPr>
            <b/>
            <sz val="9"/>
            <color indexed="81"/>
            <rFont val="Tahoma"/>
            <family val="2"/>
          </rPr>
          <t>149</t>
        </r>
      </text>
    </comment>
    <comment ref="N41" authorId="1" shapeId="0" xr:uid="{346E4D97-17DC-4E2A-9068-84E054092E2B}">
      <text>
        <r>
          <rPr>
            <b/>
            <sz val="9"/>
            <color indexed="81"/>
            <rFont val="Tahoma"/>
            <family val="2"/>
          </rPr>
          <t>154</t>
        </r>
      </text>
    </comment>
    <comment ref="O41" authorId="1" shapeId="0" xr:uid="{E27D0B82-CA0F-4FB6-B926-2136E0F205C3}">
      <text>
        <r>
          <rPr>
            <b/>
            <sz val="9"/>
            <color indexed="81"/>
            <rFont val="Tahoma"/>
            <family val="2"/>
          </rPr>
          <t>159</t>
        </r>
      </text>
    </comment>
    <comment ref="P41" authorId="1" shapeId="0" xr:uid="{0E01E6EA-FB74-4839-B630-2C07D8A41896}">
      <text>
        <r>
          <rPr>
            <b/>
            <sz val="9"/>
            <color indexed="81"/>
            <rFont val="Tahoma"/>
            <family val="2"/>
          </rPr>
          <t>164</t>
        </r>
      </text>
    </comment>
    <comment ref="Q41" authorId="1" shapeId="0" xr:uid="{EECA2862-715A-4B84-B42D-973E9A5093C8}">
      <text>
        <r>
          <rPr>
            <b/>
            <sz val="9"/>
            <color indexed="81"/>
            <rFont val="Tahoma"/>
            <family val="2"/>
          </rPr>
          <t>169</t>
        </r>
      </text>
    </comment>
    <comment ref="R41" authorId="1" shapeId="0" xr:uid="{EFE078DA-B411-457D-8BAD-1756C63C8FF2}">
      <text>
        <r>
          <rPr>
            <b/>
            <sz val="9"/>
            <color indexed="81"/>
            <rFont val="Tahoma"/>
            <family val="2"/>
          </rPr>
          <t>174</t>
        </r>
      </text>
    </comment>
    <comment ref="S41" authorId="1" shapeId="0" xr:uid="{AE0A5852-7B12-4C54-BFD8-4BB60FDAA70B}">
      <text>
        <r>
          <rPr>
            <b/>
            <sz val="9"/>
            <color indexed="81"/>
            <rFont val="Tahoma"/>
            <family val="2"/>
          </rPr>
          <t>179</t>
        </r>
      </text>
    </comment>
    <comment ref="T41" authorId="1" shapeId="0" xr:uid="{3565B3A5-1EA4-42F2-B5B4-28E3453E0B68}">
      <text>
        <r>
          <rPr>
            <b/>
            <sz val="9"/>
            <color indexed="81"/>
            <rFont val="Tahoma"/>
            <family val="2"/>
          </rPr>
          <t>184</t>
        </r>
      </text>
    </comment>
    <comment ref="U41" authorId="1" shapeId="0" xr:uid="{2E64F8E5-3702-49A2-9467-B849A8D8C751}">
      <text>
        <r>
          <rPr>
            <b/>
            <sz val="9"/>
            <color indexed="81"/>
            <rFont val="Tahoma"/>
            <family val="2"/>
          </rPr>
          <t>189</t>
        </r>
      </text>
    </comment>
    <comment ref="V41" authorId="1" shapeId="0" xr:uid="{E15E986B-5A0E-462C-99C6-29FF0F29E771}">
      <text>
        <r>
          <rPr>
            <b/>
            <sz val="9"/>
            <color indexed="81"/>
            <rFont val="Tahoma"/>
            <family val="2"/>
          </rPr>
          <t>194</t>
        </r>
      </text>
    </comment>
    <comment ref="W41" authorId="1" shapeId="0" xr:uid="{5EA9D491-80E5-45D5-8339-60B94D38D528}">
      <text>
        <r>
          <rPr>
            <b/>
            <sz val="9"/>
            <color indexed="81"/>
            <rFont val="Tahoma"/>
            <family val="2"/>
          </rPr>
          <t>200</t>
        </r>
      </text>
    </comment>
    <comment ref="L42" authorId="1" shapeId="0" xr:uid="{F7BCF7E3-B27B-4555-B615-5C5A768EB07C}">
      <text>
        <r>
          <rPr>
            <b/>
            <sz val="9"/>
            <color indexed="81"/>
            <rFont val="Tahoma"/>
            <family val="2"/>
          </rPr>
          <t>145</t>
        </r>
      </text>
    </comment>
    <comment ref="M42" authorId="1" shapeId="0" xr:uid="{50F42577-A80D-4D58-9E97-F77C1BEBFB01}">
      <text>
        <r>
          <rPr>
            <b/>
            <sz val="9"/>
            <color indexed="81"/>
            <rFont val="Tahoma"/>
            <family val="2"/>
          </rPr>
          <t>150</t>
        </r>
      </text>
    </comment>
    <comment ref="N42" authorId="1" shapeId="0" xr:uid="{0DFE8093-871B-4310-925E-C91D05DAA0D5}">
      <text>
        <r>
          <rPr>
            <b/>
            <sz val="9"/>
            <color indexed="81"/>
            <rFont val="Tahoma"/>
            <family val="2"/>
          </rPr>
          <t>155</t>
        </r>
      </text>
    </comment>
    <comment ref="O42" authorId="1" shapeId="0" xr:uid="{D701E94A-7441-4873-8E29-11D51433D915}">
      <text>
        <r>
          <rPr>
            <b/>
            <sz val="9"/>
            <color indexed="81"/>
            <rFont val="Tahoma"/>
            <family val="2"/>
          </rPr>
          <t>160</t>
        </r>
      </text>
    </comment>
    <comment ref="P42" authorId="1" shapeId="0" xr:uid="{B5363D20-7F6D-4825-8E8D-08E4B3189DFA}">
      <text>
        <r>
          <rPr>
            <b/>
            <sz val="9"/>
            <color indexed="81"/>
            <rFont val="Tahoma"/>
            <family val="2"/>
          </rPr>
          <t>165</t>
        </r>
      </text>
    </comment>
    <comment ref="Q42" authorId="1" shapeId="0" xr:uid="{3C8E64D4-72B4-4104-8D19-F5C21CFF7A18}">
      <text>
        <r>
          <rPr>
            <b/>
            <sz val="9"/>
            <color indexed="81"/>
            <rFont val="Tahoma"/>
            <family val="2"/>
          </rPr>
          <t>170</t>
        </r>
      </text>
    </comment>
    <comment ref="R42" authorId="1" shapeId="0" xr:uid="{6E925B87-51C3-4F77-94BB-6139A194D2AE}">
      <text>
        <r>
          <rPr>
            <b/>
            <sz val="9"/>
            <color indexed="81"/>
            <rFont val="Tahoma"/>
            <family val="2"/>
          </rPr>
          <t>175</t>
        </r>
      </text>
    </comment>
    <comment ref="S42" authorId="1" shapeId="0" xr:uid="{137101A8-55D1-44F6-A4A0-83AD630B93AC}">
      <text>
        <r>
          <rPr>
            <b/>
            <sz val="9"/>
            <color indexed="81"/>
            <rFont val="Tahoma"/>
            <family val="2"/>
          </rPr>
          <t>180</t>
        </r>
      </text>
    </comment>
    <comment ref="T42" authorId="1" shapeId="0" xr:uid="{129BAA4B-492E-422A-9A4E-E8240780661F}">
      <text>
        <r>
          <rPr>
            <b/>
            <sz val="9"/>
            <color indexed="81"/>
            <rFont val="Tahoma"/>
            <family val="2"/>
          </rPr>
          <t>185</t>
        </r>
      </text>
    </comment>
    <comment ref="U42" authorId="1" shapeId="0" xr:uid="{4FBCA884-87FF-4DA6-A4D2-7F253DF5D612}">
      <text>
        <r>
          <rPr>
            <b/>
            <sz val="9"/>
            <color indexed="81"/>
            <rFont val="Tahoma"/>
            <family val="2"/>
          </rPr>
          <t>190</t>
        </r>
      </text>
    </comment>
    <comment ref="V42" authorId="1" shapeId="0" xr:uid="{518907FA-3599-4867-9FC7-D536E651B2EB}">
      <text>
        <r>
          <rPr>
            <b/>
            <sz val="9"/>
            <color indexed="81"/>
            <rFont val="Tahoma"/>
            <family val="2"/>
          </rPr>
          <t>195</t>
        </r>
      </text>
    </comment>
    <comment ref="W42" authorId="1" shapeId="0" xr:uid="{D724F512-8155-4F84-B8E9-8E70D4188866}">
      <text>
        <r>
          <rPr>
            <b/>
            <sz val="9"/>
            <color indexed="81"/>
            <rFont val="Tahoma"/>
            <family val="2"/>
          </rPr>
          <t>201</t>
        </r>
      </text>
    </comment>
    <comment ref="L43" authorId="1" shapeId="0" xr:uid="{CD679FDA-ED24-4DE2-8E30-A8789C7D2E51}">
      <text>
        <r>
          <rPr>
            <b/>
            <sz val="9"/>
            <color indexed="81"/>
            <rFont val="Tahoma"/>
            <family val="2"/>
          </rPr>
          <t>146</t>
        </r>
      </text>
    </comment>
    <comment ref="M43" authorId="1" shapeId="0" xr:uid="{EC3CFE62-CF93-466E-AF60-6EBD0D864CB9}">
      <text>
        <r>
          <rPr>
            <b/>
            <sz val="9"/>
            <color indexed="81"/>
            <rFont val="Tahoma"/>
            <family val="2"/>
          </rPr>
          <t>151</t>
        </r>
      </text>
    </comment>
    <comment ref="N43" authorId="1" shapeId="0" xr:uid="{A97C386D-30C1-4960-9985-02D4A149A116}">
      <text>
        <r>
          <rPr>
            <b/>
            <sz val="9"/>
            <color indexed="81"/>
            <rFont val="Tahoma"/>
            <family val="2"/>
          </rPr>
          <t>156</t>
        </r>
      </text>
    </comment>
    <comment ref="O43" authorId="1" shapeId="0" xr:uid="{56D3458C-BE6C-48E9-ABAB-AE0A07C9CF42}">
      <text>
        <r>
          <rPr>
            <b/>
            <sz val="9"/>
            <color indexed="81"/>
            <rFont val="Tahoma"/>
            <family val="2"/>
          </rPr>
          <t>161</t>
        </r>
      </text>
    </comment>
    <comment ref="P43" authorId="1" shapeId="0" xr:uid="{936FBDB0-3D88-4A08-82E3-2F9326243898}">
      <text>
        <r>
          <rPr>
            <b/>
            <sz val="9"/>
            <color indexed="81"/>
            <rFont val="Tahoma"/>
            <family val="2"/>
          </rPr>
          <t>166</t>
        </r>
      </text>
    </comment>
    <comment ref="Q43" authorId="1" shapeId="0" xr:uid="{C96C0B17-8D7B-4CCE-B74F-68818B0EC4D1}">
      <text>
        <r>
          <rPr>
            <b/>
            <sz val="9"/>
            <color indexed="81"/>
            <rFont val="Tahoma"/>
            <family val="2"/>
          </rPr>
          <t>171</t>
        </r>
      </text>
    </comment>
    <comment ref="R43" authorId="1" shapeId="0" xr:uid="{12116DF6-994A-4FE4-B01D-3ED9674A01DC}">
      <text>
        <r>
          <rPr>
            <b/>
            <sz val="9"/>
            <color indexed="81"/>
            <rFont val="Tahoma"/>
            <family val="2"/>
          </rPr>
          <t>176</t>
        </r>
      </text>
    </comment>
    <comment ref="S43" authorId="1" shapeId="0" xr:uid="{BC92D829-8732-462F-8B58-B82A38C78EA9}">
      <text>
        <r>
          <rPr>
            <b/>
            <sz val="9"/>
            <color indexed="81"/>
            <rFont val="Tahoma"/>
            <family val="2"/>
          </rPr>
          <t>181</t>
        </r>
      </text>
    </comment>
    <comment ref="T43" authorId="1" shapeId="0" xr:uid="{F06ECD87-8AE2-474F-A7B7-944B36BDEB4A}">
      <text>
        <r>
          <rPr>
            <b/>
            <sz val="9"/>
            <color indexed="81"/>
            <rFont val="Tahoma"/>
            <family val="2"/>
          </rPr>
          <t>186</t>
        </r>
      </text>
    </comment>
    <comment ref="U43" authorId="1" shapeId="0" xr:uid="{26893FC1-7523-4E7C-A42E-E1D320C5623A}">
      <text>
        <r>
          <rPr>
            <b/>
            <sz val="9"/>
            <color indexed="81"/>
            <rFont val="Tahoma"/>
            <family val="2"/>
          </rPr>
          <t>191</t>
        </r>
      </text>
    </comment>
    <comment ref="V43" authorId="1" shapeId="0" xr:uid="{1502A8D4-0C1A-46DA-BF74-96A560FFDE4F}">
      <text>
        <r>
          <rPr>
            <b/>
            <sz val="9"/>
            <color indexed="81"/>
            <rFont val="Tahoma"/>
            <family val="2"/>
          </rPr>
          <t>196</t>
        </r>
      </text>
    </comment>
    <comment ref="W43" authorId="1" shapeId="0" xr:uid="{98213C55-E764-49C3-9873-C5A7F36EFE34}">
      <text>
        <r>
          <rPr>
            <b/>
            <sz val="9"/>
            <color indexed="81"/>
            <rFont val="Tahoma"/>
            <family val="2"/>
          </rPr>
          <t>202</t>
        </r>
      </text>
    </comment>
    <comment ref="L44" authorId="1" shapeId="0" xr:uid="{035A4A6C-9168-4E6E-B9D4-DF528646E7E4}">
      <text>
        <r>
          <rPr>
            <b/>
            <sz val="9"/>
            <color indexed="81"/>
            <rFont val="Tahoma"/>
            <family val="2"/>
          </rPr>
          <t>147</t>
        </r>
      </text>
    </comment>
    <comment ref="M44" authorId="1" shapeId="0" xr:uid="{A5604C70-BE92-42AE-A004-A0927CDB1584}">
      <text>
        <r>
          <rPr>
            <b/>
            <sz val="9"/>
            <color indexed="81"/>
            <rFont val="Tahoma"/>
            <family val="2"/>
          </rPr>
          <t>152</t>
        </r>
      </text>
    </comment>
    <comment ref="N44" authorId="1" shapeId="0" xr:uid="{97DA06A6-4C0E-4F03-A237-AEB8E1FEB8AB}">
      <text>
        <r>
          <rPr>
            <b/>
            <sz val="9"/>
            <color indexed="81"/>
            <rFont val="Tahoma"/>
            <family val="2"/>
          </rPr>
          <t>157</t>
        </r>
      </text>
    </comment>
    <comment ref="O44" authorId="1" shapeId="0" xr:uid="{08865B62-FE58-4F77-9362-3DA488042764}">
      <text>
        <r>
          <rPr>
            <b/>
            <sz val="9"/>
            <color indexed="81"/>
            <rFont val="Tahoma"/>
            <family val="2"/>
          </rPr>
          <t>162</t>
        </r>
      </text>
    </comment>
    <comment ref="P44" authorId="1" shapeId="0" xr:uid="{3D5E8132-980F-43C3-80AF-5A011E648B9E}">
      <text>
        <r>
          <rPr>
            <b/>
            <sz val="9"/>
            <color indexed="81"/>
            <rFont val="Tahoma"/>
            <family val="2"/>
          </rPr>
          <t>167</t>
        </r>
      </text>
    </comment>
    <comment ref="Q44" authorId="1" shapeId="0" xr:uid="{1AFD21D8-C564-410D-89D3-9741AC7EA26D}">
      <text>
        <r>
          <rPr>
            <b/>
            <sz val="9"/>
            <color indexed="81"/>
            <rFont val="Tahoma"/>
            <family val="2"/>
          </rPr>
          <t>172</t>
        </r>
      </text>
    </comment>
    <comment ref="R44" authorId="1" shapeId="0" xr:uid="{598B9EBE-37EC-4920-A27D-1F071124CD25}">
      <text>
        <r>
          <rPr>
            <b/>
            <sz val="9"/>
            <color indexed="81"/>
            <rFont val="Tahoma"/>
            <family val="2"/>
          </rPr>
          <t>177</t>
        </r>
      </text>
    </comment>
    <comment ref="S44" authorId="1" shapeId="0" xr:uid="{C428E188-485F-448E-B56C-C4CC38E48421}">
      <text>
        <r>
          <rPr>
            <b/>
            <sz val="9"/>
            <color indexed="81"/>
            <rFont val="Tahoma"/>
            <family val="2"/>
          </rPr>
          <t>182</t>
        </r>
      </text>
    </comment>
    <comment ref="T44" authorId="1" shapeId="0" xr:uid="{7B9A7528-7899-4BFE-8255-E17CDD1929D3}">
      <text>
        <r>
          <rPr>
            <b/>
            <sz val="9"/>
            <color indexed="81"/>
            <rFont val="Tahoma"/>
            <family val="2"/>
          </rPr>
          <t>187</t>
        </r>
      </text>
    </comment>
    <comment ref="U44" authorId="1" shapeId="0" xr:uid="{9D37B9DA-686C-4675-A379-C42A1EA04EBA}">
      <text>
        <r>
          <rPr>
            <b/>
            <sz val="9"/>
            <color indexed="81"/>
            <rFont val="Tahoma"/>
            <family val="2"/>
          </rPr>
          <t>192</t>
        </r>
      </text>
    </comment>
    <comment ref="V44" authorId="1" shapeId="0" xr:uid="{ECD263A7-9425-4CBA-A1F0-86E952E2A7A2}">
      <text>
        <r>
          <rPr>
            <b/>
            <sz val="9"/>
            <color indexed="81"/>
            <rFont val="Tahoma"/>
            <family val="2"/>
          </rPr>
          <t>197</t>
        </r>
      </text>
    </comment>
    <comment ref="W44" authorId="1" shapeId="0" xr:uid="{12906F39-1476-44EA-8851-6E55FA5F174A}">
      <text>
        <r>
          <rPr>
            <b/>
            <sz val="9"/>
            <color indexed="81"/>
            <rFont val="Tahoma"/>
            <family val="2"/>
          </rPr>
          <t>203</t>
        </r>
      </text>
    </comment>
    <comment ref="K46" authorId="0" shapeId="0" xr:uid="{DC7FCDE9-A251-45D8-A29F-719D84092DF1}">
      <text>
        <r>
          <rPr>
            <b/>
            <sz val="9"/>
            <color indexed="81"/>
            <rFont val="Tahoma"/>
            <family val="2"/>
          </rPr>
          <t>Desembolso inicial: inversión exigida por el proyecto en el momento cero</t>
        </r>
      </text>
    </comment>
    <comment ref="L46" authorId="1" shapeId="0" xr:uid="{759F6D1C-FD2D-43B1-B15A-BA0DE555CBC8}">
      <text>
        <r>
          <rPr>
            <b/>
            <sz val="9"/>
            <color indexed="81"/>
            <rFont val="Tahoma"/>
            <family val="2"/>
          </rPr>
          <t>204</t>
        </r>
      </text>
    </comment>
    <comment ref="N46" authorId="0" shapeId="0" xr:uid="{C0EF468C-0349-40F0-8041-6BE9ED58C67F}">
      <text>
        <r>
          <rPr>
            <b/>
            <sz val="9"/>
            <color indexed="81"/>
            <rFont val="Tahoma"/>
            <family val="2"/>
          </rPr>
          <t>Coste de los fondos (nominal)
K = (1+r) x (1+f) - 1</t>
        </r>
      </text>
    </comment>
    <comment ref="O46" authorId="1" shapeId="0" xr:uid="{C59F3387-0768-4157-90C2-D7AE4323C404}">
      <text>
        <r>
          <rPr>
            <b/>
            <sz val="9"/>
            <color indexed="81"/>
            <rFont val="Tahoma"/>
            <family val="2"/>
          </rPr>
          <t>208</t>
        </r>
      </text>
    </comment>
    <comment ref="K47" authorId="0" shapeId="0" xr:uid="{937263D5-64F7-4626-BAA7-989FEFD74D6C}">
      <text>
        <r>
          <rPr>
            <b/>
            <sz val="9"/>
            <color indexed="81"/>
            <rFont val="Tahoma"/>
            <family val="2"/>
          </rPr>
          <t>Valor residual generado por la liquidación del inmovilizado al final del proyecto</t>
        </r>
      </text>
    </comment>
    <comment ref="L47" authorId="1" shapeId="0" xr:uid="{90ECC0E8-A6F4-4263-BAD2-897DD9BF14E3}">
      <text>
        <r>
          <rPr>
            <b/>
            <sz val="9"/>
            <color indexed="81"/>
            <rFont val="Tahoma"/>
            <family val="2"/>
          </rPr>
          <t>205</t>
        </r>
      </text>
    </comment>
    <comment ref="K48" authorId="0" shapeId="0" xr:uid="{D093EAF1-3E6A-4AEB-A5FA-DDC42DB6AD57}">
      <text>
        <r>
          <rPr>
            <b/>
            <sz val="9"/>
            <color indexed="81"/>
            <rFont val="Tahoma"/>
            <family val="2"/>
          </rPr>
          <t>Valor residual generado por la liquidación del fondo de maniobra incremental al final del proyecto</t>
        </r>
      </text>
    </comment>
    <comment ref="L48" authorId="1" shapeId="0" xr:uid="{9A5CECB6-BA05-49A4-AE7D-A06722969827}">
      <text>
        <r>
          <rPr>
            <b/>
            <sz val="9"/>
            <color indexed="81"/>
            <rFont val="Tahoma"/>
            <family val="2"/>
          </rPr>
          <t>206</t>
        </r>
      </text>
    </comment>
    <comment ref="N48" authorId="2" shapeId="0" xr:uid="{11252F7D-F673-497D-92D0-8975A137972F}">
      <text>
        <r>
          <rPr>
            <b/>
            <sz val="9"/>
            <color indexed="81"/>
            <rFont val="Tahoma"/>
            <family val="2"/>
          </rPr>
          <t>Valor actualizado neto asociado al proyecto</t>
        </r>
      </text>
    </comment>
    <comment ref="O48" authorId="1" shapeId="0" xr:uid="{026F9688-78E6-44E4-939D-BF6531556481}">
      <text>
        <r>
          <rPr>
            <b/>
            <sz val="9"/>
            <color indexed="81"/>
            <rFont val="Tahoma"/>
            <family val="2"/>
          </rPr>
          <t>209</t>
        </r>
      </text>
    </comment>
    <comment ref="K49" authorId="0" shapeId="0" xr:uid="{01BA5CA7-E0F9-412F-ABBB-CFC997E95DF5}">
      <text>
        <r>
          <rPr>
            <b/>
            <sz val="9"/>
            <color indexed="81"/>
            <rFont val="Tahoma"/>
            <family val="2"/>
          </rPr>
          <t>Valor residual incremental generado por el proyecto al final de su vida [∆VR AF + ∆VR FM]</t>
        </r>
      </text>
    </comment>
    <comment ref="L49" authorId="1" shapeId="0" xr:uid="{E235FD8E-1B7E-44DF-ADDE-D93DFC562DB5}">
      <text>
        <r>
          <rPr>
            <b/>
            <sz val="9"/>
            <color indexed="81"/>
            <rFont val="Tahoma"/>
            <family val="2"/>
          </rPr>
          <t>207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L4" authorId="0" shapeId="0" xr:uid="{A69D7D03-BEE7-476E-8121-AD1B5CB8E645}">
      <text>
        <r>
          <rPr>
            <b/>
            <sz val="9"/>
            <color indexed="81"/>
            <rFont val="Tahoma"/>
            <family val="2"/>
          </rPr>
          <t>Incremento anual de ventas que aporta el proyecto</t>
        </r>
      </text>
    </comment>
    <comment ref="M4" authorId="0" shapeId="0" xr:uid="{C1D0E3EB-3BD9-457C-9173-2545E4349ECB}">
      <text>
        <r>
          <rPr>
            <b/>
            <sz val="9"/>
            <color indexed="81"/>
            <rFont val="Tahoma"/>
            <family val="2"/>
          </rPr>
          <t>Incremento anual de costes operativos con desembolso que aporta el proyecto</t>
        </r>
      </text>
    </comment>
    <comment ref="N4" authorId="0" shapeId="0" xr:uid="{CB83F906-812E-480C-A0DC-9514A5013BC7}">
      <text>
        <r>
          <rPr>
            <b/>
            <sz val="9"/>
            <color indexed="81"/>
            <rFont val="Tahoma"/>
            <family val="2"/>
          </rPr>
          <t>EBITDA incremental (diferencia entre ventas y costes operativos con desembolso) que aporta el proyecto</t>
        </r>
      </text>
    </comment>
    <comment ref="O4" authorId="0" shapeId="0" xr:uid="{EC122C8E-07E7-48BE-A691-72D473A774D2}">
      <text>
        <r>
          <rPr>
            <b/>
            <sz val="9"/>
            <color indexed="81"/>
            <rFont val="Tahoma"/>
            <family val="2"/>
          </rPr>
          <t>Incremento anual de las amortizaciones de inmovilizados que aporta el proyecto</t>
        </r>
      </text>
    </comment>
    <comment ref="P4" authorId="0" shapeId="0" xr:uid="{51E20959-B49C-4843-9A8F-20AE4C042827}">
      <text>
        <r>
          <rPr>
            <b/>
            <sz val="9"/>
            <color indexed="81"/>
            <rFont val="Tahoma"/>
            <family val="2"/>
          </rPr>
          <t>Incremento anual de beneficio antes de intereses e impuestos</t>
        </r>
      </text>
    </comment>
    <comment ref="Q4" authorId="0" shapeId="0" xr:uid="{39D2FCF2-4BB3-433E-B5C3-93F790FE5A59}">
      <text>
        <r>
          <rPr>
            <b/>
            <sz val="9"/>
            <color indexed="81"/>
            <rFont val="Tahoma"/>
            <family val="2"/>
          </rPr>
          <t>Incremento anual de impuestos (Impuesto de sociedades)</t>
        </r>
      </text>
    </comment>
    <comment ref="R4" authorId="0" shapeId="0" xr:uid="{55B18DE4-7E6E-4C19-A5B7-3B8C0AD14172}">
      <text>
        <r>
          <rPr>
            <b/>
            <sz val="9"/>
            <color indexed="81"/>
            <rFont val="Tahoma"/>
            <family val="2"/>
          </rPr>
          <t>Incremento anual de beneficio antes de intereses y después de impuestos</t>
        </r>
      </text>
    </comment>
    <comment ref="S4" authorId="0" shapeId="0" xr:uid="{8662C3A2-2CB4-490A-B29C-64840D6CB05F}">
      <text>
        <r>
          <rPr>
            <b/>
            <sz val="9"/>
            <color indexed="81"/>
            <rFont val="Tahoma"/>
            <family val="2"/>
          </rPr>
          <t>Incremento de caja anual generado por el proyecto, antes de considerar las inversiones en fondo de maniobra</t>
        </r>
      </text>
    </comment>
    <comment ref="T4" authorId="0" shapeId="0" xr:uid="{A0AFF31F-D163-48F5-B2E6-DD1920AC1382}">
      <text>
        <r>
          <rPr>
            <b/>
            <sz val="9"/>
            <color indexed="81"/>
            <rFont val="Tahoma"/>
            <family val="2"/>
          </rPr>
          <t>Saldo anual de fondo de maniobra generado por el proyecto</t>
        </r>
      </text>
    </comment>
    <comment ref="U4" authorId="0" shapeId="0" xr:uid="{6FFF63D5-6C67-4C9D-B457-2069B5FBFC43}">
      <text>
        <r>
          <rPr>
            <b/>
            <sz val="9"/>
            <color indexed="81"/>
            <rFont val="Tahoma"/>
            <family val="2"/>
          </rPr>
          <t>Inversión anual en fondo de maniobra exigida por el proyecto</t>
        </r>
      </text>
    </comment>
    <comment ref="V4" authorId="0" shapeId="0" xr:uid="{5118538A-7E9C-45D8-B78C-3CA9C83C36FC}">
      <text>
        <r>
          <rPr>
            <b/>
            <sz val="9"/>
            <color indexed="81"/>
            <rFont val="Tahoma"/>
            <family val="2"/>
          </rPr>
          <t>Flujo de caja operativo anual incremental que aporta el proyecto (es decir, sin considerar el desembolso inicial ni el valor residual)</t>
        </r>
      </text>
    </comment>
    <comment ref="W4" authorId="0" shapeId="0" xr:uid="{41FCCF5B-2472-4EF0-910A-28A9348AB6BF}">
      <text>
        <r>
          <rPr>
            <b/>
            <sz val="9"/>
            <color indexed="81"/>
            <rFont val="Tahoma"/>
            <family val="2"/>
          </rPr>
          <t>Impacto anual en caja del proyecto: Generaciones de fondos anuales que incluyen el desembolso inicial y el valor residual (moneda corriente)</t>
        </r>
      </text>
    </comment>
    <comment ref="Y4" authorId="0" shapeId="0" xr:uid="{663EC6DE-0446-4FF1-B9FC-57066DC296ED}">
      <text>
        <r>
          <rPr>
            <b/>
            <sz val="9"/>
            <color indexed="81"/>
            <rFont val="Tahoma"/>
            <family val="2"/>
          </rPr>
          <t>Impacto anual en caja del proyecto: Generaciones de fondos anuales que incluyen el desembolso inicial y el valor residual (moneda constante)</t>
        </r>
      </text>
    </comment>
    <comment ref="W5" authorId="1" shapeId="0" xr:uid="{06272968-8784-4381-8347-FC4CE098C4A4}">
      <text>
        <r>
          <rPr>
            <b/>
            <sz val="9"/>
            <color indexed="81"/>
            <rFont val="Tahoma"/>
            <family val="2"/>
          </rPr>
          <t>056</t>
        </r>
      </text>
    </comment>
    <comment ref="Y5" authorId="1" shapeId="0" xr:uid="{35EDCEB7-491B-4452-83CD-0A5F1BAE037E}">
      <text>
        <r>
          <rPr>
            <b/>
            <sz val="9"/>
            <color indexed="81"/>
            <rFont val="Tahoma"/>
            <family val="2"/>
          </rPr>
          <t>068</t>
        </r>
      </text>
    </comment>
    <comment ref="L6" authorId="1" shapeId="0" xr:uid="{421F35B8-AE9C-43E9-92C7-8773C5AF6178}">
      <text>
        <r>
          <rPr>
            <b/>
            <sz val="9"/>
            <color indexed="81"/>
            <rFont val="Tahoma"/>
            <family val="2"/>
          </rPr>
          <t>001</t>
        </r>
      </text>
    </comment>
    <comment ref="M6" authorId="1" shapeId="0" xr:uid="{D527EF2B-6149-4026-943D-E0832A75BCE5}">
      <text>
        <r>
          <rPr>
            <b/>
            <sz val="9"/>
            <color indexed="81"/>
            <rFont val="Tahoma"/>
            <family val="2"/>
          </rPr>
          <t>006</t>
        </r>
      </text>
    </comment>
    <comment ref="N6" authorId="1" shapeId="0" xr:uid="{39A202DB-91D6-4EBF-9643-723196543961}">
      <text>
        <r>
          <rPr>
            <b/>
            <sz val="9"/>
            <color indexed="81"/>
            <rFont val="Tahoma"/>
            <family val="2"/>
          </rPr>
          <t>011</t>
        </r>
      </text>
    </comment>
    <comment ref="O6" authorId="1" shapeId="0" xr:uid="{8DB6C068-9251-4842-9A58-EECDA4DBD3C6}">
      <text>
        <r>
          <rPr>
            <b/>
            <sz val="9"/>
            <color indexed="81"/>
            <rFont val="Tahoma"/>
            <family val="2"/>
          </rPr>
          <t>016</t>
        </r>
      </text>
    </comment>
    <comment ref="P6" authorId="1" shapeId="0" xr:uid="{B368F446-3E30-44BB-86F0-8467B6D3E1A4}">
      <text>
        <r>
          <rPr>
            <b/>
            <sz val="9"/>
            <color indexed="81"/>
            <rFont val="Tahoma"/>
            <family val="2"/>
          </rPr>
          <t>021</t>
        </r>
      </text>
    </comment>
    <comment ref="Q6" authorId="1" shapeId="0" xr:uid="{A1FB860A-4808-4B3A-8A23-8209632A9F30}">
      <text>
        <r>
          <rPr>
            <b/>
            <sz val="9"/>
            <color indexed="81"/>
            <rFont val="Tahoma"/>
            <family val="2"/>
          </rPr>
          <t>026</t>
        </r>
      </text>
    </comment>
    <comment ref="R6" authorId="1" shapeId="0" xr:uid="{5452B536-3A42-433F-9FED-0DD22486D67A}">
      <text>
        <r>
          <rPr>
            <b/>
            <sz val="9"/>
            <color indexed="81"/>
            <rFont val="Tahoma"/>
            <family val="2"/>
          </rPr>
          <t>031</t>
        </r>
      </text>
    </comment>
    <comment ref="S6" authorId="1" shapeId="0" xr:uid="{EE47A4E6-9E65-47F5-A702-930C1F20B9C4}">
      <text>
        <r>
          <rPr>
            <b/>
            <sz val="9"/>
            <color indexed="81"/>
            <rFont val="Tahoma"/>
            <family val="2"/>
          </rPr>
          <t>036</t>
        </r>
      </text>
    </comment>
    <comment ref="T6" authorId="1" shapeId="0" xr:uid="{0746FFF9-B804-4652-88E8-2AE935BF77BB}">
      <text>
        <r>
          <rPr>
            <b/>
            <sz val="9"/>
            <color indexed="81"/>
            <rFont val="Tahoma"/>
            <family val="2"/>
          </rPr>
          <t>041</t>
        </r>
      </text>
    </comment>
    <comment ref="U6" authorId="1" shapeId="0" xr:uid="{6237EE79-3D25-42C1-B4FB-EA7FDE0D55E0}">
      <text>
        <r>
          <rPr>
            <b/>
            <sz val="9"/>
            <color indexed="81"/>
            <rFont val="Tahoma"/>
            <family val="2"/>
          </rPr>
          <t>046</t>
        </r>
      </text>
    </comment>
    <comment ref="V6" authorId="1" shapeId="0" xr:uid="{521CC509-A34F-4945-940B-0265EE86D161}">
      <text>
        <r>
          <rPr>
            <b/>
            <sz val="9"/>
            <color indexed="81"/>
            <rFont val="Tahoma"/>
            <family val="2"/>
          </rPr>
          <t>051</t>
        </r>
      </text>
    </comment>
    <comment ref="W6" authorId="1" shapeId="0" xr:uid="{DFF997EB-3453-4534-BE9B-49DB62FAC3F8}">
      <text>
        <r>
          <rPr>
            <b/>
            <sz val="9"/>
            <color indexed="81"/>
            <rFont val="Tahoma"/>
            <family val="2"/>
          </rPr>
          <t>057</t>
        </r>
      </text>
    </comment>
    <comment ref="Y6" authorId="1" shapeId="0" xr:uid="{CD804F92-C210-437B-BA51-29CAE3B8235D}">
      <text>
        <r>
          <rPr>
            <b/>
            <sz val="9"/>
            <color indexed="81"/>
            <rFont val="Tahoma"/>
            <family val="2"/>
          </rPr>
          <t>069</t>
        </r>
      </text>
    </comment>
    <comment ref="L7" authorId="1" shapeId="0" xr:uid="{07DFB2DC-B903-43F0-89B1-686F178F1D34}">
      <text>
        <r>
          <rPr>
            <b/>
            <sz val="9"/>
            <color indexed="81"/>
            <rFont val="Tahoma"/>
            <family val="2"/>
          </rPr>
          <t>002</t>
        </r>
      </text>
    </comment>
    <comment ref="M7" authorId="1" shapeId="0" xr:uid="{F0464197-F217-43BF-B0E2-AFD77E646839}">
      <text>
        <r>
          <rPr>
            <b/>
            <sz val="9"/>
            <color indexed="81"/>
            <rFont val="Tahoma"/>
            <family val="2"/>
          </rPr>
          <t>007</t>
        </r>
      </text>
    </comment>
    <comment ref="N7" authorId="1" shapeId="0" xr:uid="{1557C53B-1E97-4037-AF00-3728779C28AF}">
      <text>
        <r>
          <rPr>
            <b/>
            <sz val="9"/>
            <color indexed="81"/>
            <rFont val="Tahoma"/>
            <family val="2"/>
          </rPr>
          <t>012</t>
        </r>
      </text>
    </comment>
    <comment ref="O7" authorId="1" shapeId="0" xr:uid="{36BDDB4A-8DF3-4817-B77F-CD74C24CEADD}">
      <text>
        <r>
          <rPr>
            <b/>
            <sz val="9"/>
            <color indexed="81"/>
            <rFont val="Tahoma"/>
            <family val="2"/>
          </rPr>
          <t>017</t>
        </r>
      </text>
    </comment>
    <comment ref="P7" authorId="1" shapeId="0" xr:uid="{1F3420FD-DE3A-46C8-88E7-0C00854E8679}">
      <text>
        <r>
          <rPr>
            <b/>
            <sz val="9"/>
            <color indexed="81"/>
            <rFont val="Tahoma"/>
            <family val="2"/>
          </rPr>
          <t>022</t>
        </r>
      </text>
    </comment>
    <comment ref="Q7" authorId="1" shapeId="0" xr:uid="{26F4C7F6-9C41-4F71-B06B-93CAC547E842}">
      <text>
        <r>
          <rPr>
            <b/>
            <sz val="9"/>
            <color indexed="81"/>
            <rFont val="Tahoma"/>
            <family val="2"/>
          </rPr>
          <t>027</t>
        </r>
      </text>
    </comment>
    <comment ref="R7" authorId="1" shapeId="0" xr:uid="{17C963A6-F598-4CE7-A7C9-3566BCB0AC17}">
      <text>
        <r>
          <rPr>
            <b/>
            <sz val="9"/>
            <color indexed="81"/>
            <rFont val="Tahoma"/>
            <family val="2"/>
          </rPr>
          <t>032</t>
        </r>
      </text>
    </comment>
    <comment ref="S7" authorId="1" shapeId="0" xr:uid="{90DE432F-E177-4ED6-B747-AA5612D836F5}">
      <text>
        <r>
          <rPr>
            <b/>
            <sz val="9"/>
            <color indexed="81"/>
            <rFont val="Tahoma"/>
            <family val="2"/>
          </rPr>
          <t>037</t>
        </r>
      </text>
    </comment>
    <comment ref="T7" authorId="1" shapeId="0" xr:uid="{BB7A7C44-8AC1-4056-95FC-787DC698DFD7}">
      <text>
        <r>
          <rPr>
            <b/>
            <sz val="9"/>
            <color indexed="81"/>
            <rFont val="Tahoma"/>
            <family val="2"/>
          </rPr>
          <t>042</t>
        </r>
      </text>
    </comment>
    <comment ref="U7" authorId="1" shapeId="0" xr:uid="{1B22FE60-A08A-4CA8-A48E-FE708D61569A}">
      <text>
        <r>
          <rPr>
            <b/>
            <sz val="9"/>
            <color indexed="81"/>
            <rFont val="Tahoma"/>
            <family val="2"/>
          </rPr>
          <t>047</t>
        </r>
      </text>
    </comment>
    <comment ref="V7" authorId="1" shapeId="0" xr:uid="{6DCB38A0-A1DC-4C51-91A7-CF8AD1300D65}">
      <text>
        <r>
          <rPr>
            <b/>
            <sz val="9"/>
            <color indexed="81"/>
            <rFont val="Tahoma"/>
            <family val="2"/>
          </rPr>
          <t>052</t>
        </r>
      </text>
    </comment>
    <comment ref="W7" authorId="1" shapeId="0" xr:uid="{0E0EF8C5-714A-4F0A-8F8A-D2A3B79F2371}">
      <text>
        <r>
          <rPr>
            <b/>
            <sz val="9"/>
            <color indexed="81"/>
            <rFont val="Tahoma"/>
            <family val="2"/>
          </rPr>
          <t>058</t>
        </r>
      </text>
    </comment>
    <comment ref="Y7" authorId="1" shapeId="0" xr:uid="{AC860298-15B1-418C-B887-DF149C4AEA46}">
      <text>
        <r>
          <rPr>
            <b/>
            <sz val="9"/>
            <color indexed="81"/>
            <rFont val="Tahoma"/>
            <family val="2"/>
          </rPr>
          <t>070</t>
        </r>
      </text>
    </comment>
    <comment ref="L8" authorId="1" shapeId="0" xr:uid="{95BACD2A-2E1F-4F7F-A8E5-20D73D27B012}">
      <text>
        <r>
          <rPr>
            <b/>
            <sz val="9"/>
            <color indexed="81"/>
            <rFont val="Tahoma"/>
            <family val="2"/>
          </rPr>
          <t>003</t>
        </r>
      </text>
    </comment>
    <comment ref="M8" authorId="1" shapeId="0" xr:uid="{C75D198E-42ED-4F46-ACFB-B4A2B5D6C777}">
      <text>
        <r>
          <rPr>
            <b/>
            <sz val="9"/>
            <color indexed="81"/>
            <rFont val="Tahoma"/>
            <family val="2"/>
          </rPr>
          <t>008</t>
        </r>
      </text>
    </comment>
    <comment ref="N8" authorId="1" shapeId="0" xr:uid="{54CB9328-68D2-4EB4-9FD5-FD6C6E8555D3}">
      <text>
        <r>
          <rPr>
            <b/>
            <sz val="9"/>
            <color indexed="81"/>
            <rFont val="Tahoma"/>
            <family val="2"/>
          </rPr>
          <t>013</t>
        </r>
      </text>
    </comment>
    <comment ref="O8" authorId="1" shapeId="0" xr:uid="{80E0DB4D-938A-4C8A-B056-CF75CF6D2BA7}">
      <text>
        <r>
          <rPr>
            <b/>
            <sz val="9"/>
            <color indexed="81"/>
            <rFont val="Tahoma"/>
            <family val="2"/>
          </rPr>
          <t>018</t>
        </r>
      </text>
    </comment>
    <comment ref="P8" authorId="1" shapeId="0" xr:uid="{0C943894-42BA-454F-8515-5E84B089049C}">
      <text>
        <r>
          <rPr>
            <b/>
            <sz val="9"/>
            <color indexed="81"/>
            <rFont val="Tahoma"/>
            <family val="2"/>
          </rPr>
          <t>023</t>
        </r>
      </text>
    </comment>
    <comment ref="Q8" authorId="1" shapeId="0" xr:uid="{328D4DF1-2EC1-4974-8A16-46493228129D}">
      <text>
        <r>
          <rPr>
            <b/>
            <sz val="9"/>
            <color indexed="81"/>
            <rFont val="Tahoma"/>
            <family val="2"/>
          </rPr>
          <t>028</t>
        </r>
      </text>
    </comment>
    <comment ref="R8" authorId="1" shapeId="0" xr:uid="{FF1607A2-ADEE-4245-A2DC-9163A4623B73}">
      <text>
        <r>
          <rPr>
            <b/>
            <sz val="9"/>
            <color indexed="81"/>
            <rFont val="Tahoma"/>
            <family val="2"/>
          </rPr>
          <t>033</t>
        </r>
      </text>
    </comment>
    <comment ref="S8" authorId="1" shapeId="0" xr:uid="{AB009FAF-975B-42F4-8183-E00D96D3CE21}">
      <text>
        <r>
          <rPr>
            <b/>
            <sz val="9"/>
            <color indexed="81"/>
            <rFont val="Tahoma"/>
            <family val="2"/>
          </rPr>
          <t>038</t>
        </r>
      </text>
    </comment>
    <comment ref="T8" authorId="1" shapeId="0" xr:uid="{855818FF-8B30-43A1-ADD8-1AAA03076345}">
      <text>
        <r>
          <rPr>
            <b/>
            <sz val="9"/>
            <color indexed="81"/>
            <rFont val="Tahoma"/>
            <family val="2"/>
          </rPr>
          <t>043</t>
        </r>
      </text>
    </comment>
    <comment ref="U8" authorId="1" shapeId="0" xr:uid="{EBEABF81-73FA-42F8-A205-1E1A30C368CD}">
      <text>
        <r>
          <rPr>
            <b/>
            <sz val="9"/>
            <color indexed="81"/>
            <rFont val="Tahoma"/>
            <family val="2"/>
          </rPr>
          <t>048</t>
        </r>
      </text>
    </comment>
    <comment ref="V8" authorId="1" shapeId="0" xr:uid="{35D73B82-585B-44BB-B3C1-F53ECF36A346}">
      <text>
        <r>
          <rPr>
            <b/>
            <sz val="9"/>
            <color indexed="81"/>
            <rFont val="Tahoma"/>
            <family val="2"/>
          </rPr>
          <t>053</t>
        </r>
      </text>
    </comment>
    <comment ref="W8" authorId="1" shapeId="0" xr:uid="{92D1A654-CF59-4E2F-80B0-F7F6ED6E99F8}">
      <text>
        <r>
          <rPr>
            <b/>
            <sz val="9"/>
            <color indexed="81"/>
            <rFont val="Tahoma"/>
            <family val="2"/>
          </rPr>
          <t>059</t>
        </r>
      </text>
    </comment>
    <comment ref="Y8" authorId="1" shapeId="0" xr:uid="{F719BF64-63D7-48C6-AACF-4994CF0A6DAD}">
      <text>
        <r>
          <rPr>
            <b/>
            <sz val="9"/>
            <color indexed="81"/>
            <rFont val="Tahoma"/>
            <family val="2"/>
          </rPr>
          <t>071</t>
        </r>
      </text>
    </comment>
    <comment ref="L9" authorId="1" shapeId="0" xr:uid="{45FC78C3-5CEB-4EDA-A338-6C8B05C0078C}">
      <text>
        <r>
          <rPr>
            <b/>
            <sz val="9"/>
            <color indexed="81"/>
            <rFont val="Tahoma"/>
            <family val="2"/>
          </rPr>
          <t>004</t>
        </r>
      </text>
    </comment>
    <comment ref="M9" authorId="1" shapeId="0" xr:uid="{F40EA70E-92FF-46E1-82F9-AF34778C2791}">
      <text>
        <r>
          <rPr>
            <b/>
            <sz val="9"/>
            <color indexed="81"/>
            <rFont val="Tahoma"/>
            <family val="2"/>
          </rPr>
          <t>009</t>
        </r>
      </text>
    </comment>
    <comment ref="N9" authorId="1" shapeId="0" xr:uid="{6523750E-EAEF-4AD7-B797-C388F6696103}">
      <text>
        <r>
          <rPr>
            <b/>
            <sz val="9"/>
            <color indexed="81"/>
            <rFont val="Tahoma"/>
            <family val="2"/>
          </rPr>
          <t>014</t>
        </r>
      </text>
    </comment>
    <comment ref="O9" authorId="1" shapeId="0" xr:uid="{A5EE58EA-41A1-4234-852E-C69C20B9976F}">
      <text>
        <r>
          <rPr>
            <b/>
            <sz val="9"/>
            <color indexed="81"/>
            <rFont val="Tahoma"/>
            <family val="2"/>
          </rPr>
          <t>019</t>
        </r>
      </text>
    </comment>
    <comment ref="P9" authorId="1" shapeId="0" xr:uid="{BEE18CA7-59E0-4201-9790-ED048E1D7693}">
      <text>
        <r>
          <rPr>
            <b/>
            <sz val="9"/>
            <color indexed="81"/>
            <rFont val="Tahoma"/>
            <family val="2"/>
          </rPr>
          <t>024</t>
        </r>
      </text>
    </comment>
    <comment ref="Q9" authorId="1" shapeId="0" xr:uid="{E71F8605-B5DB-45A6-9A77-CB40475A2249}">
      <text>
        <r>
          <rPr>
            <b/>
            <sz val="9"/>
            <color indexed="81"/>
            <rFont val="Tahoma"/>
            <family val="2"/>
          </rPr>
          <t>029</t>
        </r>
      </text>
    </comment>
    <comment ref="R9" authorId="1" shapeId="0" xr:uid="{BA30F39E-30A4-45C1-A180-2333F5B054B2}">
      <text>
        <r>
          <rPr>
            <b/>
            <sz val="9"/>
            <color indexed="81"/>
            <rFont val="Tahoma"/>
            <family val="2"/>
          </rPr>
          <t>034</t>
        </r>
      </text>
    </comment>
    <comment ref="S9" authorId="1" shapeId="0" xr:uid="{AD7AE779-30A8-49DB-A4F7-C40BEFD9FF32}">
      <text>
        <r>
          <rPr>
            <b/>
            <sz val="9"/>
            <color indexed="81"/>
            <rFont val="Tahoma"/>
            <family val="2"/>
          </rPr>
          <t>039</t>
        </r>
      </text>
    </comment>
    <comment ref="T9" authorId="1" shapeId="0" xr:uid="{7CA8513B-9DB0-49F5-876C-E6A8C31CEA46}">
      <text>
        <r>
          <rPr>
            <b/>
            <sz val="9"/>
            <color indexed="81"/>
            <rFont val="Tahoma"/>
            <family val="2"/>
          </rPr>
          <t>044</t>
        </r>
      </text>
    </comment>
    <comment ref="U9" authorId="1" shapeId="0" xr:uid="{BBBEC007-9848-4AD5-88D6-49E78D4570A1}">
      <text>
        <r>
          <rPr>
            <b/>
            <sz val="9"/>
            <color indexed="81"/>
            <rFont val="Tahoma"/>
            <family val="2"/>
          </rPr>
          <t>049</t>
        </r>
      </text>
    </comment>
    <comment ref="V9" authorId="1" shapeId="0" xr:uid="{E5628DBB-4B64-4D0D-A411-6239399D316D}">
      <text>
        <r>
          <rPr>
            <b/>
            <sz val="9"/>
            <color indexed="81"/>
            <rFont val="Tahoma"/>
            <family val="2"/>
          </rPr>
          <t>054</t>
        </r>
      </text>
    </comment>
    <comment ref="W9" authorId="1" shapeId="0" xr:uid="{D7D0E1BF-DEC3-4352-AAED-871DC4E1F344}">
      <text>
        <r>
          <rPr>
            <b/>
            <sz val="9"/>
            <color indexed="81"/>
            <rFont val="Tahoma"/>
            <family val="2"/>
          </rPr>
          <t>060</t>
        </r>
      </text>
    </comment>
    <comment ref="Y9" authorId="1" shapeId="0" xr:uid="{AFAD2249-5C71-490D-A054-C347A6892AF4}">
      <text>
        <r>
          <rPr>
            <b/>
            <sz val="9"/>
            <color indexed="81"/>
            <rFont val="Tahoma"/>
            <family val="2"/>
          </rPr>
          <t>072</t>
        </r>
      </text>
    </comment>
    <comment ref="L10" authorId="1" shapeId="0" xr:uid="{AB68073A-0815-4178-8D0E-2FA5BA0A6EF8}">
      <text>
        <r>
          <rPr>
            <b/>
            <sz val="9"/>
            <color indexed="81"/>
            <rFont val="Tahoma"/>
            <family val="2"/>
          </rPr>
          <t>005</t>
        </r>
      </text>
    </comment>
    <comment ref="M10" authorId="1" shapeId="0" xr:uid="{DE44DDB7-F00E-4536-A79A-E17FD271E401}">
      <text>
        <r>
          <rPr>
            <b/>
            <sz val="9"/>
            <color indexed="81"/>
            <rFont val="Tahoma"/>
            <family val="2"/>
          </rPr>
          <t>010</t>
        </r>
      </text>
    </comment>
    <comment ref="N10" authorId="1" shapeId="0" xr:uid="{08ED54D6-0727-4299-A202-D5DAAB217080}">
      <text>
        <r>
          <rPr>
            <b/>
            <sz val="9"/>
            <color indexed="81"/>
            <rFont val="Tahoma"/>
            <family val="2"/>
          </rPr>
          <t>015</t>
        </r>
      </text>
    </comment>
    <comment ref="O10" authorId="1" shapeId="0" xr:uid="{282CE48F-9FAE-45C9-AE2B-53FA3CF0CA5A}">
      <text>
        <r>
          <rPr>
            <b/>
            <sz val="9"/>
            <color indexed="81"/>
            <rFont val="Tahoma"/>
            <family val="2"/>
          </rPr>
          <t>020</t>
        </r>
      </text>
    </comment>
    <comment ref="P10" authorId="1" shapeId="0" xr:uid="{7B13978A-20E3-4A1B-9D4F-D2E10446ED20}">
      <text>
        <r>
          <rPr>
            <b/>
            <sz val="9"/>
            <color indexed="81"/>
            <rFont val="Tahoma"/>
            <family val="2"/>
          </rPr>
          <t>025</t>
        </r>
      </text>
    </comment>
    <comment ref="Q10" authorId="1" shapeId="0" xr:uid="{DA0EF052-82DB-4B95-94EA-0BA9F2641E23}">
      <text>
        <r>
          <rPr>
            <b/>
            <sz val="9"/>
            <color indexed="81"/>
            <rFont val="Tahoma"/>
            <family val="2"/>
          </rPr>
          <t>030</t>
        </r>
      </text>
    </comment>
    <comment ref="R10" authorId="1" shapeId="0" xr:uid="{E367A73D-0B6B-47C9-A08A-B63CCCFA74B2}">
      <text>
        <r>
          <rPr>
            <b/>
            <sz val="9"/>
            <color indexed="81"/>
            <rFont val="Tahoma"/>
            <family val="2"/>
          </rPr>
          <t>035</t>
        </r>
      </text>
    </comment>
    <comment ref="S10" authorId="1" shapeId="0" xr:uid="{34504546-7966-4D47-8704-1A2CBC22D55D}">
      <text>
        <r>
          <rPr>
            <b/>
            <sz val="9"/>
            <color indexed="81"/>
            <rFont val="Tahoma"/>
            <family val="2"/>
          </rPr>
          <t>040</t>
        </r>
      </text>
    </comment>
    <comment ref="T10" authorId="1" shapeId="0" xr:uid="{442AA312-0442-4019-AE64-ABFF08BD60FB}">
      <text>
        <r>
          <rPr>
            <b/>
            <sz val="9"/>
            <color indexed="81"/>
            <rFont val="Tahoma"/>
            <family val="2"/>
          </rPr>
          <t>045</t>
        </r>
      </text>
    </comment>
    <comment ref="U10" authorId="1" shapeId="0" xr:uid="{C4C607ED-781B-4D25-972A-5B83240EC8CE}">
      <text>
        <r>
          <rPr>
            <b/>
            <sz val="9"/>
            <color indexed="81"/>
            <rFont val="Tahoma"/>
            <family val="2"/>
          </rPr>
          <t>050</t>
        </r>
      </text>
    </comment>
    <comment ref="V10" authorId="1" shapeId="0" xr:uid="{FCCA365B-08BA-4CA8-926A-20989C6650CD}">
      <text>
        <r>
          <rPr>
            <b/>
            <sz val="9"/>
            <color indexed="81"/>
            <rFont val="Tahoma"/>
            <family val="2"/>
          </rPr>
          <t>055</t>
        </r>
      </text>
    </comment>
    <comment ref="W10" authorId="1" shapeId="0" xr:uid="{E893E7CD-CEDE-41B7-852E-D6FD4EA8473E}">
      <text>
        <r>
          <rPr>
            <b/>
            <sz val="9"/>
            <color indexed="81"/>
            <rFont val="Tahoma"/>
            <family val="2"/>
          </rPr>
          <t>061</t>
        </r>
      </text>
    </comment>
    <comment ref="Y10" authorId="1" shapeId="0" xr:uid="{930DF5A5-FDD5-49E6-88A6-FD80BF904315}">
      <text>
        <r>
          <rPr>
            <b/>
            <sz val="9"/>
            <color indexed="81"/>
            <rFont val="Tahoma"/>
            <family val="2"/>
          </rPr>
          <t>073</t>
        </r>
      </text>
    </comment>
    <comment ref="K12" authorId="0" shapeId="0" xr:uid="{6017F8A9-4C3D-4CB2-8234-E123C7066166}">
      <text>
        <r>
          <rPr>
            <b/>
            <sz val="9"/>
            <color indexed="81"/>
            <rFont val="Tahoma"/>
            <family val="2"/>
          </rPr>
          <t>Desembolso inicial: inversión exigida por el proyecto en el momento cero</t>
        </r>
      </text>
    </comment>
    <comment ref="L12" authorId="1" shapeId="0" xr:uid="{49DC32FD-8F59-4C80-97AF-3EF3228DA530}">
      <text>
        <r>
          <rPr>
            <b/>
            <sz val="9"/>
            <color indexed="81"/>
            <rFont val="Tahoma"/>
            <family val="2"/>
          </rPr>
          <t>062</t>
        </r>
      </text>
    </comment>
    <comment ref="N12" authorId="0" shapeId="0" xr:uid="{E6DB35CB-0552-4C5D-BA95-01A33AA411C4}">
      <text>
        <r>
          <rPr>
            <b/>
            <sz val="9"/>
            <color indexed="81"/>
            <rFont val="Tahoma"/>
            <family val="2"/>
          </rPr>
          <t>Coste de los fondos (nominal)
K = (1+r) x (1+f) - 1</t>
        </r>
      </text>
    </comment>
    <comment ref="O12" authorId="1" shapeId="0" xr:uid="{324EDFA3-E979-4646-AB6A-21DB426C8D52}">
      <text>
        <r>
          <rPr>
            <b/>
            <sz val="9"/>
            <color indexed="81"/>
            <rFont val="Tahoma"/>
            <family val="2"/>
          </rPr>
          <t>066</t>
        </r>
      </text>
    </comment>
    <comment ref="X12" authorId="0" shapeId="0" xr:uid="{5CCA09F3-F9A3-46FC-85C5-858D118F922A}">
      <text>
        <r>
          <rPr>
            <b/>
            <sz val="9"/>
            <color indexed="81"/>
            <rFont val="Tahoma"/>
            <family val="2"/>
          </rPr>
          <t>Coste de los fondos:
tipo de interés real</t>
        </r>
      </text>
    </comment>
    <comment ref="Y12" authorId="1" shapeId="0" xr:uid="{2C1F49AA-51E1-4693-A4C5-833CFD4EFFE0}">
      <text>
        <r>
          <rPr>
            <b/>
            <sz val="9"/>
            <color indexed="81"/>
            <rFont val="Tahoma"/>
            <family val="2"/>
          </rPr>
          <t>074</t>
        </r>
      </text>
    </comment>
    <comment ref="K13" authorId="0" shapeId="0" xr:uid="{78BCDC17-3B86-4B0C-9796-F5AC18C8CD5A}">
      <text>
        <r>
          <rPr>
            <b/>
            <sz val="9"/>
            <color indexed="81"/>
            <rFont val="Tahoma"/>
            <family val="2"/>
          </rPr>
          <t>Valor residual generado por la liquidación del inmovilizado al final del proyecto</t>
        </r>
      </text>
    </comment>
    <comment ref="L13" authorId="1" shapeId="0" xr:uid="{6D7D9A09-5C04-4A89-8335-BE1CD309AFD3}">
      <text>
        <r>
          <rPr>
            <b/>
            <sz val="9"/>
            <color indexed="81"/>
            <rFont val="Tahoma"/>
            <family val="2"/>
          </rPr>
          <t>063</t>
        </r>
      </text>
    </comment>
    <comment ref="K14" authorId="0" shapeId="0" xr:uid="{B6507784-BE6C-4A23-B5DC-0AF9877C6D00}">
      <text>
        <r>
          <rPr>
            <b/>
            <sz val="9"/>
            <color indexed="81"/>
            <rFont val="Tahoma"/>
            <family val="2"/>
          </rPr>
          <t>Valor residual generado por la liquidación del fondo de maniobra incremental al final del proyecto</t>
        </r>
      </text>
    </comment>
    <comment ref="L14" authorId="1" shapeId="0" xr:uid="{0DBDCDB1-3DBF-4B6A-8844-4DD56B16C339}">
      <text>
        <r>
          <rPr>
            <b/>
            <sz val="9"/>
            <color indexed="81"/>
            <rFont val="Tahoma"/>
            <family val="2"/>
          </rPr>
          <t>064</t>
        </r>
      </text>
    </comment>
    <comment ref="N14" authorId="2" shapeId="0" xr:uid="{ABDEBBA6-4056-44D5-B5BC-FA09B14E2719}">
      <text>
        <r>
          <rPr>
            <b/>
            <sz val="9"/>
            <color indexed="81"/>
            <rFont val="Tahoma"/>
            <family val="2"/>
          </rPr>
          <t>Valor actualizado neto asociado al proyecto</t>
        </r>
      </text>
    </comment>
    <comment ref="O14" authorId="1" shapeId="0" xr:uid="{924BC10C-E007-4B94-B0BC-5254D9AD83C5}">
      <text>
        <r>
          <rPr>
            <b/>
            <sz val="9"/>
            <color indexed="81"/>
            <rFont val="Tahoma"/>
            <family val="2"/>
          </rPr>
          <t>067</t>
        </r>
      </text>
    </comment>
    <comment ref="X14" authorId="2" shapeId="0" xr:uid="{CBD9FBD3-1746-480A-A697-1A151CC47DCB}">
      <text>
        <r>
          <rPr>
            <b/>
            <sz val="9"/>
            <color indexed="81"/>
            <rFont val="Tahoma"/>
            <family val="2"/>
          </rPr>
          <t>Valor actualizado neto asociado al proyecto</t>
        </r>
      </text>
    </comment>
    <comment ref="Y14" authorId="1" shapeId="0" xr:uid="{3A6C00FF-EE9C-4A67-BC36-01C3B18C0AE2}">
      <text>
        <r>
          <rPr>
            <b/>
            <sz val="9"/>
            <color indexed="81"/>
            <rFont val="Tahoma"/>
            <family val="2"/>
          </rPr>
          <t>075</t>
        </r>
      </text>
    </comment>
    <comment ref="K15" authorId="0" shapeId="0" xr:uid="{CC46BDD5-1B27-4EDB-BD8A-CD82C8BE0DF9}">
      <text>
        <r>
          <rPr>
            <b/>
            <sz val="9"/>
            <color indexed="81"/>
            <rFont val="Tahoma"/>
            <family val="2"/>
          </rPr>
          <t>Valor residual incremental generado por el proyecto al final de su vida [∆VR AF + ∆VR FM]</t>
        </r>
      </text>
    </comment>
    <comment ref="L15" authorId="1" shapeId="0" xr:uid="{18B83EF4-AE07-4D56-986A-780DDCE53C2A}">
      <text>
        <r>
          <rPr>
            <b/>
            <sz val="9"/>
            <color indexed="81"/>
            <rFont val="Tahoma"/>
            <family val="2"/>
          </rPr>
          <t>065</t>
        </r>
      </text>
    </comment>
    <comment ref="L21" authorId="0" shapeId="0" xr:uid="{36293D44-0AD5-4EE0-AB63-922356BCE408}">
      <text>
        <r>
          <rPr>
            <b/>
            <sz val="9"/>
            <color indexed="81"/>
            <rFont val="Tahoma"/>
            <family val="2"/>
          </rPr>
          <t>Incremento anual de ventas que aporta el proyecto</t>
        </r>
      </text>
    </comment>
    <comment ref="M21" authorId="0" shapeId="0" xr:uid="{1216F889-188F-49F6-BA40-C7C2955C6E6B}">
      <text>
        <r>
          <rPr>
            <b/>
            <sz val="9"/>
            <color indexed="81"/>
            <rFont val="Tahoma"/>
            <family val="2"/>
          </rPr>
          <t>Incremento anual de costes operativos con desembolso que aporta el proyecto</t>
        </r>
      </text>
    </comment>
    <comment ref="N21" authorId="0" shapeId="0" xr:uid="{A05CE77E-9C6B-4CBE-8281-9814620650AF}">
      <text>
        <r>
          <rPr>
            <b/>
            <sz val="9"/>
            <color indexed="81"/>
            <rFont val="Tahoma"/>
            <family val="2"/>
          </rPr>
          <t>EBITDA incremental (diferencia entre ventas y costes operativos con desembolso) que aporta el proyecto</t>
        </r>
      </text>
    </comment>
    <comment ref="O21" authorId="0" shapeId="0" xr:uid="{F5D4BC63-F253-4827-8A41-9A5339AFB97D}">
      <text>
        <r>
          <rPr>
            <b/>
            <sz val="9"/>
            <color indexed="81"/>
            <rFont val="Tahoma"/>
            <family val="2"/>
          </rPr>
          <t>Incremento anual de las amortizaciones de inmovilizados que aporta el proyecto</t>
        </r>
      </text>
    </comment>
    <comment ref="P21" authorId="0" shapeId="0" xr:uid="{61FCB762-6FDE-4006-A9A7-A75CA8384496}">
      <text>
        <r>
          <rPr>
            <b/>
            <sz val="9"/>
            <color indexed="81"/>
            <rFont val="Tahoma"/>
            <family val="2"/>
          </rPr>
          <t>Incremento anual de beneficio antes de intereses e impuestos</t>
        </r>
      </text>
    </comment>
    <comment ref="Q21" authorId="0" shapeId="0" xr:uid="{C158ABE8-DCA2-4683-83B5-71423B6181EF}">
      <text>
        <r>
          <rPr>
            <b/>
            <sz val="9"/>
            <color indexed="81"/>
            <rFont val="Tahoma"/>
            <family val="2"/>
          </rPr>
          <t>Incremento anual de impuestos (Impuesto de sociedades)</t>
        </r>
      </text>
    </comment>
    <comment ref="R21" authorId="0" shapeId="0" xr:uid="{49EC68AF-81A1-4431-AF08-BF9663337655}">
      <text>
        <r>
          <rPr>
            <b/>
            <sz val="9"/>
            <color indexed="81"/>
            <rFont val="Tahoma"/>
            <family val="2"/>
          </rPr>
          <t>Incremento anual de beneficio antes de intereses y después de impuestos</t>
        </r>
      </text>
    </comment>
    <comment ref="S21" authorId="0" shapeId="0" xr:uid="{A189D0B3-9FBB-4EDC-A6CD-1299D104429B}">
      <text>
        <r>
          <rPr>
            <b/>
            <sz val="9"/>
            <color indexed="81"/>
            <rFont val="Tahoma"/>
            <family val="2"/>
          </rPr>
          <t>Incremento de caja anual generado por el proyecto, antes de considerar las inversiones en fondo de maniobra</t>
        </r>
      </text>
    </comment>
    <comment ref="T21" authorId="0" shapeId="0" xr:uid="{79F58ED4-E6C1-4433-A02E-84C998FEA85F}">
      <text>
        <r>
          <rPr>
            <b/>
            <sz val="9"/>
            <color indexed="81"/>
            <rFont val="Tahoma"/>
            <family val="2"/>
          </rPr>
          <t>Saldo anual de fondo de maniobra generado por el proyecto</t>
        </r>
      </text>
    </comment>
    <comment ref="U21" authorId="0" shapeId="0" xr:uid="{F7710131-BE2F-45BB-85C1-C68D77CC668E}">
      <text>
        <r>
          <rPr>
            <b/>
            <sz val="9"/>
            <color indexed="81"/>
            <rFont val="Tahoma"/>
            <family val="2"/>
          </rPr>
          <t>Inversión anual en fondo de maniobra exigida por el proyecto</t>
        </r>
      </text>
    </comment>
    <comment ref="V21" authorId="0" shapeId="0" xr:uid="{0A3AF072-4CA9-4D2D-8E83-C2F6B98402EA}">
      <text>
        <r>
          <rPr>
            <b/>
            <sz val="9"/>
            <color indexed="81"/>
            <rFont val="Tahoma"/>
            <family val="2"/>
          </rPr>
          <t>Flujo de caja operativo anual incremental que aporta el proyecto (es decir, sin considerar el desembolso inicial ni el valor residual)</t>
        </r>
      </text>
    </comment>
    <comment ref="W21" authorId="0" shapeId="0" xr:uid="{354B7F18-581A-4149-97AE-F991FEC5E1CF}">
      <text>
        <r>
          <rPr>
            <b/>
            <sz val="9"/>
            <color indexed="81"/>
            <rFont val="Tahoma"/>
            <family val="2"/>
          </rPr>
          <t>Impacto anual en caja del proyecto: Generaciones de fondos anuales que incluyen el desembolso inicial y el valor residual (moneda corriente)</t>
        </r>
      </text>
    </comment>
    <comment ref="W22" authorId="1" shapeId="0" xr:uid="{4190092C-D98D-4862-867A-53743944BFCE}">
      <text>
        <r>
          <rPr>
            <b/>
            <sz val="9"/>
            <color indexed="81"/>
            <rFont val="Tahoma"/>
            <family val="2"/>
          </rPr>
          <t>131</t>
        </r>
      </text>
    </comment>
    <comment ref="L23" authorId="1" shapeId="0" xr:uid="{D4124BE1-1F28-4182-B67D-D33E75E6A4C3}">
      <text>
        <r>
          <rPr>
            <b/>
            <sz val="9"/>
            <color indexed="81"/>
            <rFont val="Tahoma"/>
            <family val="2"/>
          </rPr>
          <t>076</t>
        </r>
      </text>
    </comment>
    <comment ref="M23" authorId="1" shapeId="0" xr:uid="{C52A8B67-942A-48D4-9F43-CD9C1AE2EF7D}">
      <text>
        <r>
          <rPr>
            <b/>
            <sz val="9"/>
            <color indexed="81"/>
            <rFont val="Tahoma"/>
            <family val="2"/>
          </rPr>
          <t>081</t>
        </r>
      </text>
    </comment>
    <comment ref="N23" authorId="1" shapeId="0" xr:uid="{59E5A306-3675-408A-AD62-D1B95A10DB2C}">
      <text>
        <r>
          <rPr>
            <b/>
            <sz val="9"/>
            <color indexed="81"/>
            <rFont val="Tahoma"/>
            <family val="2"/>
          </rPr>
          <t>086</t>
        </r>
      </text>
    </comment>
    <comment ref="O23" authorId="1" shapeId="0" xr:uid="{D6748D26-7E4B-4488-BB7A-73418B815A7E}">
      <text>
        <r>
          <rPr>
            <b/>
            <sz val="9"/>
            <color indexed="81"/>
            <rFont val="Tahoma"/>
            <family val="2"/>
          </rPr>
          <t>091</t>
        </r>
      </text>
    </comment>
    <comment ref="P23" authorId="1" shapeId="0" xr:uid="{1A591934-DE95-4D5D-AFF9-880CA5454C88}">
      <text>
        <r>
          <rPr>
            <b/>
            <sz val="9"/>
            <color indexed="81"/>
            <rFont val="Tahoma"/>
            <family val="2"/>
          </rPr>
          <t>096</t>
        </r>
      </text>
    </comment>
    <comment ref="Q23" authorId="1" shapeId="0" xr:uid="{1BB0D678-83AF-4BF5-A62C-32ED977DAAF7}">
      <text>
        <r>
          <rPr>
            <b/>
            <sz val="9"/>
            <color indexed="81"/>
            <rFont val="Tahoma"/>
            <family val="2"/>
          </rPr>
          <t>101</t>
        </r>
      </text>
    </comment>
    <comment ref="R23" authorId="1" shapeId="0" xr:uid="{7B66DC7B-5FD0-49E2-AD7E-4D1634442C34}">
      <text>
        <r>
          <rPr>
            <b/>
            <sz val="9"/>
            <color indexed="81"/>
            <rFont val="Tahoma"/>
            <family val="2"/>
          </rPr>
          <t>106</t>
        </r>
      </text>
    </comment>
    <comment ref="S23" authorId="1" shapeId="0" xr:uid="{C62310D5-EA13-4845-AD15-8429835BD887}">
      <text>
        <r>
          <rPr>
            <b/>
            <sz val="9"/>
            <color indexed="81"/>
            <rFont val="Tahoma"/>
            <family val="2"/>
          </rPr>
          <t>111</t>
        </r>
      </text>
    </comment>
    <comment ref="T23" authorId="1" shapeId="0" xr:uid="{67B92F80-4106-419D-B8A8-F3322FE44704}">
      <text>
        <r>
          <rPr>
            <b/>
            <sz val="9"/>
            <color indexed="81"/>
            <rFont val="Tahoma"/>
            <family val="2"/>
          </rPr>
          <t>116</t>
        </r>
      </text>
    </comment>
    <comment ref="U23" authorId="1" shapeId="0" xr:uid="{AD2B2D71-07E1-493C-84A3-F21A343C8A18}">
      <text>
        <r>
          <rPr>
            <b/>
            <sz val="9"/>
            <color indexed="81"/>
            <rFont val="Tahoma"/>
            <family val="2"/>
          </rPr>
          <t>121</t>
        </r>
      </text>
    </comment>
    <comment ref="V23" authorId="1" shapeId="0" xr:uid="{3DC4BB63-2155-414E-8457-5E7141208D69}">
      <text>
        <r>
          <rPr>
            <b/>
            <sz val="9"/>
            <color indexed="81"/>
            <rFont val="Tahoma"/>
            <family val="2"/>
          </rPr>
          <t>126</t>
        </r>
      </text>
    </comment>
    <comment ref="W23" authorId="1" shapeId="0" xr:uid="{C88AA290-4CEC-4E06-84D2-5915E4A546A7}">
      <text>
        <r>
          <rPr>
            <b/>
            <sz val="9"/>
            <color indexed="81"/>
            <rFont val="Tahoma"/>
            <family val="2"/>
          </rPr>
          <t>132</t>
        </r>
      </text>
    </comment>
    <comment ref="L24" authorId="1" shapeId="0" xr:uid="{B6A7AECA-A1A6-4CDB-B1E0-D24DE8E44AAC}">
      <text>
        <r>
          <rPr>
            <b/>
            <sz val="9"/>
            <color indexed="81"/>
            <rFont val="Tahoma"/>
            <family val="2"/>
          </rPr>
          <t>077</t>
        </r>
      </text>
    </comment>
    <comment ref="M24" authorId="1" shapeId="0" xr:uid="{3C3E5ED5-F05A-4EBD-B310-A2D3CA5C2C28}">
      <text>
        <r>
          <rPr>
            <b/>
            <sz val="9"/>
            <color indexed="81"/>
            <rFont val="Tahoma"/>
            <family val="2"/>
          </rPr>
          <t>082</t>
        </r>
      </text>
    </comment>
    <comment ref="N24" authorId="1" shapeId="0" xr:uid="{20A7C48A-31D8-46EF-8972-C7BE13EDDBCD}">
      <text>
        <r>
          <rPr>
            <b/>
            <sz val="9"/>
            <color indexed="81"/>
            <rFont val="Tahoma"/>
            <family val="2"/>
          </rPr>
          <t>087</t>
        </r>
      </text>
    </comment>
    <comment ref="O24" authorId="1" shapeId="0" xr:uid="{B09F19F4-145C-4F98-8DB0-A8F20278F80C}">
      <text>
        <r>
          <rPr>
            <b/>
            <sz val="9"/>
            <color indexed="81"/>
            <rFont val="Tahoma"/>
            <family val="2"/>
          </rPr>
          <t>092</t>
        </r>
      </text>
    </comment>
    <comment ref="P24" authorId="1" shapeId="0" xr:uid="{62EDF150-70AE-45A0-BD0F-71346DF0FDA0}">
      <text>
        <r>
          <rPr>
            <b/>
            <sz val="9"/>
            <color indexed="81"/>
            <rFont val="Tahoma"/>
            <family val="2"/>
          </rPr>
          <t>097</t>
        </r>
      </text>
    </comment>
    <comment ref="Q24" authorId="1" shapeId="0" xr:uid="{B4E60BCE-EB3C-4B86-8C6C-67C172747EA2}">
      <text>
        <r>
          <rPr>
            <b/>
            <sz val="9"/>
            <color indexed="81"/>
            <rFont val="Tahoma"/>
            <family val="2"/>
          </rPr>
          <t>102</t>
        </r>
      </text>
    </comment>
    <comment ref="R24" authorId="1" shapeId="0" xr:uid="{1C3F9A16-1F6D-4167-9377-3DAB2D426A83}">
      <text>
        <r>
          <rPr>
            <b/>
            <sz val="9"/>
            <color indexed="81"/>
            <rFont val="Tahoma"/>
            <family val="2"/>
          </rPr>
          <t>107</t>
        </r>
      </text>
    </comment>
    <comment ref="S24" authorId="1" shapeId="0" xr:uid="{7005F9C3-7E83-4626-ABB6-C590378216A3}">
      <text>
        <r>
          <rPr>
            <b/>
            <sz val="9"/>
            <color indexed="81"/>
            <rFont val="Tahoma"/>
            <family val="2"/>
          </rPr>
          <t>112</t>
        </r>
      </text>
    </comment>
    <comment ref="T24" authorId="1" shapeId="0" xr:uid="{AC7A6045-FF94-42B2-981B-CB37590BC204}">
      <text>
        <r>
          <rPr>
            <b/>
            <sz val="9"/>
            <color indexed="81"/>
            <rFont val="Tahoma"/>
            <family val="2"/>
          </rPr>
          <t>117</t>
        </r>
      </text>
    </comment>
    <comment ref="U24" authorId="1" shapeId="0" xr:uid="{2A81A580-FD75-48A2-9036-0BB16E67DA8E}">
      <text>
        <r>
          <rPr>
            <b/>
            <sz val="9"/>
            <color indexed="81"/>
            <rFont val="Tahoma"/>
            <family val="2"/>
          </rPr>
          <t>122</t>
        </r>
      </text>
    </comment>
    <comment ref="V24" authorId="1" shapeId="0" xr:uid="{791AE5C0-075C-4FDE-A1B4-0E8DA407A99D}">
      <text>
        <r>
          <rPr>
            <b/>
            <sz val="9"/>
            <color indexed="81"/>
            <rFont val="Tahoma"/>
            <family val="2"/>
          </rPr>
          <t>127</t>
        </r>
      </text>
    </comment>
    <comment ref="W24" authorId="1" shapeId="0" xr:uid="{D73607F1-2EC1-43A2-A956-055923BB0D46}">
      <text>
        <r>
          <rPr>
            <b/>
            <sz val="9"/>
            <color indexed="81"/>
            <rFont val="Tahoma"/>
            <family val="2"/>
          </rPr>
          <t>133</t>
        </r>
      </text>
    </comment>
    <comment ref="L25" authorId="1" shapeId="0" xr:uid="{252CFFB1-2EE4-4ED6-93FD-AA6B2B76D839}">
      <text>
        <r>
          <rPr>
            <b/>
            <sz val="9"/>
            <color indexed="81"/>
            <rFont val="Tahoma"/>
            <family val="2"/>
          </rPr>
          <t>078</t>
        </r>
      </text>
    </comment>
    <comment ref="M25" authorId="1" shapeId="0" xr:uid="{FCB4AEDD-97EB-4671-A179-C9E8F4A7E85A}">
      <text>
        <r>
          <rPr>
            <b/>
            <sz val="9"/>
            <color indexed="81"/>
            <rFont val="Tahoma"/>
            <family val="2"/>
          </rPr>
          <t>083</t>
        </r>
      </text>
    </comment>
    <comment ref="N25" authorId="1" shapeId="0" xr:uid="{8025B887-5C1A-46F2-963C-3C86D5119C15}">
      <text>
        <r>
          <rPr>
            <b/>
            <sz val="9"/>
            <color indexed="81"/>
            <rFont val="Tahoma"/>
            <family val="2"/>
          </rPr>
          <t>088</t>
        </r>
      </text>
    </comment>
    <comment ref="O25" authorId="1" shapeId="0" xr:uid="{74092727-5B78-48C2-85D2-1082B94C740E}">
      <text>
        <r>
          <rPr>
            <b/>
            <sz val="9"/>
            <color indexed="81"/>
            <rFont val="Tahoma"/>
            <family val="2"/>
          </rPr>
          <t>093</t>
        </r>
      </text>
    </comment>
    <comment ref="P25" authorId="1" shapeId="0" xr:uid="{364C1C56-4404-44FF-B166-9BB21F690BD0}">
      <text>
        <r>
          <rPr>
            <b/>
            <sz val="9"/>
            <color indexed="81"/>
            <rFont val="Tahoma"/>
            <family val="2"/>
          </rPr>
          <t>098</t>
        </r>
      </text>
    </comment>
    <comment ref="Q25" authorId="1" shapeId="0" xr:uid="{007BF5B7-3AA7-4EF0-9B07-FC44D33E4E3B}">
      <text>
        <r>
          <rPr>
            <b/>
            <sz val="9"/>
            <color indexed="81"/>
            <rFont val="Tahoma"/>
            <family val="2"/>
          </rPr>
          <t>103</t>
        </r>
      </text>
    </comment>
    <comment ref="R25" authorId="1" shapeId="0" xr:uid="{B5114B24-BEBB-41B4-B9C8-9EDC932AD63A}">
      <text>
        <r>
          <rPr>
            <b/>
            <sz val="9"/>
            <color indexed="81"/>
            <rFont val="Tahoma"/>
            <family val="2"/>
          </rPr>
          <t>108</t>
        </r>
      </text>
    </comment>
    <comment ref="S25" authorId="1" shapeId="0" xr:uid="{28EBF0F4-8CCF-40B5-9CDB-67C7D2752B13}">
      <text>
        <r>
          <rPr>
            <b/>
            <sz val="9"/>
            <color indexed="81"/>
            <rFont val="Tahoma"/>
            <family val="2"/>
          </rPr>
          <t>113</t>
        </r>
      </text>
    </comment>
    <comment ref="T25" authorId="1" shapeId="0" xr:uid="{9F8B7D29-EBF1-4DB1-B9B1-4B3A47ED2BFF}">
      <text>
        <r>
          <rPr>
            <b/>
            <sz val="9"/>
            <color indexed="81"/>
            <rFont val="Tahoma"/>
            <family val="2"/>
          </rPr>
          <t>118</t>
        </r>
      </text>
    </comment>
    <comment ref="U25" authorId="1" shapeId="0" xr:uid="{FCBE8486-3B43-4B39-B955-37A48D3261E1}">
      <text>
        <r>
          <rPr>
            <b/>
            <sz val="9"/>
            <color indexed="81"/>
            <rFont val="Tahoma"/>
            <family val="2"/>
          </rPr>
          <t>123</t>
        </r>
      </text>
    </comment>
    <comment ref="V25" authorId="1" shapeId="0" xr:uid="{0550BBF6-8672-43E9-9C67-F5CD2A0972DA}">
      <text>
        <r>
          <rPr>
            <b/>
            <sz val="9"/>
            <color indexed="81"/>
            <rFont val="Tahoma"/>
            <family val="2"/>
          </rPr>
          <t>128</t>
        </r>
      </text>
    </comment>
    <comment ref="W25" authorId="1" shapeId="0" xr:uid="{8FDD3B4E-097A-4870-9D43-88D029E12861}">
      <text>
        <r>
          <rPr>
            <b/>
            <sz val="9"/>
            <color indexed="81"/>
            <rFont val="Tahoma"/>
            <family val="2"/>
          </rPr>
          <t>134</t>
        </r>
      </text>
    </comment>
    <comment ref="L26" authorId="1" shapeId="0" xr:uid="{114ABDA8-B9BE-4B22-B769-BE7BDF80D44A}">
      <text>
        <r>
          <rPr>
            <b/>
            <sz val="9"/>
            <color indexed="81"/>
            <rFont val="Tahoma"/>
            <family val="2"/>
          </rPr>
          <t>079</t>
        </r>
      </text>
    </comment>
    <comment ref="M26" authorId="1" shapeId="0" xr:uid="{E8C3E210-A145-4CC8-AE03-3A4DCC390C3C}">
      <text>
        <r>
          <rPr>
            <b/>
            <sz val="9"/>
            <color indexed="81"/>
            <rFont val="Tahoma"/>
            <family val="2"/>
          </rPr>
          <t>084</t>
        </r>
      </text>
    </comment>
    <comment ref="N26" authorId="1" shapeId="0" xr:uid="{E2D38345-5C2E-4228-952C-3B4A481384B9}">
      <text>
        <r>
          <rPr>
            <b/>
            <sz val="9"/>
            <color indexed="81"/>
            <rFont val="Tahoma"/>
            <family val="2"/>
          </rPr>
          <t>089</t>
        </r>
      </text>
    </comment>
    <comment ref="O26" authorId="1" shapeId="0" xr:uid="{BE9B2631-4401-47C6-82FF-56F9F88E6863}">
      <text>
        <r>
          <rPr>
            <b/>
            <sz val="9"/>
            <color indexed="81"/>
            <rFont val="Tahoma"/>
            <family val="2"/>
          </rPr>
          <t>094</t>
        </r>
      </text>
    </comment>
    <comment ref="P26" authorId="1" shapeId="0" xr:uid="{088E8232-C9F7-40A4-B673-1E7C85D0652D}">
      <text>
        <r>
          <rPr>
            <b/>
            <sz val="9"/>
            <color indexed="81"/>
            <rFont val="Tahoma"/>
            <family val="2"/>
          </rPr>
          <t>099</t>
        </r>
      </text>
    </comment>
    <comment ref="Q26" authorId="1" shapeId="0" xr:uid="{3D021DF4-146A-4D36-96DF-0C164E3D70CE}">
      <text>
        <r>
          <rPr>
            <b/>
            <sz val="9"/>
            <color indexed="81"/>
            <rFont val="Tahoma"/>
            <family val="2"/>
          </rPr>
          <t>104</t>
        </r>
      </text>
    </comment>
    <comment ref="R26" authorId="1" shapeId="0" xr:uid="{CD11D55B-F198-46A7-AC63-30AB43682755}">
      <text>
        <r>
          <rPr>
            <b/>
            <sz val="9"/>
            <color indexed="81"/>
            <rFont val="Tahoma"/>
            <family val="2"/>
          </rPr>
          <t>109</t>
        </r>
      </text>
    </comment>
    <comment ref="S26" authorId="1" shapeId="0" xr:uid="{91B061C3-CC1E-4D1A-A1DF-347F1A89995B}">
      <text>
        <r>
          <rPr>
            <b/>
            <sz val="9"/>
            <color indexed="81"/>
            <rFont val="Tahoma"/>
            <family val="2"/>
          </rPr>
          <t>114</t>
        </r>
      </text>
    </comment>
    <comment ref="T26" authorId="1" shapeId="0" xr:uid="{C8E12C3F-90E0-42F7-A51E-5987C90ECD42}">
      <text>
        <r>
          <rPr>
            <b/>
            <sz val="9"/>
            <color indexed="81"/>
            <rFont val="Tahoma"/>
            <family val="2"/>
          </rPr>
          <t>119</t>
        </r>
      </text>
    </comment>
    <comment ref="U26" authorId="1" shapeId="0" xr:uid="{D5AD09F4-7117-4326-AEA1-57BDF7D91370}">
      <text>
        <r>
          <rPr>
            <b/>
            <sz val="9"/>
            <color indexed="81"/>
            <rFont val="Tahoma"/>
            <family val="2"/>
          </rPr>
          <t>124</t>
        </r>
      </text>
    </comment>
    <comment ref="V26" authorId="1" shapeId="0" xr:uid="{32C57172-4023-4E02-BE8B-36E7D1A9FF66}">
      <text>
        <r>
          <rPr>
            <b/>
            <sz val="9"/>
            <color indexed="81"/>
            <rFont val="Tahoma"/>
            <family val="2"/>
          </rPr>
          <t>129</t>
        </r>
      </text>
    </comment>
    <comment ref="W26" authorId="1" shapeId="0" xr:uid="{0BB87A1E-78F6-46AE-9E47-2D7F7443F15E}">
      <text>
        <r>
          <rPr>
            <b/>
            <sz val="9"/>
            <color indexed="81"/>
            <rFont val="Tahoma"/>
            <family val="2"/>
          </rPr>
          <t>135</t>
        </r>
      </text>
    </comment>
    <comment ref="L27" authorId="1" shapeId="0" xr:uid="{4307D376-BBAC-4F80-A623-4C1753B59141}">
      <text>
        <r>
          <rPr>
            <b/>
            <sz val="9"/>
            <color indexed="81"/>
            <rFont val="Tahoma"/>
            <family val="2"/>
          </rPr>
          <t>080</t>
        </r>
      </text>
    </comment>
    <comment ref="M27" authorId="1" shapeId="0" xr:uid="{A192012D-F553-4072-9CE7-07E09BD798B0}">
      <text>
        <r>
          <rPr>
            <b/>
            <sz val="9"/>
            <color indexed="81"/>
            <rFont val="Tahoma"/>
            <family val="2"/>
          </rPr>
          <t>085</t>
        </r>
      </text>
    </comment>
    <comment ref="N27" authorId="1" shapeId="0" xr:uid="{6A648414-3A4D-4C33-ABB8-09ADF4703B2C}">
      <text>
        <r>
          <rPr>
            <b/>
            <sz val="9"/>
            <color indexed="81"/>
            <rFont val="Tahoma"/>
            <family val="2"/>
          </rPr>
          <t>090</t>
        </r>
      </text>
    </comment>
    <comment ref="O27" authorId="1" shapeId="0" xr:uid="{1BE8D38F-46CA-4708-83F3-4B0DA4B4C00B}">
      <text>
        <r>
          <rPr>
            <b/>
            <sz val="9"/>
            <color indexed="81"/>
            <rFont val="Tahoma"/>
            <family val="2"/>
          </rPr>
          <t>095</t>
        </r>
      </text>
    </comment>
    <comment ref="P27" authorId="1" shapeId="0" xr:uid="{6B877FB1-AF1F-4BC0-993B-4FF354A2C4BB}">
      <text>
        <r>
          <rPr>
            <b/>
            <sz val="9"/>
            <color indexed="81"/>
            <rFont val="Tahoma"/>
            <family val="2"/>
          </rPr>
          <t>100</t>
        </r>
      </text>
    </comment>
    <comment ref="Q27" authorId="1" shapeId="0" xr:uid="{41CFC7D6-650B-4E50-B808-D1BEAE9B6576}">
      <text>
        <r>
          <rPr>
            <b/>
            <sz val="9"/>
            <color indexed="81"/>
            <rFont val="Tahoma"/>
            <family val="2"/>
          </rPr>
          <t>105</t>
        </r>
      </text>
    </comment>
    <comment ref="R27" authorId="1" shapeId="0" xr:uid="{22000DCE-1AD0-486E-8D66-1C87B7B628FB}">
      <text>
        <r>
          <rPr>
            <b/>
            <sz val="9"/>
            <color indexed="81"/>
            <rFont val="Tahoma"/>
            <family val="2"/>
          </rPr>
          <t>110</t>
        </r>
      </text>
    </comment>
    <comment ref="S27" authorId="1" shapeId="0" xr:uid="{74AEF392-9044-42C2-9703-290E2C1E32DE}">
      <text>
        <r>
          <rPr>
            <b/>
            <sz val="9"/>
            <color indexed="81"/>
            <rFont val="Tahoma"/>
            <family val="2"/>
          </rPr>
          <t>115</t>
        </r>
      </text>
    </comment>
    <comment ref="T27" authorId="1" shapeId="0" xr:uid="{59C12655-A31B-4DF5-8A61-7DD584259935}">
      <text>
        <r>
          <rPr>
            <b/>
            <sz val="9"/>
            <color indexed="81"/>
            <rFont val="Tahoma"/>
            <family val="2"/>
          </rPr>
          <t>120</t>
        </r>
      </text>
    </comment>
    <comment ref="U27" authorId="1" shapeId="0" xr:uid="{A165D7B6-51E2-491F-A1AD-7AE1E25BA610}">
      <text>
        <r>
          <rPr>
            <b/>
            <sz val="9"/>
            <color indexed="81"/>
            <rFont val="Tahoma"/>
            <family val="2"/>
          </rPr>
          <t>125</t>
        </r>
      </text>
    </comment>
    <comment ref="V27" authorId="1" shapeId="0" xr:uid="{17EC052B-589E-4D3B-A3C9-3D5E0B058E0D}">
      <text>
        <r>
          <rPr>
            <b/>
            <sz val="9"/>
            <color indexed="81"/>
            <rFont val="Tahoma"/>
            <family val="2"/>
          </rPr>
          <t>130</t>
        </r>
      </text>
    </comment>
    <comment ref="W27" authorId="1" shapeId="0" xr:uid="{5BA41DC2-63C3-4F30-A085-D12280C30B0A}">
      <text>
        <r>
          <rPr>
            <b/>
            <sz val="9"/>
            <color indexed="81"/>
            <rFont val="Tahoma"/>
            <family val="2"/>
          </rPr>
          <t>136</t>
        </r>
      </text>
    </comment>
    <comment ref="K29" authorId="0" shapeId="0" xr:uid="{C1C95F66-6C85-46CC-94E0-706321702944}">
      <text>
        <r>
          <rPr>
            <b/>
            <sz val="9"/>
            <color indexed="81"/>
            <rFont val="Tahoma"/>
            <family val="2"/>
          </rPr>
          <t>Desembolso inicial: inversión exigida por el proyecto en el momento cero</t>
        </r>
      </text>
    </comment>
    <comment ref="L29" authorId="1" shapeId="0" xr:uid="{7492A9C5-3232-4D76-8F29-7938246B81CC}">
      <text>
        <r>
          <rPr>
            <b/>
            <sz val="9"/>
            <color indexed="81"/>
            <rFont val="Tahoma"/>
            <family val="2"/>
          </rPr>
          <t>137</t>
        </r>
      </text>
    </comment>
    <comment ref="N29" authorId="0" shapeId="0" xr:uid="{D8D3729A-385A-4D2D-8E7E-E9AA0608A793}">
      <text>
        <r>
          <rPr>
            <b/>
            <sz val="9"/>
            <color indexed="81"/>
            <rFont val="Tahoma"/>
            <family val="2"/>
          </rPr>
          <t>Coste de los fondos (nominal)
K = (1+r) x (1+f) - 1</t>
        </r>
      </text>
    </comment>
    <comment ref="O29" authorId="1" shapeId="0" xr:uid="{586E19C6-47D8-4FA6-A52D-7F55E255B75E}">
      <text>
        <r>
          <rPr>
            <b/>
            <sz val="9"/>
            <color indexed="81"/>
            <rFont val="Tahoma"/>
            <family val="2"/>
          </rPr>
          <t>141</t>
        </r>
      </text>
    </comment>
    <comment ref="K30" authorId="0" shapeId="0" xr:uid="{BB87994D-044C-4EB4-B219-59736EA955BE}">
      <text>
        <r>
          <rPr>
            <b/>
            <sz val="9"/>
            <color indexed="81"/>
            <rFont val="Tahoma"/>
            <family val="2"/>
          </rPr>
          <t>Valor residual generado por la liquidación del inmovilizado al final del proyecto</t>
        </r>
      </text>
    </comment>
    <comment ref="L30" authorId="1" shapeId="0" xr:uid="{C23305AF-B8B0-4E3F-8E6A-554B6AEE64A6}">
      <text>
        <r>
          <rPr>
            <b/>
            <sz val="9"/>
            <color indexed="81"/>
            <rFont val="Tahoma"/>
            <family val="2"/>
          </rPr>
          <t>138</t>
        </r>
      </text>
    </comment>
    <comment ref="K31" authorId="0" shapeId="0" xr:uid="{D36B15E1-3C4A-425B-947A-B30E0D7FAAB3}">
      <text>
        <r>
          <rPr>
            <b/>
            <sz val="9"/>
            <color indexed="81"/>
            <rFont val="Tahoma"/>
            <family val="2"/>
          </rPr>
          <t>Valor residual generado por la liquidación del fondo de maniobra incremental al final del proyecto</t>
        </r>
      </text>
    </comment>
    <comment ref="L31" authorId="1" shapeId="0" xr:uid="{946334A4-C91E-4508-90A1-F90A75A61D9E}">
      <text>
        <r>
          <rPr>
            <b/>
            <sz val="9"/>
            <color indexed="81"/>
            <rFont val="Tahoma"/>
            <family val="2"/>
          </rPr>
          <t>139</t>
        </r>
      </text>
    </comment>
    <comment ref="N31" authorId="2" shapeId="0" xr:uid="{CE83B802-3631-43F1-9112-97C74658FD9E}">
      <text>
        <r>
          <rPr>
            <b/>
            <sz val="9"/>
            <color indexed="81"/>
            <rFont val="Tahoma"/>
            <family val="2"/>
          </rPr>
          <t>Valor actualizado neto asociado al proyecto</t>
        </r>
      </text>
    </comment>
    <comment ref="O31" authorId="1" shapeId="0" xr:uid="{B469779A-9424-41A0-918F-36C65DE4124D}">
      <text>
        <r>
          <rPr>
            <b/>
            <sz val="9"/>
            <color indexed="81"/>
            <rFont val="Tahoma"/>
            <family val="2"/>
          </rPr>
          <t>142</t>
        </r>
      </text>
    </comment>
    <comment ref="K32" authorId="0" shapeId="0" xr:uid="{1BC25A16-E7B0-4668-B9C9-96C85CCE0ADA}">
      <text>
        <r>
          <rPr>
            <b/>
            <sz val="9"/>
            <color indexed="81"/>
            <rFont val="Tahoma"/>
            <family val="2"/>
          </rPr>
          <t>Valor residual incremental generado por el proyecto al final de su vida [∆VR AF + ∆VR FM]</t>
        </r>
      </text>
    </comment>
    <comment ref="L32" authorId="1" shapeId="0" xr:uid="{AD783840-6AC6-4A7A-8852-6A6371EBB9C3}">
      <text>
        <r>
          <rPr>
            <b/>
            <sz val="9"/>
            <color indexed="81"/>
            <rFont val="Tahoma"/>
            <family val="2"/>
          </rPr>
          <t>140</t>
        </r>
      </text>
    </comment>
    <comment ref="L38" authorId="0" shapeId="0" xr:uid="{CECA7FCD-44CC-4312-B406-18CFEE8B51BC}">
      <text>
        <r>
          <rPr>
            <b/>
            <sz val="9"/>
            <color indexed="81"/>
            <rFont val="Tahoma"/>
            <family val="2"/>
          </rPr>
          <t>Incremento anual de ventas que aporta el proyecto</t>
        </r>
      </text>
    </comment>
    <comment ref="M38" authorId="0" shapeId="0" xr:uid="{7FB7198F-2102-4807-BD6E-7289262F359A}">
      <text>
        <r>
          <rPr>
            <b/>
            <sz val="9"/>
            <color indexed="81"/>
            <rFont val="Tahoma"/>
            <family val="2"/>
          </rPr>
          <t>Incremento anual de costes operativos con desembolso que aporta el proyecto</t>
        </r>
      </text>
    </comment>
    <comment ref="N38" authorId="0" shapeId="0" xr:uid="{7AB2EEC1-63A9-4B77-9825-87BAD84BDCCD}">
      <text>
        <r>
          <rPr>
            <b/>
            <sz val="9"/>
            <color indexed="81"/>
            <rFont val="Tahoma"/>
            <family val="2"/>
          </rPr>
          <t>EBITDA incremental (diferencia entre ventas y costes operativos con desembolso) que aporta el proyecto</t>
        </r>
      </text>
    </comment>
    <comment ref="O38" authorId="0" shapeId="0" xr:uid="{E67ED80D-537B-4701-8E1E-788F2432F643}">
      <text>
        <r>
          <rPr>
            <b/>
            <sz val="9"/>
            <color indexed="81"/>
            <rFont val="Tahoma"/>
            <family val="2"/>
          </rPr>
          <t>Incremento anual de las amortizaciones de inmovilizados que aporta el proyecto</t>
        </r>
      </text>
    </comment>
    <comment ref="P38" authorId="0" shapeId="0" xr:uid="{5BD50641-223E-4336-9FEC-59752F3B45F6}">
      <text>
        <r>
          <rPr>
            <b/>
            <sz val="9"/>
            <color indexed="81"/>
            <rFont val="Tahoma"/>
            <family val="2"/>
          </rPr>
          <t>Incremento anual de beneficio antes de intereses e impuestos</t>
        </r>
      </text>
    </comment>
    <comment ref="Q38" authorId="0" shapeId="0" xr:uid="{276C050F-57CD-4857-B6C3-363EDFB8B2B6}">
      <text>
        <r>
          <rPr>
            <b/>
            <sz val="9"/>
            <color indexed="81"/>
            <rFont val="Tahoma"/>
            <family val="2"/>
          </rPr>
          <t>Incremento anual de impuestos (Impuesto de sociedades)</t>
        </r>
      </text>
    </comment>
    <comment ref="R38" authorId="0" shapeId="0" xr:uid="{8FCEE0AC-EED9-48DF-81B7-80E6AE8DB56C}">
      <text>
        <r>
          <rPr>
            <b/>
            <sz val="9"/>
            <color indexed="81"/>
            <rFont val="Tahoma"/>
            <family val="2"/>
          </rPr>
          <t>Incremento anual de beneficio antes de intereses y después de impuestos</t>
        </r>
      </text>
    </comment>
    <comment ref="S38" authorId="0" shapeId="0" xr:uid="{405920AB-AB45-4E1A-8FEF-4ED06D882A4D}">
      <text>
        <r>
          <rPr>
            <b/>
            <sz val="9"/>
            <color indexed="81"/>
            <rFont val="Tahoma"/>
            <family val="2"/>
          </rPr>
          <t>Incremento de caja anual generado por el proyecto, antes de considerar las inversiones en fondo de maniobra</t>
        </r>
      </text>
    </comment>
    <comment ref="T38" authorId="0" shapeId="0" xr:uid="{C604E93C-6E2A-4489-B466-3EE6DED822A2}">
      <text>
        <r>
          <rPr>
            <b/>
            <sz val="9"/>
            <color indexed="81"/>
            <rFont val="Tahoma"/>
            <family val="2"/>
          </rPr>
          <t>Saldo anual de fondo de maniobra generado por el proyecto</t>
        </r>
      </text>
    </comment>
    <comment ref="U38" authorId="0" shapeId="0" xr:uid="{BF7A684D-8E7E-44C9-AC69-77BC611A895E}">
      <text>
        <r>
          <rPr>
            <b/>
            <sz val="9"/>
            <color indexed="81"/>
            <rFont val="Tahoma"/>
            <family val="2"/>
          </rPr>
          <t>Inversión anual en fondo de maniobra exigida por el proyecto</t>
        </r>
      </text>
    </comment>
    <comment ref="V38" authorId="0" shapeId="0" xr:uid="{68712402-C8F8-4E8E-86AE-1E4CC01BB0EE}">
      <text>
        <r>
          <rPr>
            <b/>
            <sz val="9"/>
            <color indexed="81"/>
            <rFont val="Tahoma"/>
            <family val="2"/>
          </rPr>
          <t>Flujo de caja operativo anual incremental que aporta el proyecto (es decir, sin considerar el desembolso inicial ni el valor residual)</t>
        </r>
      </text>
    </comment>
    <comment ref="W38" authorId="0" shapeId="0" xr:uid="{C28056B5-0736-4244-A334-FE4262FACAE1}">
      <text>
        <r>
          <rPr>
            <b/>
            <sz val="9"/>
            <color indexed="81"/>
            <rFont val="Tahoma"/>
            <family val="2"/>
          </rPr>
          <t>Impacto anual en caja del proyecto: Generaciones de fondos anuales que incluyen el desembolso inicial y el valor residual (moneda corriente)</t>
        </r>
      </text>
    </comment>
    <comment ref="W39" authorId="1" shapeId="0" xr:uid="{43937335-F720-48C8-AB7C-E8970FCC7C0E}">
      <text>
        <r>
          <rPr>
            <b/>
            <sz val="9"/>
            <color indexed="81"/>
            <rFont val="Tahoma"/>
            <family val="2"/>
          </rPr>
          <t>198</t>
        </r>
      </text>
    </comment>
    <comment ref="L40" authorId="1" shapeId="0" xr:uid="{BB19A21E-D358-497A-B98D-BB94D313C7F1}">
      <text>
        <r>
          <rPr>
            <b/>
            <sz val="9"/>
            <color indexed="81"/>
            <rFont val="Tahoma"/>
            <family val="2"/>
          </rPr>
          <t>143</t>
        </r>
      </text>
    </comment>
    <comment ref="M40" authorId="1" shapeId="0" xr:uid="{CE64E64A-5984-4005-930C-F4B7E9C50E46}">
      <text>
        <r>
          <rPr>
            <b/>
            <sz val="9"/>
            <color indexed="81"/>
            <rFont val="Tahoma"/>
            <family val="2"/>
          </rPr>
          <t>148</t>
        </r>
      </text>
    </comment>
    <comment ref="N40" authorId="1" shapeId="0" xr:uid="{AFEBD6B9-BDFA-44AD-B81F-57176A36874F}">
      <text>
        <r>
          <rPr>
            <b/>
            <sz val="9"/>
            <color indexed="81"/>
            <rFont val="Tahoma"/>
            <family val="2"/>
          </rPr>
          <t>153</t>
        </r>
      </text>
    </comment>
    <comment ref="O40" authorId="1" shapeId="0" xr:uid="{4FEAA689-5760-439A-9777-2EA1A39170BE}">
      <text>
        <r>
          <rPr>
            <b/>
            <sz val="9"/>
            <color indexed="81"/>
            <rFont val="Tahoma"/>
            <family val="2"/>
          </rPr>
          <t>158</t>
        </r>
      </text>
    </comment>
    <comment ref="P40" authorId="1" shapeId="0" xr:uid="{3692FE34-6594-4276-926D-B2F4284485DD}">
      <text>
        <r>
          <rPr>
            <b/>
            <sz val="9"/>
            <color indexed="81"/>
            <rFont val="Tahoma"/>
            <family val="2"/>
          </rPr>
          <t>163</t>
        </r>
      </text>
    </comment>
    <comment ref="Q40" authorId="1" shapeId="0" xr:uid="{7CC27953-0633-49CA-9865-BD0DD34DB8DC}">
      <text>
        <r>
          <rPr>
            <b/>
            <sz val="9"/>
            <color indexed="81"/>
            <rFont val="Tahoma"/>
            <family val="2"/>
          </rPr>
          <t>168</t>
        </r>
      </text>
    </comment>
    <comment ref="R40" authorId="1" shapeId="0" xr:uid="{246BA0EA-23EC-45F6-9D7B-16B8F1279E99}">
      <text>
        <r>
          <rPr>
            <b/>
            <sz val="9"/>
            <color indexed="81"/>
            <rFont val="Tahoma"/>
            <family val="2"/>
          </rPr>
          <t>173</t>
        </r>
      </text>
    </comment>
    <comment ref="S40" authorId="1" shapeId="0" xr:uid="{3884DFC2-D9F6-40FC-B59C-B73E77F0616E}">
      <text>
        <r>
          <rPr>
            <b/>
            <sz val="9"/>
            <color indexed="81"/>
            <rFont val="Tahoma"/>
            <family val="2"/>
          </rPr>
          <t>178</t>
        </r>
      </text>
    </comment>
    <comment ref="T40" authorId="1" shapeId="0" xr:uid="{32995EBF-5EA1-438D-9D2E-F2382B1D51EF}">
      <text>
        <r>
          <rPr>
            <b/>
            <sz val="9"/>
            <color indexed="81"/>
            <rFont val="Tahoma"/>
            <family val="2"/>
          </rPr>
          <t>183</t>
        </r>
      </text>
    </comment>
    <comment ref="U40" authorId="1" shapeId="0" xr:uid="{20E4FACE-1195-49CF-94E8-3296BE1ECD02}">
      <text>
        <r>
          <rPr>
            <b/>
            <sz val="9"/>
            <color indexed="81"/>
            <rFont val="Tahoma"/>
            <family val="2"/>
          </rPr>
          <t>188</t>
        </r>
      </text>
    </comment>
    <comment ref="V40" authorId="1" shapeId="0" xr:uid="{5D30D2A3-3B7F-49F8-AA7F-988A62076FEA}">
      <text>
        <r>
          <rPr>
            <b/>
            <sz val="9"/>
            <color indexed="81"/>
            <rFont val="Tahoma"/>
            <family val="2"/>
          </rPr>
          <t>193</t>
        </r>
      </text>
    </comment>
    <comment ref="W40" authorId="1" shapeId="0" xr:uid="{98138DD7-C8CE-46B6-8049-14266B529768}">
      <text>
        <r>
          <rPr>
            <b/>
            <sz val="9"/>
            <color indexed="81"/>
            <rFont val="Tahoma"/>
            <family val="2"/>
          </rPr>
          <t>199</t>
        </r>
      </text>
    </comment>
    <comment ref="L41" authorId="1" shapeId="0" xr:uid="{EDC4A2EB-B637-453F-864F-A32D3034FA41}">
      <text>
        <r>
          <rPr>
            <b/>
            <sz val="9"/>
            <color indexed="81"/>
            <rFont val="Tahoma"/>
            <family val="2"/>
          </rPr>
          <t>144</t>
        </r>
      </text>
    </comment>
    <comment ref="M41" authorId="1" shapeId="0" xr:uid="{183AE8DA-F398-4796-92F8-CC77F4096535}">
      <text>
        <r>
          <rPr>
            <b/>
            <sz val="9"/>
            <color indexed="81"/>
            <rFont val="Tahoma"/>
            <family val="2"/>
          </rPr>
          <t>149</t>
        </r>
      </text>
    </comment>
    <comment ref="N41" authorId="1" shapeId="0" xr:uid="{3000B665-B03F-4A43-B142-5285BA596E64}">
      <text>
        <r>
          <rPr>
            <b/>
            <sz val="9"/>
            <color indexed="81"/>
            <rFont val="Tahoma"/>
            <family val="2"/>
          </rPr>
          <t>154</t>
        </r>
      </text>
    </comment>
    <comment ref="O41" authorId="1" shapeId="0" xr:uid="{5C64EA16-3E41-4607-9810-C5849C7ADB80}">
      <text>
        <r>
          <rPr>
            <b/>
            <sz val="9"/>
            <color indexed="81"/>
            <rFont val="Tahoma"/>
            <family val="2"/>
          </rPr>
          <t>159</t>
        </r>
      </text>
    </comment>
    <comment ref="P41" authorId="1" shapeId="0" xr:uid="{B43778BB-7B2F-4234-A969-D88169F14D6A}">
      <text>
        <r>
          <rPr>
            <b/>
            <sz val="9"/>
            <color indexed="81"/>
            <rFont val="Tahoma"/>
            <family val="2"/>
          </rPr>
          <t>164</t>
        </r>
      </text>
    </comment>
    <comment ref="Q41" authorId="1" shapeId="0" xr:uid="{75FE43D2-3CD7-45A6-8E00-2E06A56BF9EF}">
      <text>
        <r>
          <rPr>
            <b/>
            <sz val="9"/>
            <color indexed="81"/>
            <rFont val="Tahoma"/>
            <family val="2"/>
          </rPr>
          <t>169</t>
        </r>
      </text>
    </comment>
    <comment ref="R41" authorId="1" shapeId="0" xr:uid="{C83FE036-BF9E-4B09-89FD-3344508F1931}">
      <text>
        <r>
          <rPr>
            <b/>
            <sz val="9"/>
            <color indexed="81"/>
            <rFont val="Tahoma"/>
            <family val="2"/>
          </rPr>
          <t>174</t>
        </r>
      </text>
    </comment>
    <comment ref="S41" authorId="1" shapeId="0" xr:uid="{28E5D634-8071-4DB9-8BD7-ECED9B04306B}">
      <text>
        <r>
          <rPr>
            <b/>
            <sz val="9"/>
            <color indexed="81"/>
            <rFont val="Tahoma"/>
            <family val="2"/>
          </rPr>
          <t>179</t>
        </r>
      </text>
    </comment>
    <comment ref="T41" authorId="1" shapeId="0" xr:uid="{33FA7953-AE27-4A25-9EA8-6F02AAE3B248}">
      <text>
        <r>
          <rPr>
            <b/>
            <sz val="9"/>
            <color indexed="81"/>
            <rFont val="Tahoma"/>
            <family val="2"/>
          </rPr>
          <t>184</t>
        </r>
      </text>
    </comment>
    <comment ref="U41" authorId="1" shapeId="0" xr:uid="{7E0383E3-C1C0-4B90-A08B-2EA13CD18014}">
      <text>
        <r>
          <rPr>
            <b/>
            <sz val="9"/>
            <color indexed="81"/>
            <rFont val="Tahoma"/>
            <family val="2"/>
          </rPr>
          <t>189</t>
        </r>
      </text>
    </comment>
    <comment ref="V41" authorId="1" shapeId="0" xr:uid="{17C3DFD5-BF97-41D0-BA47-495656A14D04}">
      <text>
        <r>
          <rPr>
            <b/>
            <sz val="9"/>
            <color indexed="81"/>
            <rFont val="Tahoma"/>
            <family val="2"/>
          </rPr>
          <t>194</t>
        </r>
      </text>
    </comment>
    <comment ref="W41" authorId="1" shapeId="0" xr:uid="{B1D19236-2EFC-45B1-B143-920A7A3476B8}">
      <text>
        <r>
          <rPr>
            <b/>
            <sz val="9"/>
            <color indexed="81"/>
            <rFont val="Tahoma"/>
            <family val="2"/>
          </rPr>
          <t>200</t>
        </r>
      </text>
    </comment>
    <comment ref="L42" authorId="1" shapeId="0" xr:uid="{DC309E87-A092-4F41-A832-64C82A1BB133}">
      <text>
        <r>
          <rPr>
            <b/>
            <sz val="9"/>
            <color indexed="81"/>
            <rFont val="Tahoma"/>
            <family val="2"/>
          </rPr>
          <t>145</t>
        </r>
      </text>
    </comment>
    <comment ref="M42" authorId="1" shapeId="0" xr:uid="{52D3D430-1A67-41B4-9B37-80FC9B9884DD}">
      <text>
        <r>
          <rPr>
            <b/>
            <sz val="9"/>
            <color indexed="81"/>
            <rFont val="Tahoma"/>
            <family val="2"/>
          </rPr>
          <t>150</t>
        </r>
      </text>
    </comment>
    <comment ref="N42" authorId="1" shapeId="0" xr:uid="{8D887DBE-C45F-419C-8D27-6D67BB01BBBC}">
      <text>
        <r>
          <rPr>
            <b/>
            <sz val="9"/>
            <color indexed="81"/>
            <rFont val="Tahoma"/>
            <family val="2"/>
          </rPr>
          <t>155</t>
        </r>
      </text>
    </comment>
    <comment ref="O42" authorId="1" shapeId="0" xr:uid="{D612F372-E24F-46D6-A55A-7B8253BBE26D}">
      <text>
        <r>
          <rPr>
            <b/>
            <sz val="9"/>
            <color indexed="81"/>
            <rFont val="Tahoma"/>
            <family val="2"/>
          </rPr>
          <t>160</t>
        </r>
      </text>
    </comment>
    <comment ref="P42" authorId="1" shapeId="0" xr:uid="{740C28EC-7A3F-4251-8493-1C908F77C2BA}">
      <text>
        <r>
          <rPr>
            <b/>
            <sz val="9"/>
            <color indexed="81"/>
            <rFont val="Tahoma"/>
            <family val="2"/>
          </rPr>
          <t>165</t>
        </r>
      </text>
    </comment>
    <comment ref="Q42" authorId="1" shapeId="0" xr:uid="{89755AE3-81CC-4290-A999-765C5149EF34}">
      <text>
        <r>
          <rPr>
            <b/>
            <sz val="9"/>
            <color indexed="81"/>
            <rFont val="Tahoma"/>
            <family val="2"/>
          </rPr>
          <t>170</t>
        </r>
      </text>
    </comment>
    <comment ref="R42" authorId="1" shapeId="0" xr:uid="{4DA12D16-4538-455D-B792-C5D43473601C}">
      <text>
        <r>
          <rPr>
            <b/>
            <sz val="9"/>
            <color indexed="81"/>
            <rFont val="Tahoma"/>
            <family val="2"/>
          </rPr>
          <t>175</t>
        </r>
      </text>
    </comment>
    <comment ref="S42" authorId="1" shapeId="0" xr:uid="{74BA0393-0F7B-4670-B52F-70734BC04EBB}">
      <text>
        <r>
          <rPr>
            <b/>
            <sz val="9"/>
            <color indexed="81"/>
            <rFont val="Tahoma"/>
            <family val="2"/>
          </rPr>
          <t>180</t>
        </r>
      </text>
    </comment>
    <comment ref="T42" authorId="1" shapeId="0" xr:uid="{2EBDDB9F-E592-4E97-A60A-47DD13DEBB77}">
      <text>
        <r>
          <rPr>
            <b/>
            <sz val="9"/>
            <color indexed="81"/>
            <rFont val="Tahoma"/>
            <family val="2"/>
          </rPr>
          <t>185</t>
        </r>
      </text>
    </comment>
    <comment ref="U42" authorId="1" shapeId="0" xr:uid="{E899DFDA-B529-4649-BB06-F2E2966CEB74}">
      <text>
        <r>
          <rPr>
            <b/>
            <sz val="9"/>
            <color indexed="81"/>
            <rFont val="Tahoma"/>
            <family val="2"/>
          </rPr>
          <t>190</t>
        </r>
      </text>
    </comment>
    <comment ref="V42" authorId="1" shapeId="0" xr:uid="{7DAC3638-BD73-4E91-BFE2-40AB775822B3}">
      <text>
        <r>
          <rPr>
            <b/>
            <sz val="9"/>
            <color indexed="81"/>
            <rFont val="Tahoma"/>
            <family val="2"/>
          </rPr>
          <t>195</t>
        </r>
      </text>
    </comment>
    <comment ref="W42" authorId="1" shapeId="0" xr:uid="{A680A75C-5218-4FA9-A9F3-8089D2AF8539}">
      <text>
        <r>
          <rPr>
            <b/>
            <sz val="9"/>
            <color indexed="81"/>
            <rFont val="Tahoma"/>
            <family val="2"/>
          </rPr>
          <t>201</t>
        </r>
      </text>
    </comment>
    <comment ref="L43" authorId="1" shapeId="0" xr:uid="{14B66B3E-AF84-414E-971E-4C5221108BC3}">
      <text>
        <r>
          <rPr>
            <b/>
            <sz val="9"/>
            <color indexed="81"/>
            <rFont val="Tahoma"/>
            <family val="2"/>
          </rPr>
          <t>146</t>
        </r>
      </text>
    </comment>
    <comment ref="M43" authorId="1" shapeId="0" xr:uid="{FCDD4BA2-03E1-4848-BD65-7376CBCB8219}">
      <text>
        <r>
          <rPr>
            <b/>
            <sz val="9"/>
            <color indexed="81"/>
            <rFont val="Tahoma"/>
            <family val="2"/>
          </rPr>
          <t>151</t>
        </r>
      </text>
    </comment>
    <comment ref="N43" authorId="1" shapeId="0" xr:uid="{C97917C9-AF1A-40B6-9043-9E7DA200CF84}">
      <text>
        <r>
          <rPr>
            <b/>
            <sz val="9"/>
            <color indexed="81"/>
            <rFont val="Tahoma"/>
            <family val="2"/>
          </rPr>
          <t>156</t>
        </r>
      </text>
    </comment>
    <comment ref="O43" authorId="1" shapeId="0" xr:uid="{79395BB9-828B-4923-B7D4-7C12D1CDD3F0}">
      <text>
        <r>
          <rPr>
            <b/>
            <sz val="9"/>
            <color indexed="81"/>
            <rFont val="Tahoma"/>
            <family val="2"/>
          </rPr>
          <t>161</t>
        </r>
      </text>
    </comment>
    <comment ref="P43" authorId="1" shapeId="0" xr:uid="{FEFBE375-AC33-4FF3-9436-C731E8FEDFE7}">
      <text>
        <r>
          <rPr>
            <b/>
            <sz val="9"/>
            <color indexed="81"/>
            <rFont val="Tahoma"/>
            <family val="2"/>
          </rPr>
          <t>166</t>
        </r>
      </text>
    </comment>
    <comment ref="Q43" authorId="1" shapeId="0" xr:uid="{26664398-7B6A-4B9F-B044-1E995F4F5ECB}">
      <text>
        <r>
          <rPr>
            <b/>
            <sz val="9"/>
            <color indexed="81"/>
            <rFont val="Tahoma"/>
            <family val="2"/>
          </rPr>
          <t>171</t>
        </r>
      </text>
    </comment>
    <comment ref="R43" authorId="1" shapeId="0" xr:uid="{F6682FF7-77C6-453D-B495-F8B0C6359095}">
      <text>
        <r>
          <rPr>
            <b/>
            <sz val="9"/>
            <color indexed="81"/>
            <rFont val="Tahoma"/>
            <family val="2"/>
          </rPr>
          <t>176</t>
        </r>
      </text>
    </comment>
    <comment ref="S43" authorId="1" shapeId="0" xr:uid="{7707F93E-F207-4C1C-B26C-2E8BB4B4800A}">
      <text>
        <r>
          <rPr>
            <b/>
            <sz val="9"/>
            <color indexed="81"/>
            <rFont val="Tahoma"/>
            <family val="2"/>
          </rPr>
          <t>181</t>
        </r>
      </text>
    </comment>
    <comment ref="T43" authorId="1" shapeId="0" xr:uid="{24247F9C-2DE5-457D-944C-2EFEC3901975}">
      <text>
        <r>
          <rPr>
            <b/>
            <sz val="9"/>
            <color indexed="81"/>
            <rFont val="Tahoma"/>
            <family val="2"/>
          </rPr>
          <t>186</t>
        </r>
      </text>
    </comment>
    <comment ref="U43" authorId="1" shapeId="0" xr:uid="{77617B36-ABEF-4D8A-9C2E-EA9E2EB50AC3}">
      <text>
        <r>
          <rPr>
            <b/>
            <sz val="9"/>
            <color indexed="81"/>
            <rFont val="Tahoma"/>
            <family val="2"/>
          </rPr>
          <t>191</t>
        </r>
      </text>
    </comment>
    <comment ref="V43" authorId="1" shapeId="0" xr:uid="{6FDE183F-47AA-4022-BD04-CCF2BB3FE599}">
      <text>
        <r>
          <rPr>
            <b/>
            <sz val="9"/>
            <color indexed="81"/>
            <rFont val="Tahoma"/>
            <family val="2"/>
          </rPr>
          <t>196</t>
        </r>
      </text>
    </comment>
    <comment ref="W43" authorId="1" shapeId="0" xr:uid="{96DAB936-BAE3-4EFA-91B6-9DCD2EEFD1E1}">
      <text>
        <r>
          <rPr>
            <b/>
            <sz val="9"/>
            <color indexed="81"/>
            <rFont val="Tahoma"/>
            <family val="2"/>
          </rPr>
          <t>202</t>
        </r>
      </text>
    </comment>
    <comment ref="L44" authorId="1" shapeId="0" xr:uid="{3A1DA383-DBAB-4A7C-A154-4530EC2F1A79}">
      <text>
        <r>
          <rPr>
            <b/>
            <sz val="9"/>
            <color indexed="81"/>
            <rFont val="Tahoma"/>
            <family val="2"/>
          </rPr>
          <t>147</t>
        </r>
      </text>
    </comment>
    <comment ref="M44" authorId="1" shapeId="0" xr:uid="{A7860C94-0AAD-43A7-B396-85084628BEC4}">
      <text>
        <r>
          <rPr>
            <b/>
            <sz val="9"/>
            <color indexed="81"/>
            <rFont val="Tahoma"/>
            <family val="2"/>
          </rPr>
          <t>152</t>
        </r>
      </text>
    </comment>
    <comment ref="N44" authorId="1" shapeId="0" xr:uid="{04AA4A10-74E4-4DDE-8283-9A98916B3682}">
      <text>
        <r>
          <rPr>
            <b/>
            <sz val="9"/>
            <color indexed="81"/>
            <rFont val="Tahoma"/>
            <family val="2"/>
          </rPr>
          <t>157</t>
        </r>
      </text>
    </comment>
    <comment ref="O44" authorId="1" shapeId="0" xr:uid="{00A8173F-4A32-4A46-9DFB-7C7D3FEF179C}">
      <text>
        <r>
          <rPr>
            <b/>
            <sz val="9"/>
            <color indexed="81"/>
            <rFont val="Tahoma"/>
            <family val="2"/>
          </rPr>
          <t>162</t>
        </r>
      </text>
    </comment>
    <comment ref="P44" authorId="1" shapeId="0" xr:uid="{1C269089-8F57-4C27-BE7F-0F665341503A}">
      <text>
        <r>
          <rPr>
            <b/>
            <sz val="9"/>
            <color indexed="81"/>
            <rFont val="Tahoma"/>
            <family val="2"/>
          </rPr>
          <t>167</t>
        </r>
      </text>
    </comment>
    <comment ref="Q44" authorId="1" shapeId="0" xr:uid="{F0F569B2-6A6B-4577-8C1F-AEEDB4C75E9A}">
      <text>
        <r>
          <rPr>
            <b/>
            <sz val="9"/>
            <color indexed="81"/>
            <rFont val="Tahoma"/>
            <family val="2"/>
          </rPr>
          <t>172</t>
        </r>
      </text>
    </comment>
    <comment ref="R44" authorId="1" shapeId="0" xr:uid="{6B187DCE-6A91-4A21-9A6B-7826A55F7F83}">
      <text>
        <r>
          <rPr>
            <b/>
            <sz val="9"/>
            <color indexed="81"/>
            <rFont val="Tahoma"/>
            <family val="2"/>
          </rPr>
          <t>177</t>
        </r>
      </text>
    </comment>
    <comment ref="S44" authorId="1" shapeId="0" xr:uid="{62965A05-318D-46DB-9E56-04997107E57F}">
      <text>
        <r>
          <rPr>
            <b/>
            <sz val="9"/>
            <color indexed="81"/>
            <rFont val="Tahoma"/>
            <family val="2"/>
          </rPr>
          <t>182</t>
        </r>
      </text>
    </comment>
    <comment ref="T44" authorId="1" shapeId="0" xr:uid="{F0DBAA5D-8E61-4A86-B9CA-A3D2F4B917A5}">
      <text>
        <r>
          <rPr>
            <b/>
            <sz val="9"/>
            <color indexed="81"/>
            <rFont val="Tahoma"/>
            <family val="2"/>
          </rPr>
          <t>187</t>
        </r>
      </text>
    </comment>
    <comment ref="U44" authorId="1" shapeId="0" xr:uid="{7477CB51-8F0A-47F0-B120-658F97AF7A10}">
      <text>
        <r>
          <rPr>
            <b/>
            <sz val="9"/>
            <color indexed="81"/>
            <rFont val="Tahoma"/>
            <family val="2"/>
          </rPr>
          <t>192</t>
        </r>
      </text>
    </comment>
    <comment ref="V44" authorId="1" shapeId="0" xr:uid="{AE5F0229-2A59-437F-B22E-2AE9C8986E31}">
      <text>
        <r>
          <rPr>
            <b/>
            <sz val="9"/>
            <color indexed="81"/>
            <rFont val="Tahoma"/>
            <family val="2"/>
          </rPr>
          <t>197</t>
        </r>
      </text>
    </comment>
    <comment ref="W44" authorId="1" shapeId="0" xr:uid="{F8BD5856-4BCC-493F-92B8-6BF58741EA2F}">
      <text>
        <r>
          <rPr>
            <b/>
            <sz val="9"/>
            <color indexed="81"/>
            <rFont val="Tahoma"/>
            <family val="2"/>
          </rPr>
          <t>203</t>
        </r>
      </text>
    </comment>
    <comment ref="K46" authorId="0" shapeId="0" xr:uid="{D5AB85CE-D116-41A9-A352-B2AEB91CA3C0}">
      <text>
        <r>
          <rPr>
            <b/>
            <sz val="9"/>
            <color indexed="81"/>
            <rFont val="Tahoma"/>
            <family val="2"/>
          </rPr>
          <t>Desembolso inicial: inversión exigida por el proyecto en el momento cero</t>
        </r>
      </text>
    </comment>
    <comment ref="L46" authorId="1" shapeId="0" xr:uid="{AE02EDB2-97A3-48E7-9D4D-5BA532C088A3}">
      <text>
        <r>
          <rPr>
            <b/>
            <sz val="9"/>
            <color indexed="81"/>
            <rFont val="Tahoma"/>
            <family val="2"/>
          </rPr>
          <t>204</t>
        </r>
      </text>
    </comment>
    <comment ref="N46" authorId="0" shapeId="0" xr:uid="{8A935E40-AEBD-4460-9626-1E2580AA58BA}">
      <text>
        <r>
          <rPr>
            <b/>
            <sz val="9"/>
            <color indexed="81"/>
            <rFont val="Tahoma"/>
            <family val="2"/>
          </rPr>
          <t>Coste de los fondos (nominal)
K = (1+r) x (1+f) - 1</t>
        </r>
      </text>
    </comment>
    <comment ref="O46" authorId="1" shapeId="0" xr:uid="{578CDC97-BB77-46D9-9FDB-E5275A937CD6}">
      <text>
        <r>
          <rPr>
            <b/>
            <sz val="9"/>
            <color indexed="81"/>
            <rFont val="Tahoma"/>
            <family val="2"/>
          </rPr>
          <t>208</t>
        </r>
      </text>
    </comment>
    <comment ref="K47" authorId="0" shapeId="0" xr:uid="{BDC95894-7C63-4E99-942F-F39ACFFCD040}">
      <text>
        <r>
          <rPr>
            <b/>
            <sz val="9"/>
            <color indexed="81"/>
            <rFont val="Tahoma"/>
            <family val="2"/>
          </rPr>
          <t>Valor residual generado por la liquidación del inmovilizado al final del proyecto</t>
        </r>
      </text>
    </comment>
    <comment ref="L47" authorId="1" shapeId="0" xr:uid="{939061EC-0FCD-45EC-AA30-0F3619C854B4}">
      <text>
        <r>
          <rPr>
            <b/>
            <sz val="9"/>
            <color indexed="81"/>
            <rFont val="Tahoma"/>
            <family val="2"/>
          </rPr>
          <t>205</t>
        </r>
      </text>
    </comment>
    <comment ref="K48" authorId="0" shapeId="0" xr:uid="{D406FA54-C3E1-4A96-AB35-930DE0B7D5CD}">
      <text>
        <r>
          <rPr>
            <b/>
            <sz val="9"/>
            <color indexed="81"/>
            <rFont val="Tahoma"/>
            <family val="2"/>
          </rPr>
          <t>Valor residual generado por la liquidación del fondo de maniobra incremental al final del proyecto</t>
        </r>
      </text>
    </comment>
    <comment ref="L48" authorId="1" shapeId="0" xr:uid="{9BCA572F-222A-4033-9496-2076AB1D9117}">
      <text>
        <r>
          <rPr>
            <b/>
            <sz val="9"/>
            <color indexed="81"/>
            <rFont val="Tahoma"/>
            <family val="2"/>
          </rPr>
          <t>206</t>
        </r>
      </text>
    </comment>
    <comment ref="N48" authorId="2" shapeId="0" xr:uid="{BB5A7D95-2762-42E2-ACB4-6A707C4497D6}">
      <text>
        <r>
          <rPr>
            <b/>
            <sz val="9"/>
            <color indexed="81"/>
            <rFont val="Tahoma"/>
            <family val="2"/>
          </rPr>
          <t>Valor actualizado neto asociado al proyecto</t>
        </r>
      </text>
    </comment>
    <comment ref="O48" authorId="1" shapeId="0" xr:uid="{F79B99B1-179B-4D92-8A01-66489F77DC3C}">
      <text>
        <r>
          <rPr>
            <b/>
            <sz val="9"/>
            <color indexed="81"/>
            <rFont val="Tahoma"/>
            <family val="2"/>
          </rPr>
          <t>209</t>
        </r>
      </text>
    </comment>
    <comment ref="K49" authorId="0" shapeId="0" xr:uid="{65508DE6-805D-4653-8A81-E9386DE93157}">
      <text>
        <r>
          <rPr>
            <b/>
            <sz val="9"/>
            <color indexed="81"/>
            <rFont val="Tahoma"/>
            <family val="2"/>
          </rPr>
          <t>Valor residual incremental generado por el proyecto al final de su vida [∆VR AF + ∆VR FM]</t>
        </r>
      </text>
    </comment>
    <comment ref="L49" authorId="1" shapeId="0" xr:uid="{BE06F99A-8EF4-4B1F-B849-2D2699D6F880}">
      <text>
        <r>
          <rPr>
            <b/>
            <sz val="9"/>
            <color indexed="81"/>
            <rFont val="Tahoma"/>
            <family val="2"/>
          </rPr>
          <t>207</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L4" authorId="0" shapeId="0" xr:uid="{94BCA32C-477B-48DC-AA9A-F8AD018E011D}">
      <text>
        <r>
          <rPr>
            <b/>
            <sz val="9"/>
            <color indexed="81"/>
            <rFont val="Tahoma"/>
            <family val="2"/>
          </rPr>
          <t>Incremento anual de ventas que aporta el proyecto</t>
        </r>
      </text>
    </comment>
    <comment ref="M4" authorId="0" shapeId="0" xr:uid="{AFDB0EA6-C749-4C27-830C-B81C0128C6B0}">
      <text>
        <r>
          <rPr>
            <b/>
            <sz val="9"/>
            <color indexed="81"/>
            <rFont val="Tahoma"/>
            <family val="2"/>
          </rPr>
          <t>Incremento anual de costes operativos con desembolso que aporta el proyecto</t>
        </r>
      </text>
    </comment>
    <comment ref="N4" authorId="0" shapeId="0" xr:uid="{035393BE-1FC1-4159-B967-4A4C8E22851D}">
      <text>
        <r>
          <rPr>
            <b/>
            <sz val="9"/>
            <color indexed="81"/>
            <rFont val="Tahoma"/>
            <family val="2"/>
          </rPr>
          <t>EBITDA incremental (diferencia entre ventas y costes operativos con desembolso) que aporta el proyecto</t>
        </r>
      </text>
    </comment>
    <comment ref="O4" authorId="0" shapeId="0" xr:uid="{D56208B5-97D7-4D68-ADFD-B981AEB48CF1}">
      <text>
        <r>
          <rPr>
            <b/>
            <sz val="9"/>
            <color indexed="81"/>
            <rFont val="Tahoma"/>
            <family val="2"/>
          </rPr>
          <t>Incremento anual de las amortizaciones de inmovilizados que aporta el proyecto</t>
        </r>
      </text>
    </comment>
    <comment ref="P4" authorId="0" shapeId="0" xr:uid="{F2FDAB34-BB7C-435C-A350-9E3F3886A371}">
      <text>
        <r>
          <rPr>
            <b/>
            <sz val="9"/>
            <color indexed="81"/>
            <rFont val="Tahoma"/>
            <family val="2"/>
          </rPr>
          <t>Incremento anual de beneficio antes de intereses e impuestos</t>
        </r>
      </text>
    </comment>
    <comment ref="Q4" authorId="0" shapeId="0" xr:uid="{07004C49-2621-4F8E-9C5C-9F27CFC11682}">
      <text>
        <r>
          <rPr>
            <b/>
            <sz val="9"/>
            <color indexed="81"/>
            <rFont val="Tahoma"/>
            <family val="2"/>
          </rPr>
          <t>Incremento anual de impuestos (Impuesto de sociedades)</t>
        </r>
      </text>
    </comment>
    <comment ref="R4" authorId="0" shapeId="0" xr:uid="{6F823544-497B-4B7A-A26C-320C33FACF2A}">
      <text>
        <r>
          <rPr>
            <b/>
            <sz val="9"/>
            <color indexed="81"/>
            <rFont val="Tahoma"/>
            <family val="2"/>
          </rPr>
          <t>Incremento anual de beneficio antes de intereses y después de impuestos</t>
        </r>
      </text>
    </comment>
    <comment ref="S4" authorId="0" shapeId="0" xr:uid="{B515F559-F3CA-4A4F-A2F4-F1CAE27BC7E5}">
      <text>
        <r>
          <rPr>
            <b/>
            <sz val="9"/>
            <color indexed="81"/>
            <rFont val="Tahoma"/>
            <family val="2"/>
          </rPr>
          <t>Incremento de caja anual generado por el proyecto, antes de considerar las inversiones en fondo de maniobra</t>
        </r>
      </text>
    </comment>
    <comment ref="T4" authorId="0" shapeId="0" xr:uid="{AD4445C9-302A-4434-9F50-8B2153D0EF6D}">
      <text>
        <r>
          <rPr>
            <b/>
            <sz val="9"/>
            <color indexed="81"/>
            <rFont val="Tahoma"/>
            <family val="2"/>
          </rPr>
          <t>Saldo anual de fondo de maniobra generado por el proyecto</t>
        </r>
      </text>
    </comment>
    <comment ref="U4" authorId="0" shapeId="0" xr:uid="{D537E2BE-1EED-4FDB-9355-42CC7F87F330}">
      <text>
        <r>
          <rPr>
            <b/>
            <sz val="9"/>
            <color indexed="81"/>
            <rFont val="Tahoma"/>
            <family val="2"/>
          </rPr>
          <t>Inversión anual en fondo de maniobra exigida por el proyecto</t>
        </r>
      </text>
    </comment>
    <comment ref="V4" authorId="0" shapeId="0" xr:uid="{F29AC6F9-300E-48D8-84C4-5E1C3024773E}">
      <text>
        <r>
          <rPr>
            <b/>
            <sz val="9"/>
            <color indexed="81"/>
            <rFont val="Tahoma"/>
            <family val="2"/>
          </rPr>
          <t>Flujo de caja operativo anual incremental que aporta el proyecto (es decir, sin considerar el desembolso inicial ni el valor residual)</t>
        </r>
      </text>
    </comment>
    <comment ref="W4" authorId="0" shapeId="0" xr:uid="{15EBF0CE-E906-43CC-A693-25C5003E53D1}">
      <text>
        <r>
          <rPr>
            <b/>
            <sz val="9"/>
            <color indexed="81"/>
            <rFont val="Tahoma"/>
            <family val="2"/>
          </rPr>
          <t>Impacto anual en caja del proyecto: Generaciones de fondos anuales que incluyen el desembolso inicial y el valor residual (moneda corriente)</t>
        </r>
      </text>
    </comment>
    <comment ref="Y4" authorId="0" shapeId="0" xr:uid="{52742917-C029-411B-8213-40F92764EAFD}">
      <text>
        <r>
          <rPr>
            <b/>
            <sz val="9"/>
            <color indexed="81"/>
            <rFont val="Tahoma"/>
            <family val="2"/>
          </rPr>
          <t>Impacto anual en caja del proyecto: Generaciones de fondos anuales que incluyen el desembolso inicial y el valor residual (moneda constante)</t>
        </r>
      </text>
    </comment>
    <comment ref="W5" authorId="1" shapeId="0" xr:uid="{03B8534D-1F3C-419E-882F-7B647FA28630}">
      <text>
        <r>
          <rPr>
            <b/>
            <sz val="9"/>
            <color indexed="81"/>
            <rFont val="Tahoma"/>
            <family val="2"/>
          </rPr>
          <t>056</t>
        </r>
      </text>
    </comment>
    <comment ref="Y5" authorId="1" shapeId="0" xr:uid="{8FC46251-7426-4E3D-AC63-790ED074D6ED}">
      <text>
        <r>
          <rPr>
            <b/>
            <sz val="9"/>
            <color indexed="81"/>
            <rFont val="Tahoma"/>
            <family val="2"/>
          </rPr>
          <t>068</t>
        </r>
      </text>
    </comment>
    <comment ref="L6" authorId="1" shapeId="0" xr:uid="{693C5201-FB25-4676-A488-44A71EC2B644}">
      <text>
        <r>
          <rPr>
            <b/>
            <sz val="9"/>
            <color indexed="81"/>
            <rFont val="Tahoma"/>
            <family val="2"/>
          </rPr>
          <t>001</t>
        </r>
      </text>
    </comment>
    <comment ref="M6" authorId="1" shapeId="0" xr:uid="{11265AA6-120F-41F7-8181-2B842F31F409}">
      <text>
        <r>
          <rPr>
            <b/>
            <sz val="9"/>
            <color indexed="81"/>
            <rFont val="Tahoma"/>
            <family val="2"/>
          </rPr>
          <t>006</t>
        </r>
      </text>
    </comment>
    <comment ref="N6" authorId="1" shapeId="0" xr:uid="{CE14504B-15C1-4E8E-BF8A-D495916ECDB8}">
      <text>
        <r>
          <rPr>
            <b/>
            <sz val="9"/>
            <color indexed="81"/>
            <rFont val="Tahoma"/>
            <family val="2"/>
          </rPr>
          <t>011</t>
        </r>
      </text>
    </comment>
    <comment ref="O6" authorId="1" shapeId="0" xr:uid="{B5F43883-3B97-4916-9E8B-5BBFB9451B32}">
      <text>
        <r>
          <rPr>
            <b/>
            <sz val="9"/>
            <color indexed="81"/>
            <rFont val="Tahoma"/>
            <family val="2"/>
          </rPr>
          <t>016</t>
        </r>
      </text>
    </comment>
    <comment ref="P6" authorId="1" shapeId="0" xr:uid="{16437E5A-0D4A-401E-B4DA-C010040E55F5}">
      <text>
        <r>
          <rPr>
            <b/>
            <sz val="9"/>
            <color indexed="81"/>
            <rFont val="Tahoma"/>
            <family val="2"/>
          </rPr>
          <t>021</t>
        </r>
      </text>
    </comment>
    <comment ref="Q6" authorId="1" shapeId="0" xr:uid="{7383754E-2ECB-4A56-9C1F-2A6528CC57CF}">
      <text>
        <r>
          <rPr>
            <b/>
            <sz val="9"/>
            <color indexed="81"/>
            <rFont val="Tahoma"/>
            <family val="2"/>
          </rPr>
          <t>026</t>
        </r>
      </text>
    </comment>
    <comment ref="R6" authorId="1" shapeId="0" xr:uid="{4FBEF210-AD33-44E7-9327-F0681856F430}">
      <text>
        <r>
          <rPr>
            <b/>
            <sz val="9"/>
            <color indexed="81"/>
            <rFont val="Tahoma"/>
            <family val="2"/>
          </rPr>
          <t>031</t>
        </r>
      </text>
    </comment>
    <comment ref="S6" authorId="1" shapeId="0" xr:uid="{003FBDE7-87C9-48A9-A48C-0F70344D42A1}">
      <text>
        <r>
          <rPr>
            <b/>
            <sz val="9"/>
            <color indexed="81"/>
            <rFont val="Tahoma"/>
            <family val="2"/>
          </rPr>
          <t>036</t>
        </r>
      </text>
    </comment>
    <comment ref="T6" authorId="1" shapeId="0" xr:uid="{326D6135-AE1F-4CD5-B70A-DC5056478305}">
      <text>
        <r>
          <rPr>
            <b/>
            <sz val="9"/>
            <color indexed="81"/>
            <rFont val="Tahoma"/>
            <family val="2"/>
          </rPr>
          <t>041</t>
        </r>
      </text>
    </comment>
    <comment ref="U6" authorId="1" shapeId="0" xr:uid="{9AFEF97E-3539-4C24-9FC5-47A96A202EC4}">
      <text>
        <r>
          <rPr>
            <b/>
            <sz val="9"/>
            <color indexed="81"/>
            <rFont val="Tahoma"/>
            <family val="2"/>
          </rPr>
          <t>046</t>
        </r>
      </text>
    </comment>
    <comment ref="V6" authorId="1" shapeId="0" xr:uid="{B52F5FFF-2FE5-4053-95B9-FACC94098F1B}">
      <text>
        <r>
          <rPr>
            <b/>
            <sz val="9"/>
            <color indexed="81"/>
            <rFont val="Tahoma"/>
            <family val="2"/>
          </rPr>
          <t>051</t>
        </r>
      </text>
    </comment>
    <comment ref="W6" authorId="1" shapeId="0" xr:uid="{23375322-C20C-4639-9341-3453C4CAC559}">
      <text>
        <r>
          <rPr>
            <b/>
            <sz val="9"/>
            <color indexed="81"/>
            <rFont val="Tahoma"/>
            <family val="2"/>
          </rPr>
          <t>057</t>
        </r>
      </text>
    </comment>
    <comment ref="Y6" authorId="1" shapeId="0" xr:uid="{71AB8D6E-4556-4615-9151-B9391CB492A1}">
      <text>
        <r>
          <rPr>
            <b/>
            <sz val="9"/>
            <color indexed="81"/>
            <rFont val="Tahoma"/>
            <family val="2"/>
          </rPr>
          <t>069</t>
        </r>
      </text>
    </comment>
    <comment ref="L7" authorId="1" shapeId="0" xr:uid="{3A04DA11-01BC-4901-AFA8-0D4DF1E85A7A}">
      <text>
        <r>
          <rPr>
            <b/>
            <sz val="9"/>
            <color indexed="81"/>
            <rFont val="Tahoma"/>
            <family val="2"/>
          </rPr>
          <t>002</t>
        </r>
      </text>
    </comment>
    <comment ref="M7" authorId="1" shapeId="0" xr:uid="{50ED726C-FC79-4ED1-A7A1-88ED99A67208}">
      <text>
        <r>
          <rPr>
            <b/>
            <sz val="9"/>
            <color indexed="81"/>
            <rFont val="Tahoma"/>
            <family val="2"/>
          </rPr>
          <t>007</t>
        </r>
      </text>
    </comment>
    <comment ref="N7" authorId="1" shapeId="0" xr:uid="{BDB9E654-2EBA-4C2F-8CDA-87607C35035F}">
      <text>
        <r>
          <rPr>
            <b/>
            <sz val="9"/>
            <color indexed="81"/>
            <rFont val="Tahoma"/>
            <family val="2"/>
          </rPr>
          <t>012</t>
        </r>
      </text>
    </comment>
    <comment ref="O7" authorId="1" shapeId="0" xr:uid="{A679104C-4199-4067-9892-211A705497F6}">
      <text>
        <r>
          <rPr>
            <b/>
            <sz val="9"/>
            <color indexed="81"/>
            <rFont val="Tahoma"/>
            <family val="2"/>
          </rPr>
          <t>017</t>
        </r>
      </text>
    </comment>
    <comment ref="P7" authorId="1" shapeId="0" xr:uid="{1C4FCC77-63BB-47A3-9F0E-33AD080E5E6D}">
      <text>
        <r>
          <rPr>
            <b/>
            <sz val="9"/>
            <color indexed="81"/>
            <rFont val="Tahoma"/>
            <family val="2"/>
          </rPr>
          <t>022</t>
        </r>
      </text>
    </comment>
    <comment ref="Q7" authorId="1" shapeId="0" xr:uid="{F8556162-88F3-40A4-B51E-11CE95E497FC}">
      <text>
        <r>
          <rPr>
            <b/>
            <sz val="9"/>
            <color indexed="81"/>
            <rFont val="Tahoma"/>
            <family val="2"/>
          </rPr>
          <t>027</t>
        </r>
      </text>
    </comment>
    <comment ref="R7" authorId="1" shapeId="0" xr:uid="{8E5E538E-7AFF-4432-89BB-5BDEA927E548}">
      <text>
        <r>
          <rPr>
            <b/>
            <sz val="9"/>
            <color indexed="81"/>
            <rFont val="Tahoma"/>
            <family val="2"/>
          </rPr>
          <t>032</t>
        </r>
      </text>
    </comment>
    <comment ref="S7" authorId="1" shapeId="0" xr:uid="{E85D5515-E2E9-4F94-9DB0-185D9478AF16}">
      <text>
        <r>
          <rPr>
            <b/>
            <sz val="9"/>
            <color indexed="81"/>
            <rFont val="Tahoma"/>
            <family val="2"/>
          </rPr>
          <t>037</t>
        </r>
      </text>
    </comment>
    <comment ref="T7" authorId="1" shapeId="0" xr:uid="{2346AB31-C7BF-4FB5-8484-EC61662E8940}">
      <text>
        <r>
          <rPr>
            <b/>
            <sz val="9"/>
            <color indexed="81"/>
            <rFont val="Tahoma"/>
            <family val="2"/>
          </rPr>
          <t>042</t>
        </r>
      </text>
    </comment>
    <comment ref="U7" authorId="1" shapeId="0" xr:uid="{BBEAB258-1677-41B7-B565-85D818401609}">
      <text>
        <r>
          <rPr>
            <b/>
            <sz val="9"/>
            <color indexed="81"/>
            <rFont val="Tahoma"/>
            <family val="2"/>
          </rPr>
          <t>047</t>
        </r>
      </text>
    </comment>
    <comment ref="V7" authorId="1" shapeId="0" xr:uid="{FD273E0A-3EAD-4187-A04C-50ECABDC1B41}">
      <text>
        <r>
          <rPr>
            <b/>
            <sz val="9"/>
            <color indexed="81"/>
            <rFont val="Tahoma"/>
            <family val="2"/>
          </rPr>
          <t>052</t>
        </r>
      </text>
    </comment>
    <comment ref="W7" authorId="1" shapeId="0" xr:uid="{78F603F3-8D28-4667-9ABF-3D0E8C93595B}">
      <text>
        <r>
          <rPr>
            <b/>
            <sz val="9"/>
            <color indexed="81"/>
            <rFont val="Tahoma"/>
            <family val="2"/>
          </rPr>
          <t>058</t>
        </r>
      </text>
    </comment>
    <comment ref="Y7" authorId="1" shapeId="0" xr:uid="{281615E0-73C2-4CBF-969F-18219EFF82A0}">
      <text>
        <r>
          <rPr>
            <b/>
            <sz val="9"/>
            <color indexed="81"/>
            <rFont val="Tahoma"/>
            <family val="2"/>
          </rPr>
          <t>070</t>
        </r>
      </text>
    </comment>
    <comment ref="L8" authorId="1" shapeId="0" xr:uid="{C131685E-995E-4591-8CE5-1E53716B3268}">
      <text>
        <r>
          <rPr>
            <b/>
            <sz val="9"/>
            <color indexed="81"/>
            <rFont val="Tahoma"/>
            <family val="2"/>
          </rPr>
          <t>003</t>
        </r>
      </text>
    </comment>
    <comment ref="M8" authorId="1" shapeId="0" xr:uid="{3D39C36F-E05A-4696-ADB6-3520D2D24AEC}">
      <text>
        <r>
          <rPr>
            <b/>
            <sz val="9"/>
            <color indexed="81"/>
            <rFont val="Tahoma"/>
            <family val="2"/>
          </rPr>
          <t>008</t>
        </r>
      </text>
    </comment>
    <comment ref="N8" authorId="1" shapeId="0" xr:uid="{8B1B4CAC-7450-4DE4-BDED-0FD290AAF939}">
      <text>
        <r>
          <rPr>
            <b/>
            <sz val="9"/>
            <color indexed="81"/>
            <rFont val="Tahoma"/>
            <family val="2"/>
          </rPr>
          <t>013</t>
        </r>
      </text>
    </comment>
    <comment ref="O8" authorId="1" shapeId="0" xr:uid="{0CFF62F0-7E33-4C97-AD01-8162A2CA252C}">
      <text>
        <r>
          <rPr>
            <b/>
            <sz val="9"/>
            <color indexed="81"/>
            <rFont val="Tahoma"/>
            <family val="2"/>
          </rPr>
          <t>018</t>
        </r>
      </text>
    </comment>
    <comment ref="P8" authorId="1" shapeId="0" xr:uid="{FC7AA18A-CA64-421A-9C1E-FA7134F1105E}">
      <text>
        <r>
          <rPr>
            <b/>
            <sz val="9"/>
            <color indexed="81"/>
            <rFont val="Tahoma"/>
            <family val="2"/>
          </rPr>
          <t>023</t>
        </r>
      </text>
    </comment>
    <comment ref="Q8" authorId="1" shapeId="0" xr:uid="{E92BC22E-A43E-465F-A832-23BC940AE9D3}">
      <text>
        <r>
          <rPr>
            <b/>
            <sz val="9"/>
            <color indexed="81"/>
            <rFont val="Tahoma"/>
            <family val="2"/>
          </rPr>
          <t>028</t>
        </r>
      </text>
    </comment>
    <comment ref="R8" authorId="1" shapeId="0" xr:uid="{318B4916-D15A-4B93-AA51-D682B4AFF487}">
      <text>
        <r>
          <rPr>
            <b/>
            <sz val="9"/>
            <color indexed="81"/>
            <rFont val="Tahoma"/>
            <family val="2"/>
          </rPr>
          <t>033</t>
        </r>
      </text>
    </comment>
    <comment ref="S8" authorId="1" shapeId="0" xr:uid="{35226CDA-AE83-4BD3-A3AE-081BF2E2169C}">
      <text>
        <r>
          <rPr>
            <b/>
            <sz val="9"/>
            <color indexed="81"/>
            <rFont val="Tahoma"/>
            <family val="2"/>
          </rPr>
          <t>038</t>
        </r>
      </text>
    </comment>
    <comment ref="T8" authorId="1" shapeId="0" xr:uid="{C67A66FE-9710-4C8C-8B6F-AA93CFBD4DD7}">
      <text>
        <r>
          <rPr>
            <b/>
            <sz val="9"/>
            <color indexed="81"/>
            <rFont val="Tahoma"/>
            <family val="2"/>
          </rPr>
          <t>043</t>
        </r>
      </text>
    </comment>
    <comment ref="U8" authorId="1" shapeId="0" xr:uid="{CFD472DB-4C64-4A4D-B872-CB4F636A364A}">
      <text>
        <r>
          <rPr>
            <b/>
            <sz val="9"/>
            <color indexed="81"/>
            <rFont val="Tahoma"/>
            <family val="2"/>
          </rPr>
          <t>048</t>
        </r>
      </text>
    </comment>
    <comment ref="V8" authorId="1" shapeId="0" xr:uid="{07076073-5675-44EE-B6D4-0E9BCB0DDA78}">
      <text>
        <r>
          <rPr>
            <b/>
            <sz val="9"/>
            <color indexed="81"/>
            <rFont val="Tahoma"/>
            <family val="2"/>
          </rPr>
          <t>053</t>
        </r>
      </text>
    </comment>
    <comment ref="W8" authorId="1" shapeId="0" xr:uid="{84624697-C641-48AB-97BD-D24E0450B9CE}">
      <text>
        <r>
          <rPr>
            <b/>
            <sz val="9"/>
            <color indexed="81"/>
            <rFont val="Tahoma"/>
            <family val="2"/>
          </rPr>
          <t>059</t>
        </r>
      </text>
    </comment>
    <comment ref="Y8" authorId="1" shapeId="0" xr:uid="{C6FEC0AD-0B21-43BE-B62E-EE12130F3D2F}">
      <text>
        <r>
          <rPr>
            <b/>
            <sz val="9"/>
            <color indexed="81"/>
            <rFont val="Tahoma"/>
            <family val="2"/>
          </rPr>
          <t>071</t>
        </r>
      </text>
    </comment>
    <comment ref="L9" authorId="1" shapeId="0" xr:uid="{5763087D-83E2-4F05-8148-B3813EF61F77}">
      <text>
        <r>
          <rPr>
            <b/>
            <sz val="9"/>
            <color indexed="81"/>
            <rFont val="Tahoma"/>
            <family val="2"/>
          </rPr>
          <t>004</t>
        </r>
      </text>
    </comment>
    <comment ref="M9" authorId="1" shapeId="0" xr:uid="{4630603C-B269-4B88-B32D-EDA135248177}">
      <text>
        <r>
          <rPr>
            <b/>
            <sz val="9"/>
            <color indexed="81"/>
            <rFont val="Tahoma"/>
            <family val="2"/>
          </rPr>
          <t>009</t>
        </r>
      </text>
    </comment>
    <comment ref="N9" authorId="1" shapeId="0" xr:uid="{DA03C83A-870A-4E08-A58A-4973D557838E}">
      <text>
        <r>
          <rPr>
            <b/>
            <sz val="9"/>
            <color indexed="81"/>
            <rFont val="Tahoma"/>
            <family val="2"/>
          </rPr>
          <t>014</t>
        </r>
      </text>
    </comment>
    <comment ref="O9" authorId="1" shapeId="0" xr:uid="{9A418FAB-4E77-4CE0-9121-087A32625B01}">
      <text>
        <r>
          <rPr>
            <b/>
            <sz val="9"/>
            <color indexed="81"/>
            <rFont val="Tahoma"/>
            <family val="2"/>
          </rPr>
          <t>019</t>
        </r>
      </text>
    </comment>
    <comment ref="P9" authorId="1" shapeId="0" xr:uid="{935895D7-4252-4EA4-B0B6-A88B2D515DF0}">
      <text>
        <r>
          <rPr>
            <b/>
            <sz val="9"/>
            <color indexed="81"/>
            <rFont val="Tahoma"/>
            <family val="2"/>
          </rPr>
          <t>024</t>
        </r>
      </text>
    </comment>
    <comment ref="Q9" authorId="1" shapeId="0" xr:uid="{BB323156-25D5-49AB-9C06-CCBBD965CB1A}">
      <text>
        <r>
          <rPr>
            <b/>
            <sz val="9"/>
            <color indexed="81"/>
            <rFont val="Tahoma"/>
            <family val="2"/>
          </rPr>
          <t>029</t>
        </r>
      </text>
    </comment>
    <comment ref="R9" authorId="1" shapeId="0" xr:uid="{AD8CB3EC-8C49-4C93-AB82-77702BC68D4F}">
      <text>
        <r>
          <rPr>
            <b/>
            <sz val="9"/>
            <color indexed="81"/>
            <rFont val="Tahoma"/>
            <family val="2"/>
          </rPr>
          <t>034</t>
        </r>
      </text>
    </comment>
    <comment ref="S9" authorId="1" shapeId="0" xr:uid="{82195107-18DF-4C8F-811F-04B123CCC5F5}">
      <text>
        <r>
          <rPr>
            <b/>
            <sz val="9"/>
            <color indexed="81"/>
            <rFont val="Tahoma"/>
            <family val="2"/>
          </rPr>
          <t>039</t>
        </r>
      </text>
    </comment>
    <comment ref="T9" authorId="1" shapeId="0" xr:uid="{2014B6C6-3FB0-4561-9706-D7D12E03FBD6}">
      <text>
        <r>
          <rPr>
            <b/>
            <sz val="9"/>
            <color indexed="81"/>
            <rFont val="Tahoma"/>
            <family val="2"/>
          </rPr>
          <t>044</t>
        </r>
      </text>
    </comment>
    <comment ref="U9" authorId="1" shapeId="0" xr:uid="{78AF6084-4984-4C04-8896-3A27D70770E5}">
      <text>
        <r>
          <rPr>
            <b/>
            <sz val="9"/>
            <color indexed="81"/>
            <rFont val="Tahoma"/>
            <family val="2"/>
          </rPr>
          <t>049</t>
        </r>
      </text>
    </comment>
    <comment ref="V9" authorId="1" shapeId="0" xr:uid="{FAF4FE3C-414F-4011-98DF-C438DEE05183}">
      <text>
        <r>
          <rPr>
            <b/>
            <sz val="9"/>
            <color indexed="81"/>
            <rFont val="Tahoma"/>
            <family val="2"/>
          </rPr>
          <t>054</t>
        </r>
      </text>
    </comment>
    <comment ref="W9" authorId="1" shapeId="0" xr:uid="{8A92F711-1B8E-4F9D-848F-8535CB788338}">
      <text>
        <r>
          <rPr>
            <b/>
            <sz val="9"/>
            <color indexed="81"/>
            <rFont val="Tahoma"/>
            <family val="2"/>
          </rPr>
          <t>060</t>
        </r>
      </text>
    </comment>
    <comment ref="Y9" authorId="1" shapeId="0" xr:uid="{E9F60880-7B56-4341-99BA-E7959220ED36}">
      <text>
        <r>
          <rPr>
            <b/>
            <sz val="9"/>
            <color indexed="81"/>
            <rFont val="Tahoma"/>
            <family val="2"/>
          </rPr>
          <t>072</t>
        </r>
      </text>
    </comment>
    <comment ref="L10" authorId="1" shapeId="0" xr:uid="{3420D58C-2CF5-49C2-97D0-CB74281D2C59}">
      <text>
        <r>
          <rPr>
            <b/>
            <sz val="9"/>
            <color indexed="81"/>
            <rFont val="Tahoma"/>
            <family val="2"/>
          </rPr>
          <t>005</t>
        </r>
      </text>
    </comment>
    <comment ref="M10" authorId="1" shapeId="0" xr:uid="{547E91F1-9837-4185-8B44-B20213E51E68}">
      <text>
        <r>
          <rPr>
            <b/>
            <sz val="9"/>
            <color indexed="81"/>
            <rFont val="Tahoma"/>
            <family val="2"/>
          </rPr>
          <t>010</t>
        </r>
      </text>
    </comment>
    <comment ref="N10" authorId="1" shapeId="0" xr:uid="{DDD32BA9-799C-46B4-866F-A04AE258C64C}">
      <text>
        <r>
          <rPr>
            <b/>
            <sz val="9"/>
            <color indexed="81"/>
            <rFont val="Tahoma"/>
            <family val="2"/>
          </rPr>
          <t>015</t>
        </r>
      </text>
    </comment>
    <comment ref="O10" authorId="1" shapeId="0" xr:uid="{3ABE6189-B379-4706-AC6F-04930146C0A6}">
      <text>
        <r>
          <rPr>
            <b/>
            <sz val="9"/>
            <color indexed="81"/>
            <rFont val="Tahoma"/>
            <family val="2"/>
          </rPr>
          <t>020</t>
        </r>
      </text>
    </comment>
    <comment ref="P10" authorId="1" shapeId="0" xr:uid="{EE89DF23-6DB9-4D38-A877-32C448EC3FAC}">
      <text>
        <r>
          <rPr>
            <b/>
            <sz val="9"/>
            <color indexed="81"/>
            <rFont val="Tahoma"/>
            <family val="2"/>
          </rPr>
          <t>025</t>
        </r>
      </text>
    </comment>
    <comment ref="Q10" authorId="1" shapeId="0" xr:uid="{C24F6443-3D98-42CC-9CC3-D3996CD62345}">
      <text>
        <r>
          <rPr>
            <b/>
            <sz val="9"/>
            <color indexed="81"/>
            <rFont val="Tahoma"/>
            <family val="2"/>
          </rPr>
          <t>030</t>
        </r>
      </text>
    </comment>
    <comment ref="R10" authorId="1" shapeId="0" xr:uid="{3DD60FF0-86BF-4AB8-9CC9-BE580B187955}">
      <text>
        <r>
          <rPr>
            <b/>
            <sz val="9"/>
            <color indexed="81"/>
            <rFont val="Tahoma"/>
            <family val="2"/>
          </rPr>
          <t>035</t>
        </r>
      </text>
    </comment>
    <comment ref="S10" authorId="1" shapeId="0" xr:uid="{65E33E66-12B8-4755-B763-C2081C3AD9E3}">
      <text>
        <r>
          <rPr>
            <b/>
            <sz val="9"/>
            <color indexed="81"/>
            <rFont val="Tahoma"/>
            <family val="2"/>
          </rPr>
          <t>040</t>
        </r>
      </text>
    </comment>
    <comment ref="T10" authorId="1" shapeId="0" xr:uid="{51727AF3-93C5-4E54-A38A-3A3C140C95FD}">
      <text>
        <r>
          <rPr>
            <b/>
            <sz val="9"/>
            <color indexed="81"/>
            <rFont val="Tahoma"/>
            <family val="2"/>
          </rPr>
          <t>045</t>
        </r>
      </text>
    </comment>
    <comment ref="U10" authorId="1" shapeId="0" xr:uid="{14F74A5E-41B6-4F5A-A5A4-566AF23E7BF8}">
      <text>
        <r>
          <rPr>
            <b/>
            <sz val="9"/>
            <color indexed="81"/>
            <rFont val="Tahoma"/>
            <family val="2"/>
          </rPr>
          <t>050</t>
        </r>
      </text>
    </comment>
    <comment ref="V10" authorId="1" shapeId="0" xr:uid="{80E9FB9F-18CA-48C0-AEAC-8ECD73CD7762}">
      <text>
        <r>
          <rPr>
            <b/>
            <sz val="9"/>
            <color indexed="81"/>
            <rFont val="Tahoma"/>
            <family val="2"/>
          </rPr>
          <t>055</t>
        </r>
      </text>
    </comment>
    <comment ref="W10" authorId="1" shapeId="0" xr:uid="{A1B20FD9-9FC1-421B-8783-A5C5ECA25C9F}">
      <text>
        <r>
          <rPr>
            <b/>
            <sz val="9"/>
            <color indexed="81"/>
            <rFont val="Tahoma"/>
            <family val="2"/>
          </rPr>
          <t>061</t>
        </r>
      </text>
    </comment>
    <comment ref="Y10" authorId="1" shapeId="0" xr:uid="{70CA6161-2EE7-42EE-9419-5F60DDCDC6FD}">
      <text>
        <r>
          <rPr>
            <b/>
            <sz val="9"/>
            <color indexed="81"/>
            <rFont val="Tahoma"/>
            <family val="2"/>
          </rPr>
          <t>073</t>
        </r>
      </text>
    </comment>
    <comment ref="K12" authorId="0" shapeId="0" xr:uid="{734859CB-E575-419A-A99E-1C8590E6313D}">
      <text>
        <r>
          <rPr>
            <b/>
            <sz val="9"/>
            <color indexed="81"/>
            <rFont val="Tahoma"/>
            <family val="2"/>
          </rPr>
          <t>Desembolso inicial: inversión exigida por el proyecto en el momento cero</t>
        </r>
      </text>
    </comment>
    <comment ref="L12" authorId="1" shapeId="0" xr:uid="{1FDCF241-2FB0-4F68-B9A1-66DE71203946}">
      <text>
        <r>
          <rPr>
            <b/>
            <sz val="9"/>
            <color indexed="81"/>
            <rFont val="Tahoma"/>
            <family val="2"/>
          </rPr>
          <t>062</t>
        </r>
      </text>
    </comment>
    <comment ref="N12" authorId="0" shapeId="0" xr:uid="{63C80C38-4B48-42C8-868B-B18F4792071A}">
      <text>
        <r>
          <rPr>
            <b/>
            <sz val="9"/>
            <color indexed="81"/>
            <rFont val="Tahoma"/>
            <family val="2"/>
          </rPr>
          <t>Coste de los fondos (nominal)
K = (1+r) x (1+f) - 1</t>
        </r>
      </text>
    </comment>
    <comment ref="O12" authorId="1" shapeId="0" xr:uid="{51BD7EA8-9F4D-44B8-80D8-B3E5B5417030}">
      <text>
        <r>
          <rPr>
            <b/>
            <sz val="9"/>
            <color indexed="81"/>
            <rFont val="Tahoma"/>
            <family val="2"/>
          </rPr>
          <t>066</t>
        </r>
      </text>
    </comment>
    <comment ref="X12" authorId="0" shapeId="0" xr:uid="{3536B37B-A20C-45EC-A18C-9C5665E5F557}">
      <text>
        <r>
          <rPr>
            <b/>
            <sz val="9"/>
            <color indexed="81"/>
            <rFont val="Tahoma"/>
            <family val="2"/>
          </rPr>
          <t>Coste de los fondos:
tipo de interés real</t>
        </r>
      </text>
    </comment>
    <comment ref="Y12" authorId="1" shapeId="0" xr:uid="{C53219C9-7393-471C-B75F-CFC4159668BE}">
      <text>
        <r>
          <rPr>
            <b/>
            <sz val="9"/>
            <color indexed="81"/>
            <rFont val="Tahoma"/>
            <family val="2"/>
          </rPr>
          <t>074</t>
        </r>
      </text>
    </comment>
    <comment ref="K13" authorId="0" shapeId="0" xr:uid="{6C4EE3F6-65FD-487B-9662-C318C552C623}">
      <text>
        <r>
          <rPr>
            <b/>
            <sz val="9"/>
            <color indexed="81"/>
            <rFont val="Tahoma"/>
            <family val="2"/>
          </rPr>
          <t>Valor residual generado por la liquidación del inmovilizado al final del proyecto</t>
        </r>
      </text>
    </comment>
    <comment ref="L13" authorId="1" shapeId="0" xr:uid="{F5DEDB95-A97F-4D8F-910A-22C7D3FAB9C1}">
      <text>
        <r>
          <rPr>
            <b/>
            <sz val="9"/>
            <color indexed="81"/>
            <rFont val="Tahoma"/>
            <family val="2"/>
          </rPr>
          <t>063</t>
        </r>
      </text>
    </comment>
    <comment ref="K14" authorId="0" shapeId="0" xr:uid="{2966402C-39A3-4F0D-948D-B21613BCB87A}">
      <text>
        <r>
          <rPr>
            <b/>
            <sz val="9"/>
            <color indexed="81"/>
            <rFont val="Tahoma"/>
            <family val="2"/>
          </rPr>
          <t>Valor residual generado por la liquidación del fondo de maniobra incremental al final del proyecto</t>
        </r>
      </text>
    </comment>
    <comment ref="L14" authorId="1" shapeId="0" xr:uid="{85D72386-CE75-427A-A489-413535086F4A}">
      <text>
        <r>
          <rPr>
            <b/>
            <sz val="9"/>
            <color indexed="81"/>
            <rFont val="Tahoma"/>
            <family val="2"/>
          </rPr>
          <t>064</t>
        </r>
      </text>
    </comment>
    <comment ref="N14" authorId="2" shapeId="0" xr:uid="{7F362D48-6F3E-43EB-B4D7-7C3558C3C404}">
      <text>
        <r>
          <rPr>
            <b/>
            <sz val="9"/>
            <color indexed="81"/>
            <rFont val="Tahoma"/>
            <family val="2"/>
          </rPr>
          <t>Valor actualizado neto asociado al proyecto</t>
        </r>
      </text>
    </comment>
    <comment ref="O14" authorId="1" shapeId="0" xr:uid="{227C8670-3DAB-45E1-AEEA-AE7B8F797FDD}">
      <text>
        <r>
          <rPr>
            <b/>
            <sz val="9"/>
            <color indexed="81"/>
            <rFont val="Tahoma"/>
            <family val="2"/>
          </rPr>
          <t>067</t>
        </r>
      </text>
    </comment>
    <comment ref="X14" authorId="2" shapeId="0" xr:uid="{BBA58243-76FE-4931-8060-61AAFC2ABEE0}">
      <text>
        <r>
          <rPr>
            <b/>
            <sz val="9"/>
            <color indexed="81"/>
            <rFont val="Tahoma"/>
            <family val="2"/>
          </rPr>
          <t>Valor actualizado neto asociado al proyecto</t>
        </r>
      </text>
    </comment>
    <comment ref="Y14" authorId="1" shapeId="0" xr:uid="{BA05D726-AEF8-4034-99A2-38B5A3DA75C4}">
      <text>
        <r>
          <rPr>
            <b/>
            <sz val="9"/>
            <color indexed="81"/>
            <rFont val="Tahoma"/>
            <family val="2"/>
          </rPr>
          <t>075</t>
        </r>
      </text>
    </comment>
    <comment ref="K15" authorId="0" shapeId="0" xr:uid="{8E54D893-D0CB-4BC4-8CD0-4F8DF6E0D2E4}">
      <text>
        <r>
          <rPr>
            <b/>
            <sz val="9"/>
            <color indexed="81"/>
            <rFont val="Tahoma"/>
            <family val="2"/>
          </rPr>
          <t>Valor residual incremental generado por el proyecto al final de su vida [∆VR AF + ∆VR FM]</t>
        </r>
      </text>
    </comment>
    <comment ref="L15" authorId="1" shapeId="0" xr:uid="{46255AE2-5B7B-4C73-A66C-9282AB0CDD63}">
      <text>
        <r>
          <rPr>
            <b/>
            <sz val="9"/>
            <color indexed="81"/>
            <rFont val="Tahoma"/>
            <family val="2"/>
          </rPr>
          <t>065</t>
        </r>
      </text>
    </comment>
    <comment ref="L21" authorId="0" shapeId="0" xr:uid="{51DBA108-F1AF-44DC-B9D8-6067A1B04A59}">
      <text>
        <r>
          <rPr>
            <b/>
            <sz val="9"/>
            <color indexed="81"/>
            <rFont val="Tahoma"/>
            <family val="2"/>
          </rPr>
          <t>Incremento anual de ventas que aporta el proyecto</t>
        </r>
      </text>
    </comment>
    <comment ref="M21" authorId="0" shapeId="0" xr:uid="{ADDF3FA1-CA59-4E0E-A5B3-0E4505DBAF61}">
      <text>
        <r>
          <rPr>
            <b/>
            <sz val="9"/>
            <color indexed="81"/>
            <rFont val="Tahoma"/>
            <family val="2"/>
          </rPr>
          <t>Incremento anual de costes operativos con desembolso que aporta el proyecto</t>
        </r>
      </text>
    </comment>
    <comment ref="N21" authorId="0" shapeId="0" xr:uid="{2645BD16-F0C5-477F-A8E8-EB1940D80B6B}">
      <text>
        <r>
          <rPr>
            <b/>
            <sz val="9"/>
            <color indexed="81"/>
            <rFont val="Tahoma"/>
            <family val="2"/>
          </rPr>
          <t>EBITDA incremental (diferencia entre ventas y costes operativos con desembolso) que aporta el proyecto</t>
        </r>
      </text>
    </comment>
    <comment ref="O21" authorId="0" shapeId="0" xr:uid="{BFA8D3BF-BF91-4415-B9DC-DD191F3321ED}">
      <text>
        <r>
          <rPr>
            <b/>
            <sz val="9"/>
            <color indexed="81"/>
            <rFont val="Tahoma"/>
            <family val="2"/>
          </rPr>
          <t>Incremento anual de las amortizaciones de inmovilizados que aporta el proyecto</t>
        </r>
      </text>
    </comment>
    <comment ref="P21" authorId="0" shapeId="0" xr:uid="{C23081CF-61E5-4E99-AD42-4553E871F3BF}">
      <text>
        <r>
          <rPr>
            <b/>
            <sz val="9"/>
            <color indexed="81"/>
            <rFont val="Tahoma"/>
            <family val="2"/>
          </rPr>
          <t>Incremento anual de beneficio antes de intereses e impuestos</t>
        </r>
      </text>
    </comment>
    <comment ref="Q21" authorId="0" shapeId="0" xr:uid="{2910DE61-AA19-4C74-8805-852567F56A78}">
      <text>
        <r>
          <rPr>
            <b/>
            <sz val="9"/>
            <color indexed="81"/>
            <rFont val="Tahoma"/>
            <family val="2"/>
          </rPr>
          <t>Incremento anual de impuestos (Impuesto de sociedades)</t>
        </r>
      </text>
    </comment>
    <comment ref="R21" authorId="0" shapeId="0" xr:uid="{E1C63A1C-965C-49A4-8D7D-134E15E5322D}">
      <text>
        <r>
          <rPr>
            <b/>
            <sz val="9"/>
            <color indexed="81"/>
            <rFont val="Tahoma"/>
            <family val="2"/>
          </rPr>
          <t>Incremento anual de beneficio antes de intereses y después de impuestos</t>
        </r>
      </text>
    </comment>
    <comment ref="S21" authorId="0" shapeId="0" xr:uid="{11E48FEA-F19E-4BFA-AE9B-1B8A786A8BE7}">
      <text>
        <r>
          <rPr>
            <b/>
            <sz val="9"/>
            <color indexed="81"/>
            <rFont val="Tahoma"/>
            <family val="2"/>
          </rPr>
          <t>Incremento de caja anual generado por el proyecto, antes de considerar las inversiones en fondo de maniobra</t>
        </r>
      </text>
    </comment>
    <comment ref="T21" authorId="0" shapeId="0" xr:uid="{36AD3F45-F607-4C0A-8CD3-990EA7FB2C87}">
      <text>
        <r>
          <rPr>
            <b/>
            <sz val="9"/>
            <color indexed="81"/>
            <rFont val="Tahoma"/>
            <family val="2"/>
          </rPr>
          <t>Saldo anual de fondo de maniobra generado por el proyecto</t>
        </r>
      </text>
    </comment>
    <comment ref="U21" authorId="0" shapeId="0" xr:uid="{C8236BB5-3229-4A22-874F-F2DC1B399A09}">
      <text>
        <r>
          <rPr>
            <b/>
            <sz val="9"/>
            <color indexed="81"/>
            <rFont val="Tahoma"/>
            <family val="2"/>
          </rPr>
          <t>Inversión anual en fondo de maniobra exigida por el proyecto</t>
        </r>
      </text>
    </comment>
    <comment ref="V21" authorId="0" shapeId="0" xr:uid="{C9EB0C5D-F643-4CB0-9E05-783DA3F1550E}">
      <text>
        <r>
          <rPr>
            <b/>
            <sz val="9"/>
            <color indexed="81"/>
            <rFont val="Tahoma"/>
            <family val="2"/>
          </rPr>
          <t>Flujo de caja operativo anual incremental que aporta el proyecto (es decir, sin considerar el desembolso inicial ni el valor residual)</t>
        </r>
      </text>
    </comment>
    <comment ref="W21" authorId="0" shapeId="0" xr:uid="{F79D267E-E9D1-4081-97EA-CE4F8F1AC2D9}">
      <text>
        <r>
          <rPr>
            <b/>
            <sz val="9"/>
            <color indexed="81"/>
            <rFont val="Tahoma"/>
            <family val="2"/>
          </rPr>
          <t>Impacto anual en caja del proyecto: Generaciones de fondos anuales que incluyen el desembolso inicial y el valor residual (moneda corriente)</t>
        </r>
      </text>
    </comment>
    <comment ref="W22" authorId="1" shapeId="0" xr:uid="{47D20A5D-562D-4439-ACA9-FCF1C468B62A}">
      <text>
        <r>
          <rPr>
            <b/>
            <sz val="9"/>
            <color indexed="81"/>
            <rFont val="Tahoma"/>
            <family val="2"/>
          </rPr>
          <t>131</t>
        </r>
      </text>
    </comment>
    <comment ref="L23" authorId="1" shapeId="0" xr:uid="{98558633-2A4F-44CC-82A5-BE9248D7AD55}">
      <text>
        <r>
          <rPr>
            <b/>
            <sz val="9"/>
            <color indexed="81"/>
            <rFont val="Tahoma"/>
            <family val="2"/>
          </rPr>
          <t>076</t>
        </r>
      </text>
    </comment>
    <comment ref="M23" authorId="1" shapeId="0" xr:uid="{199720C5-C12A-455E-BE9E-F0EECC52E0AC}">
      <text>
        <r>
          <rPr>
            <b/>
            <sz val="9"/>
            <color indexed="81"/>
            <rFont val="Tahoma"/>
            <family val="2"/>
          </rPr>
          <t>081</t>
        </r>
      </text>
    </comment>
    <comment ref="N23" authorId="1" shapeId="0" xr:uid="{A1E25539-D285-4273-B6C9-3A7D5274530D}">
      <text>
        <r>
          <rPr>
            <b/>
            <sz val="9"/>
            <color indexed="81"/>
            <rFont val="Tahoma"/>
            <family val="2"/>
          </rPr>
          <t>086</t>
        </r>
      </text>
    </comment>
    <comment ref="O23" authorId="1" shapeId="0" xr:uid="{19236337-460F-4454-B276-F1BF1808A768}">
      <text>
        <r>
          <rPr>
            <b/>
            <sz val="9"/>
            <color indexed="81"/>
            <rFont val="Tahoma"/>
            <family val="2"/>
          </rPr>
          <t>091</t>
        </r>
      </text>
    </comment>
    <comment ref="P23" authorId="1" shapeId="0" xr:uid="{137873BB-A067-4F5D-98FD-102ABF6C760E}">
      <text>
        <r>
          <rPr>
            <b/>
            <sz val="9"/>
            <color indexed="81"/>
            <rFont val="Tahoma"/>
            <family val="2"/>
          </rPr>
          <t>096</t>
        </r>
      </text>
    </comment>
    <comment ref="Q23" authorId="1" shapeId="0" xr:uid="{6F7585F6-FB0A-4C7A-AD6A-5826873334A2}">
      <text>
        <r>
          <rPr>
            <b/>
            <sz val="9"/>
            <color indexed="81"/>
            <rFont val="Tahoma"/>
            <family val="2"/>
          </rPr>
          <t>101</t>
        </r>
      </text>
    </comment>
    <comment ref="R23" authorId="1" shapeId="0" xr:uid="{9DF6B596-09FB-46E4-9A19-6E4CB8C859CE}">
      <text>
        <r>
          <rPr>
            <b/>
            <sz val="9"/>
            <color indexed="81"/>
            <rFont val="Tahoma"/>
            <family val="2"/>
          </rPr>
          <t>106</t>
        </r>
      </text>
    </comment>
    <comment ref="S23" authorId="1" shapeId="0" xr:uid="{D8837096-73A0-4704-B99D-15AE4A71262B}">
      <text>
        <r>
          <rPr>
            <b/>
            <sz val="9"/>
            <color indexed="81"/>
            <rFont val="Tahoma"/>
            <family val="2"/>
          </rPr>
          <t>111</t>
        </r>
      </text>
    </comment>
    <comment ref="T23" authorId="1" shapeId="0" xr:uid="{725828DB-DBDA-40D0-89C8-883995F643EF}">
      <text>
        <r>
          <rPr>
            <b/>
            <sz val="9"/>
            <color indexed="81"/>
            <rFont val="Tahoma"/>
            <family val="2"/>
          </rPr>
          <t>116</t>
        </r>
      </text>
    </comment>
    <comment ref="U23" authorId="1" shapeId="0" xr:uid="{C917FD22-7A98-435E-A4A5-60D52B6E35C0}">
      <text>
        <r>
          <rPr>
            <b/>
            <sz val="9"/>
            <color indexed="81"/>
            <rFont val="Tahoma"/>
            <family val="2"/>
          </rPr>
          <t>121</t>
        </r>
      </text>
    </comment>
    <comment ref="V23" authorId="1" shapeId="0" xr:uid="{6750FC9E-C042-442A-8596-394C302E4D4C}">
      <text>
        <r>
          <rPr>
            <b/>
            <sz val="9"/>
            <color indexed="81"/>
            <rFont val="Tahoma"/>
            <family val="2"/>
          </rPr>
          <t>126</t>
        </r>
      </text>
    </comment>
    <comment ref="W23" authorId="1" shapeId="0" xr:uid="{351E934F-9FC6-4BCF-809D-31B85206B574}">
      <text>
        <r>
          <rPr>
            <b/>
            <sz val="9"/>
            <color indexed="81"/>
            <rFont val="Tahoma"/>
            <family val="2"/>
          </rPr>
          <t>132</t>
        </r>
      </text>
    </comment>
    <comment ref="L24" authorId="1" shapeId="0" xr:uid="{D74C0EF1-E380-4A9F-9A65-7020AA977D30}">
      <text>
        <r>
          <rPr>
            <b/>
            <sz val="9"/>
            <color indexed="81"/>
            <rFont val="Tahoma"/>
            <family val="2"/>
          </rPr>
          <t>077</t>
        </r>
      </text>
    </comment>
    <comment ref="M24" authorId="1" shapeId="0" xr:uid="{77791A35-F3D9-429C-9F01-48B33E290B2E}">
      <text>
        <r>
          <rPr>
            <b/>
            <sz val="9"/>
            <color indexed="81"/>
            <rFont val="Tahoma"/>
            <family val="2"/>
          </rPr>
          <t>082</t>
        </r>
      </text>
    </comment>
    <comment ref="N24" authorId="1" shapeId="0" xr:uid="{8D87A17D-070B-4AC0-8185-2469A76BED90}">
      <text>
        <r>
          <rPr>
            <b/>
            <sz val="9"/>
            <color indexed="81"/>
            <rFont val="Tahoma"/>
            <family val="2"/>
          </rPr>
          <t>087</t>
        </r>
      </text>
    </comment>
    <comment ref="O24" authorId="1" shapeId="0" xr:uid="{E80A8F3C-19C5-499E-B10D-72AFA07FD1E7}">
      <text>
        <r>
          <rPr>
            <b/>
            <sz val="9"/>
            <color indexed="81"/>
            <rFont val="Tahoma"/>
            <family val="2"/>
          </rPr>
          <t>092</t>
        </r>
      </text>
    </comment>
    <comment ref="P24" authorId="1" shapeId="0" xr:uid="{95E7F42E-F7BF-4FAD-ABEE-D8E05EC3DEA8}">
      <text>
        <r>
          <rPr>
            <b/>
            <sz val="9"/>
            <color indexed="81"/>
            <rFont val="Tahoma"/>
            <family val="2"/>
          </rPr>
          <t>097</t>
        </r>
      </text>
    </comment>
    <comment ref="Q24" authorId="1" shapeId="0" xr:uid="{1158441E-7A56-412C-8BD5-987C5B473FAB}">
      <text>
        <r>
          <rPr>
            <b/>
            <sz val="9"/>
            <color indexed="81"/>
            <rFont val="Tahoma"/>
            <family val="2"/>
          </rPr>
          <t>102</t>
        </r>
      </text>
    </comment>
    <comment ref="R24" authorId="1" shapeId="0" xr:uid="{6A56F8FA-2156-41E5-AAB3-679D55F0F00C}">
      <text>
        <r>
          <rPr>
            <b/>
            <sz val="9"/>
            <color indexed="81"/>
            <rFont val="Tahoma"/>
            <family val="2"/>
          </rPr>
          <t>107</t>
        </r>
      </text>
    </comment>
    <comment ref="S24" authorId="1" shapeId="0" xr:uid="{837E3DD3-5FFE-460E-AF37-8A57B0AA94ED}">
      <text>
        <r>
          <rPr>
            <b/>
            <sz val="9"/>
            <color indexed="81"/>
            <rFont val="Tahoma"/>
            <family val="2"/>
          </rPr>
          <t>112</t>
        </r>
      </text>
    </comment>
    <comment ref="T24" authorId="1" shapeId="0" xr:uid="{852DCA2B-B97A-4F0E-ADFD-2DE98939DAD8}">
      <text>
        <r>
          <rPr>
            <b/>
            <sz val="9"/>
            <color indexed="81"/>
            <rFont val="Tahoma"/>
            <family val="2"/>
          </rPr>
          <t>117</t>
        </r>
      </text>
    </comment>
    <comment ref="U24" authorId="1" shapeId="0" xr:uid="{75C9408A-EADB-4A34-909D-4A19C9593D14}">
      <text>
        <r>
          <rPr>
            <b/>
            <sz val="9"/>
            <color indexed="81"/>
            <rFont val="Tahoma"/>
            <family val="2"/>
          </rPr>
          <t>122</t>
        </r>
      </text>
    </comment>
    <comment ref="V24" authorId="1" shapeId="0" xr:uid="{7077398F-8E45-44C5-B7CD-A857F7BDD242}">
      <text>
        <r>
          <rPr>
            <b/>
            <sz val="9"/>
            <color indexed="81"/>
            <rFont val="Tahoma"/>
            <family val="2"/>
          </rPr>
          <t>127</t>
        </r>
      </text>
    </comment>
    <comment ref="W24" authorId="1" shapeId="0" xr:uid="{D9948D19-A0C5-43EE-9DC8-616CCF5893F3}">
      <text>
        <r>
          <rPr>
            <b/>
            <sz val="9"/>
            <color indexed="81"/>
            <rFont val="Tahoma"/>
            <family val="2"/>
          </rPr>
          <t>133</t>
        </r>
      </text>
    </comment>
    <comment ref="L25" authorId="1" shapeId="0" xr:uid="{7DC88259-23EE-4F46-9210-83965CA75E2F}">
      <text>
        <r>
          <rPr>
            <b/>
            <sz val="9"/>
            <color indexed="81"/>
            <rFont val="Tahoma"/>
            <family val="2"/>
          </rPr>
          <t>078</t>
        </r>
      </text>
    </comment>
    <comment ref="M25" authorId="1" shapeId="0" xr:uid="{4A81F8ED-07F4-41FF-BC71-FFDE05293481}">
      <text>
        <r>
          <rPr>
            <b/>
            <sz val="9"/>
            <color indexed="81"/>
            <rFont val="Tahoma"/>
            <family val="2"/>
          </rPr>
          <t>083</t>
        </r>
      </text>
    </comment>
    <comment ref="N25" authorId="1" shapeId="0" xr:uid="{20F69091-CF45-4577-A736-621FD8A78E5B}">
      <text>
        <r>
          <rPr>
            <b/>
            <sz val="9"/>
            <color indexed="81"/>
            <rFont val="Tahoma"/>
            <family val="2"/>
          </rPr>
          <t>088</t>
        </r>
      </text>
    </comment>
    <comment ref="O25" authorId="1" shapeId="0" xr:uid="{B24998CC-CEB8-48E4-8E46-7C78A425B4E9}">
      <text>
        <r>
          <rPr>
            <b/>
            <sz val="9"/>
            <color indexed="81"/>
            <rFont val="Tahoma"/>
            <family val="2"/>
          </rPr>
          <t>093</t>
        </r>
      </text>
    </comment>
    <comment ref="P25" authorId="1" shapeId="0" xr:uid="{FD6DA09B-D1C8-4E54-B2FE-B351222ADD5C}">
      <text>
        <r>
          <rPr>
            <b/>
            <sz val="9"/>
            <color indexed="81"/>
            <rFont val="Tahoma"/>
            <family val="2"/>
          </rPr>
          <t>098</t>
        </r>
      </text>
    </comment>
    <comment ref="Q25" authorId="1" shapeId="0" xr:uid="{FC74200D-523A-41FC-B9DC-C2132C0684E3}">
      <text>
        <r>
          <rPr>
            <b/>
            <sz val="9"/>
            <color indexed="81"/>
            <rFont val="Tahoma"/>
            <family val="2"/>
          </rPr>
          <t>103</t>
        </r>
      </text>
    </comment>
    <comment ref="R25" authorId="1" shapeId="0" xr:uid="{EE8B551F-58C9-4C7B-B815-F511F6879C7D}">
      <text>
        <r>
          <rPr>
            <b/>
            <sz val="9"/>
            <color indexed="81"/>
            <rFont val="Tahoma"/>
            <family val="2"/>
          </rPr>
          <t>108</t>
        </r>
      </text>
    </comment>
    <comment ref="S25" authorId="1" shapeId="0" xr:uid="{5AB56D4B-A06C-44BF-B51C-D2C420114AA4}">
      <text>
        <r>
          <rPr>
            <b/>
            <sz val="9"/>
            <color indexed="81"/>
            <rFont val="Tahoma"/>
            <family val="2"/>
          </rPr>
          <t>113</t>
        </r>
      </text>
    </comment>
    <comment ref="T25" authorId="1" shapeId="0" xr:uid="{9A07F514-644B-47E1-8183-A7BE46D2FDFC}">
      <text>
        <r>
          <rPr>
            <b/>
            <sz val="9"/>
            <color indexed="81"/>
            <rFont val="Tahoma"/>
            <family val="2"/>
          </rPr>
          <t>118</t>
        </r>
      </text>
    </comment>
    <comment ref="U25" authorId="1" shapeId="0" xr:uid="{4EF0C210-7B10-49D2-B989-28F64CAA8AB0}">
      <text>
        <r>
          <rPr>
            <b/>
            <sz val="9"/>
            <color indexed="81"/>
            <rFont val="Tahoma"/>
            <family val="2"/>
          </rPr>
          <t>123</t>
        </r>
      </text>
    </comment>
    <comment ref="V25" authorId="1" shapeId="0" xr:uid="{59CBAA93-7A03-4C9D-A7DB-1698CB84AAC2}">
      <text>
        <r>
          <rPr>
            <b/>
            <sz val="9"/>
            <color indexed="81"/>
            <rFont val="Tahoma"/>
            <family val="2"/>
          </rPr>
          <t>128</t>
        </r>
      </text>
    </comment>
    <comment ref="W25" authorId="1" shapeId="0" xr:uid="{FCEAA627-0A98-4E60-9A94-761F9E782FC3}">
      <text>
        <r>
          <rPr>
            <b/>
            <sz val="9"/>
            <color indexed="81"/>
            <rFont val="Tahoma"/>
            <family val="2"/>
          </rPr>
          <t>134</t>
        </r>
      </text>
    </comment>
    <comment ref="L26" authorId="1" shapeId="0" xr:uid="{5C593679-8A56-40D0-853D-F6AC9E325A76}">
      <text>
        <r>
          <rPr>
            <b/>
            <sz val="9"/>
            <color indexed="81"/>
            <rFont val="Tahoma"/>
            <family val="2"/>
          </rPr>
          <t>079</t>
        </r>
      </text>
    </comment>
    <comment ref="M26" authorId="1" shapeId="0" xr:uid="{486BF5E1-BBDD-4F7F-BA01-D72139AF676F}">
      <text>
        <r>
          <rPr>
            <b/>
            <sz val="9"/>
            <color indexed="81"/>
            <rFont val="Tahoma"/>
            <family val="2"/>
          </rPr>
          <t>084</t>
        </r>
      </text>
    </comment>
    <comment ref="N26" authorId="1" shapeId="0" xr:uid="{9515235A-A087-453C-A7F3-96D097E0BE7F}">
      <text>
        <r>
          <rPr>
            <b/>
            <sz val="9"/>
            <color indexed="81"/>
            <rFont val="Tahoma"/>
            <family val="2"/>
          </rPr>
          <t>089</t>
        </r>
      </text>
    </comment>
    <comment ref="O26" authorId="1" shapeId="0" xr:uid="{70FB9BBF-1429-4D2D-9B63-6CF6473EE012}">
      <text>
        <r>
          <rPr>
            <b/>
            <sz val="9"/>
            <color indexed="81"/>
            <rFont val="Tahoma"/>
            <family val="2"/>
          </rPr>
          <t>094</t>
        </r>
      </text>
    </comment>
    <comment ref="P26" authorId="1" shapeId="0" xr:uid="{5036E686-BDC7-43CD-BA80-23ED46861C23}">
      <text>
        <r>
          <rPr>
            <b/>
            <sz val="9"/>
            <color indexed="81"/>
            <rFont val="Tahoma"/>
            <family val="2"/>
          </rPr>
          <t>099</t>
        </r>
      </text>
    </comment>
    <comment ref="Q26" authorId="1" shapeId="0" xr:uid="{F5949ED7-0AC9-44F9-8A47-865ED57ED1D1}">
      <text>
        <r>
          <rPr>
            <b/>
            <sz val="9"/>
            <color indexed="81"/>
            <rFont val="Tahoma"/>
            <family val="2"/>
          </rPr>
          <t>104</t>
        </r>
      </text>
    </comment>
    <comment ref="R26" authorId="1" shapeId="0" xr:uid="{77DAEA9A-7E1C-4A68-9779-37ADD10B3695}">
      <text>
        <r>
          <rPr>
            <b/>
            <sz val="9"/>
            <color indexed="81"/>
            <rFont val="Tahoma"/>
            <family val="2"/>
          </rPr>
          <t>109</t>
        </r>
      </text>
    </comment>
    <comment ref="S26" authorId="1" shapeId="0" xr:uid="{2B22B140-B799-4BD0-A91D-4A31F4F433D5}">
      <text>
        <r>
          <rPr>
            <b/>
            <sz val="9"/>
            <color indexed="81"/>
            <rFont val="Tahoma"/>
            <family val="2"/>
          </rPr>
          <t>114</t>
        </r>
      </text>
    </comment>
    <comment ref="T26" authorId="1" shapeId="0" xr:uid="{E9FB1C1D-4FC1-497A-8865-92A4491751BD}">
      <text>
        <r>
          <rPr>
            <b/>
            <sz val="9"/>
            <color indexed="81"/>
            <rFont val="Tahoma"/>
            <family val="2"/>
          </rPr>
          <t>119</t>
        </r>
      </text>
    </comment>
    <comment ref="U26" authorId="1" shapeId="0" xr:uid="{2512CD29-BAEC-4484-BFC8-11BAC9B92353}">
      <text>
        <r>
          <rPr>
            <b/>
            <sz val="9"/>
            <color indexed="81"/>
            <rFont val="Tahoma"/>
            <family val="2"/>
          </rPr>
          <t>124</t>
        </r>
      </text>
    </comment>
    <comment ref="V26" authorId="1" shapeId="0" xr:uid="{1911CB2B-CDC4-4B70-A735-074E093FF3C4}">
      <text>
        <r>
          <rPr>
            <b/>
            <sz val="9"/>
            <color indexed="81"/>
            <rFont val="Tahoma"/>
            <family val="2"/>
          </rPr>
          <t>129</t>
        </r>
      </text>
    </comment>
    <comment ref="W26" authorId="1" shapeId="0" xr:uid="{23077BC2-881E-4403-AE55-484412C0A014}">
      <text>
        <r>
          <rPr>
            <b/>
            <sz val="9"/>
            <color indexed="81"/>
            <rFont val="Tahoma"/>
            <family val="2"/>
          </rPr>
          <t>135</t>
        </r>
      </text>
    </comment>
    <comment ref="L27" authorId="1" shapeId="0" xr:uid="{B93A39CC-2C9C-4A1C-B3C6-F232C72DC31C}">
      <text>
        <r>
          <rPr>
            <b/>
            <sz val="9"/>
            <color indexed="81"/>
            <rFont val="Tahoma"/>
            <family val="2"/>
          </rPr>
          <t>080</t>
        </r>
      </text>
    </comment>
    <comment ref="M27" authorId="1" shapeId="0" xr:uid="{F06EAD24-7524-4EA1-B3E8-BC63C69FAAFC}">
      <text>
        <r>
          <rPr>
            <b/>
            <sz val="9"/>
            <color indexed="81"/>
            <rFont val="Tahoma"/>
            <family val="2"/>
          </rPr>
          <t>085</t>
        </r>
      </text>
    </comment>
    <comment ref="N27" authorId="1" shapeId="0" xr:uid="{FDF6A57F-6CD7-4B38-AB83-D16DDCED6E51}">
      <text>
        <r>
          <rPr>
            <b/>
            <sz val="9"/>
            <color indexed="81"/>
            <rFont val="Tahoma"/>
            <family val="2"/>
          </rPr>
          <t>090</t>
        </r>
      </text>
    </comment>
    <comment ref="O27" authorId="1" shapeId="0" xr:uid="{E0563BA2-7990-4616-A930-6EDBC0FDF784}">
      <text>
        <r>
          <rPr>
            <b/>
            <sz val="9"/>
            <color indexed="81"/>
            <rFont val="Tahoma"/>
            <family val="2"/>
          </rPr>
          <t>095</t>
        </r>
      </text>
    </comment>
    <comment ref="P27" authorId="1" shapeId="0" xr:uid="{FE58D914-81DD-46EB-A3F6-BC2ABFD8A44F}">
      <text>
        <r>
          <rPr>
            <b/>
            <sz val="9"/>
            <color indexed="81"/>
            <rFont val="Tahoma"/>
            <family val="2"/>
          </rPr>
          <t>100</t>
        </r>
      </text>
    </comment>
    <comment ref="Q27" authorId="1" shapeId="0" xr:uid="{8F723151-60A8-4C3E-BFBA-581236A02B08}">
      <text>
        <r>
          <rPr>
            <b/>
            <sz val="9"/>
            <color indexed="81"/>
            <rFont val="Tahoma"/>
            <family val="2"/>
          </rPr>
          <t>105</t>
        </r>
      </text>
    </comment>
    <comment ref="R27" authorId="1" shapeId="0" xr:uid="{58CB60F6-E183-44E4-8A65-E259D127616F}">
      <text>
        <r>
          <rPr>
            <b/>
            <sz val="9"/>
            <color indexed="81"/>
            <rFont val="Tahoma"/>
            <family val="2"/>
          </rPr>
          <t>110</t>
        </r>
      </text>
    </comment>
    <comment ref="S27" authorId="1" shapeId="0" xr:uid="{FDD08E36-729C-478E-A070-E5EBCDF70C21}">
      <text>
        <r>
          <rPr>
            <b/>
            <sz val="9"/>
            <color indexed="81"/>
            <rFont val="Tahoma"/>
            <family val="2"/>
          </rPr>
          <t>115</t>
        </r>
      </text>
    </comment>
    <comment ref="T27" authorId="1" shapeId="0" xr:uid="{331E6B5A-5121-401C-AB7D-3CDD35D064D5}">
      <text>
        <r>
          <rPr>
            <b/>
            <sz val="9"/>
            <color indexed="81"/>
            <rFont val="Tahoma"/>
            <family val="2"/>
          </rPr>
          <t>120</t>
        </r>
      </text>
    </comment>
    <comment ref="U27" authorId="1" shapeId="0" xr:uid="{B2A0F889-A79D-4DF1-9C1F-3FB9399ECD0E}">
      <text>
        <r>
          <rPr>
            <b/>
            <sz val="9"/>
            <color indexed="81"/>
            <rFont val="Tahoma"/>
            <family val="2"/>
          </rPr>
          <t>125</t>
        </r>
      </text>
    </comment>
    <comment ref="V27" authorId="1" shapeId="0" xr:uid="{50EB96DF-44F9-4C77-8AB7-1A2607EF8B99}">
      <text>
        <r>
          <rPr>
            <b/>
            <sz val="9"/>
            <color indexed="81"/>
            <rFont val="Tahoma"/>
            <family val="2"/>
          </rPr>
          <t>130</t>
        </r>
      </text>
    </comment>
    <comment ref="W27" authorId="1" shapeId="0" xr:uid="{621ACAFA-2719-4F2A-9A90-12A3DA3B75A3}">
      <text>
        <r>
          <rPr>
            <b/>
            <sz val="9"/>
            <color indexed="81"/>
            <rFont val="Tahoma"/>
            <family val="2"/>
          </rPr>
          <t>136</t>
        </r>
      </text>
    </comment>
    <comment ref="K29" authorId="0" shapeId="0" xr:uid="{7CC89A77-FFAC-4379-9A61-321C0AC12E9D}">
      <text>
        <r>
          <rPr>
            <b/>
            <sz val="9"/>
            <color indexed="81"/>
            <rFont val="Tahoma"/>
            <family val="2"/>
          </rPr>
          <t>Desembolso inicial: inversión exigida por el proyecto en el momento cero</t>
        </r>
      </text>
    </comment>
    <comment ref="L29" authorId="1" shapeId="0" xr:uid="{D87C348A-4F0B-4AF7-A2C5-301FC9841B31}">
      <text>
        <r>
          <rPr>
            <b/>
            <sz val="9"/>
            <color indexed="81"/>
            <rFont val="Tahoma"/>
            <family val="2"/>
          </rPr>
          <t>137</t>
        </r>
      </text>
    </comment>
    <comment ref="N29" authorId="0" shapeId="0" xr:uid="{537C31A8-12AD-4A61-960B-7947C2015C6F}">
      <text>
        <r>
          <rPr>
            <b/>
            <sz val="9"/>
            <color indexed="81"/>
            <rFont val="Tahoma"/>
            <family val="2"/>
          </rPr>
          <t>Coste de los fondos (nominal)
K = (1+r) x (1+f) - 1</t>
        </r>
      </text>
    </comment>
    <comment ref="O29" authorId="1" shapeId="0" xr:uid="{864F3DD1-4362-42A7-918D-B9A483ABC089}">
      <text>
        <r>
          <rPr>
            <b/>
            <sz val="9"/>
            <color indexed="81"/>
            <rFont val="Tahoma"/>
            <family val="2"/>
          </rPr>
          <t>141</t>
        </r>
      </text>
    </comment>
    <comment ref="K30" authorId="0" shapeId="0" xr:uid="{875104D8-3579-49F4-A83E-DDBCA42BCA94}">
      <text>
        <r>
          <rPr>
            <b/>
            <sz val="9"/>
            <color indexed="81"/>
            <rFont val="Tahoma"/>
            <family val="2"/>
          </rPr>
          <t>Valor residual generado por la liquidación del inmovilizado al final del proyecto</t>
        </r>
      </text>
    </comment>
    <comment ref="L30" authorId="1" shapeId="0" xr:uid="{67206AAA-BF34-45DA-9B00-6BFAD0862C43}">
      <text>
        <r>
          <rPr>
            <b/>
            <sz val="9"/>
            <color indexed="81"/>
            <rFont val="Tahoma"/>
            <family val="2"/>
          </rPr>
          <t>138</t>
        </r>
      </text>
    </comment>
    <comment ref="K31" authorId="0" shapeId="0" xr:uid="{DAF756FE-80DC-4536-8570-93E136B5AF28}">
      <text>
        <r>
          <rPr>
            <b/>
            <sz val="9"/>
            <color indexed="81"/>
            <rFont val="Tahoma"/>
            <family val="2"/>
          </rPr>
          <t>Valor residual generado por la liquidación del fondo de maniobra incremental al final del proyecto</t>
        </r>
      </text>
    </comment>
    <comment ref="L31" authorId="1" shapeId="0" xr:uid="{758BBD89-EB9B-4582-8812-DFB23D0E0051}">
      <text>
        <r>
          <rPr>
            <b/>
            <sz val="9"/>
            <color indexed="81"/>
            <rFont val="Tahoma"/>
            <family val="2"/>
          </rPr>
          <t>139</t>
        </r>
      </text>
    </comment>
    <comment ref="N31" authorId="2" shapeId="0" xr:uid="{7F638266-67B5-4ED5-B922-F30E4D49C5D5}">
      <text>
        <r>
          <rPr>
            <b/>
            <sz val="9"/>
            <color indexed="81"/>
            <rFont val="Tahoma"/>
            <family val="2"/>
          </rPr>
          <t>Valor actualizado neto asociado al proyecto</t>
        </r>
      </text>
    </comment>
    <comment ref="O31" authorId="1" shapeId="0" xr:uid="{F8834788-EE4F-4435-ABB3-27F53125F13F}">
      <text>
        <r>
          <rPr>
            <b/>
            <sz val="9"/>
            <color indexed="81"/>
            <rFont val="Tahoma"/>
            <family val="2"/>
          </rPr>
          <t>142</t>
        </r>
      </text>
    </comment>
    <comment ref="K32" authorId="0" shapeId="0" xr:uid="{B86F3400-4627-41EA-9753-DFB0264AB997}">
      <text>
        <r>
          <rPr>
            <b/>
            <sz val="9"/>
            <color indexed="81"/>
            <rFont val="Tahoma"/>
            <family val="2"/>
          </rPr>
          <t>Valor residual incremental generado por el proyecto al final de su vida [∆VR AF + ∆VR FM]</t>
        </r>
      </text>
    </comment>
    <comment ref="L32" authorId="1" shapeId="0" xr:uid="{D672507E-E360-4EDE-9306-A0DE67203D99}">
      <text>
        <r>
          <rPr>
            <b/>
            <sz val="9"/>
            <color indexed="81"/>
            <rFont val="Tahoma"/>
            <family val="2"/>
          </rPr>
          <t>140</t>
        </r>
      </text>
    </comment>
    <comment ref="L38" authorId="0" shapeId="0" xr:uid="{3C3A543C-CC3C-4774-AFC7-6E12D375B7B9}">
      <text>
        <r>
          <rPr>
            <b/>
            <sz val="9"/>
            <color indexed="81"/>
            <rFont val="Tahoma"/>
            <family val="2"/>
          </rPr>
          <t>Incremento anual de ventas que aporta el proyecto</t>
        </r>
      </text>
    </comment>
    <comment ref="M38" authorId="0" shapeId="0" xr:uid="{CDB9C427-B075-4239-BCA1-555076C32436}">
      <text>
        <r>
          <rPr>
            <b/>
            <sz val="9"/>
            <color indexed="81"/>
            <rFont val="Tahoma"/>
            <family val="2"/>
          </rPr>
          <t>Incremento anual de costes operativos con desembolso que aporta el proyecto</t>
        </r>
      </text>
    </comment>
    <comment ref="N38" authorId="0" shapeId="0" xr:uid="{0B12BD88-AFB9-43CF-A7DD-FD9387DEEDB7}">
      <text>
        <r>
          <rPr>
            <b/>
            <sz val="9"/>
            <color indexed="81"/>
            <rFont val="Tahoma"/>
            <family val="2"/>
          </rPr>
          <t>EBITDA incremental (diferencia entre ventas y costes operativos con desembolso) que aporta el proyecto</t>
        </r>
      </text>
    </comment>
    <comment ref="O38" authorId="0" shapeId="0" xr:uid="{45F3B80E-C405-4A0A-BB88-4A830A988919}">
      <text>
        <r>
          <rPr>
            <b/>
            <sz val="9"/>
            <color indexed="81"/>
            <rFont val="Tahoma"/>
            <family val="2"/>
          </rPr>
          <t>Incremento anual de las amortizaciones de inmovilizados que aporta el proyecto</t>
        </r>
      </text>
    </comment>
    <comment ref="P38" authorId="0" shapeId="0" xr:uid="{F066C380-0E1D-43A4-A476-4AD5FE1924CF}">
      <text>
        <r>
          <rPr>
            <b/>
            <sz val="9"/>
            <color indexed="81"/>
            <rFont val="Tahoma"/>
            <family val="2"/>
          </rPr>
          <t>Incremento anual de beneficio antes de intereses e impuestos</t>
        </r>
      </text>
    </comment>
    <comment ref="Q38" authorId="0" shapeId="0" xr:uid="{B388FD80-0EC2-47BA-A47E-3317096B8245}">
      <text>
        <r>
          <rPr>
            <b/>
            <sz val="9"/>
            <color indexed="81"/>
            <rFont val="Tahoma"/>
            <family val="2"/>
          </rPr>
          <t>Incremento anual de impuestos (Impuesto de sociedades)</t>
        </r>
      </text>
    </comment>
    <comment ref="R38" authorId="0" shapeId="0" xr:uid="{E4AF655D-483D-4FC3-83DA-98615CA58F94}">
      <text>
        <r>
          <rPr>
            <b/>
            <sz val="9"/>
            <color indexed="81"/>
            <rFont val="Tahoma"/>
            <family val="2"/>
          </rPr>
          <t>Incremento anual de beneficio antes de intereses y después de impuestos</t>
        </r>
      </text>
    </comment>
    <comment ref="S38" authorId="0" shapeId="0" xr:uid="{64727BAD-3DA4-40A6-B4D8-725D07E47374}">
      <text>
        <r>
          <rPr>
            <b/>
            <sz val="9"/>
            <color indexed="81"/>
            <rFont val="Tahoma"/>
            <family val="2"/>
          </rPr>
          <t>Incremento de caja anual generado por el proyecto, antes de considerar las inversiones en fondo de maniobra</t>
        </r>
      </text>
    </comment>
    <comment ref="T38" authorId="0" shapeId="0" xr:uid="{26D87C6D-1038-427A-A243-3EFB91B45280}">
      <text>
        <r>
          <rPr>
            <b/>
            <sz val="9"/>
            <color indexed="81"/>
            <rFont val="Tahoma"/>
            <family val="2"/>
          </rPr>
          <t>Saldo anual de fondo de maniobra generado por el proyecto</t>
        </r>
      </text>
    </comment>
    <comment ref="U38" authorId="0" shapeId="0" xr:uid="{EDF4FA9F-01E3-434A-933A-B7B2431B04D4}">
      <text>
        <r>
          <rPr>
            <b/>
            <sz val="9"/>
            <color indexed="81"/>
            <rFont val="Tahoma"/>
            <family val="2"/>
          </rPr>
          <t>Inversión anual en fondo de maniobra exigida por el proyecto</t>
        </r>
      </text>
    </comment>
    <comment ref="V38" authorId="0" shapeId="0" xr:uid="{C2E9457F-A265-4683-B4BE-FAA540F060E8}">
      <text>
        <r>
          <rPr>
            <b/>
            <sz val="9"/>
            <color indexed="81"/>
            <rFont val="Tahoma"/>
            <family val="2"/>
          </rPr>
          <t>Flujo de caja operativo anual incremental que aporta el proyecto (es decir, sin considerar el desembolso inicial ni el valor residual)</t>
        </r>
      </text>
    </comment>
    <comment ref="W38" authorId="0" shapeId="0" xr:uid="{A12D650B-AEA0-4E85-B678-6F32C2059076}">
      <text>
        <r>
          <rPr>
            <b/>
            <sz val="9"/>
            <color indexed="81"/>
            <rFont val="Tahoma"/>
            <family val="2"/>
          </rPr>
          <t>Impacto anual en caja del proyecto: Generaciones de fondos anuales que incluyen el desembolso inicial y el valor residual (moneda corriente)</t>
        </r>
      </text>
    </comment>
    <comment ref="W39" authorId="1" shapeId="0" xr:uid="{CCEA4386-BAC3-424E-A350-CC732E3D5BEB}">
      <text>
        <r>
          <rPr>
            <b/>
            <sz val="9"/>
            <color indexed="81"/>
            <rFont val="Tahoma"/>
            <family val="2"/>
          </rPr>
          <t>198</t>
        </r>
      </text>
    </comment>
    <comment ref="L40" authorId="1" shapeId="0" xr:uid="{E2A310EB-0900-4F4A-A77E-5429CE660D5E}">
      <text>
        <r>
          <rPr>
            <b/>
            <sz val="9"/>
            <color indexed="81"/>
            <rFont val="Tahoma"/>
            <family val="2"/>
          </rPr>
          <t>143</t>
        </r>
      </text>
    </comment>
    <comment ref="M40" authorId="1" shapeId="0" xr:uid="{4A49DE3A-6119-43F2-98E3-B5AF3BACFB19}">
      <text>
        <r>
          <rPr>
            <b/>
            <sz val="9"/>
            <color indexed="81"/>
            <rFont val="Tahoma"/>
            <family val="2"/>
          </rPr>
          <t>148</t>
        </r>
      </text>
    </comment>
    <comment ref="N40" authorId="1" shapeId="0" xr:uid="{AB9262D8-75A0-48A5-9AF9-9DF4320DB048}">
      <text>
        <r>
          <rPr>
            <b/>
            <sz val="9"/>
            <color indexed="81"/>
            <rFont val="Tahoma"/>
            <family val="2"/>
          </rPr>
          <t>153</t>
        </r>
      </text>
    </comment>
    <comment ref="O40" authorId="1" shapeId="0" xr:uid="{875AB7E5-4880-4DFE-8BD5-68547ABD6571}">
      <text>
        <r>
          <rPr>
            <b/>
            <sz val="9"/>
            <color indexed="81"/>
            <rFont val="Tahoma"/>
            <family val="2"/>
          </rPr>
          <t>158</t>
        </r>
      </text>
    </comment>
    <comment ref="P40" authorId="1" shapeId="0" xr:uid="{92C72EA8-5BE5-4BBD-A2AD-F02F5AC41C43}">
      <text>
        <r>
          <rPr>
            <b/>
            <sz val="9"/>
            <color indexed="81"/>
            <rFont val="Tahoma"/>
            <family val="2"/>
          </rPr>
          <t>163</t>
        </r>
      </text>
    </comment>
    <comment ref="Q40" authorId="1" shapeId="0" xr:uid="{D3588AB9-71B1-414A-BE20-A0CBD2294DA8}">
      <text>
        <r>
          <rPr>
            <b/>
            <sz val="9"/>
            <color indexed="81"/>
            <rFont val="Tahoma"/>
            <family val="2"/>
          </rPr>
          <t>168</t>
        </r>
      </text>
    </comment>
    <comment ref="R40" authorId="1" shapeId="0" xr:uid="{7FC241BA-FB5D-4060-BE00-4E13F83156EE}">
      <text>
        <r>
          <rPr>
            <b/>
            <sz val="9"/>
            <color indexed="81"/>
            <rFont val="Tahoma"/>
            <family val="2"/>
          </rPr>
          <t>173</t>
        </r>
      </text>
    </comment>
    <comment ref="S40" authorId="1" shapeId="0" xr:uid="{7578EA9C-BD9B-4F53-84BB-982A9123D08F}">
      <text>
        <r>
          <rPr>
            <b/>
            <sz val="9"/>
            <color indexed="81"/>
            <rFont val="Tahoma"/>
            <family val="2"/>
          </rPr>
          <t>178</t>
        </r>
      </text>
    </comment>
    <comment ref="T40" authorId="1" shapeId="0" xr:uid="{2995FE2B-B097-4E5E-B13E-83CD81F8E025}">
      <text>
        <r>
          <rPr>
            <b/>
            <sz val="9"/>
            <color indexed="81"/>
            <rFont val="Tahoma"/>
            <family val="2"/>
          </rPr>
          <t>183</t>
        </r>
      </text>
    </comment>
    <comment ref="U40" authorId="1" shapeId="0" xr:uid="{018A464F-E603-4C07-874E-E936C53E78FA}">
      <text>
        <r>
          <rPr>
            <b/>
            <sz val="9"/>
            <color indexed="81"/>
            <rFont val="Tahoma"/>
            <family val="2"/>
          </rPr>
          <t>188</t>
        </r>
      </text>
    </comment>
    <comment ref="V40" authorId="1" shapeId="0" xr:uid="{66F0A78F-B5BA-4AA8-A533-F1C178B32D20}">
      <text>
        <r>
          <rPr>
            <b/>
            <sz val="9"/>
            <color indexed="81"/>
            <rFont val="Tahoma"/>
            <family val="2"/>
          </rPr>
          <t>193</t>
        </r>
      </text>
    </comment>
    <comment ref="W40" authorId="1" shapeId="0" xr:uid="{88781FC6-9EEF-4A9E-96C4-B4B3B3F5D8A2}">
      <text>
        <r>
          <rPr>
            <b/>
            <sz val="9"/>
            <color indexed="81"/>
            <rFont val="Tahoma"/>
            <family val="2"/>
          </rPr>
          <t>199</t>
        </r>
      </text>
    </comment>
    <comment ref="L41" authorId="1" shapeId="0" xr:uid="{348F619B-F569-4C8E-BDFC-47C56104D23E}">
      <text>
        <r>
          <rPr>
            <b/>
            <sz val="9"/>
            <color indexed="81"/>
            <rFont val="Tahoma"/>
            <family val="2"/>
          </rPr>
          <t>144</t>
        </r>
      </text>
    </comment>
    <comment ref="M41" authorId="1" shapeId="0" xr:uid="{FF2E7BEA-083E-43ED-AAC1-C71DFF6C59D1}">
      <text>
        <r>
          <rPr>
            <b/>
            <sz val="9"/>
            <color indexed="81"/>
            <rFont val="Tahoma"/>
            <family val="2"/>
          </rPr>
          <t>149</t>
        </r>
      </text>
    </comment>
    <comment ref="N41" authorId="1" shapeId="0" xr:uid="{FA6073FD-6191-4A28-A6A6-4FF0EC7E3549}">
      <text>
        <r>
          <rPr>
            <b/>
            <sz val="9"/>
            <color indexed="81"/>
            <rFont val="Tahoma"/>
            <family val="2"/>
          </rPr>
          <t>154</t>
        </r>
      </text>
    </comment>
    <comment ref="O41" authorId="1" shapeId="0" xr:uid="{F500893E-8A53-4781-9610-C40650A51E6D}">
      <text>
        <r>
          <rPr>
            <b/>
            <sz val="9"/>
            <color indexed="81"/>
            <rFont val="Tahoma"/>
            <family val="2"/>
          </rPr>
          <t>159</t>
        </r>
      </text>
    </comment>
    <comment ref="P41" authorId="1" shapeId="0" xr:uid="{9245F9DD-6A27-4A91-AA40-300656AFC940}">
      <text>
        <r>
          <rPr>
            <b/>
            <sz val="9"/>
            <color indexed="81"/>
            <rFont val="Tahoma"/>
            <family val="2"/>
          </rPr>
          <t>164</t>
        </r>
      </text>
    </comment>
    <comment ref="Q41" authorId="1" shapeId="0" xr:uid="{0433FA5F-2AE0-4AE7-9C83-07CC15B6CFA9}">
      <text>
        <r>
          <rPr>
            <b/>
            <sz val="9"/>
            <color indexed="81"/>
            <rFont val="Tahoma"/>
            <family val="2"/>
          </rPr>
          <t>169</t>
        </r>
      </text>
    </comment>
    <comment ref="R41" authorId="1" shapeId="0" xr:uid="{68617231-2A25-4EDC-881B-CA20475CCF4B}">
      <text>
        <r>
          <rPr>
            <b/>
            <sz val="9"/>
            <color indexed="81"/>
            <rFont val="Tahoma"/>
            <family val="2"/>
          </rPr>
          <t>174</t>
        </r>
      </text>
    </comment>
    <comment ref="S41" authorId="1" shapeId="0" xr:uid="{F95B240B-7B68-479E-A8D4-42F3E71EAD76}">
      <text>
        <r>
          <rPr>
            <b/>
            <sz val="9"/>
            <color indexed="81"/>
            <rFont val="Tahoma"/>
            <family val="2"/>
          </rPr>
          <t>179</t>
        </r>
      </text>
    </comment>
    <comment ref="T41" authorId="1" shapeId="0" xr:uid="{D7D095A3-D357-4F46-AE5F-D49E23C3DD22}">
      <text>
        <r>
          <rPr>
            <b/>
            <sz val="9"/>
            <color indexed="81"/>
            <rFont val="Tahoma"/>
            <family val="2"/>
          </rPr>
          <t>184</t>
        </r>
      </text>
    </comment>
    <comment ref="U41" authorId="1" shapeId="0" xr:uid="{7A7DE81C-7659-49FE-9273-FB0AF462D906}">
      <text>
        <r>
          <rPr>
            <b/>
            <sz val="9"/>
            <color indexed="81"/>
            <rFont val="Tahoma"/>
            <family val="2"/>
          </rPr>
          <t>189</t>
        </r>
      </text>
    </comment>
    <comment ref="V41" authorId="1" shapeId="0" xr:uid="{455D182D-F76F-4F83-8B69-86396774E3E6}">
      <text>
        <r>
          <rPr>
            <b/>
            <sz val="9"/>
            <color indexed="81"/>
            <rFont val="Tahoma"/>
            <family val="2"/>
          </rPr>
          <t>194</t>
        </r>
      </text>
    </comment>
    <comment ref="W41" authorId="1" shapeId="0" xr:uid="{27C241C5-A5A1-42B9-B2BF-06F19B410E52}">
      <text>
        <r>
          <rPr>
            <b/>
            <sz val="9"/>
            <color indexed="81"/>
            <rFont val="Tahoma"/>
            <family val="2"/>
          </rPr>
          <t>200</t>
        </r>
      </text>
    </comment>
    <comment ref="L42" authorId="1" shapeId="0" xr:uid="{26F3A942-8AE3-49F4-9FED-356E7D02D7CD}">
      <text>
        <r>
          <rPr>
            <b/>
            <sz val="9"/>
            <color indexed="81"/>
            <rFont val="Tahoma"/>
            <family val="2"/>
          </rPr>
          <t>145</t>
        </r>
      </text>
    </comment>
    <comment ref="M42" authorId="1" shapeId="0" xr:uid="{0047E0CF-5A6F-46CA-84E4-E4D55D6CDA48}">
      <text>
        <r>
          <rPr>
            <b/>
            <sz val="9"/>
            <color indexed="81"/>
            <rFont val="Tahoma"/>
            <family val="2"/>
          </rPr>
          <t>150</t>
        </r>
      </text>
    </comment>
    <comment ref="N42" authorId="1" shapeId="0" xr:uid="{E86698F9-0200-41FC-8EE5-728A9F0BA9DE}">
      <text>
        <r>
          <rPr>
            <b/>
            <sz val="9"/>
            <color indexed="81"/>
            <rFont val="Tahoma"/>
            <family val="2"/>
          </rPr>
          <t>155</t>
        </r>
      </text>
    </comment>
    <comment ref="O42" authorId="1" shapeId="0" xr:uid="{7F7CA328-F273-48A5-A94F-4EBA728BCCDC}">
      <text>
        <r>
          <rPr>
            <b/>
            <sz val="9"/>
            <color indexed="81"/>
            <rFont val="Tahoma"/>
            <family val="2"/>
          </rPr>
          <t>160</t>
        </r>
      </text>
    </comment>
    <comment ref="P42" authorId="1" shapeId="0" xr:uid="{CEC6A7AC-65FD-48D8-863C-2A315A2108A3}">
      <text>
        <r>
          <rPr>
            <b/>
            <sz val="9"/>
            <color indexed="81"/>
            <rFont val="Tahoma"/>
            <family val="2"/>
          </rPr>
          <t>165</t>
        </r>
      </text>
    </comment>
    <comment ref="Q42" authorId="1" shapeId="0" xr:uid="{ED6D5F72-B94D-45F5-87AC-9BDF4DB4C911}">
      <text>
        <r>
          <rPr>
            <b/>
            <sz val="9"/>
            <color indexed="81"/>
            <rFont val="Tahoma"/>
            <family val="2"/>
          </rPr>
          <t>170</t>
        </r>
      </text>
    </comment>
    <comment ref="R42" authorId="1" shapeId="0" xr:uid="{EE6F4DC3-9F42-473E-B614-4231D1E861D2}">
      <text>
        <r>
          <rPr>
            <b/>
            <sz val="9"/>
            <color indexed="81"/>
            <rFont val="Tahoma"/>
            <family val="2"/>
          </rPr>
          <t>175</t>
        </r>
      </text>
    </comment>
    <comment ref="S42" authorId="1" shapeId="0" xr:uid="{D2BF542A-BAB5-4097-A352-53F4404B4837}">
      <text>
        <r>
          <rPr>
            <b/>
            <sz val="9"/>
            <color indexed="81"/>
            <rFont val="Tahoma"/>
            <family val="2"/>
          </rPr>
          <t>180</t>
        </r>
      </text>
    </comment>
    <comment ref="T42" authorId="1" shapeId="0" xr:uid="{D971560B-7A3D-49AA-909D-A2A59661ED50}">
      <text>
        <r>
          <rPr>
            <b/>
            <sz val="9"/>
            <color indexed="81"/>
            <rFont val="Tahoma"/>
            <family val="2"/>
          </rPr>
          <t>185</t>
        </r>
      </text>
    </comment>
    <comment ref="U42" authorId="1" shapeId="0" xr:uid="{DD1D353A-1AF6-4459-B48B-8F72697705CD}">
      <text>
        <r>
          <rPr>
            <b/>
            <sz val="9"/>
            <color indexed="81"/>
            <rFont val="Tahoma"/>
            <family val="2"/>
          </rPr>
          <t>190</t>
        </r>
      </text>
    </comment>
    <comment ref="V42" authorId="1" shapeId="0" xr:uid="{AD99FA1B-C1D7-40E4-96FA-EFCC6E568D8F}">
      <text>
        <r>
          <rPr>
            <b/>
            <sz val="9"/>
            <color indexed="81"/>
            <rFont val="Tahoma"/>
            <family val="2"/>
          </rPr>
          <t>195</t>
        </r>
      </text>
    </comment>
    <comment ref="W42" authorId="1" shapeId="0" xr:uid="{54D80766-9C08-4BA5-97BE-EBDC84B11AAD}">
      <text>
        <r>
          <rPr>
            <b/>
            <sz val="9"/>
            <color indexed="81"/>
            <rFont val="Tahoma"/>
            <family val="2"/>
          </rPr>
          <t>201</t>
        </r>
      </text>
    </comment>
    <comment ref="L43" authorId="1" shapeId="0" xr:uid="{1EB287AC-F5A3-4F0C-A097-C4621FE413AF}">
      <text>
        <r>
          <rPr>
            <b/>
            <sz val="9"/>
            <color indexed="81"/>
            <rFont val="Tahoma"/>
            <family val="2"/>
          </rPr>
          <t>146</t>
        </r>
      </text>
    </comment>
    <comment ref="M43" authorId="1" shapeId="0" xr:uid="{18293383-2025-4899-9E07-7903DEF65361}">
      <text>
        <r>
          <rPr>
            <b/>
            <sz val="9"/>
            <color indexed="81"/>
            <rFont val="Tahoma"/>
            <family val="2"/>
          </rPr>
          <t>151</t>
        </r>
      </text>
    </comment>
    <comment ref="N43" authorId="1" shapeId="0" xr:uid="{1AB16308-719F-4852-B251-32EC4937ED06}">
      <text>
        <r>
          <rPr>
            <b/>
            <sz val="9"/>
            <color indexed="81"/>
            <rFont val="Tahoma"/>
            <family val="2"/>
          </rPr>
          <t>156</t>
        </r>
      </text>
    </comment>
    <comment ref="O43" authorId="1" shapeId="0" xr:uid="{8BA62D74-4217-4CFA-823A-7BE2657DFAE0}">
      <text>
        <r>
          <rPr>
            <b/>
            <sz val="9"/>
            <color indexed="81"/>
            <rFont val="Tahoma"/>
            <family val="2"/>
          </rPr>
          <t>161</t>
        </r>
      </text>
    </comment>
    <comment ref="P43" authorId="1" shapeId="0" xr:uid="{1E0CE093-7A55-49C9-A146-2569406B6C80}">
      <text>
        <r>
          <rPr>
            <b/>
            <sz val="9"/>
            <color indexed="81"/>
            <rFont val="Tahoma"/>
            <family val="2"/>
          </rPr>
          <t>166</t>
        </r>
      </text>
    </comment>
    <comment ref="Q43" authorId="1" shapeId="0" xr:uid="{6E8784D2-B7AE-4FC2-9B61-FCAC7A0BD112}">
      <text>
        <r>
          <rPr>
            <b/>
            <sz val="9"/>
            <color indexed="81"/>
            <rFont val="Tahoma"/>
            <family val="2"/>
          </rPr>
          <t>171</t>
        </r>
      </text>
    </comment>
    <comment ref="R43" authorId="1" shapeId="0" xr:uid="{2EA9A545-04E3-40A6-A22D-48AD5004F650}">
      <text>
        <r>
          <rPr>
            <b/>
            <sz val="9"/>
            <color indexed="81"/>
            <rFont val="Tahoma"/>
            <family val="2"/>
          </rPr>
          <t>176</t>
        </r>
      </text>
    </comment>
    <comment ref="S43" authorId="1" shapeId="0" xr:uid="{3AA2AF8E-2E2E-4851-8DB0-BA43D7C1A43E}">
      <text>
        <r>
          <rPr>
            <b/>
            <sz val="9"/>
            <color indexed="81"/>
            <rFont val="Tahoma"/>
            <family val="2"/>
          </rPr>
          <t>181</t>
        </r>
      </text>
    </comment>
    <comment ref="T43" authorId="1" shapeId="0" xr:uid="{6591341E-307C-420A-8D0E-772A54F1BC40}">
      <text>
        <r>
          <rPr>
            <b/>
            <sz val="9"/>
            <color indexed="81"/>
            <rFont val="Tahoma"/>
            <family val="2"/>
          </rPr>
          <t>186</t>
        </r>
      </text>
    </comment>
    <comment ref="U43" authorId="1" shapeId="0" xr:uid="{2A007D2D-B4ED-4DE4-838F-C7811E4211AC}">
      <text>
        <r>
          <rPr>
            <b/>
            <sz val="9"/>
            <color indexed="81"/>
            <rFont val="Tahoma"/>
            <family val="2"/>
          </rPr>
          <t>191</t>
        </r>
      </text>
    </comment>
    <comment ref="V43" authorId="1" shapeId="0" xr:uid="{29F549B9-21E3-48A1-A240-B178C1039F70}">
      <text>
        <r>
          <rPr>
            <b/>
            <sz val="9"/>
            <color indexed="81"/>
            <rFont val="Tahoma"/>
            <family val="2"/>
          </rPr>
          <t>196</t>
        </r>
      </text>
    </comment>
    <comment ref="W43" authorId="1" shapeId="0" xr:uid="{2AAF38F3-D282-4F19-A319-0D3BD0BB9D1C}">
      <text>
        <r>
          <rPr>
            <b/>
            <sz val="9"/>
            <color indexed="81"/>
            <rFont val="Tahoma"/>
            <family val="2"/>
          </rPr>
          <t>202</t>
        </r>
      </text>
    </comment>
    <comment ref="L44" authorId="1" shapeId="0" xr:uid="{836F1DE9-6152-4471-AC28-714FB3D5F6D9}">
      <text>
        <r>
          <rPr>
            <b/>
            <sz val="9"/>
            <color indexed="81"/>
            <rFont val="Tahoma"/>
            <family val="2"/>
          </rPr>
          <t>147</t>
        </r>
      </text>
    </comment>
    <comment ref="M44" authorId="1" shapeId="0" xr:uid="{A1FFDAD2-90A9-4C0B-BAA1-C8AD32C948D5}">
      <text>
        <r>
          <rPr>
            <b/>
            <sz val="9"/>
            <color indexed="81"/>
            <rFont val="Tahoma"/>
            <family val="2"/>
          </rPr>
          <t>152</t>
        </r>
      </text>
    </comment>
    <comment ref="N44" authorId="1" shapeId="0" xr:uid="{D2B01348-D35E-4876-91B3-448B02E9658F}">
      <text>
        <r>
          <rPr>
            <b/>
            <sz val="9"/>
            <color indexed="81"/>
            <rFont val="Tahoma"/>
            <family val="2"/>
          </rPr>
          <t>157</t>
        </r>
      </text>
    </comment>
    <comment ref="O44" authorId="1" shapeId="0" xr:uid="{A3A11ECC-84DE-4538-B97D-F7238C225AC0}">
      <text>
        <r>
          <rPr>
            <b/>
            <sz val="9"/>
            <color indexed="81"/>
            <rFont val="Tahoma"/>
            <family val="2"/>
          </rPr>
          <t>162</t>
        </r>
      </text>
    </comment>
    <comment ref="P44" authorId="1" shapeId="0" xr:uid="{6FA239CD-1E3A-4D3C-88ED-7DDE5ABF1DCB}">
      <text>
        <r>
          <rPr>
            <b/>
            <sz val="9"/>
            <color indexed="81"/>
            <rFont val="Tahoma"/>
            <family val="2"/>
          </rPr>
          <t>167</t>
        </r>
      </text>
    </comment>
    <comment ref="Q44" authorId="1" shapeId="0" xr:uid="{6128B7CF-F6F3-4E3E-83ED-16B97E335589}">
      <text>
        <r>
          <rPr>
            <b/>
            <sz val="9"/>
            <color indexed="81"/>
            <rFont val="Tahoma"/>
            <family val="2"/>
          </rPr>
          <t>172</t>
        </r>
      </text>
    </comment>
    <comment ref="R44" authorId="1" shapeId="0" xr:uid="{389D6E04-2D98-4186-8CA4-81DD7239BF17}">
      <text>
        <r>
          <rPr>
            <b/>
            <sz val="9"/>
            <color indexed="81"/>
            <rFont val="Tahoma"/>
            <family val="2"/>
          </rPr>
          <t>177</t>
        </r>
      </text>
    </comment>
    <comment ref="S44" authorId="1" shapeId="0" xr:uid="{B3B41E6D-7157-408E-BD06-6F9D9B493B7F}">
      <text>
        <r>
          <rPr>
            <b/>
            <sz val="9"/>
            <color indexed="81"/>
            <rFont val="Tahoma"/>
            <family val="2"/>
          </rPr>
          <t>182</t>
        </r>
      </text>
    </comment>
    <comment ref="T44" authorId="1" shapeId="0" xr:uid="{4FBAE5BD-7334-42D5-99E5-F465359F08AA}">
      <text>
        <r>
          <rPr>
            <b/>
            <sz val="9"/>
            <color indexed="81"/>
            <rFont val="Tahoma"/>
            <family val="2"/>
          </rPr>
          <t>187</t>
        </r>
      </text>
    </comment>
    <comment ref="U44" authorId="1" shapeId="0" xr:uid="{A971C8D7-ECDC-4041-9B7A-60B29FF03723}">
      <text>
        <r>
          <rPr>
            <b/>
            <sz val="9"/>
            <color indexed="81"/>
            <rFont val="Tahoma"/>
            <family val="2"/>
          </rPr>
          <t>192</t>
        </r>
      </text>
    </comment>
    <comment ref="V44" authorId="1" shapeId="0" xr:uid="{60CD1E43-D695-42DC-B6C0-64F9306A729D}">
      <text>
        <r>
          <rPr>
            <b/>
            <sz val="9"/>
            <color indexed="81"/>
            <rFont val="Tahoma"/>
            <family val="2"/>
          </rPr>
          <t>197</t>
        </r>
      </text>
    </comment>
    <comment ref="W44" authorId="1" shapeId="0" xr:uid="{EF142A18-9688-4C58-86D8-599EFCEA1B12}">
      <text>
        <r>
          <rPr>
            <b/>
            <sz val="9"/>
            <color indexed="81"/>
            <rFont val="Tahoma"/>
            <family val="2"/>
          </rPr>
          <t>203</t>
        </r>
      </text>
    </comment>
    <comment ref="K46" authorId="0" shapeId="0" xr:uid="{A5D6B551-B86B-414B-9A3B-64C68BAF5FC3}">
      <text>
        <r>
          <rPr>
            <b/>
            <sz val="9"/>
            <color indexed="81"/>
            <rFont val="Tahoma"/>
            <family val="2"/>
          </rPr>
          <t>Desembolso inicial: inversión exigida por el proyecto en el momento cero</t>
        </r>
      </text>
    </comment>
    <comment ref="L46" authorId="1" shapeId="0" xr:uid="{B8BE23EB-2251-48AF-A811-D0CA5D96BA5E}">
      <text>
        <r>
          <rPr>
            <b/>
            <sz val="9"/>
            <color indexed="81"/>
            <rFont val="Tahoma"/>
            <family val="2"/>
          </rPr>
          <t>204</t>
        </r>
      </text>
    </comment>
    <comment ref="N46" authorId="0" shapeId="0" xr:uid="{9641D34C-FC83-4896-ABED-D74144BA10B3}">
      <text>
        <r>
          <rPr>
            <b/>
            <sz val="9"/>
            <color indexed="81"/>
            <rFont val="Tahoma"/>
            <family val="2"/>
          </rPr>
          <t>Coste de los fondos (nominal)
K = (1+r) x (1+f) - 1</t>
        </r>
      </text>
    </comment>
    <comment ref="O46" authorId="1" shapeId="0" xr:uid="{512310D2-85E7-4B2A-AB4C-A9D3AAC9DDEE}">
      <text>
        <r>
          <rPr>
            <b/>
            <sz val="9"/>
            <color indexed="81"/>
            <rFont val="Tahoma"/>
            <family val="2"/>
          </rPr>
          <t>208</t>
        </r>
      </text>
    </comment>
    <comment ref="K47" authorId="0" shapeId="0" xr:uid="{C6A2CACE-B385-4C48-A365-951FB5AF2E2E}">
      <text>
        <r>
          <rPr>
            <b/>
            <sz val="9"/>
            <color indexed="81"/>
            <rFont val="Tahoma"/>
            <family val="2"/>
          </rPr>
          <t>Valor residual generado por la liquidación del inmovilizado al final del proyecto</t>
        </r>
      </text>
    </comment>
    <comment ref="L47" authorId="1" shapeId="0" xr:uid="{9D39292E-566A-4AC0-958F-FF59DF35CD24}">
      <text>
        <r>
          <rPr>
            <b/>
            <sz val="9"/>
            <color indexed="81"/>
            <rFont val="Tahoma"/>
            <family val="2"/>
          </rPr>
          <t>205</t>
        </r>
      </text>
    </comment>
    <comment ref="K48" authorId="0" shapeId="0" xr:uid="{073B6AF1-E795-4671-804B-E18CA1B9D979}">
      <text>
        <r>
          <rPr>
            <b/>
            <sz val="9"/>
            <color indexed="81"/>
            <rFont val="Tahoma"/>
            <family val="2"/>
          </rPr>
          <t>Valor residual generado por la liquidación del fondo de maniobra incremental al final del proyecto</t>
        </r>
      </text>
    </comment>
    <comment ref="L48" authorId="1" shapeId="0" xr:uid="{DF2DA091-51F9-409F-9CAC-758E634A66F9}">
      <text>
        <r>
          <rPr>
            <b/>
            <sz val="9"/>
            <color indexed="81"/>
            <rFont val="Tahoma"/>
            <family val="2"/>
          </rPr>
          <t>206</t>
        </r>
      </text>
    </comment>
    <comment ref="N48" authorId="2" shapeId="0" xr:uid="{DBC8EC99-B2B3-401D-97BE-6DEF43483CC0}">
      <text>
        <r>
          <rPr>
            <b/>
            <sz val="9"/>
            <color indexed="81"/>
            <rFont val="Tahoma"/>
            <family val="2"/>
          </rPr>
          <t>Valor actualizado neto asociado al proyecto</t>
        </r>
      </text>
    </comment>
    <comment ref="O48" authorId="1" shapeId="0" xr:uid="{595EB0E1-28C7-4DB4-8AFE-B00EB4DF064A}">
      <text>
        <r>
          <rPr>
            <b/>
            <sz val="9"/>
            <color indexed="81"/>
            <rFont val="Tahoma"/>
            <family val="2"/>
          </rPr>
          <t>209</t>
        </r>
      </text>
    </comment>
    <comment ref="K49" authorId="0" shapeId="0" xr:uid="{B1087B04-9508-4FC7-8A9D-53FDEFB51CC1}">
      <text>
        <r>
          <rPr>
            <b/>
            <sz val="9"/>
            <color indexed="81"/>
            <rFont val="Tahoma"/>
            <family val="2"/>
          </rPr>
          <t>Valor residual incremental generado por el proyecto al final de su vida [∆VR AF + ∆VR FM]</t>
        </r>
      </text>
    </comment>
    <comment ref="L49" authorId="1" shapeId="0" xr:uid="{BFF92D45-ECF2-4351-A9F7-482036A94037}">
      <text>
        <r>
          <rPr>
            <b/>
            <sz val="9"/>
            <color indexed="81"/>
            <rFont val="Tahoma"/>
            <family val="2"/>
          </rPr>
          <t>207</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Javi</author>
    <author>santibañez gruber francisco javier</author>
  </authors>
  <commentList>
    <comment ref="L4" authorId="0" shapeId="0" xr:uid="{F278E49D-AF01-48A1-A30D-CBFDA90CBB8A}">
      <text>
        <r>
          <rPr>
            <b/>
            <sz val="9"/>
            <color indexed="81"/>
            <rFont val="Tahoma"/>
            <family val="2"/>
          </rPr>
          <t>Incremento anual de ventas que aporta el proyecto</t>
        </r>
      </text>
    </comment>
    <comment ref="M4" authorId="0" shapeId="0" xr:uid="{1123352A-A45B-4B12-A734-BA5E1A92A10F}">
      <text>
        <r>
          <rPr>
            <b/>
            <sz val="9"/>
            <color indexed="81"/>
            <rFont val="Tahoma"/>
            <family val="2"/>
          </rPr>
          <t>Incremento anual de costes operativos con desembolso que aporta el proyecto</t>
        </r>
      </text>
    </comment>
    <comment ref="N4" authorId="0" shapeId="0" xr:uid="{34E8D677-449D-468D-BF6A-476BCE9783DA}">
      <text>
        <r>
          <rPr>
            <b/>
            <sz val="9"/>
            <color indexed="81"/>
            <rFont val="Tahoma"/>
            <family val="2"/>
          </rPr>
          <t>EBITDA incremental (diferencia entre ventas y costes operativos con desembolso) que aporta el proyecto</t>
        </r>
      </text>
    </comment>
    <comment ref="O4" authorId="0" shapeId="0" xr:uid="{48C53383-2240-4C54-A680-EA6197A4F98C}">
      <text>
        <r>
          <rPr>
            <b/>
            <sz val="9"/>
            <color indexed="81"/>
            <rFont val="Tahoma"/>
            <family val="2"/>
          </rPr>
          <t>Incremento anual de las amortizaciones de inmovilizados que aporta el proyecto</t>
        </r>
      </text>
    </comment>
    <comment ref="P4" authorId="0" shapeId="0" xr:uid="{3E83638F-F7E3-4C32-A93B-4C3E4B04E98A}">
      <text>
        <r>
          <rPr>
            <b/>
            <sz val="9"/>
            <color indexed="81"/>
            <rFont val="Tahoma"/>
            <family val="2"/>
          </rPr>
          <t>Incremento anual de beneficio antes de intereses e impuestos</t>
        </r>
      </text>
    </comment>
    <comment ref="Q4" authorId="0" shapeId="0" xr:uid="{12258717-3D4A-45FC-86ED-3EF600EC99D8}">
      <text>
        <r>
          <rPr>
            <b/>
            <sz val="9"/>
            <color indexed="81"/>
            <rFont val="Tahoma"/>
            <family val="2"/>
          </rPr>
          <t>Incremento anual de impuestos (Impuesto de sociedades)</t>
        </r>
      </text>
    </comment>
    <comment ref="R4" authorId="0" shapeId="0" xr:uid="{173C1316-7665-4556-93AE-BD8C766BA746}">
      <text>
        <r>
          <rPr>
            <b/>
            <sz val="9"/>
            <color indexed="81"/>
            <rFont val="Tahoma"/>
            <family val="2"/>
          </rPr>
          <t>Incremento anual de beneficio antes de intereses y después de impuestos</t>
        </r>
      </text>
    </comment>
    <comment ref="S4" authorId="0" shapeId="0" xr:uid="{1F445BF7-5A05-42C5-BA39-268D46DDB2D7}">
      <text>
        <r>
          <rPr>
            <b/>
            <sz val="9"/>
            <color indexed="81"/>
            <rFont val="Tahoma"/>
            <family val="2"/>
          </rPr>
          <t>Incremento de caja anual generado por el proyecto, antes de considerar las inversiones en fondo de maniobra</t>
        </r>
      </text>
    </comment>
    <comment ref="T4" authorId="0" shapeId="0" xr:uid="{9414839A-346B-4CBC-8A1D-D979776F5D72}">
      <text>
        <r>
          <rPr>
            <b/>
            <sz val="9"/>
            <color indexed="81"/>
            <rFont val="Tahoma"/>
            <family val="2"/>
          </rPr>
          <t>Saldo anual de fondo de maniobra generado por el proyecto</t>
        </r>
      </text>
    </comment>
    <comment ref="U4" authorId="0" shapeId="0" xr:uid="{CA1814F2-EF75-414E-A962-FA2359A9D7EB}">
      <text>
        <r>
          <rPr>
            <b/>
            <sz val="9"/>
            <color indexed="81"/>
            <rFont val="Tahoma"/>
            <family val="2"/>
          </rPr>
          <t>Inversión anual en fondo de maniobra exigida por el proyecto</t>
        </r>
      </text>
    </comment>
    <comment ref="V4" authorId="0" shapeId="0" xr:uid="{5A2B33D3-573F-4BF2-B00E-9FF782B30350}">
      <text>
        <r>
          <rPr>
            <b/>
            <sz val="9"/>
            <color indexed="81"/>
            <rFont val="Tahoma"/>
            <family val="2"/>
          </rPr>
          <t>Flujo de caja operativo anual incremental que aporta el proyecto (es decir, sin considerar el desembolso inicial ni el valor residual)</t>
        </r>
      </text>
    </comment>
    <comment ref="W4" authorId="0" shapeId="0" xr:uid="{8677D475-BFE6-4AFC-B103-2666312ECD94}">
      <text>
        <r>
          <rPr>
            <b/>
            <sz val="9"/>
            <color indexed="81"/>
            <rFont val="Tahoma"/>
            <family val="2"/>
          </rPr>
          <t>Impacto anual en caja del proyecto: Generaciones de fondos anuales que incluyen el desembolso inicial y el valor residual (moneda corriente)</t>
        </r>
      </text>
    </comment>
    <comment ref="Y4" authorId="0" shapeId="0" xr:uid="{083983E9-5776-45AA-80B8-930CFD6F8B49}">
      <text>
        <r>
          <rPr>
            <b/>
            <sz val="9"/>
            <color indexed="81"/>
            <rFont val="Tahoma"/>
            <family val="2"/>
          </rPr>
          <t>Impacto anual en caja del proyecto: Generaciones de fondos anuales que incluyen el desembolso inicial y el valor residual (moneda constante)</t>
        </r>
      </text>
    </comment>
    <comment ref="K12" authorId="0" shapeId="0" xr:uid="{29A3B069-C995-4275-9286-5E9510E2CA9B}">
      <text>
        <r>
          <rPr>
            <b/>
            <sz val="9"/>
            <color indexed="81"/>
            <rFont val="Tahoma"/>
            <family val="2"/>
          </rPr>
          <t>Desembolso inicial: inversión exigida por el proyecto en el momento cero</t>
        </r>
      </text>
    </comment>
    <comment ref="N12" authorId="0" shapeId="0" xr:uid="{8FA4F5BA-910C-4C4A-9513-5112CF797247}">
      <text>
        <r>
          <rPr>
            <b/>
            <sz val="9"/>
            <color indexed="81"/>
            <rFont val="Tahoma"/>
            <family val="2"/>
          </rPr>
          <t>Coste de los fondos (nominal)
K = (1+r) x (1+f) - 1</t>
        </r>
      </text>
    </comment>
    <comment ref="X12" authorId="0" shapeId="0" xr:uid="{F4CA889B-EF46-4BFD-A2A5-204D35F31ED7}">
      <text>
        <r>
          <rPr>
            <b/>
            <sz val="9"/>
            <color indexed="81"/>
            <rFont val="Tahoma"/>
            <family val="2"/>
          </rPr>
          <t>Coste de los fondos:
tipo de interés real</t>
        </r>
      </text>
    </comment>
    <comment ref="K13" authorId="0" shapeId="0" xr:uid="{956D5F97-E508-48C3-A965-1200BD0884E4}">
      <text>
        <r>
          <rPr>
            <b/>
            <sz val="9"/>
            <color indexed="81"/>
            <rFont val="Tahoma"/>
            <family val="2"/>
          </rPr>
          <t>Valor residual generado por la liquidación del inmovilizado al final del proyecto</t>
        </r>
      </text>
    </comment>
    <comment ref="K14" authorId="0" shapeId="0" xr:uid="{AB440B31-C327-4DA3-86C7-2C1BA52C3E84}">
      <text>
        <r>
          <rPr>
            <b/>
            <sz val="9"/>
            <color indexed="81"/>
            <rFont val="Tahoma"/>
            <family val="2"/>
          </rPr>
          <t>Valor residual generado por la liquidación del fondo de maniobra incremental al final del proyecto</t>
        </r>
      </text>
    </comment>
    <comment ref="N14" authorId="1" shapeId="0" xr:uid="{EDF09332-22B3-479D-9D7D-8FB161203B54}">
      <text>
        <r>
          <rPr>
            <b/>
            <sz val="9"/>
            <color indexed="81"/>
            <rFont val="Tahoma"/>
            <family val="2"/>
          </rPr>
          <t>Valor actualizado neto asociado al proyecto</t>
        </r>
      </text>
    </comment>
    <comment ref="X14" authorId="1" shapeId="0" xr:uid="{12F712FC-8F91-4030-B37A-7E8E0771282F}">
      <text>
        <r>
          <rPr>
            <b/>
            <sz val="9"/>
            <color indexed="81"/>
            <rFont val="Tahoma"/>
            <family val="2"/>
          </rPr>
          <t>Valor actualizado neto asociado al proyecto</t>
        </r>
      </text>
    </comment>
    <comment ref="K15" authorId="0" shapeId="0" xr:uid="{701F88AB-5E00-4417-9544-8A9A88074DB7}">
      <text>
        <r>
          <rPr>
            <b/>
            <sz val="9"/>
            <color indexed="81"/>
            <rFont val="Tahoma"/>
            <family val="2"/>
          </rPr>
          <t>Valor residual incremental generado por el proyecto al final de su vida [∆VR AF + ∆VR FM]</t>
        </r>
      </text>
    </comment>
    <comment ref="L22" authorId="0" shapeId="0" xr:uid="{22E98CC0-8254-4F16-A9E9-57448A31029B}">
      <text>
        <r>
          <rPr>
            <b/>
            <sz val="9"/>
            <color indexed="81"/>
            <rFont val="Tahoma"/>
            <family val="2"/>
          </rPr>
          <t>Incremento anual de ventas que aporta el proyecto</t>
        </r>
      </text>
    </comment>
    <comment ref="M22" authorId="0" shapeId="0" xr:uid="{E89AA1BF-D121-4672-B105-7C0FB0BBEBA0}">
      <text>
        <r>
          <rPr>
            <b/>
            <sz val="9"/>
            <color indexed="81"/>
            <rFont val="Tahoma"/>
            <family val="2"/>
          </rPr>
          <t>Incremento anual de costes operativos con desembolso que aporta el proyecto</t>
        </r>
      </text>
    </comment>
    <comment ref="N22" authorId="0" shapeId="0" xr:uid="{84607117-BB16-4307-9151-2ECCA4D18CB8}">
      <text>
        <r>
          <rPr>
            <b/>
            <sz val="9"/>
            <color indexed="81"/>
            <rFont val="Tahoma"/>
            <family val="2"/>
          </rPr>
          <t>EBITDA incremental (diferencia entre ventas y costes operativos con desembolso) que aporta el proyecto</t>
        </r>
      </text>
    </comment>
    <comment ref="O22" authorId="0" shapeId="0" xr:uid="{78278645-2575-4D2A-BB1F-7D49541E734C}">
      <text>
        <r>
          <rPr>
            <b/>
            <sz val="9"/>
            <color indexed="81"/>
            <rFont val="Tahoma"/>
            <family val="2"/>
          </rPr>
          <t>Incremento anual de las amortizaciones de inmovilizados que aporta el proyecto</t>
        </r>
      </text>
    </comment>
    <comment ref="P22" authorId="0" shapeId="0" xr:uid="{C1FADBE5-6348-4DEA-8C9A-0412E188F8F1}">
      <text>
        <r>
          <rPr>
            <b/>
            <sz val="9"/>
            <color indexed="81"/>
            <rFont val="Tahoma"/>
            <family val="2"/>
          </rPr>
          <t>Incremento anual de beneficio antes de intereses e impuestos</t>
        </r>
      </text>
    </comment>
    <comment ref="Q22" authorId="0" shapeId="0" xr:uid="{A6CF6C6B-60A2-44D3-95D1-333E88E25537}">
      <text>
        <r>
          <rPr>
            <b/>
            <sz val="9"/>
            <color indexed="81"/>
            <rFont val="Tahoma"/>
            <family val="2"/>
          </rPr>
          <t>Incremento anual de impuestos (Impuesto de sociedades)</t>
        </r>
      </text>
    </comment>
    <comment ref="R22" authorId="0" shapeId="0" xr:uid="{2B9AC3AB-E107-4B8A-A315-C1B5CDE18A27}">
      <text>
        <r>
          <rPr>
            <b/>
            <sz val="9"/>
            <color indexed="81"/>
            <rFont val="Tahoma"/>
            <family val="2"/>
          </rPr>
          <t>Incremento anual de beneficio antes de intereses y después de impuestos</t>
        </r>
      </text>
    </comment>
    <comment ref="S22" authorId="0" shapeId="0" xr:uid="{AFED8F31-577F-43FF-9914-D0F92CCB760D}">
      <text>
        <r>
          <rPr>
            <b/>
            <sz val="9"/>
            <color indexed="81"/>
            <rFont val="Tahoma"/>
            <family val="2"/>
          </rPr>
          <t>Incremento de caja anual generado por el proyecto, antes de considerar las inversiones en fondo de maniobra</t>
        </r>
      </text>
    </comment>
    <comment ref="T22" authorId="0" shapeId="0" xr:uid="{1BDCBF7E-773F-440A-9C65-4CFFAAC76A64}">
      <text>
        <r>
          <rPr>
            <b/>
            <sz val="9"/>
            <color indexed="81"/>
            <rFont val="Tahoma"/>
            <family val="2"/>
          </rPr>
          <t>Saldo anual de fondo de maniobra generado por el proyecto</t>
        </r>
      </text>
    </comment>
    <comment ref="U22" authorId="0" shapeId="0" xr:uid="{7C2792DD-54E3-4400-A3CB-E781B1CD444B}">
      <text>
        <r>
          <rPr>
            <b/>
            <sz val="9"/>
            <color indexed="81"/>
            <rFont val="Tahoma"/>
            <family val="2"/>
          </rPr>
          <t>Inversión anual en fondo de maniobra exigida por el proyecto</t>
        </r>
      </text>
    </comment>
    <comment ref="V22" authorId="0" shapeId="0" xr:uid="{7F37077D-8004-43A6-97B7-9E9D6FC1F12A}">
      <text>
        <r>
          <rPr>
            <b/>
            <sz val="9"/>
            <color indexed="81"/>
            <rFont val="Tahoma"/>
            <family val="2"/>
          </rPr>
          <t>Flujo de caja operativo anual incremental que aporta el proyecto (es decir, sin considerar el desembolso inicial ni el valor residual)</t>
        </r>
      </text>
    </comment>
    <comment ref="W22" authorId="0" shapeId="0" xr:uid="{CC1D19CA-A138-4A35-8EB4-F384EE75D581}">
      <text>
        <r>
          <rPr>
            <b/>
            <sz val="9"/>
            <color indexed="81"/>
            <rFont val="Tahoma"/>
            <family val="2"/>
          </rPr>
          <t>Impacto anual en caja del proyecto: Generaciones de fondos anuales que incluyen el desembolso inicial y el valor residual (moneda constante)</t>
        </r>
      </text>
    </comment>
    <comment ref="K30" authorId="0" shapeId="0" xr:uid="{1FA618C9-1CC7-4BEB-B977-2BB0FEEA5ABF}">
      <text>
        <r>
          <rPr>
            <b/>
            <sz val="9"/>
            <color indexed="81"/>
            <rFont val="Tahoma"/>
            <family val="2"/>
          </rPr>
          <t>Desembolso inicial: inversión exigida por el proyecto en el momento cero</t>
        </r>
      </text>
    </comment>
    <comment ref="N30" authorId="0" shapeId="0" xr:uid="{E79D12AA-DD73-430B-92DF-1BC32F6F824B}">
      <text>
        <r>
          <rPr>
            <b/>
            <sz val="9"/>
            <color indexed="81"/>
            <rFont val="Tahoma"/>
            <family val="2"/>
          </rPr>
          <t>Coste de los fondos:
tipo de interés real</t>
        </r>
      </text>
    </comment>
    <comment ref="K31" authorId="0" shapeId="0" xr:uid="{F7BAC7C8-1DCD-48B7-B909-264D078607A4}">
      <text>
        <r>
          <rPr>
            <b/>
            <sz val="9"/>
            <color indexed="81"/>
            <rFont val="Tahoma"/>
            <family val="2"/>
          </rPr>
          <t>Valor residual generado por la liquidación del inmovilizado al final del proyecto</t>
        </r>
      </text>
    </comment>
    <comment ref="K32" authorId="0" shapeId="0" xr:uid="{DA93204C-3E14-4B3F-AF79-6EBEE4886540}">
      <text>
        <r>
          <rPr>
            <b/>
            <sz val="9"/>
            <color indexed="81"/>
            <rFont val="Tahoma"/>
            <family val="2"/>
          </rPr>
          <t>Valor residual generado por la liquidación del fondo de maniobra incremental al final del proyecto</t>
        </r>
      </text>
    </comment>
    <comment ref="N32" authorId="1" shapeId="0" xr:uid="{FC9C2FC8-6E50-403F-BBFE-24C648BDE0F7}">
      <text>
        <r>
          <rPr>
            <b/>
            <sz val="9"/>
            <color indexed="81"/>
            <rFont val="Tahoma"/>
            <family val="2"/>
          </rPr>
          <t>Valor actualizado neto asociado al proyecto</t>
        </r>
      </text>
    </comment>
    <comment ref="K33" authorId="0" shapeId="0" xr:uid="{97DFD92A-22C2-4F8B-A0FC-9212B0A0F9FC}">
      <text>
        <r>
          <rPr>
            <b/>
            <sz val="9"/>
            <color indexed="81"/>
            <rFont val="Tahoma"/>
            <family val="2"/>
          </rPr>
          <t>Valor residual incremental generado por el proyecto al final de su vida [∆VR AF + ∆VR FM]</t>
        </r>
      </text>
    </comment>
    <comment ref="L39" authorId="0" shapeId="0" xr:uid="{C4DDD17B-DAF1-4E7D-B7BF-F9F3D3446B85}">
      <text>
        <r>
          <rPr>
            <b/>
            <sz val="9"/>
            <color indexed="81"/>
            <rFont val="Tahoma"/>
            <family val="2"/>
          </rPr>
          <t>Incremento anual de ventas que aporta el proyecto</t>
        </r>
      </text>
    </comment>
    <comment ref="M39" authorId="0" shapeId="0" xr:uid="{04368CF3-24BA-478A-8FCD-4FBC42FE814C}">
      <text>
        <r>
          <rPr>
            <b/>
            <sz val="9"/>
            <color indexed="81"/>
            <rFont val="Tahoma"/>
            <family val="2"/>
          </rPr>
          <t>Incremento anual de costes operativos con desembolso que aporta el proyecto</t>
        </r>
      </text>
    </comment>
    <comment ref="N39" authorId="0" shapeId="0" xr:uid="{4953D2D9-7504-4D79-BA18-477A4B38A0AA}">
      <text>
        <r>
          <rPr>
            <b/>
            <sz val="9"/>
            <color indexed="81"/>
            <rFont val="Tahoma"/>
            <family val="2"/>
          </rPr>
          <t>EBITDA incremental (diferencia entre ventas y costes operativos con desembolso) que aporta el proyecto</t>
        </r>
      </text>
    </comment>
    <comment ref="O39" authorId="0" shapeId="0" xr:uid="{009D388F-C583-4D4A-9FCC-537B54F01EE5}">
      <text>
        <r>
          <rPr>
            <b/>
            <sz val="9"/>
            <color indexed="81"/>
            <rFont val="Tahoma"/>
            <family val="2"/>
          </rPr>
          <t>Incremento anual de las amortizaciones de inmovilizados que aporta el proyecto</t>
        </r>
      </text>
    </comment>
    <comment ref="P39" authorId="0" shapeId="0" xr:uid="{0B75DB56-1D89-4D7E-98D6-816384FAAB9D}">
      <text>
        <r>
          <rPr>
            <b/>
            <sz val="9"/>
            <color indexed="81"/>
            <rFont val="Tahoma"/>
            <family val="2"/>
          </rPr>
          <t>Incremento anual de beneficio antes de intereses e impuestos</t>
        </r>
      </text>
    </comment>
    <comment ref="Q39" authorId="0" shapeId="0" xr:uid="{4F00C866-5ADD-4BE4-872A-44F90851AB38}">
      <text>
        <r>
          <rPr>
            <b/>
            <sz val="9"/>
            <color indexed="81"/>
            <rFont val="Tahoma"/>
            <family val="2"/>
          </rPr>
          <t>Incremento anual de impuestos (Impuesto de sociedades)</t>
        </r>
      </text>
    </comment>
    <comment ref="R39" authorId="0" shapeId="0" xr:uid="{031A5F51-2F47-48A6-B82B-197F72008562}">
      <text>
        <r>
          <rPr>
            <b/>
            <sz val="9"/>
            <color indexed="81"/>
            <rFont val="Tahoma"/>
            <family val="2"/>
          </rPr>
          <t>Incremento anual de beneficio antes de intereses y después de impuestos</t>
        </r>
      </text>
    </comment>
    <comment ref="S39" authorId="0" shapeId="0" xr:uid="{134F845F-A5BF-443E-BB87-C055EA307915}">
      <text>
        <r>
          <rPr>
            <b/>
            <sz val="9"/>
            <color indexed="81"/>
            <rFont val="Tahoma"/>
            <family val="2"/>
          </rPr>
          <t>Incremento de caja anual generado por el proyecto, antes de considerar las inversiones en fondo de maniobra</t>
        </r>
      </text>
    </comment>
    <comment ref="T39" authorId="0" shapeId="0" xr:uid="{EC902BDB-452A-45BF-B7F8-C7D5BA56908A}">
      <text>
        <r>
          <rPr>
            <b/>
            <sz val="9"/>
            <color indexed="81"/>
            <rFont val="Tahoma"/>
            <family val="2"/>
          </rPr>
          <t>Saldo anual de fondo de maniobra generado por el proyecto</t>
        </r>
      </text>
    </comment>
    <comment ref="U39" authorId="0" shapeId="0" xr:uid="{C3288948-6275-4385-AB53-06C69F00ECFC}">
      <text>
        <r>
          <rPr>
            <b/>
            <sz val="9"/>
            <color indexed="81"/>
            <rFont val="Tahoma"/>
            <family val="2"/>
          </rPr>
          <t>Inversión anual en fondo de maniobra exigida por el proyecto</t>
        </r>
      </text>
    </comment>
    <comment ref="V39" authorId="0" shapeId="0" xr:uid="{ED0B2419-412C-453F-884C-733B1FB8E06A}">
      <text>
        <r>
          <rPr>
            <b/>
            <sz val="9"/>
            <color indexed="81"/>
            <rFont val="Tahoma"/>
            <family val="2"/>
          </rPr>
          <t>Flujo de caja operativo anual incremental que aporta el proyecto (es decir, sin considerar el desembolso inicial ni el valor residual)</t>
        </r>
      </text>
    </comment>
    <comment ref="W39" authorId="0" shapeId="0" xr:uid="{F62C208E-1E5B-403A-B913-9EDAC26F795C}">
      <text>
        <r>
          <rPr>
            <b/>
            <sz val="9"/>
            <color indexed="81"/>
            <rFont val="Tahoma"/>
            <family val="2"/>
          </rPr>
          <t>Impacto anual en caja del proyecto: Generaciones de fondos anuales que incluyen el desembolso inicial y el valor residual (moneda corriente)</t>
        </r>
      </text>
    </comment>
    <comment ref="K47" authorId="0" shapeId="0" xr:uid="{DCCAAB3B-95D7-4B69-92E9-1299FD0BD841}">
      <text>
        <r>
          <rPr>
            <b/>
            <sz val="9"/>
            <color indexed="81"/>
            <rFont val="Tahoma"/>
            <family val="2"/>
          </rPr>
          <t>Desembolso inicial: inversión exigida por el proyecto en el momento cero</t>
        </r>
      </text>
    </comment>
    <comment ref="N47" authorId="0" shapeId="0" xr:uid="{9AA9A262-11E7-4A59-A37E-A346B2EFF673}">
      <text>
        <r>
          <rPr>
            <b/>
            <sz val="9"/>
            <color indexed="81"/>
            <rFont val="Tahoma"/>
            <family val="2"/>
          </rPr>
          <t>Coste de los fondos (nominal)
K = (1+r) x (1+f) - 1</t>
        </r>
      </text>
    </comment>
    <comment ref="K48" authorId="0" shapeId="0" xr:uid="{83E7F7FA-B9C9-44E4-8AFC-6A62F487176B}">
      <text>
        <r>
          <rPr>
            <b/>
            <sz val="9"/>
            <color indexed="81"/>
            <rFont val="Tahoma"/>
            <family val="2"/>
          </rPr>
          <t>Valor residual generado por la liquidación del inmovilizado al final del proyecto</t>
        </r>
      </text>
    </comment>
    <comment ref="K49" authorId="0" shapeId="0" xr:uid="{72E24FD2-521C-4897-AD9A-0754322C8708}">
      <text>
        <r>
          <rPr>
            <b/>
            <sz val="9"/>
            <color indexed="81"/>
            <rFont val="Tahoma"/>
            <family val="2"/>
          </rPr>
          <t>Valor residual generado por la liquidación del fondo de maniobra incremental al final del proyecto</t>
        </r>
      </text>
    </comment>
    <comment ref="N49" authorId="1" shapeId="0" xr:uid="{43294552-50A0-4006-8A91-6DA6F324E88B}">
      <text>
        <r>
          <rPr>
            <b/>
            <sz val="9"/>
            <color indexed="81"/>
            <rFont val="Tahoma"/>
            <family val="2"/>
          </rPr>
          <t>Valor actualizado neto asociado al proyecto</t>
        </r>
      </text>
    </comment>
    <comment ref="K50" authorId="0" shapeId="0" xr:uid="{2124BF0B-A0DA-418C-BDA4-82082B7D6150}">
      <text>
        <r>
          <rPr>
            <b/>
            <sz val="9"/>
            <color indexed="81"/>
            <rFont val="Tahoma"/>
            <family val="2"/>
          </rPr>
          <t>Valor residual incremental generado por el proyecto al final de su vida [∆VR AF + ∆VR FM]</t>
        </r>
      </text>
    </comment>
    <comment ref="L56" authorId="0" shapeId="0" xr:uid="{120AFDCB-3441-4EEA-9A1C-F8936C7DCDFB}">
      <text>
        <r>
          <rPr>
            <b/>
            <sz val="9"/>
            <color indexed="81"/>
            <rFont val="Tahoma"/>
            <family val="2"/>
          </rPr>
          <t>Incremento anual de ventas que aporta el proyecto</t>
        </r>
      </text>
    </comment>
    <comment ref="M56" authorId="0" shapeId="0" xr:uid="{9140F2FC-3D3D-450E-A54E-B153158ECCCD}">
      <text>
        <r>
          <rPr>
            <b/>
            <sz val="9"/>
            <color indexed="81"/>
            <rFont val="Tahoma"/>
            <family val="2"/>
          </rPr>
          <t>Incremento anual de costes operativos con desembolso que aporta el proyecto</t>
        </r>
      </text>
    </comment>
    <comment ref="N56" authorId="0" shapeId="0" xr:uid="{86BD6791-AFCE-41CC-823F-370F2B7CEF80}">
      <text>
        <r>
          <rPr>
            <b/>
            <sz val="9"/>
            <color indexed="81"/>
            <rFont val="Tahoma"/>
            <family val="2"/>
          </rPr>
          <t>EBITDA incremental (diferencia entre ventas y costes operativos con desembolso) que aporta el proyecto</t>
        </r>
      </text>
    </comment>
    <comment ref="O56" authorId="0" shapeId="0" xr:uid="{A50F81EF-46D2-4E99-A712-1E33C0E80775}">
      <text>
        <r>
          <rPr>
            <b/>
            <sz val="9"/>
            <color indexed="81"/>
            <rFont val="Tahoma"/>
            <family val="2"/>
          </rPr>
          <t>Incremento anual de las amortizaciones de inmovilizados que aporta el proyecto</t>
        </r>
      </text>
    </comment>
    <comment ref="P56" authorId="0" shapeId="0" xr:uid="{F33F8E88-29E7-4014-A783-6DA8E6779E9A}">
      <text>
        <r>
          <rPr>
            <b/>
            <sz val="9"/>
            <color indexed="81"/>
            <rFont val="Tahoma"/>
            <family val="2"/>
          </rPr>
          <t>Incremento anual de beneficio antes de intereses e impuestos</t>
        </r>
      </text>
    </comment>
    <comment ref="Q56" authorId="0" shapeId="0" xr:uid="{146A6F64-4399-47E4-A32B-24D2E75FB5F1}">
      <text>
        <r>
          <rPr>
            <b/>
            <sz val="9"/>
            <color indexed="81"/>
            <rFont val="Tahoma"/>
            <family val="2"/>
          </rPr>
          <t>Incremento anual de impuestos (Impuesto de sociedades)</t>
        </r>
      </text>
    </comment>
    <comment ref="R56" authorId="0" shapeId="0" xr:uid="{0367529A-17E4-4C42-85EE-53C7AF054D65}">
      <text>
        <r>
          <rPr>
            <b/>
            <sz val="9"/>
            <color indexed="81"/>
            <rFont val="Tahoma"/>
            <family val="2"/>
          </rPr>
          <t>Incremento anual de beneficio antes de intereses y después de impuestos</t>
        </r>
      </text>
    </comment>
    <comment ref="S56" authorId="0" shapeId="0" xr:uid="{C2AE2DCB-425C-455E-9139-0419752611B3}">
      <text>
        <r>
          <rPr>
            <b/>
            <sz val="9"/>
            <color indexed="81"/>
            <rFont val="Tahoma"/>
            <family val="2"/>
          </rPr>
          <t>Incremento de caja anual generado por el proyecto, antes de considerar las inversiones en fondo de maniobra</t>
        </r>
      </text>
    </comment>
    <comment ref="T56" authorId="0" shapeId="0" xr:uid="{E0F96BB2-E838-4B73-AE4F-152D026400CE}">
      <text>
        <r>
          <rPr>
            <b/>
            <sz val="9"/>
            <color indexed="81"/>
            <rFont val="Tahoma"/>
            <family val="2"/>
          </rPr>
          <t>Saldo anual de fondo de maniobra generado por el proyecto</t>
        </r>
      </text>
    </comment>
    <comment ref="U56" authorId="0" shapeId="0" xr:uid="{2E35ACC6-8C10-4812-9BFD-9EF3809ABB9B}">
      <text>
        <r>
          <rPr>
            <b/>
            <sz val="9"/>
            <color indexed="81"/>
            <rFont val="Tahoma"/>
            <family val="2"/>
          </rPr>
          <t>Inversión anual en fondo de maniobra exigida por el proyecto</t>
        </r>
      </text>
    </comment>
    <comment ref="V56" authorId="0" shapeId="0" xr:uid="{6880B931-C4EF-4660-85B5-E923880ED89E}">
      <text>
        <r>
          <rPr>
            <b/>
            <sz val="9"/>
            <color indexed="81"/>
            <rFont val="Tahoma"/>
            <family val="2"/>
          </rPr>
          <t>Flujo de caja operativo anual incremental que aporta el proyecto (es decir, sin considerar el desembolso inicial ni el valor residual)</t>
        </r>
      </text>
    </comment>
    <comment ref="W56" authorId="0" shapeId="0" xr:uid="{5C02CCFD-3E2A-4DCC-A165-982BC51107AB}">
      <text>
        <r>
          <rPr>
            <b/>
            <sz val="9"/>
            <color indexed="81"/>
            <rFont val="Tahoma"/>
            <family val="2"/>
          </rPr>
          <t>Impacto anual en caja del proyecto: Generaciones de fondos anuales que incluyen el desembolso inicial y el valor residual (moneda constante)</t>
        </r>
      </text>
    </comment>
    <comment ref="K64" authorId="0" shapeId="0" xr:uid="{4C33CE55-3D37-4508-B337-DC28AFCF18BF}">
      <text>
        <r>
          <rPr>
            <b/>
            <sz val="9"/>
            <color indexed="81"/>
            <rFont val="Tahoma"/>
            <family val="2"/>
          </rPr>
          <t>Desembolso inicial: inversión exigida por el proyecto en el momento cero</t>
        </r>
      </text>
    </comment>
    <comment ref="N64" authorId="0" shapeId="0" xr:uid="{370CFE93-6A2D-45BE-BA79-C6D9375ACE93}">
      <text>
        <r>
          <rPr>
            <b/>
            <sz val="9"/>
            <color indexed="81"/>
            <rFont val="Tahoma"/>
            <family val="2"/>
          </rPr>
          <t>Coste de los fondos:
tipo de interés real</t>
        </r>
      </text>
    </comment>
    <comment ref="K65" authorId="0" shapeId="0" xr:uid="{94E68B43-4583-433D-A77C-2FAF1477226C}">
      <text>
        <r>
          <rPr>
            <b/>
            <sz val="9"/>
            <color indexed="81"/>
            <rFont val="Tahoma"/>
            <family val="2"/>
          </rPr>
          <t>Valor residual generado por la liquidación del inmovilizado al final del proyecto</t>
        </r>
      </text>
    </comment>
    <comment ref="K66" authorId="0" shapeId="0" xr:uid="{D39169D9-2432-4EC7-905A-9BC539DF9800}">
      <text>
        <r>
          <rPr>
            <b/>
            <sz val="9"/>
            <color indexed="81"/>
            <rFont val="Tahoma"/>
            <family val="2"/>
          </rPr>
          <t>Valor residual generado por la liquidación del fondo de maniobra incremental al final del proyecto</t>
        </r>
      </text>
    </comment>
    <comment ref="N66" authorId="1" shapeId="0" xr:uid="{E18F159B-E387-4C95-9BB6-C009D67A31E5}">
      <text>
        <r>
          <rPr>
            <b/>
            <sz val="9"/>
            <color indexed="81"/>
            <rFont val="Tahoma"/>
            <family val="2"/>
          </rPr>
          <t>Valor actualizado neto asociado al proyecto</t>
        </r>
      </text>
    </comment>
    <comment ref="K67" authorId="0" shapeId="0" xr:uid="{CEFB1CFE-D340-473A-B1F3-349A4EB81778}">
      <text>
        <r>
          <rPr>
            <b/>
            <sz val="9"/>
            <color indexed="81"/>
            <rFont val="Tahoma"/>
            <family val="2"/>
          </rPr>
          <t>Valor residual incremental generado por el proyecto al final de su vida [∆VR AF + ∆VR FM]</t>
        </r>
      </text>
    </comment>
    <comment ref="L73" authorId="0" shapeId="0" xr:uid="{66272C4A-718A-43B8-B515-EFF9A5F4A426}">
      <text>
        <r>
          <rPr>
            <b/>
            <sz val="9"/>
            <color indexed="81"/>
            <rFont val="Tahoma"/>
            <family val="2"/>
          </rPr>
          <t>Incremento anual de ventas que aporta el proyecto</t>
        </r>
      </text>
    </comment>
    <comment ref="M73" authorId="0" shapeId="0" xr:uid="{6555A861-45C3-4646-9C1E-2B106F941308}">
      <text>
        <r>
          <rPr>
            <b/>
            <sz val="9"/>
            <color indexed="81"/>
            <rFont val="Tahoma"/>
            <family val="2"/>
          </rPr>
          <t>Incremento anual de costes operativos con desembolso que aporta el proyecto</t>
        </r>
      </text>
    </comment>
    <comment ref="N73" authorId="0" shapeId="0" xr:uid="{70BAF0F8-BBAD-4EB9-AC07-CBA41A36E2B5}">
      <text>
        <r>
          <rPr>
            <b/>
            <sz val="9"/>
            <color indexed="81"/>
            <rFont val="Tahoma"/>
            <family val="2"/>
          </rPr>
          <t>EBITDA incremental (diferencia entre ventas y costes operativos con desembolso) que aporta el proyecto</t>
        </r>
      </text>
    </comment>
    <comment ref="O73" authorId="0" shapeId="0" xr:uid="{B57C1204-7224-4AA8-A371-DE189F1CAA77}">
      <text>
        <r>
          <rPr>
            <b/>
            <sz val="9"/>
            <color indexed="81"/>
            <rFont val="Tahoma"/>
            <family val="2"/>
          </rPr>
          <t>Incremento anual de las amortizaciones de inmovilizados que aporta el proyecto</t>
        </r>
      </text>
    </comment>
    <comment ref="P73" authorId="0" shapeId="0" xr:uid="{65FD6B7B-DAB1-4898-83F1-E6DBA9E7231E}">
      <text>
        <r>
          <rPr>
            <b/>
            <sz val="9"/>
            <color indexed="81"/>
            <rFont val="Tahoma"/>
            <family val="2"/>
          </rPr>
          <t>Incremento anual de beneficio antes de intereses e impuestos</t>
        </r>
      </text>
    </comment>
    <comment ref="Q73" authorId="0" shapeId="0" xr:uid="{1AEC9B79-2530-4B71-84D9-A11CCB4DCC28}">
      <text>
        <r>
          <rPr>
            <b/>
            <sz val="9"/>
            <color indexed="81"/>
            <rFont val="Tahoma"/>
            <family val="2"/>
          </rPr>
          <t>Incremento anual de impuestos (Impuesto de sociedades)</t>
        </r>
      </text>
    </comment>
    <comment ref="R73" authorId="0" shapeId="0" xr:uid="{B815D22B-DEB3-4B8C-8053-47E72A3FCD65}">
      <text>
        <r>
          <rPr>
            <b/>
            <sz val="9"/>
            <color indexed="81"/>
            <rFont val="Tahoma"/>
            <family val="2"/>
          </rPr>
          <t>Incremento anual de beneficio antes de intereses y después de impuestos</t>
        </r>
      </text>
    </comment>
    <comment ref="S73" authorId="0" shapeId="0" xr:uid="{CE8EB8F7-33B9-4415-8A20-F63152112C85}">
      <text>
        <r>
          <rPr>
            <b/>
            <sz val="9"/>
            <color indexed="81"/>
            <rFont val="Tahoma"/>
            <family val="2"/>
          </rPr>
          <t>Incremento de caja anual generado por el proyecto, antes de considerar las inversiones en fondo de maniobra</t>
        </r>
      </text>
    </comment>
    <comment ref="T73" authorId="0" shapeId="0" xr:uid="{D502755F-F6F0-4646-ABD9-997BB8754611}">
      <text>
        <r>
          <rPr>
            <b/>
            <sz val="9"/>
            <color indexed="81"/>
            <rFont val="Tahoma"/>
            <family val="2"/>
          </rPr>
          <t>Saldo anual de fondo de maniobra generado por el proyecto</t>
        </r>
      </text>
    </comment>
    <comment ref="U73" authorId="0" shapeId="0" xr:uid="{A27FD9C4-62EE-4A77-9102-20CDDA56B661}">
      <text>
        <r>
          <rPr>
            <b/>
            <sz val="9"/>
            <color indexed="81"/>
            <rFont val="Tahoma"/>
            <family val="2"/>
          </rPr>
          <t>Inversión anual en fondo de maniobra exigida por el proyecto</t>
        </r>
      </text>
    </comment>
    <comment ref="V73" authorId="0" shapeId="0" xr:uid="{AD0913CD-8BB1-45F3-8E45-9D125DEFFDC0}">
      <text>
        <r>
          <rPr>
            <b/>
            <sz val="9"/>
            <color indexed="81"/>
            <rFont val="Tahoma"/>
            <family val="2"/>
          </rPr>
          <t>Flujo de caja operativo anual incremental que aporta el proyecto (es decir, sin considerar el desembolso inicial ni el valor residual)</t>
        </r>
      </text>
    </comment>
    <comment ref="W73" authorId="0" shapeId="0" xr:uid="{B6F7C2BC-5B20-40E7-8EBA-819C1E045836}">
      <text>
        <r>
          <rPr>
            <b/>
            <sz val="9"/>
            <color indexed="81"/>
            <rFont val="Tahoma"/>
            <family val="2"/>
          </rPr>
          <t>Impacto anual en caja del proyecto: Generaciones de fondos anuales que incluyen el desembolso inicial y el valor residual (moneda corriente)</t>
        </r>
      </text>
    </comment>
    <comment ref="K81" authorId="0" shapeId="0" xr:uid="{267F42D0-BF87-488A-94A5-9A6DC5F4AFC3}">
      <text>
        <r>
          <rPr>
            <b/>
            <sz val="9"/>
            <color indexed="81"/>
            <rFont val="Tahoma"/>
            <family val="2"/>
          </rPr>
          <t>Desembolso inicial: inversión exigida por el proyecto en el momento cero</t>
        </r>
      </text>
    </comment>
    <comment ref="N81" authorId="0" shapeId="0" xr:uid="{F411AFD5-3392-43FD-9A8F-735D021A8439}">
      <text>
        <r>
          <rPr>
            <b/>
            <sz val="9"/>
            <color indexed="81"/>
            <rFont val="Tahoma"/>
            <family val="2"/>
          </rPr>
          <t>Coste de los fondos (nominal)
K = (1+r) x (1+f) - 1</t>
        </r>
      </text>
    </comment>
    <comment ref="K82" authorId="0" shapeId="0" xr:uid="{22A6B89F-4020-4AD0-A35F-3A2EC4596897}">
      <text>
        <r>
          <rPr>
            <b/>
            <sz val="9"/>
            <color indexed="81"/>
            <rFont val="Tahoma"/>
            <family val="2"/>
          </rPr>
          <t>Valor residual generado por la liquidación del inmovilizado al final del proyecto</t>
        </r>
      </text>
    </comment>
    <comment ref="K83" authorId="0" shapeId="0" xr:uid="{C9316A79-34CA-4552-97D1-B7E0223DE401}">
      <text>
        <r>
          <rPr>
            <b/>
            <sz val="9"/>
            <color indexed="81"/>
            <rFont val="Tahoma"/>
            <family val="2"/>
          </rPr>
          <t>Valor residual generado por la liquidación del fondo de maniobra incremental al final del proyecto</t>
        </r>
      </text>
    </comment>
    <comment ref="N83" authorId="1" shapeId="0" xr:uid="{B591C1B5-4911-40D4-9047-A08F5C469954}">
      <text>
        <r>
          <rPr>
            <b/>
            <sz val="9"/>
            <color indexed="81"/>
            <rFont val="Tahoma"/>
            <family val="2"/>
          </rPr>
          <t>Valor actualizado neto asociado al proyecto</t>
        </r>
      </text>
    </comment>
    <comment ref="K84" authorId="0" shapeId="0" xr:uid="{82ACC539-E255-42DD-BBDD-D2A3E18E061C}">
      <text>
        <r>
          <rPr>
            <b/>
            <sz val="9"/>
            <color indexed="81"/>
            <rFont val="Tahoma"/>
            <family val="2"/>
          </rPr>
          <t>Valor residual incremental generado por el proyecto al final de su vida [∆VR AF + ∆VR FM]</t>
        </r>
      </text>
    </comment>
    <comment ref="L90" authorId="0" shapeId="0" xr:uid="{04304051-C16F-4FCA-ABA0-3FFF66E5E689}">
      <text>
        <r>
          <rPr>
            <b/>
            <sz val="9"/>
            <color indexed="81"/>
            <rFont val="Tahoma"/>
            <family val="2"/>
          </rPr>
          <t>Incremento anual de ventas que aporta el proyecto</t>
        </r>
      </text>
    </comment>
    <comment ref="M90" authorId="0" shapeId="0" xr:uid="{9D3C981C-3D74-4C10-BA42-FF7670EAC901}">
      <text>
        <r>
          <rPr>
            <b/>
            <sz val="9"/>
            <color indexed="81"/>
            <rFont val="Tahoma"/>
            <family val="2"/>
          </rPr>
          <t>Incremento anual de costes operativos con desembolso que aporta el proyecto</t>
        </r>
      </text>
    </comment>
    <comment ref="N90" authorId="0" shapeId="0" xr:uid="{AE531AF4-AC7A-43DF-A8EE-422D91DA2DA6}">
      <text>
        <r>
          <rPr>
            <b/>
            <sz val="9"/>
            <color indexed="81"/>
            <rFont val="Tahoma"/>
            <family val="2"/>
          </rPr>
          <t>EBITDA incremental (diferencia entre ventas y costes operativos con desembolso) que aporta el proyecto</t>
        </r>
      </text>
    </comment>
    <comment ref="O90" authorId="0" shapeId="0" xr:uid="{8554B1E6-524A-43FB-A07E-C9D3D76A24D7}">
      <text>
        <r>
          <rPr>
            <b/>
            <sz val="9"/>
            <color indexed="81"/>
            <rFont val="Tahoma"/>
            <family val="2"/>
          </rPr>
          <t>Incremento anual de las amortizaciones de inmovilizados que aporta el proyecto</t>
        </r>
      </text>
    </comment>
    <comment ref="P90" authorId="0" shapeId="0" xr:uid="{6AA9D74D-2549-4F3C-AEB9-BF8844C8A542}">
      <text>
        <r>
          <rPr>
            <b/>
            <sz val="9"/>
            <color indexed="81"/>
            <rFont val="Tahoma"/>
            <family val="2"/>
          </rPr>
          <t>Incremento anual de beneficio antes de intereses e impuestos</t>
        </r>
      </text>
    </comment>
    <comment ref="Q90" authorId="0" shapeId="0" xr:uid="{A523673E-D77A-49BB-8182-F87EDAB09FB7}">
      <text>
        <r>
          <rPr>
            <b/>
            <sz val="9"/>
            <color indexed="81"/>
            <rFont val="Tahoma"/>
            <family val="2"/>
          </rPr>
          <t>Incremento anual de impuestos (Impuesto de sociedades)</t>
        </r>
      </text>
    </comment>
    <comment ref="R90" authorId="0" shapeId="0" xr:uid="{9B19B70D-9FB3-4BE2-8C5B-0B48B017FAEF}">
      <text>
        <r>
          <rPr>
            <b/>
            <sz val="9"/>
            <color indexed="81"/>
            <rFont val="Tahoma"/>
            <family val="2"/>
          </rPr>
          <t>Incremento anual de beneficio antes de intereses y después de impuestos</t>
        </r>
      </text>
    </comment>
    <comment ref="S90" authorId="0" shapeId="0" xr:uid="{5862CCA7-DDC3-4E66-8E03-5E723FCEBA70}">
      <text>
        <r>
          <rPr>
            <b/>
            <sz val="9"/>
            <color indexed="81"/>
            <rFont val="Tahoma"/>
            <family val="2"/>
          </rPr>
          <t>Incremento de caja anual generado por el proyecto, antes de considerar las inversiones en fondo de maniobra</t>
        </r>
      </text>
    </comment>
    <comment ref="T90" authorId="0" shapeId="0" xr:uid="{72AA7B59-3CE8-42FF-A3C0-0885539082E9}">
      <text>
        <r>
          <rPr>
            <b/>
            <sz val="9"/>
            <color indexed="81"/>
            <rFont val="Tahoma"/>
            <family val="2"/>
          </rPr>
          <t>Saldo anual de fondo de maniobra generado por el proyecto</t>
        </r>
      </text>
    </comment>
    <comment ref="U90" authorId="0" shapeId="0" xr:uid="{F35D1E3B-87D0-4880-8722-A5554F59B857}">
      <text>
        <r>
          <rPr>
            <b/>
            <sz val="9"/>
            <color indexed="81"/>
            <rFont val="Tahoma"/>
            <family val="2"/>
          </rPr>
          <t>Inversión anual en fondo de maniobra exigida por el proyecto</t>
        </r>
      </text>
    </comment>
    <comment ref="V90" authorId="0" shapeId="0" xr:uid="{E555C9E5-6BBA-499B-8BAA-59C3CF29B486}">
      <text>
        <r>
          <rPr>
            <b/>
            <sz val="9"/>
            <color indexed="81"/>
            <rFont val="Tahoma"/>
            <family val="2"/>
          </rPr>
          <t>Flujo de caja operativo anual incremental que aporta el proyecto (es decir, sin considerar el desembolso inicial ni el valor residual)</t>
        </r>
      </text>
    </comment>
    <comment ref="W90" authorId="0" shapeId="0" xr:uid="{4EBF23A0-0243-4705-84DE-BEB7EDA2D775}">
      <text>
        <r>
          <rPr>
            <b/>
            <sz val="9"/>
            <color indexed="81"/>
            <rFont val="Tahoma"/>
            <family val="2"/>
          </rPr>
          <t>Impacto anual en caja del proyecto: Generaciones de fondos anuales que incluyen el desembolso inicial y el valor residual (moneda constante)</t>
        </r>
      </text>
    </comment>
    <comment ref="K98" authorId="0" shapeId="0" xr:uid="{5824CE30-B793-46C9-B146-404E858BB41E}">
      <text>
        <r>
          <rPr>
            <b/>
            <sz val="9"/>
            <color indexed="81"/>
            <rFont val="Tahoma"/>
            <family val="2"/>
          </rPr>
          <t>Desembolso inicial: inversión exigida por el proyecto en el momento cero</t>
        </r>
      </text>
    </comment>
    <comment ref="N98" authorId="0" shapeId="0" xr:uid="{E161DD68-F701-40F7-AABE-4CEAC6088132}">
      <text>
        <r>
          <rPr>
            <b/>
            <sz val="9"/>
            <color indexed="81"/>
            <rFont val="Tahoma"/>
            <family val="2"/>
          </rPr>
          <t>Coste de los fondos:
tipo de interés real</t>
        </r>
      </text>
    </comment>
    <comment ref="K99" authorId="0" shapeId="0" xr:uid="{0CD94275-6E80-4FAD-954E-C02CCC63C6C4}">
      <text>
        <r>
          <rPr>
            <b/>
            <sz val="9"/>
            <color indexed="81"/>
            <rFont val="Tahoma"/>
            <family val="2"/>
          </rPr>
          <t>Valor residual generado por la liquidación del inmovilizado al final del proyecto</t>
        </r>
      </text>
    </comment>
    <comment ref="K100" authorId="0" shapeId="0" xr:uid="{4847A007-BAAF-437B-A46E-1E6AD91BBBE2}">
      <text>
        <r>
          <rPr>
            <b/>
            <sz val="9"/>
            <color indexed="81"/>
            <rFont val="Tahoma"/>
            <family val="2"/>
          </rPr>
          <t>Valor residual generado por la liquidación del fondo de maniobra incremental al final del proyecto</t>
        </r>
      </text>
    </comment>
    <comment ref="N100" authorId="1" shapeId="0" xr:uid="{490E2CCC-305D-46FC-8B9F-0F39F3530507}">
      <text>
        <r>
          <rPr>
            <b/>
            <sz val="9"/>
            <color indexed="81"/>
            <rFont val="Tahoma"/>
            <family val="2"/>
          </rPr>
          <t>Valor actualizado neto asociado al proyecto</t>
        </r>
      </text>
    </comment>
    <comment ref="K101" authorId="0" shapeId="0" xr:uid="{362C3EA2-9E5E-4E3F-AE96-7335F22121D9}">
      <text>
        <r>
          <rPr>
            <b/>
            <sz val="9"/>
            <color indexed="81"/>
            <rFont val="Tahoma"/>
            <family val="2"/>
          </rPr>
          <t>Valor residual incremental generado por el proyecto al final de su vida [∆VR AF + ∆VR FM]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santibañez gruber francisco javier</author>
    <author>Francisco Javier Santibañez Gruber</author>
    <author>Javi</author>
  </authors>
  <commentList>
    <comment ref="Q2" authorId="0" shapeId="0" xr:uid="{2AA33ACE-29A9-489C-BF9D-A2433319495B}">
      <text>
        <r>
          <rPr>
            <b/>
            <sz val="10"/>
            <color indexed="81"/>
            <rFont val="Tahoma"/>
            <family val="2"/>
          </rPr>
          <t>Es importante que antes de resolver un nuevo ejercicio te asegures de que todas las celdillas utilizadas en uno anterior estén borradas para evitar errores. Si quieres comprobar que todas las celdillas a rellenar están vacías pon 'x' en esta celdilla.</t>
        </r>
      </text>
    </comment>
    <comment ref="C4" authorId="1" shapeId="0" xr:uid="{56BF2BE0-CE0E-4E58-A1A9-A310B2F37B5B}">
      <text>
        <r>
          <rPr>
            <b/>
            <sz val="11"/>
            <color indexed="81"/>
            <rFont val="Tahoma"/>
            <family val="2"/>
          </rPr>
          <t xml:space="preserve">   Códigos asociados a los distintos ejercicios:
      1     Continuación frente a Abandono
      2     Reparación de instalación frente a Abandono
      3     Elección entre dos estrategias distintas para
                  acometer un proyecto de inversión
      4     Análisis de una inversión de sustitución: nueva
                  instalación frente a instalación actual
      5     Análisis del interés de sustituir una instalación
                  averiada frente a repararla
      6     Análisis de un proyecto que exige adquirir una
                  instalación y no vender otra
      7     Análisis del interés de una inversión para
                  reducir stocks</t>
        </r>
      </text>
    </comment>
    <comment ref="N12" authorId="2" shapeId="0" xr:uid="{2DEC7B38-8B45-4899-A766-62433B6C825F}">
      <text>
        <r>
          <rPr>
            <b/>
            <sz val="10"/>
            <color indexed="81"/>
            <rFont val="Tahoma"/>
            <family val="2"/>
          </rPr>
          <t>Ventas anuales incrementales</t>
        </r>
      </text>
    </comment>
    <comment ref="O12" authorId="2" shapeId="0" xr:uid="{628D1BEB-EA02-4DE8-AFB4-EBF9B9500EFA}">
      <text>
        <r>
          <rPr>
            <b/>
            <sz val="10"/>
            <color indexed="81"/>
            <rFont val="Tahoma"/>
            <family val="2"/>
          </rPr>
          <t>Costes operativos con desembolso anuales incrementales</t>
        </r>
      </text>
    </comment>
    <comment ref="P12" authorId="2" shapeId="0" xr:uid="{1263FA95-2758-4FB0-871A-98A4AFF47D65}">
      <text>
        <r>
          <rPr>
            <b/>
            <sz val="10"/>
            <color indexed="81"/>
            <rFont val="Tahoma"/>
            <family val="2"/>
          </rPr>
          <t>Amortización anual incremental</t>
        </r>
      </text>
    </comment>
    <comment ref="Q12" authorId="2" shapeId="0" xr:uid="{E368A265-B44D-43BC-B6A1-F90DEC50858D}">
      <text>
        <r>
          <rPr>
            <b/>
            <sz val="10"/>
            <color indexed="81"/>
            <rFont val="Tahoma"/>
            <family val="2"/>
          </rPr>
          <t>Incremento anual de Beneficio antes de intereses e impuestos</t>
        </r>
      </text>
    </comment>
    <comment ref="R12" authorId="2" shapeId="0" xr:uid="{29FF504C-8170-4B69-AD98-F225E00532CE}">
      <text>
        <r>
          <rPr>
            <b/>
            <sz val="10"/>
            <color indexed="81"/>
            <rFont val="Tahoma"/>
            <family val="2"/>
          </rPr>
          <t>Incremento anual de impuestos (sociedades)</t>
        </r>
      </text>
    </comment>
    <comment ref="S12" authorId="2" shapeId="0" xr:uid="{1F386D9F-CFC5-434E-911A-343EB9AB2279}">
      <text>
        <r>
          <rPr>
            <b/>
            <sz val="10"/>
            <color indexed="81"/>
            <rFont val="Tahoma"/>
            <family val="2"/>
          </rPr>
          <t>Incremento anual de Beneficio antes de intereses y después de impuestos</t>
        </r>
      </text>
    </comment>
    <comment ref="T12" authorId="2" shapeId="0" xr:uid="{CBE4E3F8-04EB-44DB-A613-633A720B09BD}">
      <text>
        <r>
          <rPr>
            <b/>
            <sz val="10"/>
            <color indexed="81"/>
            <rFont val="Tahoma"/>
            <family val="2"/>
          </rPr>
          <t>Generación de fondos operativa anual incremental</t>
        </r>
      </text>
    </comment>
    <comment ref="U12" authorId="2" shapeId="0" xr:uid="{87005775-DBD9-489C-A565-4C1308C9D01D}">
      <text>
        <r>
          <rPr>
            <b/>
            <sz val="10"/>
            <color indexed="81"/>
            <rFont val="Tahoma"/>
            <family val="2"/>
          </rPr>
          <t>Flujo de caja incremental anual por operaciones recurrentes (sin considerar desembolso inicial ni valor residual)</t>
        </r>
      </text>
    </comment>
    <comment ref="V12" authorId="2" shapeId="0" xr:uid="{2894A51E-D9E3-4AA4-9A67-69BCC95FDFB3}">
      <text>
        <r>
          <rPr>
            <b/>
            <sz val="10"/>
            <color indexed="81"/>
            <rFont val="Tahoma"/>
            <family val="2"/>
          </rPr>
          <t>Flujo de caja anual incremental asociado al proyecto</t>
        </r>
      </text>
    </comment>
    <comment ref="V13" authorId="0" shapeId="0" xr:uid="{8F4C1F06-55E5-4DAB-9D55-14E8ED69FEE0}">
      <text>
        <r>
          <rPr>
            <b/>
            <sz val="9"/>
            <color indexed="81"/>
            <rFont val="Tahoma"/>
            <family val="2"/>
          </rPr>
          <t>68</t>
        </r>
      </text>
    </comment>
    <comment ref="N14" authorId="0" shapeId="0" xr:uid="{EB0327D1-58EE-45D2-8B3B-7A69A20C7EAD}">
      <text>
        <r>
          <rPr>
            <b/>
            <sz val="9"/>
            <color indexed="81"/>
            <rFont val="Tahoma"/>
            <family val="2"/>
          </rPr>
          <t>6</t>
        </r>
      </text>
    </comment>
    <comment ref="O14" authorId="0" shapeId="0" xr:uid="{2EFF223D-081C-4EDB-BF55-2EC35FFA372F}">
      <text>
        <r>
          <rPr>
            <b/>
            <sz val="9"/>
            <color indexed="81"/>
            <rFont val="Tahoma"/>
            <family val="2"/>
          </rPr>
          <t>10</t>
        </r>
      </text>
    </comment>
    <comment ref="P14" authorId="0" shapeId="0" xr:uid="{ABADFBB9-8AFA-433E-B932-B872270DECDE}">
      <text>
        <r>
          <rPr>
            <b/>
            <sz val="9"/>
            <color indexed="81"/>
            <rFont val="Tahoma"/>
            <family val="2"/>
          </rPr>
          <t>14</t>
        </r>
      </text>
    </comment>
    <comment ref="Q14" authorId="0" shapeId="0" xr:uid="{0309EE7D-F976-4797-88B9-A44F7176166A}">
      <text>
        <r>
          <rPr>
            <b/>
            <sz val="9"/>
            <color indexed="81"/>
            <rFont val="Tahoma"/>
            <family val="2"/>
          </rPr>
          <t>18</t>
        </r>
      </text>
    </comment>
    <comment ref="R14" authorId="0" shapeId="0" xr:uid="{016134FE-207D-438D-90C5-2018C2AC2B8F}">
      <text>
        <r>
          <rPr>
            <b/>
            <sz val="9"/>
            <color indexed="81"/>
            <rFont val="Tahoma"/>
            <family val="2"/>
          </rPr>
          <t>22</t>
        </r>
      </text>
    </comment>
    <comment ref="S14" authorId="0" shapeId="0" xr:uid="{8B9DDBFA-364F-4E74-958E-CECA27F439AF}">
      <text>
        <r>
          <rPr>
            <b/>
            <sz val="9"/>
            <color indexed="81"/>
            <rFont val="Tahoma"/>
            <family val="2"/>
          </rPr>
          <t>26</t>
        </r>
      </text>
    </comment>
    <comment ref="T14" authorId="0" shapeId="0" xr:uid="{8F3926BA-2434-4C44-AC07-FD8AD564784E}">
      <text>
        <r>
          <rPr>
            <b/>
            <sz val="9"/>
            <color indexed="81"/>
            <rFont val="Tahoma"/>
            <family val="2"/>
          </rPr>
          <t>30</t>
        </r>
      </text>
    </comment>
    <comment ref="U14" authorId="0" shapeId="0" xr:uid="{01E65AD4-1753-4F2E-8235-C03BFEF68A2F}">
      <text>
        <r>
          <rPr>
            <b/>
            <sz val="9"/>
            <color indexed="81"/>
            <rFont val="Tahoma"/>
            <family val="2"/>
          </rPr>
          <t>59</t>
        </r>
      </text>
    </comment>
    <comment ref="V14" authorId="0" shapeId="0" xr:uid="{F648E470-C0E1-4F15-89EC-6FBFCC3B928E}">
      <text>
        <r>
          <rPr>
            <b/>
            <sz val="9"/>
            <color indexed="81"/>
            <rFont val="Tahoma"/>
            <family val="2"/>
          </rPr>
          <t>69</t>
        </r>
      </text>
    </comment>
    <comment ref="N15" authorId="0" shapeId="0" xr:uid="{165F78A5-7658-4F7D-820A-DAA0D877350A}">
      <text>
        <r>
          <rPr>
            <b/>
            <sz val="9"/>
            <color indexed="81"/>
            <rFont val="Tahoma"/>
            <family val="2"/>
          </rPr>
          <t>7</t>
        </r>
      </text>
    </comment>
    <comment ref="O15" authorId="0" shapeId="0" xr:uid="{C2A5968C-EDE3-4F34-81DA-533D7AE20B30}">
      <text>
        <r>
          <rPr>
            <b/>
            <sz val="9"/>
            <color indexed="81"/>
            <rFont val="Tahoma"/>
            <family val="2"/>
          </rPr>
          <t>11</t>
        </r>
      </text>
    </comment>
    <comment ref="P15" authorId="0" shapeId="0" xr:uid="{5880F149-EDDA-46A1-B60F-CE8EDA26DE1F}">
      <text>
        <r>
          <rPr>
            <b/>
            <sz val="9"/>
            <color indexed="81"/>
            <rFont val="Tahoma"/>
            <family val="2"/>
          </rPr>
          <t>15</t>
        </r>
      </text>
    </comment>
    <comment ref="Q15" authorId="0" shapeId="0" xr:uid="{780E3924-D21D-4687-907B-B483906E814A}">
      <text>
        <r>
          <rPr>
            <b/>
            <sz val="9"/>
            <color indexed="81"/>
            <rFont val="Tahoma"/>
            <family val="2"/>
          </rPr>
          <t>19</t>
        </r>
      </text>
    </comment>
    <comment ref="R15" authorId="0" shapeId="0" xr:uid="{410A4913-FABB-4FE0-845E-2D0AB97135E5}">
      <text>
        <r>
          <rPr>
            <b/>
            <sz val="9"/>
            <color indexed="81"/>
            <rFont val="Tahoma"/>
            <family val="2"/>
          </rPr>
          <t>23</t>
        </r>
      </text>
    </comment>
    <comment ref="S15" authorId="0" shapeId="0" xr:uid="{1E077497-0185-46E7-9343-65D7F48445C3}">
      <text>
        <r>
          <rPr>
            <b/>
            <sz val="9"/>
            <color indexed="81"/>
            <rFont val="Tahoma"/>
            <family val="2"/>
          </rPr>
          <t>27</t>
        </r>
      </text>
    </comment>
    <comment ref="T15" authorId="0" shapeId="0" xr:uid="{26149ABA-28B8-468E-AEBA-3203E5728368}">
      <text>
        <r>
          <rPr>
            <b/>
            <sz val="9"/>
            <color indexed="81"/>
            <rFont val="Tahoma"/>
            <family val="2"/>
          </rPr>
          <t>31</t>
        </r>
      </text>
    </comment>
    <comment ref="U15" authorId="0" shapeId="0" xr:uid="{6978DF88-8B05-451B-AA84-99737C734ECB}">
      <text>
        <r>
          <rPr>
            <b/>
            <sz val="9"/>
            <color indexed="81"/>
            <rFont val="Tahoma"/>
            <family val="2"/>
          </rPr>
          <t>60</t>
        </r>
      </text>
    </comment>
    <comment ref="V15" authorId="0" shapeId="0" xr:uid="{2BE902D0-0D64-4653-828E-8E10A525E83A}">
      <text>
        <r>
          <rPr>
            <b/>
            <sz val="9"/>
            <color indexed="81"/>
            <rFont val="Tahoma"/>
            <family val="2"/>
          </rPr>
          <t>70</t>
        </r>
      </text>
    </comment>
    <comment ref="N16" authorId="0" shapeId="0" xr:uid="{97157E29-2DAA-4E8E-9CD6-41562BFA81FA}">
      <text>
        <r>
          <rPr>
            <b/>
            <sz val="9"/>
            <color indexed="81"/>
            <rFont val="Tahoma"/>
            <family val="2"/>
          </rPr>
          <t>8</t>
        </r>
      </text>
    </comment>
    <comment ref="O16" authorId="0" shapeId="0" xr:uid="{73E4D94D-87AA-4F28-9751-8535F5EEEB66}">
      <text>
        <r>
          <rPr>
            <b/>
            <sz val="9"/>
            <color indexed="81"/>
            <rFont val="Tahoma"/>
            <family val="2"/>
          </rPr>
          <t>12</t>
        </r>
      </text>
    </comment>
    <comment ref="P16" authorId="0" shapeId="0" xr:uid="{F3A960B1-2E21-45B7-8E47-F294C70E8B9A}">
      <text>
        <r>
          <rPr>
            <b/>
            <sz val="9"/>
            <color indexed="81"/>
            <rFont val="Tahoma"/>
            <family val="2"/>
          </rPr>
          <t>16</t>
        </r>
      </text>
    </comment>
    <comment ref="Q16" authorId="0" shapeId="0" xr:uid="{DD6D4080-53AB-44D5-8F45-620670C2C53E}">
      <text>
        <r>
          <rPr>
            <b/>
            <sz val="9"/>
            <color indexed="81"/>
            <rFont val="Tahoma"/>
            <family val="2"/>
          </rPr>
          <t>20</t>
        </r>
      </text>
    </comment>
    <comment ref="R16" authorId="0" shapeId="0" xr:uid="{A9D25A89-154C-497D-8B83-FD9EB862C339}">
      <text>
        <r>
          <rPr>
            <b/>
            <sz val="9"/>
            <color indexed="81"/>
            <rFont val="Tahoma"/>
            <family val="2"/>
          </rPr>
          <t>24</t>
        </r>
      </text>
    </comment>
    <comment ref="S16" authorId="0" shapeId="0" xr:uid="{49CCDBAC-241C-4B41-BA38-2639093BA9C7}">
      <text>
        <r>
          <rPr>
            <b/>
            <sz val="9"/>
            <color indexed="81"/>
            <rFont val="Tahoma"/>
            <family val="2"/>
          </rPr>
          <t>28</t>
        </r>
      </text>
    </comment>
    <comment ref="T16" authorId="0" shapeId="0" xr:uid="{17F4617E-BCD2-4EA1-8107-79A5F151B9EA}">
      <text>
        <r>
          <rPr>
            <b/>
            <sz val="9"/>
            <color indexed="81"/>
            <rFont val="Tahoma"/>
            <family val="2"/>
          </rPr>
          <t>32</t>
        </r>
      </text>
    </comment>
    <comment ref="U16" authorId="0" shapeId="0" xr:uid="{7D0AAADC-AC45-489B-81D6-C492906CB32A}">
      <text>
        <r>
          <rPr>
            <b/>
            <sz val="9"/>
            <color indexed="81"/>
            <rFont val="Tahoma"/>
            <family val="2"/>
          </rPr>
          <t>61</t>
        </r>
      </text>
    </comment>
    <comment ref="V16" authorId="0" shapeId="0" xr:uid="{5FB4BB26-B5E5-4264-8B6B-A36C1D568F0C}">
      <text>
        <r>
          <rPr>
            <b/>
            <sz val="9"/>
            <color indexed="81"/>
            <rFont val="Tahoma"/>
            <family val="2"/>
          </rPr>
          <t>71</t>
        </r>
      </text>
    </comment>
    <comment ref="N17" authorId="0" shapeId="0" xr:uid="{E09C1C3A-596C-41E7-9FB1-BE2637C8877E}">
      <text>
        <r>
          <rPr>
            <b/>
            <sz val="9"/>
            <color indexed="81"/>
            <rFont val="Tahoma"/>
            <family val="2"/>
          </rPr>
          <t>9</t>
        </r>
      </text>
    </comment>
    <comment ref="O17" authorId="0" shapeId="0" xr:uid="{B0BF2C77-CBBF-48D2-932B-63054B468CB3}">
      <text>
        <r>
          <rPr>
            <b/>
            <sz val="9"/>
            <color indexed="81"/>
            <rFont val="Tahoma"/>
            <family val="2"/>
          </rPr>
          <t>13</t>
        </r>
      </text>
    </comment>
    <comment ref="P17" authorId="0" shapeId="0" xr:uid="{5AE989CE-5CA0-4BB3-AEEF-A53A7FD5AD66}">
      <text>
        <r>
          <rPr>
            <b/>
            <sz val="9"/>
            <color indexed="81"/>
            <rFont val="Tahoma"/>
            <family val="2"/>
          </rPr>
          <t>17</t>
        </r>
      </text>
    </comment>
    <comment ref="Q17" authorId="0" shapeId="0" xr:uid="{9FA25019-62FB-4ED3-BA83-F0B8870856F5}">
      <text>
        <r>
          <rPr>
            <b/>
            <sz val="9"/>
            <color indexed="81"/>
            <rFont val="Tahoma"/>
            <family val="2"/>
          </rPr>
          <t>21</t>
        </r>
      </text>
    </comment>
    <comment ref="R17" authorId="0" shapeId="0" xr:uid="{42C74F19-3B69-4B5F-AF62-41460A06A1B1}">
      <text>
        <r>
          <rPr>
            <b/>
            <sz val="9"/>
            <color indexed="81"/>
            <rFont val="Tahoma"/>
            <family val="2"/>
          </rPr>
          <t>25</t>
        </r>
      </text>
    </comment>
    <comment ref="S17" authorId="0" shapeId="0" xr:uid="{0F71A22A-0672-49C6-9F90-99559F6CECA0}">
      <text>
        <r>
          <rPr>
            <b/>
            <sz val="9"/>
            <color indexed="81"/>
            <rFont val="Tahoma"/>
            <family val="2"/>
          </rPr>
          <t>29</t>
        </r>
      </text>
    </comment>
    <comment ref="T17" authorId="0" shapeId="0" xr:uid="{BE5DBF03-84E0-46D7-9672-2D9C45AA955B}">
      <text>
        <r>
          <rPr>
            <b/>
            <sz val="9"/>
            <color indexed="81"/>
            <rFont val="Tahoma"/>
            <family val="2"/>
          </rPr>
          <t>33</t>
        </r>
      </text>
    </comment>
    <comment ref="U17" authorId="0" shapeId="0" xr:uid="{9653B0A9-70CA-42C0-94CA-1853932BDAD9}">
      <text>
        <r>
          <rPr>
            <b/>
            <sz val="9"/>
            <color indexed="81"/>
            <rFont val="Tahoma"/>
            <family val="2"/>
          </rPr>
          <t>62</t>
        </r>
      </text>
    </comment>
    <comment ref="V17" authorId="0" shapeId="0" xr:uid="{7131E416-821B-4C12-BCCA-6919D424C96C}">
      <text>
        <r>
          <rPr>
            <b/>
            <sz val="9"/>
            <color indexed="81"/>
            <rFont val="Tahoma"/>
            <family val="2"/>
          </rPr>
          <t>72</t>
        </r>
      </text>
    </comment>
    <comment ref="N19" authorId="2" shapeId="0" xr:uid="{19D20DAD-6774-48B0-994A-10C049201B0D}">
      <text>
        <r>
          <rPr>
            <b/>
            <sz val="10"/>
            <color indexed="81"/>
            <rFont val="Tahoma"/>
            <family val="2"/>
          </rPr>
          <t>Saldo anual de existencias aportado por el proyecto</t>
        </r>
      </text>
    </comment>
    <comment ref="O19" authorId="2" shapeId="0" xr:uid="{2DADB038-35AA-48B8-94F3-7EECB487614C}">
      <text>
        <r>
          <rPr>
            <b/>
            <sz val="10"/>
            <color indexed="81"/>
            <rFont val="Tahoma"/>
            <family val="2"/>
          </rPr>
          <t>Saldo anual de clientes (ventas) aportado por el proyecto</t>
        </r>
      </text>
    </comment>
    <comment ref="P19" authorId="2" shapeId="0" xr:uid="{154CDB0C-B2DC-4502-A1C5-57D105468223}">
      <text>
        <r>
          <rPr>
            <b/>
            <sz val="10"/>
            <color indexed="81"/>
            <rFont val="Tahoma"/>
            <family val="2"/>
          </rPr>
          <t>Saldo anual de proveedores (compras) aportado por el proyecto</t>
        </r>
      </text>
    </comment>
    <comment ref="Q19" authorId="2" shapeId="0" xr:uid="{8F7CE4C2-6B66-4642-9038-B13D651518CB}">
      <text>
        <r>
          <rPr>
            <b/>
            <sz val="10"/>
            <color indexed="81"/>
            <rFont val="Tahoma"/>
            <family val="2"/>
          </rPr>
          <t>Saldo anual de fondo de maniobra aportado por el proyecto</t>
        </r>
      </text>
    </comment>
    <comment ref="R19" authorId="2" shapeId="0" xr:uid="{366A2766-5960-423F-8332-E86071E9576F}">
      <text>
        <r>
          <rPr>
            <b/>
            <sz val="10"/>
            <color indexed="81"/>
            <rFont val="Tahoma"/>
            <family val="2"/>
          </rPr>
          <t>Inversión anual en fondo de maniobra exigida por el proyecto</t>
        </r>
      </text>
    </comment>
    <comment ref="N20" authorId="0" shapeId="0" xr:uid="{89C91C88-00F3-4674-B341-482D5AFD1064}">
      <text>
        <r>
          <rPr>
            <b/>
            <sz val="9"/>
            <color indexed="81"/>
            <rFont val="Tahoma"/>
            <family val="2"/>
          </rPr>
          <t>34</t>
        </r>
      </text>
    </comment>
    <comment ref="O20" authorId="0" shapeId="0" xr:uid="{1C0B14C3-0A68-47B2-8F36-C7C8F18A3B58}">
      <text>
        <r>
          <rPr>
            <b/>
            <sz val="9"/>
            <color indexed="81"/>
            <rFont val="Tahoma"/>
            <family val="2"/>
          </rPr>
          <t>39</t>
        </r>
      </text>
    </comment>
    <comment ref="P20" authorId="0" shapeId="0" xr:uid="{EF08F506-DF86-427D-8396-683B4B2B80A2}">
      <text>
        <r>
          <rPr>
            <b/>
            <sz val="9"/>
            <color indexed="81"/>
            <rFont val="Tahoma"/>
            <family val="2"/>
          </rPr>
          <t>44</t>
        </r>
      </text>
    </comment>
    <comment ref="Q20" authorId="0" shapeId="0" xr:uid="{9455DCCA-0CBA-4D9E-9D4E-9BC979EA1CC7}">
      <text>
        <r>
          <rPr>
            <b/>
            <sz val="9"/>
            <color indexed="81"/>
            <rFont val="Tahoma"/>
            <family val="2"/>
          </rPr>
          <t>49</t>
        </r>
      </text>
    </comment>
    <comment ref="R20" authorId="0" shapeId="0" xr:uid="{D183FE40-9770-4376-B5EA-43CEFDCD54CB}">
      <text>
        <r>
          <rPr>
            <b/>
            <sz val="9"/>
            <color indexed="81"/>
            <rFont val="Tahoma"/>
            <family val="2"/>
          </rPr>
          <t>54</t>
        </r>
      </text>
    </comment>
    <comment ref="N21" authorId="0" shapeId="0" xr:uid="{221C289E-17F2-4D3D-966E-245D5ECDDD81}">
      <text>
        <r>
          <rPr>
            <b/>
            <sz val="9"/>
            <color indexed="81"/>
            <rFont val="Tahoma"/>
            <family val="2"/>
          </rPr>
          <t>35</t>
        </r>
      </text>
    </comment>
    <comment ref="O21" authorId="0" shapeId="0" xr:uid="{1F3A56EE-F7A5-4AC0-9B34-2EF9EDABCBAA}">
      <text>
        <r>
          <rPr>
            <b/>
            <sz val="9"/>
            <color indexed="81"/>
            <rFont val="Tahoma"/>
            <family val="2"/>
          </rPr>
          <t>40</t>
        </r>
      </text>
    </comment>
    <comment ref="P21" authorId="0" shapeId="0" xr:uid="{8849A561-EF29-4A44-98C9-114EBF1D8044}">
      <text>
        <r>
          <rPr>
            <b/>
            <sz val="9"/>
            <color indexed="81"/>
            <rFont val="Tahoma"/>
            <family val="2"/>
          </rPr>
          <t>45</t>
        </r>
      </text>
    </comment>
    <comment ref="Q21" authorId="0" shapeId="0" xr:uid="{E703432D-777B-41C9-8065-5E8935FD20CB}">
      <text>
        <r>
          <rPr>
            <b/>
            <sz val="9"/>
            <color indexed="81"/>
            <rFont val="Tahoma"/>
            <family val="2"/>
          </rPr>
          <t>50</t>
        </r>
      </text>
    </comment>
    <comment ref="R21" authorId="0" shapeId="0" xr:uid="{6A866BCE-BDA9-44DC-868A-2153968F11AE}">
      <text>
        <r>
          <rPr>
            <b/>
            <sz val="9"/>
            <color indexed="81"/>
            <rFont val="Tahoma"/>
            <family val="2"/>
          </rPr>
          <t>55</t>
        </r>
      </text>
    </comment>
    <comment ref="N22" authorId="0" shapeId="0" xr:uid="{8ED41F1F-CA6E-4259-B31B-1ED1F3023E74}">
      <text>
        <r>
          <rPr>
            <b/>
            <sz val="9"/>
            <color indexed="81"/>
            <rFont val="Tahoma"/>
            <family val="2"/>
          </rPr>
          <t>36</t>
        </r>
      </text>
    </comment>
    <comment ref="O22" authorId="0" shapeId="0" xr:uid="{0A3426FA-85F9-4CB6-958D-D853A6A612B5}">
      <text>
        <r>
          <rPr>
            <b/>
            <sz val="9"/>
            <color indexed="81"/>
            <rFont val="Tahoma"/>
            <family val="2"/>
          </rPr>
          <t>41</t>
        </r>
      </text>
    </comment>
    <comment ref="P22" authorId="0" shapeId="0" xr:uid="{B7F75F0B-6F7A-479E-B444-187EC8B678BB}">
      <text>
        <r>
          <rPr>
            <b/>
            <sz val="9"/>
            <color indexed="81"/>
            <rFont val="Tahoma"/>
            <family val="2"/>
          </rPr>
          <t>46</t>
        </r>
      </text>
    </comment>
    <comment ref="Q22" authorId="0" shapeId="0" xr:uid="{E1888166-54A8-42D4-AC9B-359369C167CE}">
      <text>
        <r>
          <rPr>
            <b/>
            <sz val="9"/>
            <color indexed="81"/>
            <rFont val="Tahoma"/>
            <family val="2"/>
          </rPr>
          <t>51</t>
        </r>
      </text>
    </comment>
    <comment ref="R22" authorId="0" shapeId="0" xr:uid="{69B91006-3130-47D8-8719-56F6913ABD32}">
      <text>
        <r>
          <rPr>
            <b/>
            <sz val="9"/>
            <color indexed="81"/>
            <rFont val="Tahoma"/>
            <family val="2"/>
          </rPr>
          <t>56</t>
        </r>
      </text>
    </comment>
    <comment ref="N23" authorId="0" shapeId="0" xr:uid="{671A4696-4C8D-4DF1-9009-51D19AAD03ED}">
      <text>
        <r>
          <rPr>
            <b/>
            <sz val="9"/>
            <color indexed="81"/>
            <rFont val="Tahoma"/>
            <family val="2"/>
          </rPr>
          <t>37</t>
        </r>
      </text>
    </comment>
    <comment ref="O23" authorId="0" shapeId="0" xr:uid="{44F1C180-61C7-41E4-BD71-3A13F9884778}">
      <text>
        <r>
          <rPr>
            <b/>
            <sz val="9"/>
            <color indexed="81"/>
            <rFont val="Tahoma"/>
            <family val="2"/>
          </rPr>
          <t>42</t>
        </r>
      </text>
    </comment>
    <comment ref="P23" authorId="0" shapeId="0" xr:uid="{0534DFA1-B359-45AD-A368-DA38A1219045}">
      <text>
        <r>
          <rPr>
            <b/>
            <sz val="9"/>
            <color indexed="81"/>
            <rFont val="Tahoma"/>
            <family val="2"/>
          </rPr>
          <t>47</t>
        </r>
      </text>
    </comment>
    <comment ref="Q23" authorId="0" shapeId="0" xr:uid="{22E96781-109A-49EA-A931-AFA71D874B7C}">
      <text>
        <r>
          <rPr>
            <b/>
            <sz val="9"/>
            <color indexed="81"/>
            <rFont val="Tahoma"/>
            <family val="2"/>
          </rPr>
          <t>52</t>
        </r>
      </text>
    </comment>
    <comment ref="R23" authorId="0" shapeId="0" xr:uid="{B902FB91-EC04-4037-824F-29EF9F601FF7}">
      <text>
        <r>
          <rPr>
            <b/>
            <sz val="9"/>
            <color indexed="81"/>
            <rFont val="Tahoma"/>
            <family val="2"/>
          </rPr>
          <t>57</t>
        </r>
      </text>
    </comment>
    <comment ref="N24" authorId="0" shapeId="0" xr:uid="{1BF074FD-D79F-4958-9E94-116C7F56AFBC}">
      <text>
        <r>
          <rPr>
            <b/>
            <sz val="9"/>
            <color indexed="81"/>
            <rFont val="Tahoma"/>
            <family val="2"/>
          </rPr>
          <t>38</t>
        </r>
      </text>
    </comment>
    <comment ref="O24" authorId="0" shapeId="0" xr:uid="{B0E14B24-ECB1-4BDD-B514-0A3DE20044C8}">
      <text>
        <r>
          <rPr>
            <b/>
            <sz val="9"/>
            <color indexed="81"/>
            <rFont val="Tahoma"/>
            <family val="2"/>
          </rPr>
          <t>43</t>
        </r>
      </text>
    </comment>
    <comment ref="P24" authorId="0" shapeId="0" xr:uid="{1BE48E7B-6B00-4634-B845-EEEA20E8BDE1}">
      <text>
        <r>
          <rPr>
            <b/>
            <sz val="9"/>
            <color indexed="81"/>
            <rFont val="Tahoma"/>
            <family val="2"/>
          </rPr>
          <t>48</t>
        </r>
      </text>
    </comment>
    <comment ref="Q24" authorId="0" shapeId="0" xr:uid="{1817D098-34C7-4C71-85C9-1C521C4D8D20}">
      <text>
        <r>
          <rPr>
            <b/>
            <sz val="9"/>
            <color indexed="81"/>
            <rFont val="Tahoma"/>
            <family val="2"/>
          </rPr>
          <t>53</t>
        </r>
      </text>
    </comment>
    <comment ref="R24" authorId="0" shapeId="0" xr:uid="{D2D1DB8E-2624-438D-A495-CB555D961787}">
      <text>
        <r>
          <rPr>
            <b/>
            <sz val="9"/>
            <color indexed="81"/>
            <rFont val="Tahoma"/>
            <family val="2"/>
          </rPr>
          <t>58</t>
        </r>
      </text>
    </comment>
    <comment ref="P28" authorId="0" shapeId="0" xr:uid="{6B0A2390-FD83-4636-8A1D-585D341AA41D}">
      <text>
        <r>
          <rPr>
            <b/>
            <sz val="9"/>
            <color indexed="81"/>
            <rFont val="Tahoma"/>
            <family val="2"/>
          </rPr>
          <t>1</t>
        </r>
      </text>
    </comment>
    <comment ref="T28" authorId="0" shapeId="0" xr:uid="{B0BF4466-0F81-4E44-8789-8A8395B04E2C}">
      <text>
        <r>
          <rPr>
            <b/>
            <sz val="9"/>
            <color indexed="81"/>
            <rFont val="Tahoma"/>
            <family val="2"/>
          </rPr>
          <t>63</t>
        </r>
      </text>
    </comment>
    <comment ref="P29" authorId="0" shapeId="0" xr:uid="{90C4671A-599E-4D6C-8C58-8ADA7EC1FD0D}">
      <text>
        <r>
          <rPr>
            <b/>
            <sz val="9"/>
            <color indexed="81"/>
            <rFont val="Tahoma"/>
            <family val="2"/>
          </rPr>
          <t>2</t>
        </r>
      </text>
    </comment>
    <comment ref="T29" authorId="0" shapeId="0" xr:uid="{28AF1BE6-0800-4F90-A990-FFC788653A43}">
      <text>
        <r>
          <rPr>
            <b/>
            <sz val="9"/>
            <color indexed="81"/>
            <rFont val="Tahoma"/>
            <family val="2"/>
          </rPr>
          <t>64</t>
        </r>
      </text>
    </comment>
    <comment ref="V29" authorId="2" shapeId="0" xr:uid="{55540349-9282-4807-9D9A-1740F7C44083}">
      <text>
        <r>
          <rPr>
            <b/>
            <sz val="10"/>
            <color indexed="81"/>
            <rFont val="Tahoma"/>
            <family val="2"/>
          </rPr>
          <t>Tipo de descuento aplicable (rentabilidad exigida al proyecto)</t>
        </r>
      </text>
    </comment>
    <comment ref="W29" authorId="0" shapeId="0" xr:uid="{17194BC1-3A55-42B8-A2A1-A246A8020897}">
      <text>
        <r>
          <rPr>
            <b/>
            <sz val="9"/>
            <color indexed="81"/>
            <rFont val="Tahoma"/>
            <family val="2"/>
          </rPr>
          <t>73</t>
        </r>
      </text>
    </comment>
    <comment ref="P30" authorId="0" shapeId="0" xr:uid="{22A2E8E0-8A39-4F55-9198-8D47C5B45ED9}">
      <text>
        <r>
          <rPr>
            <b/>
            <sz val="9"/>
            <color indexed="81"/>
            <rFont val="Tahoma"/>
            <family val="2"/>
          </rPr>
          <t>3</t>
        </r>
      </text>
    </comment>
    <comment ref="T30" authorId="0" shapeId="0" xr:uid="{2787AA52-5FC8-4363-AA3B-CC3239EA0878}">
      <text>
        <r>
          <rPr>
            <b/>
            <sz val="9"/>
            <color indexed="81"/>
            <rFont val="Tahoma"/>
            <family val="2"/>
          </rPr>
          <t>65</t>
        </r>
      </text>
    </comment>
    <comment ref="P31" authorId="0" shapeId="0" xr:uid="{95A5F1C0-3C1A-4A3E-A5A0-34C14ED9085D}">
      <text>
        <r>
          <rPr>
            <b/>
            <sz val="9"/>
            <color indexed="81"/>
            <rFont val="Tahoma"/>
            <family val="2"/>
          </rPr>
          <t>4</t>
        </r>
      </text>
    </comment>
    <comment ref="T31" authorId="0" shapeId="0" xr:uid="{B7648D38-97CD-47BF-B41B-BE1DC125F5E2}">
      <text>
        <r>
          <rPr>
            <b/>
            <sz val="9"/>
            <color indexed="81"/>
            <rFont val="Tahoma"/>
            <family val="2"/>
          </rPr>
          <t>66</t>
        </r>
      </text>
    </comment>
    <comment ref="V32" authorId="2" shapeId="0" xr:uid="{71A61203-DD67-44CE-9BEC-1326A41C078C}">
      <text>
        <r>
          <rPr>
            <b/>
            <sz val="10"/>
            <color indexed="81"/>
            <rFont val="Tahoma"/>
            <family val="2"/>
          </rPr>
          <t>Valor actualizado neto aportado por el proyecto</t>
        </r>
      </text>
    </comment>
    <comment ref="W32" authorId="0" shapeId="0" xr:uid="{6C7AD2ED-1D52-47F1-9FF6-94DE717B0CF1}">
      <text>
        <r>
          <rPr>
            <b/>
            <sz val="9"/>
            <color indexed="81"/>
            <rFont val="Tahoma"/>
            <family val="2"/>
          </rPr>
          <t>74</t>
        </r>
      </text>
    </comment>
    <comment ref="N33" authorId="2" shapeId="0" xr:uid="{B6B0F320-2516-48B1-8636-0884CE109E7B}">
      <text>
        <r>
          <rPr>
            <b/>
            <sz val="10"/>
            <color indexed="81"/>
            <rFont val="Tahoma"/>
            <family val="2"/>
          </rPr>
          <t>Impacto en caja en el momento cero provocado por la realización del proyecto</t>
        </r>
      </text>
    </comment>
    <comment ref="P33" authorId="0" shapeId="0" xr:uid="{B5A63E8A-FDD4-4611-A013-41BD351D7911}">
      <text>
        <r>
          <rPr>
            <b/>
            <sz val="9"/>
            <color indexed="81"/>
            <rFont val="Tahoma"/>
            <family val="2"/>
          </rPr>
          <t>5</t>
        </r>
      </text>
    </comment>
    <comment ref="R33" authorId="2" shapeId="0" xr:uid="{75768163-0637-41C5-ADF3-D65A7F2CB025}">
      <text>
        <r>
          <rPr>
            <b/>
            <sz val="10"/>
            <color indexed="81"/>
            <rFont val="Tahoma"/>
            <family val="2"/>
          </rPr>
          <t>Impacto en caja provocado por la liquidación de los activos asociados al proyecto al final del cuarto año</t>
        </r>
      </text>
    </comment>
    <comment ref="T33" authorId="0" shapeId="0" xr:uid="{C1AED242-7CC8-4BD0-A494-2C0B6E70CE34}">
      <text>
        <r>
          <rPr>
            <b/>
            <sz val="9"/>
            <color indexed="81"/>
            <rFont val="Tahoma"/>
            <family val="2"/>
          </rPr>
          <t>67</t>
        </r>
      </text>
    </comment>
    <comment ref="V33" authorId="2" shapeId="0" xr:uid="{6193F607-3698-4504-8473-269C60181EE1}">
      <text>
        <r>
          <rPr>
            <b/>
            <sz val="10"/>
            <color indexed="81"/>
            <rFont val="Tahoma"/>
            <family val="2"/>
          </rPr>
          <t>Tasa de rentabilidad interna del proyecto</t>
        </r>
      </text>
    </comment>
    <comment ref="W33" authorId="0" shapeId="0" xr:uid="{AC3E4293-C039-45F5-BD77-75FAF410E0B2}">
      <text>
        <r>
          <rPr>
            <b/>
            <sz val="9"/>
            <color indexed="81"/>
            <rFont val="Tahoma"/>
            <family val="2"/>
          </rPr>
          <t>75</t>
        </r>
      </text>
    </comment>
    <comment ref="T37" authorId="0" shapeId="0" xr:uid="{205F5DED-BA1F-42FB-8568-00C0B7C4FCAF}">
      <text>
        <r>
          <rPr>
            <b/>
            <sz val="10"/>
            <color indexed="81"/>
            <rFont val="Tahoma"/>
            <family val="2"/>
          </rPr>
          <t>Sitúa el cursor encima de la celdilla de la que deseas explicación para conocer el código asociado e introdúcelo aquí.
Debe ser un número entero entre 1 y 75</t>
        </r>
      </text>
    </comment>
    <comment ref="X37" authorId="0" shapeId="0" xr:uid="{7F78F740-F8F6-47DE-8426-CF3C8965AA33}">
      <text>
        <r>
          <rPr>
            <b/>
            <sz val="10"/>
            <color indexed="81"/>
            <rFont val="Tahoma"/>
            <family val="2"/>
          </rPr>
          <t xml:space="preserve">
Códigos:</t>
        </r>
        <r>
          <rPr>
            <b/>
            <sz val="9"/>
            <color indexed="81"/>
            <rFont val="Tahoma"/>
            <family val="2"/>
          </rPr>
          <t xml:space="preserve">
</t>
        </r>
        <r>
          <rPr>
            <sz val="9"/>
            <color indexed="81"/>
            <rFont val="Tahoma"/>
            <family val="2"/>
          </rPr>
          <t xml:space="preserve">
</t>
        </r>
        <r>
          <rPr>
            <b/>
            <sz val="10"/>
            <color indexed="81"/>
            <rFont val="Tahoma"/>
            <family val="2"/>
          </rPr>
          <t xml:space="preserve"> 1    Planteamiento general
 2    Desembolso inicial
 3    Amortización de inmovilizados
 4    Existencias
 5    Valor residual
 6    Decisión final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Francisco Javier Santibañez Gruber</author>
    <author>Javi</author>
    <author>santibañez gruber francisco javier</author>
  </authors>
  <commentList>
    <comment ref="C4" authorId="0" shapeId="0" xr:uid="{B8A331D6-7640-43F9-8B0C-60F0BFDF6C06}">
      <text>
        <r>
          <rPr>
            <b/>
            <sz val="11"/>
            <color indexed="81"/>
            <rFont val="Tahoma"/>
            <family val="2"/>
          </rPr>
          <t xml:space="preserve">   Códigos asociados a los distintos ejercicios:
      1     Continuación frente a Abandono
      2     Reparación de instalación frente a Abandono
      3     Elección entre dos estrategias distintas para
                  acometer un proyecto de inversión
      4     Análisis de una inversión de sustitución: nueva
                  instalación frente a instalación actual
      5     Análisis del interés de sustituir una instalación
                  averiada frente a repararla
      6     Análisis de un proyecto que exige adquirir una
                  instalación y no vender otra
      7     Análisis del interés de una inversión para
                  reducir stocks</t>
        </r>
      </text>
    </comment>
    <comment ref="N12" authorId="1" shapeId="0" xr:uid="{6C38DF91-5133-41D4-B444-77DCBA215C31}">
      <text>
        <r>
          <rPr>
            <b/>
            <sz val="10"/>
            <color indexed="81"/>
            <rFont val="Tahoma"/>
            <family val="2"/>
          </rPr>
          <t>Ventas anuales incrementales</t>
        </r>
      </text>
    </comment>
    <comment ref="O12" authorId="1" shapeId="0" xr:uid="{9F6B4B98-E2E2-4FA5-A098-3901F987B54B}">
      <text>
        <r>
          <rPr>
            <b/>
            <sz val="10"/>
            <color indexed="81"/>
            <rFont val="Tahoma"/>
            <family val="2"/>
          </rPr>
          <t>Costes operativos con desembolso anuales incrementales</t>
        </r>
      </text>
    </comment>
    <comment ref="P12" authorId="1" shapeId="0" xr:uid="{AB05F9C8-0642-4470-A90B-BBFAB83B4BDC}">
      <text>
        <r>
          <rPr>
            <b/>
            <sz val="10"/>
            <color indexed="81"/>
            <rFont val="Tahoma"/>
            <family val="2"/>
          </rPr>
          <t>Amortización anual incremental</t>
        </r>
      </text>
    </comment>
    <comment ref="Q12" authorId="1" shapeId="0" xr:uid="{8A3C26AF-6384-41C5-B935-EF2C00655EF7}">
      <text>
        <r>
          <rPr>
            <b/>
            <sz val="10"/>
            <color indexed="81"/>
            <rFont val="Tahoma"/>
            <family val="2"/>
          </rPr>
          <t>Incremento anual de Beneficio antes de intereses e impuestos</t>
        </r>
      </text>
    </comment>
    <comment ref="R12" authorId="1" shapeId="0" xr:uid="{254763CD-8EE1-41CF-9F6D-4B54162A69ED}">
      <text>
        <r>
          <rPr>
            <b/>
            <sz val="10"/>
            <color indexed="81"/>
            <rFont val="Tahoma"/>
            <family val="2"/>
          </rPr>
          <t>Incremento anual de impuestos (sociedades)</t>
        </r>
      </text>
    </comment>
    <comment ref="S12" authorId="1" shapeId="0" xr:uid="{BE0058A9-FB33-4093-A02F-03F63E5AA7BB}">
      <text>
        <r>
          <rPr>
            <b/>
            <sz val="10"/>
            <color indexed="81"/>
            <rFont val="Tahoma"/>
            <family val="2"/>
          </rPr>
          <t>Incremento anual de Beneficio antes de intereses y después de impuestos</t>
        </r>
      </text>
    </comment>
    <comment ref="T12" authorId="1" shapeId="0" xr:uid="{9C75D042-22D8-460D-ADA6-5E2D5C8B2079}">
      <text>
        <r>
          <rPr>
            <b/>
            <sz val="10"/>
            <color indexed="81"/>
            <rFont val="Tahoma"/>
            <family val="2"/>
          </rPr>
          <t>Generación de fondos operativa anual incremental</t>
        </r>
      </text>
    </comment>
    <comment ref="U12" authorId="1" shapeId="0" xr:uid="{CD7F560A-8C27-4A69-836D-83C0A322F071}">
      <text>
        <r>
          <rPr>
            <b/>
            <sz val="10"/>
            <color indexed="81"/>
            <rFont val="Tahoma"/>
            <family val="2"/>
          </rPr>
          <t>Flujo de caja incremental anual por operaciones recurrentes (sin considerar desembolso inicial ni valor residual)</t>
        </r>
      </text>
    </comment>
    <comment ref="V12" authorId="1" shapeId="0" xr:uid="{F335CA0A-9EA9-47C3-BDCB-CCD74B2CB38C}">
      <text>
        <r>
          <rPr>
            <b/>
            <sz val="10"/>
            <color indexed="81"/>
            <rFont val="Tahoma"/>
            <family val="2"/>
          </rPr>
          <t>Flujo de caja anual incremental asociado al proyecto</t>
        </r>
      </text>
    </comment>
    <comment ref="V13" authorId="2" shapeId="0" xr:uid="{23203126-5625-4225-92E6-A7C7C8EC8751}">
      <text>
        <r>
          <rPr>
            <b/>
            <sz val="9"/>
            <color indexed="81"/>
            <rFont val="Tahoma"/>
            <family val="2"/>
          </rPr>
          <t>68</t>
        </r>
      </text>
    </comment>
    <comment ref="N14" authorId="2" shapeId="0" xr:uid="{33C91A45-E4BE-4239-91BD-ACF60E8F451B}">
      <text>
        <r>
          <rPr>
            <b/>
            <sz val="9"/>
            <color indexed="81"/>
            <rFont val="Tahoma"/>
            <family val="2"/>
          </rPr>
          <t>6</t>
        </r>
      </text>
    </comment>
    <comment ref="O14" authorId="2" shapeId="0" xr:uid="{2A5E4133-C47C-4709-9730-D904AF241889}">
      <text>
        <r>
          <rPr>
            <b/>
            <sz val="9"/>
            <color indexed="81"/>
            <rFont val="Tahoma"/>
            <family val="2"/>
          </rPr>
          <t>10</t>
        </r>
      </text>
    </comment>
    <comment ref="P14" authorId="2" shapeId="0" xr:uid="{75D093E3-A598-43D5-B3A2-B5D5C0795EA1}">
      <text>
        <r>
          <rPr>
            <b/>
            <sz val="9"/>
            <color indexed="81"/>
            <rFont val="Tahoma"/>
            <family val="2"/>
          </rPr>
          <t>14</t>
        </r>
      </text>
    </comment>
    <comment ref="Q14" authorId="2" shapeId="0" xr:uid="{F7E29D0E-F950-4425-8626-06070A0C3E50}">
      <text>
        <r>
          <rPr>
            <b/>
            <sz val="9"/>
            <color indexed="81"/>
            <rFont val="Tahoma"/>
            <family val="2"/>
          </rPr>
          <t>18</t>
        </r>
      </text>
    </comment>
    <comment ref="R14" authorId="2" shapeId="0" xr:uid="{5EB297A8-993B-4247-90E1-A28EDAA83C60}">
      <text>
        <r>
          <rPr>
            <b/>
            <sz val="9"/>
            <color indexed="81"/>
            <rFont val="Tahoma"/>
            <family val="2"/>
          </rPr>
          <t>22</t>
        </r>
      </text>
    </comment>
    <comment ref="S14" authorId="2" shapeId="0" xr:uid="{DD62D879-506F-43CA-9638-5B36892C6F4D}">
      <text>
        <r>
          <rPr>
            <b/>
            <sz val="9"/>
            <color indexed="81"/>
            <rFont val="Tahoma"/>
            <family val="2"/>
          </rPr>
          <t>26</t>
        </r>
      </text>
    </comment>
    <comment ref="T14" authorId="2" shapeId="0" xr:uid="{EA3209CA-A198-46A8-BC31-B611C6BCA0E9}">
      <text>
        <r>
          <rPr>
            <b/>
            <sz val="9"/>
            <color indexed="81"/>
            <rFont val="Tahoma"/>
            <family val="2"/>
          </rPr>
          <t>30</t>
        </r>
      </text>
    </comment>
    <comment ref="U14" authorId="2" shapeId="0" xr:uid="{74301C6F-8AD8-49EC-81CF-0E89C09FCABB}">
      <text>
        <r>
          <rPr>
            <b/>
            <sz val="9"/>
            <color indexed="81"/>
            <rFont val="Tahoma"/>
            <family val="2"/>
          </rPr>
          <t>59</t>
        </r>
      </text>
    </comment>
    <comment ref="V14" authorId="2" shapeId="0" xr:uid="{F25652D1-E11E-4BDF-9889-60940AC0DF20}">
      <text>
        <r>
          <rPr>
            <b/>
            <sz val="9"/>
            <color indexed="81"/>
            <rFont val="Tahoma"/>
            <family val="2"/>
          </rPr>
          <t>69</t>
        </r>
      </text>
    </comment>
    <comment ref="N15" authorId="2" shapeId="0" xr:uid="{E7BC554F-13B9-430D-988E-F5459B763DE8}">
      <text>
        <r>
          <rPr>
            <b/>
            <sz val="9"/>
            <color indexed="81"/>
            <rFont val="Tahoma"/>
            <family val="2"/>
          </rPr>
          <t>7</t>
        </r>
      </text>
    </comment>
    <comment ref="O15" authorId="2" shapeId="0" xr:uid="{A1E1BAA1-5BA5-4B09-A448-C778886ED260}">
      <text>
        <r>
          <rPr>
            <b/>
            <sz val="9"/>
            <color indexed="81"/>
            <rFont val="Tahoma"/>
            <family val="2"/>
          </rPr>
          <t>11</t>
        </r>
      </text>
    </comment>
    <comment ref="P15" authorId="2" shapeId="0" xr:uid="{4F42DA23-3FE7-4A9E-83BA-0F3198A4CA1B}">
      <text>
        <r>
          <rPr>
            <b/>
            <sz val="9"/>
            <color indexed="81"/>
            <rFont val="Tahoma"/>
            <family val="2"/>
          </rPr>
          <t>15</t>
        </r>
      </text>
    </comment>
    <comment ref="Q15" authorId="2" shapeId="0" xr:uid="{4D88DE70-C23F-4376-8CDC-10316363CF1F}">
      <text>
        <r>
          <rPr>
            <b/>
            <sz val="9"/>
            <color indexed="81"/>
            <rFont val="Tahoma"/>
            <family val="2"/>
          </rPr>
          <t>19</t>
        </r>
      </text>
    </comment>
    <comment ref="R15" authorId="2" shapeId="0" xr:uid="{3DFFE725-C1B5-4B0E-9A68-EC5726776FF8}">
      <text>
        <r>
          <rPr>
            <b/>
            <sz val="9"/>
            <color indexed="81"/>
            <rFont val="Tahoma"/>
            <family val="2"/>
          </rPr>
          <t>23</t>
        </r>
      </text>
    </comment>
    <comment ref="S15" authorId="2" shapeId="0" xr:uid="{63A42619-DB38-4B82-B6D5-CDC66921110D}">
      <text>
        <r>
          <rPr>
            <b/>
            <sz val="9"/>
            <color indexed="81"/>
            <rFont val="Tahoma"/>
            <family val="2"/>
          </rPr>
          <t>27</t>
        </r>
      </text>
    </comment>
    <comment ref="T15" authorId="2" shapeId="0" xr:uid="{0063E2BC-DA6E-4B2F-BB46-A03E5C24C577}">
      <text>
        <r>
          <rPr>
            <b/>
            <sz val="9"/>
            <color indexed="81"/>
            <rFont val="Tahoma"/>
            <family val="2"/>
          </rPr>
          <t>31</t>
        </r>
      </text>
    </comment>
    <comment ref="U15" authorId="2" shapeId="0" xr:uid="{F9ADF532-0BF5-4780-B7F7-E6C5EC01EC62}">
      <text>
        <r>
          <rPr>
            <b/>
            <sz val="9"/>
            <color indexed="81"/>
            <rFont val="Tahoma"/>
            <family val="2"/>
          </rPr>
          <t>60</t>
        </r>
      </text>
    </comment>
    <comment ref="V15" authorId="2" shapeId="0" xr:uid="{6C205117-2A75-4278-9598-A7BF176DCE3E}">
      <text>
        <r>
          <rPr>
            <b/>
            <sz val="9"/>
            <color indexed="81"/>
            <rFont val="Tahoma"/>
            <family val="2"/>
          </rPr>
          <t>70</t>
        </r>
      </text>
    </comment>
    <comment ref="N16" authorId="2" shapeId="0" xr:uid="{DFADA659-47AB-4895-95D6-836456C63EB6}">
      <text>
        <r>
          <rPr>
            <b/>
            <sz val="9"/>
            <color indexed="81"/>
            <rFont val="Tahoma"/>
            <family val="2"/>
          </rPr>
          <t>8</t>
        </r>
      </text>
    </comment>
    <comment ref="O16" authorId="2" shapeId="0" xr:uid="{679A0DC6-D992-4DD9-9361-5FAC9E91D756}">
      <text>
        <r>
          <rPr>
            <b/>
            <sz val="9"/>
            <color indexed="81"/>
            <rFont val="Tahoma"/>
            <family val="2"/>
          </rPr>
          <t>12</t>
        </r>
      </text>
    </comment>
    <comment ref="P16" authorId="2" shapeId="0" xr:uid="{E93EBA23-965E-43B0-9E8D-2C5B0324B156}">
      <text>
        <r>
          <rPr>
            <b/>
            <sz val="9"/>
            <color indexed="81"/>
            <rFont val="Tahoma"/>
            <family val="2"/>
          </rPr>
          <t>16</t>
        </r>
      </text>
    </comment>
    <comment ref="Q16" authorId="2" shapeId="0" xr:uid="{C572CCCD-0161-4FC3-B4AE-80A0B1DDF71F}">
      <text>
        <r>
          <rPr>
            <b/>
            <sz val="9"/>
            <color indexed="81"/>
            <rFont val="Tahoma"/>
            <family val="2"/>
          </rPr>
          <t>20</t>
        </r>
      </text>
    </comment>
    <comment ref="R16" authorId="2" shapeId="0" xr:uid="{6A5BFDC2-8724-4499-8C7E-BC08975665C9}">
      <text>
        <r>
          <rPr>
            <b/>
            <sz val="9"/>
            <color indexed="81"/>
            <rFont val="Tahoma"/>
            <family val="2"/>
          </rPr>
          <t>24</t>
        </r>
      </text>
    </comment>
    <comment ref="S16" authorId="2" shapeId="0" xr:uid="{FF90ED52-1756-4BC8-9C70-F9ECD0ACEBCD}">
      <text>
        <r>
          <rPr>
            <b/>
            <sz val="9"/>
            <color indexed="81"/>
            <rFont val="Tahoma"/>
            <family val="2"/>
          </rPr>
          <t>28</t>
        </r>
      </text>
    </comment>
    <comment ref="T16" authorId="2" shapeId="0" xr:uid="{849AF661-4EB0-4817-8EBE-B757E90BD3AE}">
      <text>
        <r>
          <rPr>
            <b/>
            <sz val="9"/>
            <color indexed="81"/>
            <rFont val="Tahoma"/>
            <family val="2"/>
          </rPr>
          <t>32</t>
        </r>
      </text>
    </comment>
    <comment ref="U16" authorId="2" shapeId="0" xr:uid="{F202F553-A2D2-463E-9DE7-B37A6492A333}">
      <text>
        <r>
          <rPr>
            <b/>
            <sz val="9"/>
            <color indexed="81"/>
            <rFont val="Tahoma"/>
            <family val="2"/>
          </rPr>
          <t>61</t>
        </r>
      </text>
    </comment>
    <comment ref="V16" authorId="2" shapeId="0" xr:uid="{C30C4C41-5F80-402F-8E5D-B95671A6E2C8}">
      <text>
        <r>
          <rPr>
            <b/>
            <sz val="9"/>
            <color indexed="81"/>
            <rFont val="Tahoma"/>
            <family val="2"/>
          </rPr>
          <t>71</t>
        </r>
      </text>
    </comment>
    <comment ref="N17" authorId="2" shapeId="0" xr:uid="{B721FE01-F83A-42AA-8A20-1377A2423517}">
      <text>
        <r>
          <rPr>
            <b/>
            <sz val="9"/>
            <color indexed="81"/>
            <rFont val="Tahoma"/>
            <family val="2"/>
          </rPr>
          <t>9</t>
        </r>
      </text>
    </comment>
    <comment ref="O17" authorId="2" shapeId="0" xr:uid="{0B1C0C94-B61C-4D2C-BB59-EF95CA34A775}">
      <text>
        <r>
          <rPr>
            <b/>
            <sz val="9"/>
            <color indexed="81"/>
            <rFont val="Tahoma"/>
            <family val="2"/>
          </rPr>
          <t>13</t>
        </r>
      </text>
    </comment>
    <comment ref="P17" authorId="2" shapeId="0" xr:uid="{242D6883-ABBE-4CC6-BAA1-D6C0A0550DC2}">
      <text>
        <r>
          <rPr>
            <b/>
            <sz val="9"/>
            <color indexed="81"/>
            <rFont val="Tahoma"/>
            <family val="2"/>
          </rPr>
          <t>17</t>
        </r>
      </text>
    </comment>
    <comment ref="Q17" authorId="2" shapeId="0" xr:uid="{E61E0D55-5FBB-4D1E-81BC-E98374A61FBD}">
      <text>
        <r>
          <rPr>
            <b/>
            <sz val="9"/>
            <color indexed="81"/>
            <rFont val="Tahoma"/>
            <family val="2"/>
          </rPr>
          <t>21</t>
        </r>
      </text>
    </comment>
    <comment ref="R17" authorId="2" shapeId="0" xr:uid="{D349DE32-E586-4FB8-A77D-3B5C4426BD92}">
      <text>
        <r>
          <rPr>
            <b/>
            <sz val="9"/>
            <color indexed="81"/>
            <rFont val="Tahoma"/>
            <family val="2"/>
          </rPr>
          <t>25</t>
        </r>
      </text>
    </comment>
    <comment ref="S17" authorId="2" shapeId="0" xr:uid="{B0DB26B1-AF72-4B5E-B01E-8BE7437A5805}">
      <text>
        <r>
          <rPr>
            <b/>
            <sz val="9"/>
            <color indexed="81"/>
            <rFont val="Tahoma"/>
            <family val="2"/>
          </rPr>
          <t>29</t>
        </r>
      </text>
    </comment>
    <comment ref="T17" authorId="2" shapeId="0" xr:uid="{4CC09BB6-7920-4AF3-B970-8B7D51AE7F42}">
      <text>
        <r>
          <rPr>
            <b/>
            <sz val="9"/>
            <color indexed="81"/>
            <rFont val="Tahoma"/>
            <family val="2"/>
          </rPr>
          <t>33</t>
        </r>
      </text>
    </comment>
    <comment ref="U17" authorId="2" shapeId="0" xr:uid="{279C207B-5D23-4281-AC1E-947A90FEBC0E}">
      <text>
        <r>
          <rPr>
            <b/>
            <sz val="9"/>
            <color indexed="81"/>
            <rFont val="Tahoma"/>
            <family val="2"/>
          </rPr>
          <t>62</t>
        </r>
      </text>
    </comment>
    <comment ref="V17" authorId="2" shapeId="0" xr:uid="{2CEB0604-A2D8-4AA3-8C24-CA0A54800799}">
      <text>
        <r>
          <rPr>
            <b/>
            <sz val="9"/>
            <color indexed="81"/>
            <rFont val="Tahoma"/>
            <family val="2"/>
          </rPr>
          <t>72</t>
        </r>
      </text>
    </comment>
    <comment ref="N19" authorId="1" shapeId="0" xr:uid="{4612F015-DA46-4183-89A4-0AA8A4CA678B}">
      <text>
        <r>
          <rPr>
            <b/>
            <sz val="10"/>
            <color indexed="81"/>
            <rFont val="Tahoma"/>
            <family val="2"/>
          </rPr>
          <t>Saldo anual de existencias aportado por el proyecto</t>
        </r>
      </text>
    </comment>
    <comment ref="O19" authorId="1" shapeId="0" xr:uid="{8A0B8853-DF30-4E92-B4AE-77B2946AD3FF}">
      <text>
        <r>
          <rPr>
            <b/>
            <sz val="10"/>
            <color indexed="81"/>
            <rFont val="Tahoma"/>
            <family val="2"/>
          </rPr>
          <t>Saldo anual de clientes (ventas) aportado por el proyecto</t>
        </r>
      </text>
    </comment>
    <comment ref="P19" authorId="1" shapeId="0" xr:uid="{298058EC-E94B-44BE-98E9-092136A40384}">
      <text>
        <r>
          <rPr>
            <b/>
            <sz val="10"/>
            <color indexed="81"/>
            <rFont val="Tahoma"/>
            <family val="2"/>
          </rPr>
          <t>Saldo anual de proveedores (compras) aportado por el proyecto</t>
        </r>
      </text>
    </comment>
    <comment ref="Q19" authorId="1" shapeId="0" xr:uid="{5E5ACB7C-DFD8-48F4-B20B-0F4452D57CB3}">
      <text>
        <r>
          <rPr>
            <b/>
            <sz val="10"/>
            <color indexed="81"/>
            <rFont val="Tahoma"/>
            <family val="2"/>
          </rPr>
          <t>Saldo anual de fondo de maniobra aportado por el proyecto</t>
        </r>
      </text>
    </comment>
    <comment ref="R19" authorId="1" shapeId="0" xr:uid="{C90D1662-030D-46FC-9508-BACBEB99DE98}">
      <text>
        <r>
          <rPr>
            <b/>
            <sz val="10"/>
            <color indexed="81"/>
            <rFont val="Tahoma"/>
            <family val="2"/>
          </rPr>
          <t>Inversión anual en fondo de maniobra exigida por el proyecto</t>
        </r>
      </text>
    </comment>
    <comment ref="N20" authorId="2" shapeId="0" xr:uid="{F9702C1B-1AB2-4A5D-BA57-742223E4420F}">
      <text>
        <r>
          <rPr>
            <b/>
            <sz val="9"/>
            <color indexed="81"/>
            <rFont val="Tahoma"/>
            <family val="2"/>
          </rPr>
          <t>34</t>
        </r>
      </text>
    </comment>
    <comment ref="O20" authorId="2" shapeId="0" xr:uid="{451EC0D5-770A-442E-86F7-803CCB000B7D}">
      <text>
        <r>
          <rPr>
            <b/>
            <sz val="9"/>
            <color indexed="81"/>
            <rFont val="Tahoma"/>
            <family val="2"/>
          </rPr>
          <t>39</t>
        </r>
      </text>
    </comment>
    <comment ref="P20" authorId="2" shapeId="0" xr:uid="{A3934491-D1E5-45F0-B492-FBAF2AF2CC58}">
      <text>
        <r>
          <rPr>
            <b/>
            <sz val="9"/>
            <color indexed="81"/>
            <rFont val="Tahoma"/>
            <family val="2"/>
          </rPr>
          <t>44</t>
        </r>
      </text>
    </comment>
    <comment ref="Q20" authorId="2" shapeId="0" xr:uid="{A4C10F92-8E41-4F94-9C4A-CCDCC628CD55}">
      <text>
        <r>
          <rPr>
            <b/>
            <sz val="9"/>
            <color indexed="81"/>
            <rFont val="Tahoma"/>
            <family val="2"/>
          </rPr>
          <t>49</t>
        </r>
      </text>
    </comment>
    <comment ref="R20" authorId="2" shapeId="0" xr:uid="{882F0F73-1A5F-47B8-958C-3F542D201C21}">
      <text>
        <r>
          <rPr>
            <b/>
            <sz val="9"/>
            <color indexed="81"/>
            <rFont val="Tahoma"/>
            <family val="2"/>
          </rPr>
          <t>54</t>
        </r>
      </text>
    </comment>
    <comment ref="N21" authorId="2" shapeId="0" xr:uid="{F5A45B6E-9753-4F01-AFD7-CB93FAD5AF5F}">
      <text>
        <r>
          <rPr>
            <b/>
            <sz val="9"/>
            <color indexed="81"/>
            <rFont val="Tahoma"/>
            <family val="2"/>
          </rPr>
          <t>35</t>
        </r>
      </text>
    </comment>
    <comment ref="O21" authorId="2" shapeId="0" xr:uid="{E0F60446-832F-461E-BC52-B0897FCAE541}">
      <text>
        <r>
          <rPr>
            <b/>
            <sz val="9"/>
            <color indexed="81"/>
            <rFont val="Tahoma"/>
            <family val="2"/>
          </rPr>
          <t>40</t>
        </r>
      </text>
    </comment>
    <comment ref="P21" authorId="2" shapeId="0" xr:uid="{32019335-3BE5-49BC-B6E9-05CF6EE0CAB5}">
      <text>
        <r>
          <rPr>
            <b/>
            <sz val="9"/>
            <color indexed="81"/>
            <rFont val="Tahoma"/>
            <family val="2"/>
          </rPr>
          <t>45</t>
        </r>
      </text>
    </comment>
    <comment ref="Q21" authorId="2" shapeId="0" xr:uid="{028E73E9-538E-44F8-8C04-43DF603959CF}">
      <text>
        <r>
          <rPr>
            <b/>
            <sz val="9"/>
            <color indexed="81"/>
            <rFont val="Tahoma"/>
            <family val="2"/>
          </rPr>
          <t>50</t>
        </r>
      </text>
    </comment>
    <comment ref="R21" authorId="2" shapeId="0" xr:uid="{14DFAEAE-DA90-46E9-AB94-37EC48CB7454}">
      <text>
        <r>
          <rPr>
            <b/>
            <sz val="9"/>
            <color indexed="81"/>
            <rFont val="Tahoma"/>
            <family val="2"/>
          </rPr>
          <t>55</t>
        </r>
      </text>
    </comment>
    <comment ref="N22" authorId="2" shapeId="0" xr:uid="{08E0B67B-B676-44C2-BA7D-3165C89A1895}">
      <text>
        <r>
          <rPr>
            <b/>
            <sz val="9"/>
            <color indexed="81"/>
            <rFont val="Tahoma"/>
            <family val="2"/>
          </rPr>
          <t>36</t>
        </r>
      </text>
    </comment>
    <comment ref="O22" authorId="2" shapeId="0" xr:uid="{6FD7094A-2869-4DCF-B6B8-40093AE8C829}">
      <text>
        <r>
          <rPr>
            <b/>
            <sz val="9"/>
            <color indexed="81"/>
            <rFont val="Tahoma"/>
            <family val="2"/>
          </rPr>
          <t>41</t>
        </r>
      </text>
    </comment>
    <comment ref="P22" authorId="2" shapeId="0" xr:uid="{60BE5BA0-9246-468B-87EE-E3875B98F956}">
      <text>
        <r>
          <rPr>
            <b/>
            <sz val="9"/>
            <color indexed="81"/>
            <rFont val="Tahoma"/>
            <family val="2"/>
          </rPr>
          <t>46</t>
        </r>
      </text>
    </comment>
    <comment ref="Q22" authorId="2" shapeId="0" xr:uid="{FC73F208-3F73-4AD9-9E1C-788FFB2D32F0}">
      <text>
        <r>
          <rPr>
            <b/>
            <sz val="9"/>
            <color indexed="81"/>
            <rFont val="Tahoma"/>
            <family val="2"/>
          </rPr>
          <t>51</t>
        </r>
      </text>
    </comment>
    <comment ref="R22" authorId="2" shapeId="0" xr:uid="{08C9E8BC-38FD-4E80-A3A7-99E46629DBD3}">
      <text>
        <r>
          <rPr>
            <b/>
            <sz val="9"/>
            <color indexed="81"/>
            <rFont val="Tahoma"/>
            <family val="2"/>
          </rPr>
          <t>56</t>
        </r>
      </text>
    </comment>
    <comment ref="N23" authorId="2" shapeId="0" xr:uid="{6FE6C9A0-FB9D-4C31-B349-9772F6124659}">
      <text>
        <r>
          <rPr>
            <b/>
            <sz val="9"/>
            <color indexed="81"/>
            <rFont val="Tahoma"/>
            <family val="2"/>
          </rPr>
          <t>37</t>
        </r>
      </text>
    </comment>
    <comment ref="O23" authorId="2" shapeId="0" xr:uid="{AB7E862A-5F07-483B-80D3-436289DB7791}">
      <text>
        <r>
          <rPr>
            <b/>
            <sz val="9"/>
            <color indexed="81"/>
            <rFont val="Tahoma"/>
            <family val="2"/>
          </rPr>
          <t>42</t>
        </r>
      </text>
    </comment>
    <comment ref="P23" authorId="2" shapeId="0" xr:uid="{D98F233A-FBFC-45AA-BFAC-ED608B194A36}">
      <text>
        <r>
          <rPr>
            <b/>
            <sz val="9"/>
            <color indexed="81"/>
            <rFont val="Tahoma"/>
            <family val="2"/>
          </rPr>
          <t>47</t>
        </r>
      </text>
    </comment>
    <comment ref="Q23" authorId="2" shapeId="0" xr:uid="{8A3355D9-0F24-4FD8-BED3-0916CF923EBC}">
      <text>
        <r>
          <rPr>
            <b/>
            <sz val="9"/>
            <color indexed="81"/>
            <rFont val="Tahoma"/>
            <family val="2"/>
          </rPr>
          <t>52</t>
        </r>
      </text>
    </comment>
    <comment ref="R23" authorId="2" shapeId="0" xr:uid="{9A0FE16F-231B-4DB9-96F6-743DF396F57F}">
      <text>
        <r>
          <rPr>
            <b/>
            <sz val="9"/>
            <color indexed="81"/>
            <rFont val="Tahoma"/>
            <family val="2"/>
          </rPr>
          <t>57</t>
        </r>
      </text>
    </comment>
    <comment ref="N24" authorId="2" shapeId="0" xr:uid="{73AE95E6-C99D-43BC-82D8-1980E4386C0B}">
      <text>
        <r>
          <rPr>
            <b/>
            <sz val="9"/>
            <color indexed="81"/>
            <rFont val="Tahoma"/>
            <family val="2"/>
          </rPr>
          <t>38</t>
        </r>
      </text>
    </comment>
    <comment ref="O24" authorId="2" shapeId="0" xr:uid="{E28BBD71-0DEC-4511-B689-A39BF2AABB4C}">
      <text>
        <r>
          <rPr>
            <b/>
            <sz val="9"/>
            <color indexed="81"/>
            <rFont val="Tahoma"/>
            <family val="2"/>
          </rPr>
          <t>43</t>
        </r>
      </text>
    </comment>
    <comment ref="P24" authorId="2" shapeId="0" xr:uid="{8AA1377B-6EEA-4EB5-AA87-47A9AC246AA8}">
      <text>
        <r>
          <rPr>
            <b/>
            <sz val="9"/>
            <color indexed="81"/>
            <rFont val="Tahoma"/>
            <family val="2"/>
          </rPr>
          <t>48</t>
        </r>
      </text>
    </comment>
    <comment ref="Q24" authorId="2" shapeId="0" xr:uid="{264C9DAF-9D3C-4CF2-A989-CE7A4F34636E}">
      <text>
        <r>
          <rPr>
            <b/>
            <sz val="9"/>
            <color indexed="81"/>
            <rFont val="Tahoma"/>
            <family val="2"/>
          </rPr>
          <t>53</t>
        </r>
      </text>
    </comment>
    <comment ref="R24" authorId="2" shapeId="0" xr:uid="{4CC4E517-6288-4199-8297-DE3870AB940B}">
      <text>
        <r>
          <rPr>
            <b/>
            <sz val="9"/>
            <color indexed="81"/>
            <rFont val="Tahoma"/>
            <family val="2"/>
          </rPr>
          <t>58</t>
        </r>
      </text>
    </comment>
    <comment ref="P28" authorId="2" shapeId="0" xr:uid="{0E7D36E3-E65C-45BE-80FD-AAB9D5ECB095}">
      <text>
        <r>
          <rPr>
            <b/>
            <sz val="9"/>
            <color indexed="81"/>
            <rFont val="Tahoma"/>
            <family val="2"/>
          </rPr>
          <t>1</t>
        </r>
      </text>
    </comment>
    <comment ref="T28" authorId="2" shapeId="0" xr:uid="{B955F0CB-67EC-449D-B000-5F34272FB012}">
      <text>
        <r>
          <rPr>
            <b/>
            <sz val="9"/>
            <color indexed="81"/>
            <rFont val="Tahoma"/>
            <family val="2"/>
          </rPr>
          <t>63</t>
        </r>
      </text>
    </comment>
    <comment ref="P29" authorId="2" shapeId="0" xr:uid="{8FF56881-7681-4EE2-A8E7-3B31A71B4B8D}">
      <text>
        <r>
          <rPr>
            <b/>
            <sz val="9"/>
            <color indexed="81"/>
            <rFont val="Tahoma"/>
            <family val="2"/>
          </rPr>
          <t>2</t>
        </r>
      </text>
    </comment>
    <comment ref="T29" authorId="2" shapeId="0" xr:uid="{3BF7E615-D21E-4488-9DDF-7789729FC903}">
      <text>
        <r>
          <rPr>
            <b/>
            <sz val="9"/>
            <color indexed="81"/>
            <rFont val="Tahoma"/>
            <family val="2"/>
          </rPr>
          <t>64</t>
        </r>
      </text>
    </comment>
    <comment ref="V29" authorId="1" shapeId="0" xr:uid="{43311672-A2B1-4D69-9B0F-904FFB83BEF1}">
      <text>
        <r>
          <rPr>
            <b/>
            <sz val="10"/>
            <color indexed="81"/>
            <rFont val="Tahoma"/>
            <family val="2"/>
          </rPr>
          <t>Tipo de descuento aplicable (rentabilidad exigida al proyecto)</t>
        </r>
      </text>
    </comment>
    <comment ref="W29" authorId="2" shapeId="0" xr:uid="{B42F8B5D-8B9A-4111-9B52-656AFEFEC4AA}">
      <text>
        <r>
          <rPr>
            <b/>
            <sz val="9"/>
            <color indexed="81"/>
            <rFont val="Tahoma"/>
            <family val="2"/>
          </rPr>
          <t>73</t>
        </r>
      </text>
    </comment>
    <comment ref="P30" authorId="2" shapeId="0" xr:uid="{13228058-3726-4FBD-946E-EE3839121D20}">
      <text>
        <r>
          <rPr>
            <b/>
            <sz val="9"/>
            <color indexed="81"/>
            <rFont val="Tahoma"/>
            <family val="2"/>
          </rPr>
          <t>3</t>
        </r>
      </text>
    </comment>
    <comment ref="T30" authorId="2" shapeId="0" xr:uid="{AFA966CC-78E7-48E5-83FA-8E671C09508E}">
      <text>
        <r>
          <rPr>
            <b/>
            <sz val="9"/>
            <color indexed="81"/>
            <rFont val="Tahoma"/>
            <family val="2"/>
          </rPr>
          <t>65</t>
        </r>
      </text>
    </comment>
    <comment ref="P31" authorId="2" shapeId="0" xr:uid="{6B7ECF2A-BFDC-4CA7-8ECE-E85525C47AAB}">
      <text>
        <r>
          <rPr>
            <b/>
            <sz val="9"/>
            <color indexed="81"/>
            <rFont val="Tahoma"/>
            <family val="2"/>
          </rPr>
          <t>4</t>
        </r>
      </text>
    </comment>
    <comment ref="T31" authorId="2" shapeId="0" xr:uid="{511EE1FB-2ACF-4F91-9D96-9821BD11F9EC}">
      <text>
        <r>
          <rPr>
            <b/>
            <sz val="9"/>
            <color indexed="81"/>
            <rFont val="Tahoma"/>
            <family val="2"/>
          </rPr>
          <t>66</t>
        </r>
      </text>
    </comment>
    <comment ref="V32" authorId="1" shapeId="0" xr:uid="{8397E26A-56AC-4167-B0D0-D18FC7AF8701}">
      <text>
        <r>
          <rPr>
            <b/>
            <sz val="10"/>
            <color indexed="81"/>
            <rFont val="Tahoma"/>
            <family val="2"/>
          </rPr>
          <t>Valor actualizado neto aportado por el proyecto</t>
        </r>
      </text>
    </comment>
    <comment ref="W32" authorId="2" shapeId="0" xr:uid="{6E216EA1-6230-4C7C-AB6E-7912937BAFE1}">
      <text>
        <r>
          <rPr>
            <b/>
            <sz val="9"/>
            <color indexed="81"/>
            <rFont val="Tahoma"/>
            <family val="2"/>
          </rPr>
          <t>74</t>
        </r>
      </text>
    </comment>
    <comment ref="N33" authorId="1" shapeId="0" xr:uid="{DBCB56D4-E38B-4269-9051-88D0714B86AA}">
      <text>
        <r>
          <rPr>
            <b/>
            <sz val="10"/>
            <color indexed="81"/>
            <rFont val="Tahoma"/>
            <family val="2"/>
          </rPr>
          <t>Impacto en caja en el momento cero provocado por la realización del proyecto</t>
        </r>
      </text>
    </comment>
    <comment ref="P33" authorId="2" shapeId="0" xr:uid="{44CB281E-5062-4533-AE6A-789DCDAB02D9}">
      <text>
        <r>
          <rPr>
            <b/>
            <sz val="9"/>
            <color indexed="81"/>
            <rFont val="Tahoma"/>
            <family val="2"/>
          </rPr>
          <t>5</t>
        </r>
      </text>
    </comment>
    <comment ref="R33" authorId="1" shapeId="0" xr:uid="{024D982F-DF8F-4254-BC58-2CEDED9095B5}">
      <text>
        <r>
          <rPr>
            <b/>
            <sz val="10"/>
            <color indexed="81"/>
            <rFont val="Tahoma"/>
            <family val="2"/>
          </rPr>
          <t>Impacto en caja provocado por la liquidación de los activos asociados al proyecto al final del cuarto año</t>
        </r>
      </text>
    </comment>
    <comment ref="T33" authorId="2" shapeId="0" xr:uid="{8F18A278-8529-4CBC-9F7B-6FEE2AB366F4}">
      <text>
        <r>
          <rPr>
            <b/>
            <sz val="9"/>
            <color indexed="81"/>
            <rFont val="Tahoma"/>
            <family val="2"/>
          </rPr>
          <t>67</t>
        </r>
      </text>
    </comment>
    <comment ref="V33" authorId="1" shapeId="0" xr:uid="{A7646CAE-3DD6-4C36-8BA0-30ECD679D3A5}">
      <text>
        <r>
          <rPr>
            <b/>
            <sz val="10"/>
            <color indexed="81"/>
            <rFont val="Tahoma"/>
            <family val="2"/>
          </rPr>
          <t>Tasa de rentabilidad interna del proyecto</t>
        </r>
      </text>
    </comment>
    <comment ref="W33" authorId="2" shapeId="0" xr:uid="{B54515BA-F87A-4848-9BBE-5130A4C644EB}">
      <text>
        <r>
          <rPr>
            <b/>
            <sz val="9"/>
            <color indexed="81"/>
            <rFont val="Tahoma"/>
            <family val="2"/>
          </rPr>
          <t>75</t>
        </r>
      </text>
    </comment>
    <comment ref="T37" authorId="2" shapeId="0" xr:uid="{2FAE8B72-196B-451C-9386-F3AFBA1307DF}">
      <text>
        <r>
          <rPr>
            <b/>
            <sz val="10"/>
            <color indexed="81"/>
            <rFont val="Tahoma"/>
            <family val="2"/>
          </rPr>
          <t>Sitúa el cursor encima de la celdilla de la que deseas explicación para conocer el código asociado e introdúcelo aquí.
Debe ser un número entero entre 1 y 75</t>
        </r>
      </text>
    </comment>
    <comment ref="X37" authorId="2" shapeId="0" xr:uid="{40FF98ED-D41D-4B94-A4C1-1FF4BF5F5B73}">
      <text>
        <r>
          <rPr>
            <b/>
            <sz val="10"/>
            <color indexed="81"/>
            <rFont val="Tahoma"/>
            <family val="2"/>
          </rPr>
          <t xml:space="preserve">
Códigos:</t>
        </r>
        <r>
          <rPr>
            <b/>
            <sz val="9"/>
            <color indexed="81"/>
            <rFont val="Tahoma"/>
            <family val="2"/>
          </rPr>
          <t xml:space="preserve">
</t>
        </r>
        <r>
          <rPr>
            <sz val="9"/>
            <color indexed="81"/>
            <rFont val="Tahoma"/>
            <family val="2"/>
          </rPr>
          <t xml:space="preserve">
</t>
        </r>
        <r>
          <rPr>
            <b/>
            <sz val="10"/>
            <color indexed="81"/>
            <rFont val="Tahoma"/>
            <family val="2"/>
          </rPr>
          <t xml:space="preserve"> 1    Planteamiento general
 2    Desembolso inicial
 3    Amortización de inmovilizados
 4    Existencias
 5    Valor residual
 6    Decisión final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author>
    <author>santibañez gruber francisco javier</author>
  </authors>
  <commentList>
    <comment ref="H3" authorId="0" shapeId="0" xr:uid="{A631987B-8C7A-4A36-80A1-310858E3E32A}">
      <text>
        <r>
          <rPr>
            <b/>
            <sz val="9"/>
            <color indexed="81"/>
            <rFont val="Tahoma"/>
            <family val="2"/>
          </rPr>
          <t>Incremento anual de ventas que aporta la sustitución</t>
        </r>
      </text>
    </comment>
    <comment ref="I3" authorId="0" shapeId="0" xr:uid="{4D8F7543-9CCB-4F2C-8E65-321F31D851AE}">
      <text>
        <r>
          <rPr>
            <b/>
            <sz val="9"/>
            <color indexed="81"/>
            <rFont val="Tahoma"/>
            <family val="2"/>
          </rPr>
          <t>Incremento anual de costes operativos con desembolso que aporta la sustitución</t>
        </r>
      </text>
    </comment>
    <comment ref="J3" authorId="0" shapeId="0" xr:uid="{1A161428-8A88-4679-AD0F-A8CAFA351F63}">
      <text>
        <r>
          <rPr>
            <b/>
            <sz val="9"/>
            <color indexed="81"/>
            <rFont val="Tahoma"/>
            <family val="2"/>
          </rPr>
          <t>Incremento anual de las amortizaciones de inmovilizados que aporta la sustitución</t>
        </r>
      </text>
    </comment>
    <comment ref="K3" authorId="0" shapeId="0" xr:uid="{63867AE4-68C4-44F0-B1F4-07B0572CB73B}">
      <text>
        <r>
          <rPr>
            <b/>
            <sz val="9"/>
            <color indexed="81"/>
            <rFont val="Tahoma"/>
            <family val="2"/>
          </rPr>
          <t>Incremento anual de beneficio antes de intereses e impuestos</t>
        </r>
      </text>
    </comment>
    <comment ref="L3" authorId="0" shapeId="0" xr:uid="{06D9A65F-E09C-4990-92FB-3BB7BCCD9219}">
      <text>
        <r>
          <rPr>
            <b/>
            <sz val="9"/>
            <color indexed="81"/>
            <rFont val="Tahoma"/>
            <family val="2"/>
          </rPr>
          <t>Incremento anual de impuestos (Impuesto de sociedades)</t>
        </r>
      </text>
    </comment>
    <comment ref="M3" authorId="0" shapeId="0" xr:uid="{38899500-7414-4CCB-8F97-5ABFD138FE1F}">
      <text>
        <r>
          <rPr>
            <b/>
            <sz val="9"/>
            <color indexed="81"/>
            <rFont val="Tahoma"/>
            <family val="2"/>
          </rPr>
          <t>Incremento anual de beneficio antes de intereses y después de impuestos</t>
        </r>
      </text>
    </comment>
    <comment ref="N3" authorId="0" shapeId="0" xr:uid="{11C6CB59-F7F1-4414-9000-832C4924E61D}">
      <text>
        <r>
          <rPr>
            <b/>
            <sz val="9"/>
            <color indexed="81"/>
            <rFont val="Tahoma"/>
            <family val="2"/>
          </rPr>
          <t>Incremento de caja anual generado por la sustitución, antes de considerar las inversiones en fondo de maniobra</t>
        </r>
      </text>
    </comment>
    <comment ref="O3" authorId="0" shapeId="0" xr:uid="{8E2937FC-FF47-400E-9C52-70971CFE126C}">
      <text>
        <r>
          <rPr>
            <b/>
            <sz val="9"/>
            <color indexed="81"/>
            <rFont val="Tahoma"/>
            <family val="2"/>
          </rPr>
          <t>Flujo de caja operativo anual incremental que aporta la sustitución (es decir, sin considerar el desembolso inicial ni el valor residual)</t>
        </r>
      </text>
    </comment>
    <comment ref="P3" authorId="0" shapeId="0" xr:uid="{EC5E27EF-06DA-480A-8D71-6EBFEAA2237F}">
      <text>
        <r>
          <rPr>
            <b/>
            <sz val="9"/>
            <color indexed="81"/>
            <rFont val="Tahoma"/>
            <family val="2"/>
          </rPr>
          <t>Impacto anual en caja del proyecto: Generaciones de fondos anuales que incluyen el desembolso inicial y el valor residual</t>
        </r>
      </text>
    </comment>
    <comment ref="P4" authorId="1" shapeId="0" xr:uid="{4FDB29F4-CBC2-43D0-8B6A-A97E7DA39248}">
      <text>
        <r>
          <rPr>
            <b/>
            <sz val="9"/>
            <color indexed="81"/>
            <rFont val="Tahoma"/>
            <family val="2"/>
          </rPr>
          <t>41</t>
        </r>
      </text>
    </comment>
    <comment ref="H5" authorId="1" shapeId="0" xr:uid="{51EECA1A-EE10-4319-BB07-092A7A0DF3CD}">
      <text>
        <r>
          <rPr>
            <b/>
            <sz val="9"/>
            <color indexed="81"/>
            <rFont val="Tahoma"/>
            <family val="2"/>
          </rPr>
          <t>2</t>
        </r>
      </text>
    </comment>
    <comment ref="I5" authorId="1" shapeId="0" xr:uid="{70F855AC-234C-446F-BAA0-32FC78B9C2EF}">
      <text>
        <r>
          <rPr>
            <b/>
            <sz val="9"/>
            <color indexed="81"/>
            <rFont val="Tahoma"/>
            <family val="2"/>
          </rPr>
          <t>5</t>
        </r>
      </text>
    </comment>
    <comment ref="J5" authorId="1" shapeId="0" xr:uid="{BBF17CEC-5DE5-4363-981E-110024FC8833}">
      <text>
        <r>
          <rPr>
            <b/>
            <sz val="9"/>
            <color indexed="81"/>
            <rFont val="Tahoma"/>
            <family val="2"/>
          </rPr>
          <t>8</t>
        </r>
      </text>
    </comment>
    <comment ref="K5" authorId="1" shapeId="0" xr:uid="{0E012B6D-268D-4F48-A1BD-2C427A0AC750}">
      <text>
        <r>
          <rPr>
            <b/>
            <sz val="9"/>
            <color indexed="81"/>
            <rFont val="Tahoma"/>
            <family val="2"/>
          </rPr>
          <t>11</t>
        </r>
      </text>
    </comment>
    <comment ref="L5" authorId="1" shapeId="0" xr:uid="{AC216F98-385D-48A9-A7A6-0F6B886E4F6E}">
      <text>
        <r>
          <rPr>
            <b/>
            <sz val="9"/>
            <color indexed="81"/>
            <rFont val="Tahoma"/>
            <family val="2"/>
          </rPr>
          <t>14</t>
        </r>
      </text>
    </comment>
    <comment ref="M5" authorId="1" shapeId="0" xr:uid="{8F69FA5B-D98C-4A98-946A-AE0F9300E7E2}">
      <text>
        <r>
          <rPr>
            <b/>
            <sz val="9"/>
            <color indexed="81"/>
            <rFont val="Tahoma"/>
            <family val="2"/>
          </rPr>
          <t>17</t>
        </r>
      </text>
    </comment>
    <comment ref="N5" authorId="1" shapeId="0" xr:uid="{7E7052F1-E756-443F-831C-CEFC6764941A}">
      <text>
        <r>
          <rPr>
            <b/>
            <sz val="9"/>
            <color indexed="81"/>
            <rFont val="Tahoma"/>
            <family val="2"/>
          </rPr>
          <t>20</t>
        </r>
      </text>
    </comment>
    <comment ref="O5" authorId="1" shapeId="0" xr:uid="{FC61B6BF-0FB6-4BE4-A53E-6FDBCDF21A2A}">
      <text>
        <r>
          <rPr>
            <b/>
            <sz val="9"/>
            <color indexed="81"/>
            <rFont val="Tahoma"/>
            <family val="2"/>
          </rPr>
          <t>35</t>
        </r>
      </text>
    </comment>
    <comment ref="P5" authorId="1" shapeId="0" xr:uid="{B4340CC2-CD44-4C63-812A-8BDB0327C899}">
      <text>
        <r>
          <rPr>
            <b/>
            <sz val="9"/>
            <color indexed="81"/>
            <rFont val="Tahoma"/>
            <family val="2"/>
          </rPr>
          <t>42</t>
        </r>
      </text>
    </comment>
    <comment ref="H6" authorId="1" shapeId="0" xr:uid="{8906BC89-DD70-48A9-AB47-5203CC56169D}">
      <text>
        <r>
          <rPr>
            <b/>
            <sz val="9"/>
            <color indexed="81"/>
            <rFont val="Tahoma"/>
            <family val="2"/>
          </rPr>
          <t>3</t>
        </r>
      </text>
    </comment>
    <comment ref="I6" authorId="1" shapeId="0" xr:uid="{4361C3BC-34E7-486E-9ACB-2EEBAE7F6961}">
      <text>
        <r>
          <rPr>
            <b/>
            <sz val="9"/>
            <color indexed="81"/>
            <rFont val="Tahoma"/>
            <family val="2"/>
          </rPr>
          <t>6</t>
        </r>
      </text>
    </comment>
    <comment ref="J6" authorId="1" shapeId="0" xr:uid="{0A6E3851-779F-4A19-8EFA-EF76FB9BD512}">
      <text>
        <r>
          <rPr>
            <b/>
            <sz val="9"/>
            <color indexed="81"/>
            <rFont val="Tahoma"/>
            <family val="2"/>
          </rPr>
          <t>9</t>
        </r>
      </text>
    </comment>
    <comment ref="K6" authorId="1" shapeId="0" xr:uid="{D512DE37-8F97-489D-A5C9-DFB8C9B2419F}">
      <text>
        <r>
          <rPr>
            <b/>
            <sz val="9"/>
            <color indexed="81"/>
            <rFont val="Tahoma"/>
            <family val="2"/>
          </rPr>
          <t>12</t>
        </r>
      </text>
    </comment>
    <comment ref="L6" authorId="1" shapeId="0" xr:uid="{C5509F59-5A71-4A3B-BAEC-27587117D40B}">
      <text>
        <r>
          <rPr>
            <b/>
            <sz val="9"/>
            <color indexed="81"/>
            <rFont val="Tahoma"/>
            <family val="2"/>
          </rPr>
          <t>15</t>
        </r>
      </text>
    </comment>
    <comment ref="M6" authorId="1" shapeId="0" xr:uid="{7118F04F-EAF6-412B-97B2-AA69461A9DF2}">
      <text>
        <r>
          <rPr>
            <b/>
            <sz val="9"/>
            <color indexed="81"/>
            <rFont val="Tahoma"/>
            <family val="2"/>
          </rPr>
          <t>18</t>
        </r>
      </text>
    </comment>
    <comment ref="N6" authorId="1" shapeId="0" xr:uid="{1A3B9FC5-74C1-4FF3-B0AF-8AFE107B24B4}">
      <text>
        <r>
          <rPr>
            <b/>
            <sz val="9"/>
            <color indexed="81"/>
            <rFont val="Tahoma"/>
            <family val="2"/>
          </rPr>
          <t>21</t>
        </r>
      </text>
    </comment>
    <comment ref="O6" authorId="1" shapeId="0" xr:uid="{BB10A799-2299-4140-829D-E9724D402D7E}">
      <text>
        <r>
          <rPr>
            <b/>
            <sz val="9"/>
            <color indexed="81"/>
            <rFont val="Tahoma"/>
            <family val="2"/>
          </rPr>
          <t>36</t>
        </r>
      </text>
    </comment>
    <comment ref="P6" authorId="1" shapeId="0" xr:uid="{C1AD8024-CC67-4747-99FB-031DB0A38500}">
      <text>
        <r>
          <rPr>
            <b/>
            <sz val="9"/>
            <color indexed="81"/>
            <rFont val="Tahoma"/>
            <family val="2"/>
          </rPr>
          <t>43</t>
        </r>
      </text>
    </comment>
    <comment ref="H7" authorId="1" shapeId="0" xr:uid="{E3A46E21-B297-451F-A7E4-C9B1AB52237A}">
      <text>
        <r>
          <rPr>
            <b/>
            <sz val="9"/>
            <color indexed="81"/>
            <rFont val="Tahoma"/>
            <family val="2"/>
          </rPr>
          <t>4</t>
        </r>
      </text>
    </comment>
    <comment ref="I7" authorId="1" shapeId="0" xr:uid="{2C4421C5-61A0-4970-BC22-1B3B14C7A281}">
      <text>
        <r>
          <rPr>
            <b/>
            <sz val="9"/>
            <color indexed="81"/>
            <rFont val="Tahoma"/>
            <family val="2"/>
          </rPr>
          <t>7</t>
        </r>
      </text>
    </comment>
    <comment ref="J7" authorId="1" shapeId="0" xr:uid="{8659FE38-8614-4DBB-BB0D-E63BA7BA19B6}">
      <text>
        <r>
          <rPr>
            <b/>
            <sz val="9"/>
            <color indexed="81"/>
            <rFont val="Tahoma"/>
            <family val="2"/>
          </rPr>
          <t>10</t>
        </r>
      </text>
    </comment>
    <comment ref="K7" authorId="1" shapeId="0" xr:uid="{6EF602E9-4018-4A78-BB31-DCF454C08EC8}">
      <text>
        <r>
          <rPr>
            <b/>
            <sz val="9"/>
            <color indexed="81"/>
            <rFont val="Tahoma"/>
            <family val="2"/>
          </rPr>
          <t>13</t>
        </r>
      </text>
    </comment>
    <comment ref="L7" authorId="1" shapeId="0" xr:uid="{CCA9DDF2-0D13-47F2-BE4A-42B580C8C130}">
      <text>
        <r>
          <rPr>
            <b/>
            <sz val="9"/>
            <color indexed="81"/>
            <rFont val="Tahoma"/>
            <family val="2"/>
          </rPr>
          <t>16</t>
        </r>
      </text>
    </comment>
    <comment ref="M7" authorId="1" shapeId="0" xr:uid="{7714324E-8F99-4962-B30E-DF36D111EEB4}">
      <text>
        <r>
          <rPr>
            <b/>
            <sz val="9"/>
            <color indexed="81"/>
            <rFont val="Tahoma"/>
            <family val="2"/>
          </rPr>
          <t>19</t>
        </r>
      </text>
    </comment>
    <comment ref="N7" authorId="1" shapeId="0" xr:uid="{0BEAE218-B774-42CA-8003-417B8A101AB8}">
      <text>
        <r>
          <rPr>
            <b/>
            <sz val="9"/>
            <color indexed="81"/>
            <rFont val="Tahoma"/>
            <family val="2"/>
          </rPr>
          <t>22</t>
        </r>
      </text>
    </comment>
    <comment ref="O7" authorId="1" shapeId="0" xr:uid="{611E7E20-DEDC-4BEF-A1E0-210677B0C833}">
      <text>
        <r>
          <rPr>
            <b/>
            <sz val="9"/>
            <color indexed="81"/>
            <rFont val="Tahoma"/>
            <family val="2"/>
          </rPr>
          <t>37</t>
        </r>
      </text>
    </comment>
    <comment ref="P7" authorId="1" shapeId="0" xr:uid="{198B91BA-AA93-47BE-8853-374693022A95}">
      <text>
        <r>
          <rPr>
            <b/>
            <sz val="9"/>
            <color indexed="81"/>
            <rFont val="Tahoma"/>
            <family val="2"/>
          </rPr>
          <t>44</t>
        </r>
      </text>
    </comment>
    <comment ref="H9" authorId="0" shapeId="0" xr:uid="{790F3D35-7883-475C-A2B3-87F286388131}">
      <text>
        <r>
          <rPr>
            <b/>
            <sz val="9"/>
            <color indexed="81"/>
            <rFont val="Tahoma"/>
            <family val="2"/>
          </rPr>
          <t>Saldo de clientes generado por el proyecto (parte de las ventas anuales incrementales no cobradas al final de año)</t>
        </r>
      </text>
    </comment>
    <comment ref="I9" authorId="0" shapeId="0" xr:uid="{737910A4-10E1-4819-8FD9-600D761FCDD1}">
      <text>
        <r>
          <rPr>
            <b/>
            <sz val="9"/>
            <color indexed="81"/>
            <rFont val="Tahoma"/>
            <family val="2"/>
          </rPr>
          <t>Saldo de proveedores generado por el proyecto (parte de los costes operativos con desembolso anuales incrementales no pagados al final de año)</t>
        </r>
      </text>
    </comment>
    <comment ref="J9" authorId="0" shapeId="0" xr:uid="{57F6ADE1-AC1F-434C-AC3D-2613020D1868}">
      <text>
        <r>
          <rPr>
            <b/>
            <sz val="9"/>
            <color indexed="81"/>
            <rFont val="Tahoma"/>
            <family val="2"/>
          </rPr>
          <t>Saldo anual de fondo de maniobra generado por el proyecto</t>
        </r>
      </text>
    </comment>
    <comment ref="K9" authorId="0" shapeId="0" xr:uid="{10F3BC3F-13D6-44CF-BE77-69311554F708}">
      <text>
        <r>
          <rPr>
            <b/>
            <sz val="9"/>
            <color indexed="81"/>
            <rFont val="Tahoma"/>
            <family val="2"/>
          </rPr>
          <t>Inversión anual en fondo de maniobra exigida por el proyecto</t>
        </r>
      </text>
    </comment>
    <comment ref="M10" authorId="0" shapeId="0" xr:uid="{73B2AE50-B837-4829-8AE3-892246A64D3D}">
      <text>
        <r>
          <rPr>
            <b/>
            <sz val="9"/>
            <color indexed="81"/>
            <rFont val="Tahoma"/>
            <family val="2"/>
          </rPr>
          <t>Desembolso inicial: inversión exigida por el proyecto en el momento cero</t>
        </r>
      </text>
    </comment>
    <comment ref="N10" authorId="1" shapeId="0" xr:uid="{98F309C8-17AC-48C0-9F90-269CBA717CBD}">
      <text>
        <r>
          <rPr>
            <b/>
            <sz val="9"/>
            <color indexed="81"/>
            <rFont val="Tahoma"/>
            <family val="2"/>
          </rPr>
          <t>1</t>
        </r>
      </text>
    </comment>
    <comment ref="O10" authorId="0" shapeId="0" xr:uid="{BC727BFB-90B7-49AB-AD9E-ADF5D288C886}">
      <text>
        <r>
          <rPr>
            <b/>
            <sz val="9"/>
            <color indexed="81"/>
            <rFont val="Tahoma"/>
            <family val="2"/>
          </rPr>
          <t>Coste de los fondos ajenos:
Intereses x (1-t) / FALP</t>
        </r>
      </text>
    </comment>
    <comment ref="P10" authorId="1" shapeId="0" xr:uid="{98D0A22E-051E-4BBE-A3F8-5D2CD75CF3D7}">
      <text>
        <r>
          <rPr>
            <b/>
            <sz val="9"/>
            <color indexed="81"/>
            <rFont val="Tahoma"/>
            <family val="2"/>
          </rPr>
          <t>45</t>
        </r>
      </text>
    </comment>
    <comment ref="H11" authorId="1" shapeId="0" xr:uid="{BEA8F66E-69B1-4DD4-BAA1-B5A3487B8822}">
      <text>
        <r>
          <rPr>
            <b/>
            <sz val="9"/>
            <color indexed="81"/>
            <rFont val="Tahoma"/>
            <family val="2"/>
          </rPr>
          <t>23</t>
        </r>
      </text>
    </comment>
    <comment ref="I11" authorId="1" shapeId="0" xr:uid="{01F49CC2-3E90-470B-AAC3-C2489A1AA95D}">
      <text>
        <r>
          <rPr>
            <b/>
            <sz val="9"/>
            <color indexed="81"/>
            <rFont val="Tahoma"/>
            <family val="2"/>
          </rPr>
          <t>26</t>
        </r>
      </text>
    </comment>
    <comment ref="J11" authorId="1" shapeId="0" xr:uid="{4B9D02FE-B3B3-4D8C-9C5B-F7DC41F9A36E}">
      <text>
        <r>
          <rPr>
            <b/>
            <sz val="9"/>
            <color indexed="81"/>
            <rFont val="Tahoma"/>
            <family val="2"/>
          </rPr>
          <t>29</t>
        </r>
      </text>
    </comment>
    <comment ref="K11" authorId="1" shapeId="0" xr:uid="{42490A50-66B1-4211-85D3-FCE7C6834C36}">
      <text>
        <r>
          <rPr>
            <b/>
            <sz val="9"/>
            <color indexed="81"/>
            <rFont val="Tahoma"/>
            <family val="2"/>
          </rPr>
          <t>32</t>
        </r>
      </text>
    </comment>
    <comment ref="M11" authorId="0" shapeId="0" xr:uid="{720C2972-83B4-4AC9-A106-FF257C808402}">
      <text>
        <r>
          <rPr>
            <b/>
            <sz val="9"/>
            <color indexed="81"/>
            <rFont val="Tahoma"/>
            <family val="2"/>
          </rPr>
          <t>Valor residual incremental generado por la liquidación del inmovilizado al final del proyecto</t>
        </r>
      </text>
    </comment>
    <comment ref="N11" authorId="1" shapeId="0" xr:uid="{7B9072FE-502B-455E-B84A-BD64450DE5F9}">
      <text>
        <r>
          <rPr>
            <b/>
            <sz val="9"/>
            <color indexed="81"/>
            <rFont val="Tahoma"/>
            <family val="2"/>
          </rPr>
          <t>38</t>
        </r>
      </text>
    </comment>
    <comment ref="O11" authorId="0" shapeId="0" xr:uid="{2AD1F6E6-4C4C-4244-A43C-05EB435E577A}">
      <text>
        <r>
          <rPr>
            <b/>
            <sz val="9"/>
            <color indexed="81"/>
            <rFont val="Tahoma"/>
            <family val="2"/>
          </rPr>
          <t>Coste de los fondos propios:
Dividendo / FP + Crecimiento dividendo</t>
        </r>
      </text>
    </comment>
    <comment ref="P11" authorId="1" shapeId="0" xr:uid="{015181EB-278A-400B-845F-34BB5E3188F9}">
      <text>
        <r>
          <rPr>
            <b/>
            <sz val="9"/>
            <color indexed="81"/>
            <rFont val="Tahoma"/>
            <family val="2"/>
          </rPr>
          <t>46</t>
        </r>
      </text>
    </comment>
    <comment ref="H12" authorId="1" shapeId="0" xr:uid="{7E1A8BC6-413F-4269-92D6-71457607F317}">
      <text>
        <r>
          <rPr>
            <b/>
            <sz val="9"/>
            <color indexed="81"/>
            <rFont val="Tahoma"/>
            <family val="2"/>
          </rPr>
          <t>24</t>
        </r>
      </text>
    </comment>
    <comment ref="I12" authorId="1" shapeId="0" xr:uid="{51194DE6-A3F7-437F-98A9-084A4346C3C6}">
      <text>
        <r>
          <rPr>
            <b/>
            <sz val="9"/>
            <color indexed="81"/>
            <rFont val="Tahoma"/>
            <family val="2"/>
          </rPr>
          <t>27</t>
        </r>
      </text>
    </comment>
    <comment ref="J12" authorId="1" shapeId="0" xr:uid="{CB03AAC8-FD12-4FDC-AFA6-F1234CE66CCD}">
      <text>
        <r>
          <rPr>
            <b/>
            <sz val="9"/>
            <color indexed="81"/>
            <rFont val="Tahoma"/>
            <family val="2"/>
          </rPr>
          <t>30</t>
        </r>
      </text>
    </comment>
    <comment ref="K12" authorId="1" shapeId="0" xr:uid="{DE70383A-9909-4E36-A7FE-E95A017CA22F}">
      <text>
        <r>
          <rPr>
            <b/>
            <sz val="9"/>
            <color indexed="81"/>
            <rFont val="Tahoma"/>
            <family val="2"/>
          </rPr>
          <t>33</t>
        </r>
      </text>
    </comment>
    <comment ref="M12" authorId="0" shapeId="0" xr:uid="{60F5CCB9-014B-4F92-B11B-6455D4FFAADF}">
      <text>
        <r>
          <rPr>
            <b/>
            <sz val="9"/>
            <color indexed="81"/>
            <rFont val="Tahoma"/>
            <family val="2"/>
          </rPr>
          <t>Valor residual generado por la liquidación del fondo de maniobra incremental al final del proyecto</t>
        </r>
      </text>
    </comment>
    <comment ref="N12" authorId="1" shapeId="0" xr:uid="{C76E9D6C-9DB3-42B8-977F-A3F84639DFA2}">
      <text>
        <r>
          <rPr>
            <b/>
            <sz val="9"/>
            <color indexed="81"/>
            <rFont val="Tahoma"/>
            <family val="2"/>
          </rPr>
          <t>39</t>
        </r>
      </text>
    </comment>
    <comment ref="O12" authorId="0" shapeId="0" xr:uid="{2C9F5504-4565-45E9-A65D-CC845C3C17DE}">
      <text>
        <r>
          <rPr>
            <b/>
            <sz val="9"/>
            <color indexed="81"/>
            <rFont val="Tahoma"/>
            <family val="2"/>
          </rPr>
          <t>Coste medio ponderado del pasivo:
ki x [FALP/(FALP+FP)] + ke x [FP/(FALP+FP)]</t>
        </r>
      </text>
    </comment>
    <comment ref="P12" authorId="1" shapeId="0" xr:uid="{459A59AD-241C-4B06-A391-DBF59080FF65}">
      <text>
        <r>
          <rPr>
            <b/>
            <sz val="9"/>
            <color indexed="81"/>
            <rFont val="Tahoma"/>
            <family val="2"/>
          </rPr>
          <t>47</t>
        </r>
      </text>
    </comment>
    <comment ref="H13" authorId="1" shapeId="0" xr:uid="{88E770B9-F4CA-4E21-B2A1-323986977256}">
      <text>
        <r>
          <rPr>
            <b/>
            <sz val="9"/>
            <color indexed="81"/>
            <rFont val="Tahoma"/>
            <family val="2"/>
          </rPr>
          <t>25</t>
        </r>
      </text>
    </comment>
    <comment ref="I13" authorId="1" shapeId="0" xr:uid="{B1243835-4FC5-4A94-81B7-6DC41BE63A83}">
      <text>
        <r>
          <rPr>
            <b/>
            <sz val="9"/>
            <color indexed="81"/>
            <rFont val="Tahoma"/>
            <family val="2"/>
          </rPr>
          <t>28</t>
        </r>
      </text>
    </comment>
    <comment ref="J13" authorId="1" shapeId="0" xr:uid="{7A016B11-2DD6-41A4-9F72-5B611C4D8B50}">
      <text>
        <r>
          <rPr>
            <b/>
            <sz val="9"/>
            <color indexed="81"/>
            <rFont val="Tahoma"/>
            <family val="2"/>
          </rPr>
          <t>31</t>
        </r>
      </text>
    </comment>
    <comment ref="K13" authorId="1" shapeId="0" xr:uid="{FD61E4D5-3BC4-4154-B4E3-9F6116196716}">
      <text>
        <r>
          <rPr>
            <b/>
            <sz val="9"/>
            <color indexed="81"/>
            <rFont val="Tahoma"/>
            <family val="2"/>
          </rPr>
          <t>34</t>
        </r>
      </text>
    </comment>
    <comment ref="M13" authorId="0" shapeId="0" xr:uid="{A13A0154-50B3-44EF-859D-E9892555874C}">
      <text>
        <r>
          <rPr>
            <b/>
            <sz val="9"/>
            <color indexed="81"/>
            <rFont val="Tahoma"/>
            <family val="2"/>
          </rPr>
          <t>Valor residual generado por el proyecto al final de su vida (VR incremental por venta de inmovilizado + VR(FM))</t>
        </r>
      </text>
    </comment>
    <comment ref="N13" authorId="1" shapeId="0" xr:uid="{AC531174-372D-4F3E-9E36-1E4C21514848}">
      <text>
        <r>
          <rPr>
            <b/>
            <sz val="9"/>
            <color indexed="81"/>
            <rFont val="Tahoma"/>
            <family val="2"/>
          </rPr>
          <t>40</t>
        </r>
      </text>
    </comment>
    <comment ref="O15" authorId="1" shapeId="0" xr:uid="{52F269C7-8B30-4BB4-9E46-3DD145074046}">
      <text>
        <r>
          <rPr>
            <b/>
            <sz val="9"/>
            <color indexed="81"/>
            <rFont val="Tahoma"/>
            <family val="2"/>
          </rPr>
          <t>Valor actualizado neto asociado al proyecto</t>
        </r>
      </text>
    </comment>
    <comment ref="P15" authorId="1" shapeId="0" xr:uid="{0D432A9F-AAD2-4F78-8321-8600B068BD85}">
      <text>
        <r>
          <rPr>
            <b/>
            <sz val="9"/>
            <color indexed="81"/>
            <rFont val="Tahoma"/>
            <family val="2"/>
          </rPr>
          <t>48</t>
        </r>
      </text>
    </comment>
    <comment ref="O16" authorId="1" shapeId="0" xr:uid="{9D178E11-557E-45F0-AA1D-BC792B454239}">
      <text>
        <r>
          <rPr>
            <b/>
            <sz val="9"/>
            <color indexed="81"/>
            <rFont val="Tahoma"/>
            <family val="2"/>
          </rPr>
          <t>Tasa de rentabilidad interna asociada al proyecto</t>
        </r>
      </text>
    </comment>
    <comment ref="P16" authorId="1" shapeId="0" xr:uid="{75E2E54D-C46C-47A8-B3C5-26A685B35666}">
      <text>
        <r>
          <rPr>
            <b/>
            <sz val="9"/>
            <color indexed="81"/>
            <rFont val="Tahoma"/>
            <family val="2"/>
          </rPr>
          <t>49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Javi</author>
    <author>santibañez gruber francisco javier</author>
  </authors>
  <commentList>
    <comment ref="H3" authorId="0" shapeId="0" xr:uid="{EC494E44-95C0-4600-899B-60BDA5AF3F6F}">
      <text>
        <r>
          <rPr>
            <b/>
            <sz val="9"/>
            <color indexed="81"/>
            <rFont val="Tahoma"/>
            <family val="2"/>
          </rPr>
          <t>Incremento anual de ventas que aporta la sustitución</t>
        </r>
      </text>
    </comment>
    <comment ref="I3" authorId="0" shapeId="0" xr:uid="{F053D1FB-F543-42FB-AC8F-6EA06370F670}">
      <text>
        <r>
          <rPr>
            <b/>
            <sz val="9"/>
            <color indexed="81"/>
            <rFont val="Tahoma"/>
            <family val="2"/>
          </rPr>
          <t>Incremento anual de costes operativos con desembolso que aporta la sustitución</t>
        </r>
      </text>
    </comment>
    <comment ref="J3" authorId="0" shapeId="0" xr:uid="{F28E8B09-F819-4134-8B31-EFE2BA62E75E}">
      <text>
        <r>
          <rPr>
            <b/>
            <sz val="9"/>
            <color indexed="81"/>
            <rFont val="Tahoma"/>
            <family val="2"/>
          </rPr>
          <t>Incremento anual de las amortizaciones de inmovilizados que aporta la sustitución</t>
        </r>
      </text>
    </comment>
    <comment ref="K3" authorId="0" shapeId="0" xr:uid="{EE1F90CC-C663-4F0D-99CC-3E0EDFDC05B7}">
      <text>
        <r>
          <rPr>
            <b/>
            <sz val="9"/>
            <color indexed="81"/>
            <rFont val="Tahoma"/>
            <family val="2"/>
          </rPr>
          <t>Incremento anual de beneficio antes de intereses e impuestos</t>
        </r>
      </text>
    </comment>
    <comment ref="L3" authorId="0" shapeId="0" xr:uid="{8421AC63-64E9-41A6-B700-AA6B40BB0E5C}">
      <text>
        <r>
          <rPr>
            <b/>
            <sz val="9"/>
            <color indexed="81"/>
            <rFont val="Tahoma"/>
            <family val="2"/>
          </rPr>
          <t>Incremento anual de impuestos (Impuesto de sociedades)</t>
        </r>
      </text>
    </comment>
    <comment ref="M3" authorId="0" shapeId="0" xr:uid="{42B44F79-0D2A-4BC8-8597-DC16FBA1DA90}">
      <text>
        <r>
          <rPr>
            <b/>
            <sz val="9"/>
            <color indexed="81"/>
            <rFont val="Tahoma"/>
            <family val="2"/>
          </rPr>
          <t>Incremento anual de beneficio antes de intereses y después de impuestos</t>
        </r>
      </text>
    </comment>
    <comment ref="N3" authorId="0" shapeId="0" xr:uid="{DA1E308B-F44B-449E-8200-4506483D51A2}">
      <text>
        <r>
          <rPr>
            <b/>
            <sz val="9"/>
            <color indexed="81"/>
            <rFont val="Tahoma"/>
            <family val="2"/>
          </rPr>
          <t>Incremento de caja anual generado por la sustitución, antes de considerar las inversiones en fondo de maniobra</t>
        </r>
      </text>
    </comment>
    <comment ref="O3" authorId="0" shapeId="0" xr:uid="{DFC9EB4C-3A80-4281-B692-91070B99CA01}">
      <text>
        <r>
          <rPr>
            <b/>
            <sz val="9"/>
            <color indexed="81"/>
            <rFont val="Tahoma"/>
            <family val="2"/>
          </rPr>
          <t>Flujo de caja operativo anual incremental que aporta la sustitución (es decir, sin considerar el desembolso inicial ni el valor residual)</t>
        </r>
      </text>
    </comment>
    <comment ref="P3" authorId="0" shapeId="0" xr:uid="{ACFB5E1A-561E-4ACC-9F78-E44623694CC6}">
      <text>
        <r>
          <rPr>
            <b/>
            <sz val="9"/>
            <color indexed="81"/>
            <rFont val="Tahoma"/>
            <family val="2"/>
          </rPr>
          <t>Impacto anual en caja del proyecto: Generaciones de fondos anuales que incluyen el desembolso inicial y el valor residual</t>
        </r>
      </text>
    </comment>
    <comment ref="P4" authorId="1" shapeId="0" xr:uid="{9AD91B8B-1E31-4C8B-A8C6-4B516B83FD89}">
      <text>
        <r>
          <rPr>
            <b/>
            <sz val="9"/>
            <color indexed="81"/>
            <rFont val="Tahoma"/>
            <family val="2"/>
          </rPr>
          <t>41</t>
        </r>
      </text>
    </comment>
    <comment ref="H5" authorId="1" shapeId="0" xr:uid="{BEB92530-32CC-4C79-AA68-41F430B292F1}">
      <text>
        <r>
          <rPr>
            <b/>
            <sz val="9"/>
            <color indexed="81"/>
            <rFont val="Tahoma"/>
            <family val="2"/>
          </rPr>
          <t>2</t>
        </r>
      </text>
    </comment>
    <comment ref="I5" authorId="1" shapeId="0" xr:uid="{5627A510-B1BE-4C6E-9C1F-D91B4B637D5A}">
      <text>
        <r>
          <rPr>
            <b/>
            <sz val="9"/>
            <color indexed="81"/>
            <rFont val="Tahoma"/>
            <family val="2"/>
          </rPr>
          <t>5</t>
        </r>
      </text>
    </comment>
    <comment ref="J5" authorId="1" shapeId="0" xr:uid="{6E10EC80-DE06-4B40-8ED8-90A0BA6DE47F}">
      <text>
        <r>
          <rPr>
            <b/>
            <sz val="9"/>
            <color indexed="81"/>
            <rFont val="Tahoma"/>
            <family val="2"/>
          </rPr>
          <t>8</t>
        </r>
      </text>
    </comment>
    <comment ref="K5" authorId="1" shapeId="0" xr:uid="{9EDD6088-E1A3-4983-8A73-951D4E36934A}">
      <text>
        <r>
          <rPr>
            <b/>
            <sz val="9"/>
            <color indexed="81"/>
            <rFont val="Tahoma"/>
            <family val="2"/>
          </rPr>
          <t>11</t>
        </r>
      </text>
    </comment>
    <comment ref="L5" authorId="1" shapeId="0" xr:uid="{253BF9AE-ECF4-4455-B6D7-E48CBA5CBE66}">
      <text>
        <r>
          <rPr>
            <b/>
            <sz val="9"/>
            <color indexed="81"/>
            <rFont val="Tahoma"/>
            <family val="2"/>
          </rPr>
          <t>14</t>
        </r>
      </text>
    </comment>
    <comment ref="M5" authorId="1" shapeId="0" xr:uid="{AE574780-E9F0-4EF8-A15C-9F66781FD142}">
      <text>
        <r>
          <rPr>
            <b/>
            <sz val="9"/>
            <color indexed="81"/>
            <rFont val="Tahoma"/>
            <family val="2"/>
          </rPr>
          <t>17</t>
        </r>
      </text>
    </comment>
    <comment ref="N5" authorId="1" shapeId="0" xr:uid="{5658CC57-273C-4722-9AAD-347C68939362}">
      <text>
        <r>
          <rPr>
            <b/>
            <sz val="9"/>
            <color indexed="81"/>
            <rFont val="Tahoma"/>
            <family val="2"/>
          </rPr>
          <t>20</t>
        </r>
      </text>
    </comment>
    <comment ref="O5" authorId="1" shapeId="0" xr:uid="{EB1BAF6A-6361-4491-8458-8E902D8FEF9C}">
      <text>
        <r>
          <rPr>
            <b/>
            <sz val="9"/>
            <color indexed="81"/>
            <rFont val="Tahoma"/>
            <family val="2"/>
          </rPr>
          <t>35</t>
        </r>
      </text>
    </comment>
    <comment ref="P5" authorId="1" shapeId="0" xr:uid="{C8DBFC6B-F171-47AC-82C8-199AC7257E8F}">
      <text>
        <r>
          <rPr>
            <b/>
            <sz val="9"/>
            <color indexed="81"/>
            <rFont val="Tahoma"/>
            <family val="2"/>
          </rPr>
          <t>42</t>
        </r>
      </text>
    </comment>
    <comment ref="H6" authorId="1" shapeId="0" xr:uid="{5FBB68A0-5026-447D-B49E-6A28FED8B82D}">
      <text>
        <r>
          <rPr>
            <b/>
            <sz val="9"/>
            <color indexed="81"/>
            <rFont val="Tahoma"/>
            <family val="2"/>
          </rPr>
          <t>3</t>
        </r>
      </text>
    </comment>
    <comment ref="I6" authorId="1" shapeId="0" xr:uid="{C984017B-4BC5-4307-B6F3-20F423ACEB90}">
      <text>
        <r>
          <rPr>
            <b/>
            <sz val="9"/>
            <color indexed="81"/>
            <rFont val="Tahoma"/>
            <family val="2"/>
          </rPr>
          <t>6</t>
        </r>
      </text>
    </comment>
    <comment ref="J6" authorId="1" shapeId="0" xr:uid="{CC158D85-04EA-46EB-A832-67BBE7EA7CA2}">
      <text>
        <r>
          <rPr>
            <b/>
            <sz val="9"/>
            <color indexed="81"/>
            <rFont val="Tahoma"/>
            <family val="2"/>
          </rPr>
          <t>9</t>
        </r>
      </text>
    </comment>
    <comment ref="K6" authorId="1" shapeId="0" xr:uid="{C6C59CC9-81AD-4CC4-A2F3-1ECB26934215}">
      <text>
        <r>
          <rPr>
            <b/>
            <sz val="9"/>
            <color indexed="81"/>
            <rFont val="Tahoma"/>
            <family val="2"/>
          </rPr>
          <t>12</t>
        </r>
      </text>
    </comment>
    <comment ref="L6" authorId="1" shapeId="0" xr:uid="{E6CFE315-ABCD-4096-8281-6DB57C4719D1}">
      <text>
        <r>
          <rPr>
            <b/>
            <sz val="9"/>
            <color indexed="81"/>
            <rFont val="Tahoma"/>
            <family val="2"/>
          </rPr>
          <t>15</t>
        </r>
      </text>
    </comment>
    <comment ref="M6" authorId="1" shapeId="0" xr:uid="{89B7A213-4025-4840-986E-48725EC603DB}">
      <text>
        <r>
          <rPr>
            <b/>
            <sz val="9"/>
            <color indexed="81"/>
            <rFont val="Tahoma"/>
            <family val="2"/>
          </rPr>
          <t>18</t>
        </r>
      </text>
    </comment>
    <comment ref="N6" authorId="1" shapeId="0" xr:uid="{78BFCF64-2802-44E6-BCBF-82E25BE346E2}">
      <text>
        <r>
          <rPr>
            <b/>
            <sz val="9"/>
            <color indexed="81"/>
            <rFont val="Tahoma"/>
            <family val="2"/>
          </rPr>
          <t>21</t>
        </r>
      </text>
    </comment>
    <comment ref="O6" authorId="1" shapeId="0" xr:uid="{A3381AE2-007A-464D-8D87-196D1D3654C8}">
      <text>
        <r>
          <rPr>
            <b/>
            <sz val="9"/>
            <color indexed="81"/>
            <rFont val="Tahoma"/>
            <family val="2"/>
          </rPr>
          <t>36</t>
        </r>
      </text>
    </comment>
    <comment ref="P6" authorId="1" shapeId="0" xr:uid="{57860130-49D8-4618-8470-4261BA8EB3AF}">
      <text>
        <r>
          <rPr>
            <b/>
            <sz val="9"/>
            <color indexed="81"/>
            <rFont val="Tahoma"/>
            <family val="2"/>
          </rPr>
          <t>43</t>
        </r>
      </text>
    </comment>
    <comment ref="H7" authorId="1" shapeId="0" xr:uid="{C1C7DA2C-1E88-4BA3-97A1-88D9BF4275E1}">
      <text>
        <r>
          <rPr>
            <b/>
            <sz val="9"/>
            <color indexed="81"/>
            <rFont val="Tahoma"/>
            <family val="2"/>
          </rPr>
          <t>4</t>
        </r>
      </text>
    </comment>
    <comment ref="I7" authorId="1" shapeId="0" xr:uid="{116235E1-3161-4216-8334-83A74EEE8227}">
      <text>
        <r>
          <rPr>
            <b/>
            <sz val="9"/>
            <color indexed="81"/>
            <rFont val="Tahoma"/>
            <family val="2"/>
          </rPr>
          <t>7</t>
        </r>
      </text>
    </comment>
    <comment ref="J7" authorId="1" shapeId="0" xr:uid="{4321C173-8595-42DF-8C27-2CCCB45AF748}">
      <text>
        <r>
          <rPr>
            <b/>
            <sz val="9"/>
            <color indexed="81"/>
            <rFont val="Tahoma"/>
            <family val="2"/>
          </rPr>
          <t>10</t>
        </r>
      </text>
    </comment>
    <comment ref="K7" authorId="1" shapeId="0" xr:uid="{384F85A8-E0D5-4EF4-AFC7-CB6D83B1AC90}">
      <text>
        <r>
          <rPr>
            <b/>
            <sz val="9"/>
            <color indexed="81"/>
            <rFont val="Tahoma"/>
            <family val="2"/>
          </rPr>
          <t>13</t>
        </r>
      </text>
    </comment>
    <comment ref="L7" authorId="1" shapeId="0" xr:uid="{36083B73-361E-4620-9796-96DB83892507}">
      <text>
        <r>
          <rPr>
            <b/>
            <sz val="9"/>
            <color indexed="81"/>
            <rFont val="Tahoma"/>
            <family val="2"/>
          </rPr>
          <t>16</t>
        </r>
      </text>
    </comment>
    <comment ref="M7" authorId="1" shapeId="0" xr:uid="{CB1AFA1B-7CC5-43B2-BAED-68922F2F560F}">
      <text>
        <r>
          <rPr>
            <b/>
            <sz val="9"/>
            <color indexed="81"/>
            <rFont val="Tahoma"/>
            <family val="2"/>
          </rPr>
          <t>19</t>
        </r>
      </text>
    </comment>
    <comment ref="N7" authorId="1" shapeId="0" xr:uid="{9DD4F95E-0372-476E-937D-AD895D057D15}">
      <text>
        <r>
          <rPr>
            <b/>
            <sz val="9"/>
            <color indexed="81"/>
            <rFont val="Tahoma"/>
            <family val="2"/>
          </rPr>
          <t>22</t>
        </r>
      </text>
    </comment>
    <comment ref="O7" authorId="1" shapeId="0" xr:uid="{DFDED0A8-C4BA-4805-AD64-AD0B2B00507C}">
      <text>
        <r>
          <rPr>
            <b/>
            <sz val="9"/>
            <color indexed="81"/>
            <rFont val="Tahoma"/>
            <family val="2"/>
          </rPr>
          <t>37</t>
        </r>
      </text>
    </comment>
    <comment ref="P7" authorId="1" shapeId="0" xr:uid="{CFE707F5-BC93-453F-AA86-E376579FEF13}">
      <text>
        <r>
          <rPr>
            <b/>
            <sz val="9"/>
            <color indexed="81"/>
            <rFont val="Tahoma"/>
            <family val="2"/>
          </rPr>
          <t>44</t>
        </r>
      </text>
    </comment>
    <comment ref="H9" authorId="0" shapeId="0" xr:uid="{4CD5266C-FBEE-4467-829C-B15869B1A6C4}">
      <text>
        <r>
          <rPr>
            <b/>
            <sz val="9"/>
            <color indexed="81"/>
            <rFont val="Tahoma"/>
            <family val="2"/>
          </rPr>
          <t>Saldo de clientes generado por el proyecto (parte de las ventas anuales incrementales no cobradas al final de año)</t>
        </r>
      </text>
    </comment>
    <comment ref="I9" authorId="0" shapeId="0" xr:uid="{2F2304A5-2D5F-4BCD-B538-37AF76EEE46B}">
      <text>
        <r>
          <rPr>
            <b/>
            <sz val="9"/>
            <color indexed="81"/>
            <rFont val="Tahoma"/>
            <family val="2"/>
          </rPr>
          <t>Saldo de proveedores generado por el proyecto (parte de los costes operativos con desembolso anuales incrementales no pagados al final de año)</t>
        </r>
      </text>
    </comment>
    <comment ref="J9" authorId="0" shapeId="0" xr:uid="{2228077E-6836-4CE4-89DF-0F6AC5309C29}">
      <text>
        <r>
          <rPr>
            <b/>
            <sz val="9"/>
            <color indexed="81"/>
            <rFont val="Tahoma"/>
            <family val="2"/>
          </rPr>
          <t>Saldo anual de fondo de maniobra generado por el proyecto</t>
        </r>
      </text>
    </comment>
    <comment ref="K9" authorId="0" shapeId="0" xr:uid="{E96EEC23-F472-4E99-963C-AFC862F2FD7C}">
      <text>
        <r>
          <rPr>
            <b/>
            <sz val="9"/>
            <color indexed="81"/>
            <rFont val="Tahoma"/>
            <family val="2"/>
          </rPr>
          <t>Inversión anual en fondo de maniobra exigida por el proyecto</t>
        </r>
      </text>
    </comment>
    <comment ref="M10" authorId="0" shapeId="0" xr:uid="{33265D80-B35F-4CB8-BCC7-099048353087}">
      <text>
        <r>
          <rPr>
            <b/>
            <sz val="9"/>
            <color indexed="81"/>
            <rFont val="Tahoma"/>
            <family val="2"/>
          </rPr>
          <t>Desembolso inicial: inversión exigida por el proyecto en el momento cero</t>
        </r>
      </text>
    </comment>
    <comment ref="N10" authorId="1" shapeId="0" xr:uid="{A64A1BAB-D793-410E-9BFE-F3A6F885E59C}">
      <text>
        <r>
          <rPr>
            <b/>
            <sz val="9"/>
            <color indexed="81"/>
            <rFont val="Tahoma"/>
            <family val="2"/>
          </rPr>
          <t>1</t>
        </r>
      </text>
    </comment>
    <comment ref="O10" authorId="0" shapeId="0" xr:uid="{D3127695-FDE2-4CC5-AF71-3989D0DCD6BC}">
      <text>
        <r>
          <rPr>
            <b/>
            <sz val="9"/>
            <color indexed="81"/>
            <rFont val="Tahoma"/>
            <family val="2"/>
          </rPr>
          <t>Coste de los fondos ajenos:
Intereses x (1-t) / FALP</t>
        </r>
      </text>
    </comment>
    <comment ref="P10" authorId="1" shapeId="0" xr:uid="{B013B7B9-7136-444A-B34C-76FC6C3D0FDF}">
      <text>
        <r>
          <rPr>
            <b/>
            <sz val="9"/>
            <color indexed="81"/>
            <rFont val="Tahoma"/>
            <family val="2"/>
          </rPr>
          <t>45</t>
        </r>
      </text>
    </comment>
    <comment ref="H11" authorId="1" shapeId="0" xr:uid="{A96B1297-B935-4BA1-9640-34C007AC912F}">
      <text>
        <r>
          <rPr>
            <b/>
            <sz val="9"/>
            <color indexed="81"/>
            <rFont val="Tahoma"/>
            <family val="2"/>
          </rPr>
          <t>23</t>
        </r>
      </text>
    </comment>
    <comment ref="I11" authorId="1" shapeId="0" xr:uid="{B076CC79-4583-4EE9-BE6A-B58EADD49DAA}">
      <text>
        <r>
          <rPr>
            <b/>
            <sz val="9"/>
            <color indexed="81"/>
            <rFont val="Tahoma"/>
            <family val="2"/>
          </rPr>
          <t>26</t>
        </r>
      </text>
    </comment>
    <comment ref="J11" authorId="1" shapeId="0" xr:uid="{CA83697A-9E20-441A-8273-730C133A837C}">
      <text>
        <r>
          <rPr>
            <b/>
            <sz val="9"/>
            <color indexed="81"/>
            <rFont val="Tahoma"/>
            <family val="2"/>
          </rPr>
          <t>29</t>
        </r>
      </text>
    </comment>
    <comment ref="K11" authorId="1" shapeId="0" xr:uid="{607E7F4C-A6A1-45FA-B35C-38BB04DBF234}">
      <text>
        <r>
          <rPr>
            <b/>
            <sz val="9"/>
            <color indexed="81"/>
            <rFont val="Tahoma"/>
            <family val="2"/>
          </rPr>
          <t>32</t>
        </r>
      </text>
    </comment>
    <comment ref="M11" authorId="0" shapeId="0" xr:uid="{E7ABBF8E-D775-44B2-84DD-B3C4605903D6}">
      <text>
        <r>
          <rPr>
            <b/>
            <sz val="9"/>
            <color indexed="81"/>
            <rFont val="Tahoma"/>
            <family val="2"/>
          </rPr>
          <t>Valor residual incremental generado por la liquidación del inmovilizado al final del proyecto</t>
        </r>
      </text>
    </comment>
    <comment ref="N11" authorId="1" shapeId="0" xr:uid="{EAD8DE03-E667-4C60-8D26-7AAFC4F668D7}">
      <text>
        <r>
          <rPr>
            <b/>
            <sz val="9"/>
            <color indexed="81"/>
            <rFont val="Tahoma"/>
            <family val="2"/>
          </rPr>
          <t>38</t>
        </r>
      </text>
    </comment>
    <comment ref="O11" authorId="0" shapeId="0" xr:uid="{4C3DD5E4-F587-437C-B2DD-A5843C48B339}">
      <text>
        <r>
          <rPr>
            <b/>
            <sz val="9"/>
            <color indexed="81"/>
            <rFont val="Tahoma"/>
            <family val="2"/>
          </rPr>
          <t>Coste de los fondos propios:
Dividendo / FP + Crecimiento dividendo</t>
        </r>
      </text>
    </comment>
    <comment ref="P11" authorId="1" shapeId="0" xr:uid="{E6A20075-8532-46A3-A5D4-6E237EC6E53D}">
      <text>
        <r>
          <rPr>
            <b/>
            <sz val="9"/>
            <color indexed="81"/>
            <rFont val="Tahoma"/>
            <family val="2"/>
          </rPr>
          <t>46</t>
        </r>
      </text>
    </comment>
    <comment ref="H12" authorId="1" shapeId="0" xr:uid="{86A2795C-ED6E-437F-B20F-D107CC4D4E2D}">
      <text>
        <r>
          <rPr>
            <b/>
            <sz val="9"/>
            <color indexed="81"/>
            <rFont val="Tahoma"/>
            <family val="2"/>
          </rPr>
          <t>24</t>
        </r>
      </text>
    </comment>
    <comment ref="I12" authorId="1" shapeId="0" xr:uid="{26742DF9-CD1E-4588-BC6E-5B9D2FBACBC9}">
      <text>
        <r>
          <rPr>
            <b/>
            <sz val="9"/>
            <color indexed="81"/>
            <rFont val="Tahoma"/>
            <family val="2"/>
          </rPr>
          <t>27</t>
        </r>
      </text>
    </comment>
    <comment ref="J12" authorId="1" shapeId="0" xr:uid="{3EBF7C33-3CB5-4FFC-AB0B-6963B6607F46}">
      <text>
        <r>
          <rPr>
            <b/>
            <sz val="9"/>
            <color indexed="81"/>
            <rFont val="Tahoma"/>
            <family val="2"/>
          </rPr>
          <t>30</t>
        </r>
      </text>
    </comment>
    <comment ref="K12" authorId="1" shapeId="0" xr:uid="{81991DAB-7471-4110-AA4C-568A8D93DA99}">
      <text>
        <r>
          <rPr>
            <b/>
            <sz val="9"/>
            <color indexed="81"/>
            <rFont val="Tahoma"/>
            <family val="2"/>
          </rPr>
          <t>33</t>
        </r>
      </text>
    </comment>
    <comment ref="M12" authorId="0" shapeId="0" xr:uid="{C9AFF010-63DF-42D2-9819-B29413046C76}">
      <text>
        <r>
          <rPr>
            <b/>
            <sz val="9"/>
            <color indexed="81"/>
            <rFont val="Tahoma"/>
            <family val="2"/>
          </rPr>
          <t>Valor residual generado por la liquidación del fondo de maniobra incremental al final del proyecto</t>
        </r>
      </text>
    </comment>
    <comment ref="N12" authorId="1" shapeId="0" xr:uid="{ACB7849F-BF0C-4243-B1CA-3245880B7CA1}">
      <text>
        <r>
          <rPr>
            <b/>
            <sz val="9"/>
            <color indexed="81"/>
            <rFont val="Tahoma"/>
            <family val="2"/>
          </rPr>
          <t>39</t>
        </r>
      </text>
    </comment>
    <comment ref="O12" authorId="0" shapeId="0" xr:uid="{7645A668-A30D-4216-89B9-54744F7ED26A}">
      <text>
        <r>
          <rPr>
            <b/>
            <sz val="9"/>
            <color indexed="81"/>
            <rFont val="Tahoma"/>
            <family val="2"/>
          </rPr>
          <t>Coste medio ponderado del pasivo:
ki x [FALP/(FALP+FP)] + ke x [FP/(FALP+FP)]</t>
        </r>
      </text>
    </comment>
    <comment ref="P12" authorId="1" shapeId="0" xr:uid="{C3C0E80B-050D-48BF-8B01-447CDF27287C}">
      <text>
        <r>
          <rPr>
            <b/>
            <sz val="9"/>
            <color indexed="81"/>
            <rFont val="Tahoma"/>
            <family val="2"/>
          </rPr>
          <t>47</t>
        </r>
      </text>
    </comment>
    <comment ref="H13" authorId="1" shapeId="0" xr:uid="{1C5911B5-9220-4E27-A5B9-E3B75BC87F97}">
      <text>
        <r>
          <rPr>
            <b/>
            <sz val="9"/>
            <color indexed="81"/>
            <rFont val="Tahoma"/>
            <family val="2"/>
          </rPr>
          <t>25</t>
        </r>
      </text>
    </comment>
    <comment ref="I13" authorId="1" shapeId="0" xr:uid="{711F24A7-B97E-4FEC-BB48-94FE8B7ABD04}">
      <text>
        <r>
          <rPr>
            <b/>
            <sz val="9"/>
            <color indexed="81"/>
            <rFont val="Tahoma"/>
            <family val="2"/>
          </rPr>
          <t>28</t>
        </r>
      </text>
    </comment>
    <comment ref="J13" authorId="1" shapeId="0" xr:uid="{1F55CB19-EAF1-481D-A2A6-073B8A1612A5}">
      <text>
        <r>
          <rPr>
            <b/>
            <sz val="9"/>
            <color indexed="81"/>
            <rFont val="Tahoma"/>
            <family val="2"/>
          </rPr>
          <t>31</t>
        </r>
      </text>
    </comment>
    <comment ref="K13" authorId="1" shapeId="0" xr:uid="{66AD51CD-082A-4732-BF88-1C2A426DA5DF}">
      <text>
        <r>
          <rPr>
            <b/>
            <sz val="9"/>
            <color indexed="81"/>
            <rFont val="Tahoma"/>
            <family val="2"/>
          </rPr>
          <t>34</t>
        </r>
      </text>
    </comment>
    <comment ref="M13" authorId="0" shapeId="0" xr:uid="{E40472B0-E7D0-4230-A258-890FDB71E1CB}">
      <text>
        <r>
          <rPr>
            <b/>
            <sz val="9"/>
            <color indexed="81"/>
            <rFont val="Tahoma"/>
            <family val="2"/>
          </rPr>
          <t>Valor residual generado por el proyecto al final de su vida (VR incremental por venta de inmovilizado + VR(FM))</t>
        </r>
      </text>
    </comment>
    <comment ref="N13" authorId="1" shapeId="0" xr:uid="{54AC3681-B984-476D-B7E3-42C31EB98526}">
      <text>
        <r>
          <rPr>
            <b/>
            <sz val="9"/>
            <color indexed="81"/>
            <rFont val="Tahoma"/>
            <family val="2"/>
          </rPr>
          <t>40</t>
        </r>
      </text>
    </comment>
    <comment ref="O15" authorId="1" shapeId="0" xr:uid="{166F54D3-E357-4B7E-9D9A-A0D8AA234D1C}">
      <text>
        <r>
          <rPr>
            <b/>
            <sz val="9"/>
            <color indexed="81"/>
            <rFont val="Tahoma"/>
            <family val="2"/>
          </rPr>
          <t>Valor actualizado neto asociado al proyecto</t>
        </r>
      </text>
    </comment>
    <comment ref="P15" authorId="1" shapeId="0" xr:uid="{778495D9-5F9D-43F3-B916-CD4AB75713C7}">
      <text>
        <r>
          <rPr>
            <b/>
            <sz val="9"/>
            <color indexed="81"/>
            <rFont val="Tahoma"/>
            <family val="2"/>
          </rPr>
          <t>48</t>
        </r>
      </text>
    </comment>
    <comment ref="O16" authorId="1" shapeId="0" xr:uid="{6BAE3526-9BDE-4A4F-A68C-A1056BCBC2BE}">
      <text>
        <r>
          <rPr>
            <b/>
            <sz val="9"/>
            <color indexed="81"/>
            <rFont val="Tahoma"/>
            <family val="2"/>
          </rPr>
          <t>Tasa de rentabilidad interna asociada al proyecto</t>
        </r>
      </text>
    </comment>
    <comment ref="P16" authorId="1" shapeId="0" xr:uid="{D8914622-B9D9-4D88-B2C0-571ABADF518D}">
      <text>
        <r>
          <rPr>
            <b/>
            <sz val="9"/>
            <color indexed="81"/>
            <rFont val="Tahoma"/>
            <family val="2"/>
          </rPr>
          <t>49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Javi</author>
    <author>santibañez gruber francisco javier</author>
  </authors>
  <commentList>
    <comment ref="H3" authorId="0" shapeId="0" xr:uid="{9DC92FBF-652F-4BD7-8343-DDD96580B1D2}">
      <text>
        <r>
          <rPr>
            <b/>
            <sz val="9"/>
            <color indexed="81"/>
            <rFont val="Tahoma"/>
            <family val="2"/>
          </rPr>
          <t>Desembolso inicial: inversión exigida por el proyecto en el momento cero</t>
        </r>
      </text>
    </comment>
    <comment ref="I8" authorId="0" shapeId="0" xr:uid="{0055EBA9-2B34-4A19-BEDA-8DE5026DB17B}">
      <text>
        <r>
          <rPr>
            <b/>
            <sz val="9"/>
            <color indexed="81"/>
            <rFont val="Tahoma"/>
            <family val="2"/>
          </rPr>
          <t>Incremento anual de ventas que aporta la sustitución</t>
        </r>
      </text>
    </comment>
    <comment ref="J8" authorId="0" shapeId="0" xr:uid="{313615FA-3D6C-4BCE-B3D2-95EC7A181869}">
      <text>
        <r>
          <rPr>
            <b/>
            <sz val="9"/>
            <color indexed="81"/>
            <rFont val="Tahoma"/>
            <family val="2"/>
          </rPr>
          <t>Incremento anual de costes operativos con desembolso que aporta la sustitución</t>
        </r>
      </text>
    </comment>
    <comment ref="K8" authorId="0" shapeId="0" xr:uid="{633C5F84-9750-49A4-93FD-17BA5E4A2A81}">
      <text>
        <r>
          <rPr>
            <b/>
            <sz val="9"/>
            <color indexed="81"/>
            <rFont val="Tahoma"/>
            <family val="2"/>
          </rPr>
          <t>Incremento anual de las amortizaciones de inmovilizados que aporta la sustitución</t>
        </r>
      </text>
    </comment>
    <comment ref="L8" authorId="0" shapeId="0" xr:uid="{9915332E-0C8F-4A02-BF60-03968E1CDA43}">
      <text>
        <r>
          <rPr>
            <b/>
            <sz val="9"/>
            <color indexed="81"/>
            <rFont val="Tahoma"/>
            <family val="2"/>
          </rPr>
          <t>Incremento anual de beneficio antes de intereses e impuestos</t>
        </r>
      </text>
    </comment>
    <comment ref="M8" authorId="0" shapeId="0" xr:uid="{E10B0BA3-4818-468A-91D4-D7E63A5BC689}">
      <text>
        <r>
          <rPr>
            <b/>
            <sz val="9"/>
            <color indexed="81"/>
            <rFont val="Tahoma"/>
            <family val="2"/>
          </rPr>
          <t>Incremento anual de impuestos (Impuesto de sociedades)</t>
        </r>
      </text>
    </comment>
    <comment ref="N8" authorId="0" shapeId="0" xr:uid="{F860C4C0-1314-445D-A1A7-682D04D16805}">
      <text>
        <r>
          <rPr>
            <b/>
            <sz val="9"/>
            <color indexed="81"/>
            <rFont val="Tahoma"/>
            <family val="2"/>
          </rPr>
          <t>Incremento anual de beneficio antes de intereses y después de impuestos</t>
        </r>
      </text>
    </comment>
    <comment ref="O8" authorId="0" shapeId="0" xr:uid="{D2A30DE1-F372-41FB-94D1-C8A507D3092B}">
      <text>
        <r>
          <rPr>
            <b/>
            <sz val="9"/>
            <color indexed="81"/>
            <rFont val="Tahoma"/>
            <family val="2"/>
          </rPr>
          <t>Incremento de caja anual generado por la sustitución, antes de considerar las inversiones en fondo de maniobra</t>
        </r>
      </text>
    </comment>
    <comment ref="I9" authorId="0" shapeId="0" xr:uid="{3E4777B5-50DB-4ACF-8B78-1945404F7459}">
      <text>
        <r>
          <rPr>
            <b/>
            <sz val="9"/>
            <color indexed="81"/>
            <rFont val="Tahoma"/>
            <family val="2"/>
          </rPr>
          <t>2</t>
        </r>
      </text>
    </comment>
    <comment ref="J9" authorId="0" shapeId="0" xr:uid="{72B3C1E8-591C-45A2-8C22-2D09F6B917B5}">
      <text>
        <r>
          <rPr>
            <b/>
            <sz val="9"/>
            <color indexed="81"/>
            <rFont val="Tahoma"/>
            <family val="2"/>
          </rPr>
          <t>3</t>
        </r>
      </text>
    </comment>
    <comment ref="K9" authorId="0" shapeId="0" xr:uid="{B7627F29-FA31-419D-8BE9-7171017CFF92}">
      <text>
        <r>
          <rPr>
            <b/>
            <sz val="9"/>
            <color indexed="81"/>
            <rFont val="Tahoma"/>
            <family val="2"/>
          </rPr>
          <t>4</t>
        </r>
      </text>
    </comment>
    <comment ref="L9" authorId="0" shapeId="0" xr:uid="{CB6F0923-6491-4B92-ABEB-4DB52679C345}">
      <text>
        <r>
          <rPr>
            <b/>
            <sz val="9"/>
            <color indexed="81"/>
            <rFont val="Tahoma"/>
            <family val="2"/>
          </rPr>
          <t>5</t>
        </r>
      </text>
    </comment>
    <comment ref="M9" authorId="0" shapeId="0" xr:uid="{25B32521-9E28-4339-AED3-9F9810FAC824}">
      <text>
        <r>
          <rPr>
            <b/>
            <sz val="9"/>
            <color indexed="81"/>
            <rFont val="Tahoma"/>
            <family val="2"/>
          </rPr>
          <t>6</t>
        </r>
      </text>
    </comment>
    <comment ref="N9" authorId="0" shapeId="0" xr:uid="{5B95A257-E63F-4E5E-8C25-FE1CFAD21B0E}">
      <text>
        <r>
          <rPr>
            <b/>
            <sz val="9"/>
            <color indexed="81"/>
            <rFont val="Tahoma"/>
            <family val="2"/>
          </rPr>
          <t>7</t>
        </r>
      </text>
    </comment>
    <comment ref="O9" authorId="0" shapeId="0" xr:uid="{AFE9E8A2-6A9A-47D2-A33F-817272DC08BD}">
      <text>
        <r>
          <rPr>
            <b/>
            <sz val="9"/>
            <color indexed="81"/>
            <rFont val="Tahoma"/>
            <family val="2"/>
          </rPr>
          <t>8</t>
        </r>
      </text>
    </comment>
    <comment ref="I10" authorId="0" shapeId="0" xr:uid="{9E9472D2-CFCD-4C50-9546-34DD3F25F9FA}">
      <text>
        <r>
          <rPr>
            <b/>
            <sz val="9"/>
            <color indexed="81"/>
            <rFont val="Tahoma"/>
            <family val="2"/>
          </rPr>
          <t>14</t>
        </r>
      </text>
    </comment>
    <comment ref="J10" authorId="0" shapeId="0" xr:uid="{C01C0690-8CD0-4722-871A-FE6DFA5FE21F}">
      <text>
        <r>
          <rPr>
            <b/>
            <sz val="9"/>
            <color indexed="81"/>
            <rFont val="Tahoma"/>
            <family val="2"/>
          </rPr>
          <t>15</t>
        </r>
      </text>
    </comment>
    <comment ref="K10" authorId="0" shapeId="0" xr:uid="{682740D1-4598-4653-A23D-97568910CDBF}">
      <text>
        <r>
          <rPr>
            <b/>
            <sz val="9"/>
            <color indexed="81"/>
            <rFont val="Tahoma"/>
            <family val="2"/>
          </rPr>
          <t>16</t>
        </r>
      </text>
    </comment>
    <comment ref="L10" authorId="0" shapeId="0" xr:uid="{BD751708-D708-4CBC-B8EB-78F5CAD6CEE5}">
      <text>
        <r>
          <rPr>
            <b/>
            <sz val="9"/>
            <color indexed="81"/>
            <rFont val="Tahoma"/>
            <family val="2"/>
          </rPr>
          <t>17</t>
        </r>
      </text>
    </comment>
    <comment ref="M10" authorId="0" shapeId="0" xr:uid="{188F34B9-80E2-43C4-ACBD-614721E559AD}">
      <text>
        <r>
          <rPr>
            <b/>
            <sz val="9"/>
            <color indexed="81"/>
            <rFont val="Tahoma"/>
            <family val="2"/>
          </rPr>
          <t>18</t>
        </r>
      </text>
    </comment>
    <comment ref="N10" authorId="0" shapeId="0" xr:uid="{B540F3F4-7E92-42E4-9D4C-1773E76B49A7}">
      <text>
        <r>
          <rPr>
            <b/>
            <sz val="9"/>
            <color indexed="81"/>
            <rFont val="Tahoma"/>
            <family val="2"/>
          </rPr>
          <t>19</t>
        </r>
      </text>
    </comment>
    <comment ref="O10" authorId="0" shapeId="0" xr:uid="{75728841-E7E1-4B6B-94CC-1F30430AC54B}">
      <text>
        <r>
          <rPr>
            <b/>
            <sz val="9"/>
            <color indexed="81"/>
            <rFont val="Tahoma"/>
            <family val="2"/>
          </rPr>
          <t>20</t>
        </r>
      </text>
    </comment>
    <comment ref="I11" authorId="0" shapeId="0" xr:uid="{85DFF756-5716-4004-AC8B-5F5CE46739AC}">
      <text>
        <r>
          <rPr>
            <b/>
            <sz val="9"/>
            <color indexed="81"/>
            <rFont val="Tahoma"/>
            <family val="2"/>
          </rPr>
          <t>26</t>
        </r>
      </text>
    </comment>
    <comment ref="J11" authorId="0" shapeId="0" xr:uid="{A876A5BA-BCE5-4C87-9E33-33D88D0A5154}">
      <text>
        <r>
          <rPr>
            <b/>
            <sz val="9"/>
            <color indexed="81"/>
            <rFont val="Tahoma"/>
            <family val="2"/>
          </rPr>
          <t>27</t>
        </r>
      </text>
    </comment>
    <comment ref="K11" authorId="0" shapeId="0" xr:uid="{4DA4DC5D-7645-471A-8849-5F7B39BFF9FA}">
      <text>
        <r>
          <rPr>
            <b/>
            <sz val="9"/>
            <color indexed="81"/>
            <rFont val="Tahoma"/>
            <family val="2"/>
          </rPr>
          <t>28</t>
        </r>
      </text>
    </comment>
    <comment ref="L11" authorId="0" shapeId="0" xr:uid="{4AB4C26A-73A3-4092-8095-5CE5AC1C8D3F}">
      <text>
        <r>
          <rPr>
            <b/>
            <sz val="9"/>
            <color indexed="81"/>
            <rFont val="Tahoma"/>
            <family val="2"/>
          </rPr>
          <t>29</t>
        </r>
      </text>
    </comment>
    <comment ref="M11" authorId="0" shapeId="0" xr:uid="{27692AB4-37CE-4EEF-98DB-74A91181E1B9}">
      <text>
        <r>
          <rPr>
            <b/>
            <sz val="9"/>
            <color indexed="81"/>
            <rFont val="Tahoma"/>
            <family val="2"/>
          </rPr>
          <t>30</t>
        </r>
      </text>
    </comment>
    <comment ref="N11" authorId="0" shapeId="0" xr:uid="{DFCA55FC-9860-4470-B2A9-950AE2AB6206}">
      <text>
        <r>
          <rPr>
            <b/>
            <sz val="9"/>
            <color indexed="81"/>
            <rFont val="Tahoma"/>
            <family val="2"/>
          </rPr>
          <t>31</t>
        </r>
      </text>
    </comment>
    <comment ref="O11" authorId="0" shapeId="0" xr:uid="{B17B80CE-7B3A-40B6-BED5-13F3A6A4C0CB}">
      <text>
        <r>
          <rPr>
            <b/>
            <sz val="9"/>
            <color indexed="81"/>
            <rFont val="Tahoma"/>
            <family val="2"/>
          </rPr>
          <t>32</t>
        </r>
      </text>
    </comment>
    <comment ref="I16" authorId="0" shapeId="0" xr:uid="{7A7EBE9E-F0D7-479B-9120-F91F2F924AC2}">
      <text>
        <r>
          <rPr>
            <b/>
            <sz val="9"/>
            <color indexed="81"/>
            <rFont val="Tahoma"/>
            <family val="2"/>
          </rPr>
          <t>Saldo de clientes generado por el proyecto (parte de las ventas anuales incrementales no cobradas al final de año)</t>
        </r>
      </text>
    </comment>
    <comment ref="J16" authorId="0" shapeId="0" xr:uid="{63702D5D-D7E2-44E9-89F4-33101E5E72B1}">
      <text>
        <r>
          <rPr>
            <b/>
            <sz val="9"/>
            <color indexed="81"/>
            <rFont val="Tahoma"/>
            <family val="2"/>
          </rPr>
          <t>Saldo de proveedores generado por el proyecto (parte de los costes operativos con desembolso anuales incrementales no pagados al final de año)</t>
        </r>
      </text>
    </comment>
    <comment ref="K16" authorId="0" shapeId="0" xr:uid="{7FDB590E-7B4C-4B94-B6AB-B5E4D90B52A5}">
      <text>
        <r>
          <rPr>
            <b/>
            <sz val="9"/>
            <color indexed="81"/>
            <rFont val="Tahoma"/>
            <family val="2"/>
          </rPr>
          <t>Saldo anual de fondo de maniobra generado por el proyecto</t>
        </r>
      </text>
    </comment>
    <comment ref="L16" authorId="0" shapeId="0" xr:uid="{71E87DC1-7BD9-4880-AE61-50F0F6E1DAFC}">
      <text>
        <r>
          <rPr>
            <b/>
            <sz val="9"/>
            <color indexed="81"/>
            <rFont val="Tahoma"/>
            <family val="2"/>
          </rPr>
          <t>Inversión anual en fondo de maniobra exigida por el proyecto</t>
        </r>
      </text>
    </comment>
    <comment ref="I18" authorId="0" shapeId="0" xr:uid="{B584186F-53F0-45FE-AF95-E86E9BAB8E6C}">
      <text>
        <r>
          <rPr>
            <b/>
            <sz val="9"/>
            <color indexed="81"/>
            <rFont val="Tahoma"/>
            <family val="2"/>
          </rPr>
          <t>9</t>
        </r>
      </text>
    </comment>
    <comment ref="J18" authorId="0" shapeId="0" xr:uid="{7C4B61DC-1DD5-4A62-9A29-D87F164AAC4A}">
      <text>
        <r>
          <rPr>
            <b/>
            <sz val="9"/>
            <color indexed="81"/>
            <rFont val="Tahoma"/>
            <family val="2"/>
          </rPr>
          <t>10</t>
        </r>
      </text>
    </comment>
    <comment ref="K18" authorId="0" shapeId="0" xr:uid="{021FCF5B-9B6F-4418-9FE7-F2959ECDE8EF}">
      <text>
        <r>
          <rPr>
            <b/>
            <sz val="9"/>
            <color indexed="81"/>
            <rFont val="Tahoma"/>
            <family val="2"/>
          </rPr>
          <t>11</t>
        </r>
      </text>
    </comment>
    <comment ref="L18" authorId="0" shapeId="0" xr:uid="{83B73953-AFE8-43E9-8131-C81A25E09E15}">
      <text>
        <r>
          <rPr>
            <b/>
            <sz val="9"/>
            <color indexed="81"/>
            <rFont val="Tahoma"/>
            <family val="2"/>
          </rPr>
          <t>12</t>
        </r>
      </text>
    </comment>
    <comment ref="I19" authorId="0" shapeId="0" xr:uid="{79C72B6C-7858-4B67-87BA-914779727A77}">
      <text>
        <r>
          <rPr>
            <b/>
            <sz val="9"/>
            <color indexed="81"/>
            <rFont val="Tahoma"/>
            <family val="2"/>
          </rPr>
          <t>21</t>
        </r>
      </text>
    </comment>
    <comment ref="J19" authorId="0" shapeId="0" xr:uid="{1B39A4D3-2F33-480F-833A-A4A20870A3AC}">
      <text>
        <r>
          <rPr>
            <b/>
            <sz val="9"/>
            <color indexed="81"/>
            <rFont val="Tahoma"/>
            <family val="2"/>
          </rPr>
          <t>22</t>
        </r>
      </text>
    </comment>
    <comment ref="K19" authorId="0" shapeId="0" xr:uid="{0C956C52-1F9A-4095-8D59-981E7C77940C}">
      <text>
        <r>
          <rPr>
            <b/>
            <sz val="9"/>
            <color indexed="81"/>
            <rFont val="Tahoma"/>
            <family val="2"/>
          </rPr>
          <t>23</t>
        </r>
      </text>
    </comment>
    <comment ref="L19" authorId="0" shapeId="0" xr:uid="{D3DD37D7-5803-4D4A-BC2F-9DDE7B5C4086}">
      <text>
        <r>
          <rPr>
            <b/>
            <sz val="9"/>
            <color indexed="81"/>
            <rFont val="Tahoma"/>
            <family val="2"/>
          </rPr>
          <t>24</t>
        </r>
      </text>
    </comment>
    <comment ref="I20" authorId="0" shapeId="0" xr:uid="{05E0B93B-429F-4777-B179-A3D2A1F83642}">
      <text>
        <r>
          <rPr>
            <b/>
            <sz val="9"/>
            <color indexed="81"/>
            <rFont val="Tahoma"/>
            <family val="2"/>
          </rPr>
          <t>33</t>
        </r>
      </text>
    </comment>
    <comment ref="J20" authorId="0" shapeId="0" xr:uid="{2FCE16E3-71A3-4A2D-BA56-D6E6F3FE9F05}">
      <text>
        <r>
          <rPr>
            <b/>
            <sz val="9"/>
            <color indexed="81"/>
            <rFont val="Tahoma"/>
            <family val="2"/>
          </rPr>
          <t>34</t>
        </r>
      </text>
    </comment>
    <comment ref="K20" authorId="0" shapeId="0" xr:uid="{96BC7CAA-63EE-4791-8D98-8B2C09CC9E2E}">
      <text>
        <r>
          <rPr>
            <b/>
            <sz val="9"/>
            <color indexed="81"/>
            <rFont val="Tahoma"/>
            <family val="2"/>
          </rPr>
          <t>35</t>
        </r>
      </text>
    </comment>
    <comment ref="L20" authorId="0" shapeId="0" xr:uid="{5ADA5DEF-2DDE-4D4F-B3E8-AF72E982F5FD}">
      <text>
        <r>
          <rPr>
            <b/>
            <sz val="9"/>
            <color indexed="81"/>
            <rFont val="Tahoma"/>
            <family val="2"/>
          </rPr>
          <t>36</t>
        </r>
      </text>
    </comment>
    <comment ref="H24" authorId="0" shapeId="0" xr:uid="{26D8A414-E580-4563-AD1E-17F15F992D9F}">
      <text>
        <r>
          <rPr>
            <b/>
            <sz val="9"/>
            <color indexed="81"/>
            <rFont val="Tahoma"/>
            <family val="2"/>
          </rPr>
          <t>Valor residual incremental generado por la liquidación del inmovilizado al final del proyecto</t>
        </r>
      </text>
    </comment>
    <comment ref="H25" authorId="0" shapeId="0" xr:uid="{96167473-29A7-493F-9CF7-A34FF28E02FA}">
      <text>
        <r>
          <rPr>
            <b/>
            <sz val="9"/>
            <color indexed="81"/>
            <rFont val="Tahoma"/>
            <family val="2"/>
          </rPr>
          <t>Valor residual generado por la liquidación del fondo de maniobra incremental al final del proyecto</t>
        </r>
      </text>
    </comment>
    <comment ref="H26" authorId="0" shapeId="0" xr:uid="{E24B75F2-FA4D-4A5C-AB77-E03F24BF0D23}">
      <text>
        <r>
          <rPr>
            <b/>
            <sz val="9"/>
            <color indexed="81"/>
            <rFont val="Tahoma"/>
            <family val="2"/>
          </rPr>
          <t>Valor residual generado por el proyecto al final de su vida (VR incremental por venta de inmovilizado + VR(FM))</t>
        </r>
      </text>
    </comment>
    <comment ref="I30" authorId="0" shapeId="0" xr:uid="{8A7150DA-2CC8-499A-8FC3-D49A3BE0D322}">
      <text>
        <r>
          <rPr>
            <b/>
            <sz val="9"/>
            <color indexed="81"/>
            <rFont val="Tahoma"/>
            <family val="2"/>
          </rPr>
          <t>Incremento de caja anual generado por la sustitución, antes de considerar las inversiones en fondo de maniobra</t>
        </r>
      </text>
    </comment>
    <comment ref="J30" authorId="0" shapeId="0" xr:uid="{363AED63-EFB7-414F-8CE5-4BB0C31C9312}">
      <text>
        <r>
          <rPr>
            <b/>
            <sz val="9"/>
            <color indexed="81"/>
            <rFont val="Tahoma"/>
            <family val="2"/>
          </rPr>
          <t>Inversión anual en fondo de maniobra exigida por el proyecto</t>
        </r>
      </text>
    </comment>
    <comment ref="K30" authorId="0" shapeId="0" xr:uid="{4D362F40-CE1E-46D5-9B82-4A828BCCFA26}">
      <text>
        <r>
          <rPr>
            <b/>
            <sz val="9"/>
            <color indexed="81"/>
            <rFont val="Tahoma"/>
            <family val="2"/>
          </rPr>
          <t>Flujo de caja operativo anual incremental que aporta la sustitución (es decir, sin considerar el desembolso inicial ni el valor residual)</t>
        </r>
      </text>
    </comment>
    <comment ref="L30" authorId="0" shapeId="0" xr:uid="{54241D6A-FD9C-4A28-8C81-C8F1C5F61B24}">
      <text>
        <r>
          <rPr>
            <b/>
            <sz val="9"/>
            <color indexed="81"/>
            <rFont val="Tahoma"/>
            <family val="2"/>
          </rPr>
          <t>Impacto anual en caja del proyecto: Generaciones de fondos anuales que incluyen el desembolso inicial y el valor residual</t>
        </r>
      </text>
    </comment>
    <comment ref="H38" authorId="0" shapeId="0" xr:uid="{09CCA3EC-6D4F-4626-927E-7C4FB0A95250}">
      <text>
        <r>
          <rPr>
            <b/>
            <sz val="9"/>
            <color indexed="81"/>
            <rFont val="Tahoma"/>
            <family val="2"/>
          </rPr>
          <t>Coste de los fondos ajenos:
Intereses x (1-t) / FALP</t>
        </r>
      </text>
    </comment>
    <comment ref="H39" authorId="0" shapeId="0" xr:uid="{FAA51182-4204-49DB-A9DB-99A72D5B2CE9}">
      <text>
        <r>
          <rPr>
            <b/>
            <sz val="9"/>
            <color indexed="81"/>
            <rFont val="Tahoma"/>
            <family val="2"/>
          </rPr>
          <t>Coste de los fondos propios:
Dividendo / FP + Crecimiento dividendo</t>
        </r>
      </text>
    </comment>
    <comment ref="H40" authorId="0" shapeId="0" xr:uid="{390E75E4-DC81-4117-94C5-400A118FC17B}">
      <text>
        <r>
          <rPr>
            <b/>
            <sz val="9"/>
            <color indexed="81"/>
            <rFont val="Tahoma"/>
            <family val="2"/>
          </rPr>
          <t>Coste medio ponderado del pasivo:
ki x [FALP/(FALP+FP)] + ke x [FP/(FALP+FP)]</t>
        </r>
      </text>
    </comment>
    <comment ref="H44" authorId="1" shapeId="0" xr:uid="{B111F329-AC88-49F8-8A65-8B2897F73126}">
      <text>
        <r>
          <rPr>
            <b/>
            <sz val="9"/>
            <color indexed="81"/>
            <rFont val="Tahoma"/>
            <family val="2"/>
          </rPr>
          <t>Valor actualizado neto asociado al proyecto</t>
        </r>
      </text>
    </comment>
    <comment ref="H45" authorId="1" shapeId="0" xr:uid="{1F985D9E-AB79-4039-90D4-AD695598EA1B}">
      <text>
        <r>
          <rPr>
            <b/>
            <sz val="9"/>
            <color indexed="81"/>
            <rFont val="Tahoma"/>
            <family val="2"/>
          </rPr>
          <t>Tasa de rentabilidad interna asociada al proyecto</t>
        </r>
      </text>
    </comment>
    <comment ref="H46" authorId="1" shapeId="0" xr:uid="{C96E3767-E166-47F0-87D2-7DB8478B26F2}">
      <text>
        <r>
          <rPr>
            <b/>
            <sz val="9"/>
            <color indexed="81"/>
            <rFont val="Tahoma"/>
            <family val="2"/>
          </rPr>
          <t>Índice de rentabilidad asociado al proyecto</t>
        </r>
      </text>
    </comment>
    <comment ref="H47" authorId="1" shapeId="0" xr:uid="{D7EB8810-DC08-428B-AF23-13518FEAD03C}">
      <text>
        <r>
          <rPr>
            <b/>
            <sz val="9"/>
            <color indexed="81"/>
            <rFont val="Tahoma"/>
            <family val="2"/>
          </rPr>
          <t>Pay-back (periodo de recuperación) asociado al proyecto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Javi</author>
    <author>santibañez gruber francisco javier</author>
  </authors>
  <commentList>
    <comment ref="P3" authorId="0" shapeId="0" xr:uid="{81703816-5151-4FFC-9C70-3D7E5DFBDC02}">
      <text>
        <r>
          <rPr>
            <b/>
            <sz val="9"/>
            <color indexed="81"/>
            <rFont val="Tahoma"/>
            <family val="2"/>
          </rPr>
          <t>Incremento anual de ventas que aporta la sustitución</t>
        </r>
      </text>
    </comment>
    <comment ref="Q3" authorId="0" shapeId="0" xr:uid="{BC84DCE4-5610-4E41-A79A-68D7AD038C53}">
      <text>
        <r>
          <rPr>
            <b/>
            <sz val="9"/>
            <color indexed="81"/>
            <rFont val="Tahoma"/>
            <family val="2"/>
          </rPr>
          <t>Incremento anual de costes operativos con desembolso que aporta la sustitución</t>
        </r>
      </text>
    </comment>
    <comment ref="R3" authorId="0" shapeId="0" xr:uid="{0CC4A40C-781F-4BCA-84D8-EE8F539325B9}">
      <text>
        <r>
          <rPr>
            <b/>
            <sz val="9"/>
            <color indexed="81"/>
            <rFont val="Tahoma"/>
            <family val="2"/>
          </rPr>
          <t>Incremento anual de las amortizaciones de inmovilizados que aporta la sustitución</t>
        </r>
      </text>
    </comment>
    <comment ref="S3" authorId="0" shapeId="0" xr:uid="{2F728A82-F04D-4EDC-BCD4-B351D0581AFF}">
      <text>
        <r>
          <rPr>
            <b/>
            <sz val="9"/>
            <color indexed="81"/>
            <rFont val="Tahoma"/>
            <family val="2"/>
          </rPr>
          <t>Incremento anual de beneficio antes de intereses e impuestos</t>
        </r>
      </text>
    </comment>
    <comment ref="T3" authorId="0" shapeId="0" xr:uid="{3CFB3FFE-2151-4DD2-88F1-833E15FE97A6}">
      <text>
        <r>
          <rPr>
            <b/>
            <sz val="9"/>
            <color indexed="81"/>
            <rFont val="Tahoma"/>
            <family val="2"/>
          </rPr>
          <t>Incremento anual de impuestos (Impuesto de sociedades)</t>
        </r>
      </text>
    </comment>
    <comment ref="U3" authorId="0" shapeId="0" xr:uid="{4A45EA37-E7FF-411B-B4E7-9CBFE8913653}">
      <text>
        <r>
          <rPr>
            <b/>
            <sz val="9"/>
            <color indexed="81"/>
            <rFont val="Tahoma"/>
            <family val="2"/>
          </rPr>
          <t>Incremento anual de beneficio antes de intereses y después de impuestos</t>
        </r>
      </text>
    </comment>
    <comment ref="V3" authorId="0" shapeId="0" xr:uid="{949ACA88-C151-46AA-8BA6-D917BD820553}">
      <text>
        <r>
          <rPr>
            <b/>
            <sz val="9"/>
            <color indexed="81"/>
            <rFont val="Tahoma"/>
            <family val="2"/>
          </rPr>
          <t>Incremento de caja anual generado por la sustitución, antes de considerar las inversiones en fondo de maniobra</t>
        </r>
      </text>
    </comment>
    <comment ref="P18" authorId="0" shapeId="0" xr:uid="{7EFDEFC6-7300-47E3-B2C1-62819DDD6D2A}">
      <text>
        <r>
          <rPr>
            <b/>
            <sz val="9"/>
            <color indexed="81"/>
            <rFont val="Tahoma"/>
            <family val="2"/>
          </rPr>
          <t>Saldo de clientes generado por el proyecto (parte de las ventas anuales incrementales no cobradas al final de año)</t>
        </r>
      </text>
    </comment>
    <comment ref="Q18" authorId="0" shapeId="0" xr:uid="{08557C74-E239-4CDE-882A-287FFBA7F7BB}">
      <text>
        <r>
          <rPr>
            <b/>
            <sz val="9"/>
            <color indexed="81"/>
            <rFont val="Tahoma"/>
            <family val="2"/>
          </rPr>
          <t>Saldo de proveedores generado por el proyecto (parte de los costes operativos con desembolso anuales incrementales no pagados al final de año)</t>
        </r>
      </text>
    </comment>
    <comment ref="R18" authorId="0" shapeId="0" xr:uid="{BC09E177-A2BA-41CE-9F36-61C34AC561E3}">
      <text>
        <r>
          <rPr>
            <b/>
            <sz val="9"/>
            <color indexed="81"/>
            <rFont val="Tahoma"/>
            <family val="2"/>
          </rPr>
          <t>Saldo anual de fondo de maniobra generado por el proyecto</t>
        </r>
      </text>
    </comment>
    <comment ref="S18" authorId="0" shapeId="0" xr:uid="{F473E349-DE03-479F-A8FE-A34DF8E22C4A}">
      <text>
        <r>
          <rPr>
            <b/>
            <sz val="9"/>
            <color indexed="81"/>
            <rFont val="Tahoma"/>
            <family val="2"/>
          </rPr>
          <t>Inversión anual en fondo de maniobra exigida por el proyecto</t>
        </r>
      </text>
    </comment>
    <comment ref="V21" authorId="0" shapeId="0" xr:uid="{60A8FBE5-D421-4529-B707-2F4E4CAF1E6D}">
      <text>
        <r>
          <rPr>
            <b/>
            <sz val="9"/>
            <color indexed="81"/>
            <rFont val="Tahoma"/>
            <family val="2"/>
          </rPr>
          <t>Impacto anual en caja del proyecto: Generaciones de fondos anuales que incluyen el desembolso inicial y el valor residual</t>
        </r>
      </text>
    </comment>
    <comment ref="O36" authorId="0" shapeId="0" xr:uid="{F530662D-6267-4B63-B1A9-D58AB96876B6}">
      <text>
        <r>
          <rPr>
            <b/>
            <sz val="9"/>
            <color indexed="81"/>
            <rFont val="Tahoma"/>
            <family val="2"/>
          </rPr>
          <t>Desembolso inicial: inversión exigida por el proyecto en el momento cero</t>
        </r>
      </text>
    </comment>
    <comment ref="O37" authorId="0" shapeId="0" xr:uid="{99C22110-E83D-40F3-A824-ED2A44068276}">
      <text>
        <r>
          <rPr>
            <b/>
            <sz val="9"/>
            <color indexed="81"/>
            <rFont val="Tahoma"/>
            <family val="2"/>
          </rPr>
          <t>Valor residual incremental generado por la liquidación del inmovilizado al final del proyecto</t>
        </r>
      </text>
    </comment>
    <comment ref="U37" authorId="1" shapeId="0" xr:uid="{51C5CFD7-1D1E-40F3-9FC7-2BF0194071DF}">
      <text>
        <r>
          <rPr>
            <b/>
            <sz val="9"/>
            <color indexed="81"/>
            <rFont val="Tahoma"/>
            <family val="2"/>
          </rPr>
          <t>Valor actualizado neto asociado al proyecto</t>
        </r>
      </text>
    </comment>
    <comment ref="O38" authorId="0" shapeId="0" xr:uid="{11CEAE4A-BA30-46ED-84EA-6CA7E09A0DD9}">
      <text>
        <r>
          <rPr>
            <b/>
            <sz val="9"/>
            <color indexed="81"/>
            <rFont val="Tahoma"/>
            <family val="2"/>
          </rPr>
          <t>Valor residual generado por la liquidación del fondo de maniobra incremental al final del proyecto</t>
        </r>
      </text>
    </comment>
    <comment ref="U38" authorId="1" shapeId="0" xr:uid="{83C5BF45-FEC7-41FB-872C-7645C2E9A864}">
      <text>
        <r>
          <rPr>
            <b/>
            <sz val="9"/>
            <color indexed="81"/>
            <rFont val="Tahoma"/>
            <family val="2"/>
          </rPr>
          <t>Tasa de rentabilidad interna asociada al proyecto</t>
        </r>
      </text>
    </comment>
    <comment ref="O39" authorId="0" shapeId="0" xr:uid="{EF33B549-9E7A-456C-9176-F772844FF022}">
      <text>
        <r>
          <rPr>
            <b/>
            <sz val="9"/>
            <color indexed="81"/>
            <rFont val="Tahoma"/>
            <family val="2"/>
          </rPr>
          <t>Valor residual generado por el proyecto al final de su vida (VR incremental por venta de inmovilizado + VR(FM))</t>
        </r>
      </text>
    </comment>
    <comment ref="U39" authorId="1" shapeId="0" xr:uid="{6EFB98FD-72A4-4AEE-A4EE-662A14990A30}">
      <text>
        <r>
          <rPr>
            <b/>
            <sz val="9"/>
            <color indexed="81"/>
            <rFont val="Tahoma"/>
            <family val="2"/>
          </rPr>
          <t>Índice de rentabilidad asociado al proyecto</t>
        </r>
      </text>
    </comment>
    <comment ref="U40" authorId="1" shapeId="0" xr:uid="{D6B6DF2F-02D8-4623-93B3-C71BF2C7BE25}">
      <text>
        <r>
          <rPr>
            <b/>
            <sz val="9"/>
            <color indexed="81"/>
            <rFont val="Tahoma"/>
            <family val="2"/>
          </rPr>
          <t>Pay-back (periodo de recuperación) asociado al proyecto</t>
        </r>
      </text>
    </comment>
    <comment ref="O45" authorId="0" shapeId="0" xr:uid="{02A43060-2DEE-4E0C-9A90-B5D58E6F3276}">
      <text>
        <r>
          <rPr>
            <b/>
            <sz val="9"/>
            <color indexed="81"/>
            <rFont val="Tahoma"/>
            <family val="2"/>
          </rPr>
          <t>Coste de los fondos ajenos:
Intereses x (1-t) / FALP</t>
        </r>
      </text>
    </comment>
    <comment ref="O46" authorId="0" shapeId="0" xr:uid="{26A5A23D-DFBB-49AC-9E02-9C7617CF5FF5}">
      <text>
        <r>
          <rPr>
            <b/>
            <sz val="9"/>
            <color indexed="81"/>
            <rFont val="Tahoma"/>
            <family val="2"/>
          </rPr>
          <t>Coste de los fondos propios:
Dividendo / FP + Crecimiento dividendo</t>
        </r>
      </text>
    </comment>
    <comment ref="O47" authorId="0" shapeId="0" xr:uid="{4A9C023A-B014-4FFF-BE27-B97762BB0C39}">
      <text>
        <r>
          <rPr>
            <b/>
            <sz val="9"/>
            <color indexed="81"/>
            <rFont val="Tahoma"/>
            <family val="2"/>
          </rPr>
          <t>Coste medio ponderado del pasivo:
ki x [FALP/(FALP+FP)] + ke x [FP/(FALP+FP)]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santibañez gruber francisco javier</author>
  </authors>
  <commentList>
    <comment ref="H31" authorId="0" shapeId="0" xr:uid="{67B70106-B739-4A09-89E2-3D6032C4CD93}">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H32" authorId="0" shapeId="0" xr:uid="{FE59EA57-D206-4C84-838D-1C77326DC0FC}">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H33" authorId="0" shapeId="0" xr:uid="{9BEC8C71-C209-42C2-BF66-0C23B4A6841D}">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53" authorId="0" shapeId="0" xr:uid="{3694A5AA-3D42-4544-B129-1C562A2BAF0B}">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53" authorId="0" shapeId="0" xr:uid="{348235C5-BF7F-4745-9663-7B65915EB5E2}">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78" authorId="0" shapeId="0" xr:uid="{4390786D-9FF0-472B-BC22-37EEB4A75AD8}">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78" authorId="0" shapeId="0" xr:uid="{D4DB8434-3759-425C-8BCF-F60A20CD3D4F}">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79" authorId="0" shapeId="0" xr:uid="{5AAB69F3-3EA0-4B0B-9B64-913BA3A8F3E4}">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79" authorId="0" shapeId="0" xr:uid="{BFF7CD8D-D6F5-46AD-B915-DC60E8E5FCC1}">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81" authorId="0" shapeId="0" xr:uid="{B521B1EE-0EA8-49CB-8585-67916B728731}">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81" authorId="0" shapeId="0" xr:uid="{0133897B-11E3-4C78-8D61-7F59E5B3BA0E}">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82" authorId="0" shapeId="0" xr:uid="{179B265C-367A-434E-A9B5-A727344401B7}">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82" authorId="0" shapeId="0" xr:uid="{F603031A-B943-4A6A-A46D-505E5C094226}">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84" authorId="0" shapeId="0" xr:uid="{A4DD75F1-E54F-4DA9-8853-9A558743BF9F}">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J84" authorId="0" shapeId="0" xr:uid="{208AE6BD-7845-4B8F-8EDA-E24C93590981}">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G147" authorId="0" shapeId="0" xr:uid="{9720D703-01AD-4186-9AC7-6711175A235E}">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H147" authorId="0" shapeId="0" xr:uid="{BD84D903-D474-4363-B318-71BB68CABCB4}">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G148" authorId="0" shapeId="0" xr:uid="{84BFE3EA-2E69-43BD-BF25-3FACE9400FFC}">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H148" authorId="0" shapeId="0" xr:uid="{28F8E237-9F8A-429F-BC8E-5D002E90C184}">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G149" authorId="0" shapeId="0" xr:uid="{32A63C5F-C795-4F68-B549-4B6806568B7E}">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H149" authorId="0" shapeId="0" xr:uid="{C4DC6F52-0591-42B9-BF41-400675EA64E8}">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174" authorId="0" shapeId="0" xr:uid="{D81E9FC4-C19E-48FE-8F17-DA4428781380}">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175" authorId="0" shapeId="0" xr:uid="{85A553F9-89E2-434A-BF3D-365D1ED85DDD}">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176" authorId="0" shapeId="0" xr:uid="{2DE8D0CD-7342-4065-BFB5-090719160E31}">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 ref="I177" authorId="0" shapeId="0" xr:uid="{BB2478B6-7E3B-4F60-8100-FF0AC46045BE}">
      <text>
        <r>
          <rPr>
            <b/>
            <sz val="9"/>
            <color indexed="81"/>
            <rFont val="Tahoma"/>
            <family val="2"/>
          </rPr>
          <t>Para evitar diferencias de redondeo que la Excel pueda interpretar como errores de concepto, intente evitar, cuando sea posible, la introducción de datos desde el teclado: en las fórmulas haga referencia, siempre que sea posible, a las celdillas que contienen la información de partida.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santibañez gruber francisco javier</author>
  </authors>
  <commentList>
    <comment ref="B2" authorId="0" shapeId="0" xr:uid="{3E1BF71B-E6D0-4D2A-B9B7-48AA374498A6}">
      <text>
        <r>
          <rPr>
            <b/>
            <sz val="10"/>
            <color indexed="81"/>
            <rFont val="Tahoma"/>
            <family val="2"/>
          </rPr>
          <t xml:space="preserve">
Capítulo 5 </t>
        </r>
        <r>
          <rPr>
            <sz val="10"/>
            <color indexed="81"/>
            <rFont val="Tahoma"/>
            <family val="2"/>
          </rPr>
          <t xml:space="preserve">"La inversión en condiciones de certeza"
</t>
        </r>
        <r>
          <rPr>
            <b/>
            <sz val="10"/>
            <color indexed="81"/>
            <rFont val="Tahoma"/>
            <family val="2"/>
          </rPr>
          <t xml:space="preserve">del libro:
"ELEMENTOS DE FINANZAS CORPORATIVAS"
de Fernando Gómez–Bezares.
</t>
        </r>
        <r>
          <rPr>
            <sz val="10"/>
            <color indexed="81"/>
            <rFont val="Tahoma"/>
            <family val="2"/>
          </rPr>
          <t xml:space="preserve">Publicado en Desclée de Brouwer, Bilbao, 2012.
</t>
        </r>
        <r>
          <rPr>
            <b/>
            <sz val="10"/>
            <color indexed="81"/>
            <rFont val="Tahoma"/>
            <family val="2"/>
          </rPr>
          <t xml:space="preserve">También, de manera resumida:
</t>
        </r>
        <r>
          <rPr>
            <sz val="10"/>
            <color indexed="81"/>
            <rFont val="Tahoma"/>
            <family val="2"/>
          </rPr>
          <t xml:space="preserve">
</t>
        </r>
        <r>
          <rPr>
            <b/>
            <sz val="10"/>
            <color indexed="81"/>
            <rFont val="Tahoma"/>
            <family val="2"/>
          </rPr>
          <t>Rutinas de trabajo</t>
        </r>
        <r>
          <rPr>
            <sz val="10"/>
            <color indexed="81"/>
            <rFont val="Tahoma"/>
            <family val="2"/>
          </rPr>
          <t xml:space="preserve"> "Inversión en condiciones de certeza" </t>
        </r>
        <r>
          <rPr>
            <b/>
            <sz val="10"/>
            <color indexed="81"/>
            <rFont val="Tahoma"/>
            <family val="2"/>
          </rPr>
          <t>del libro:
"NUEVOS CASOS PRÁCTICOS DE INVERSIÓN Y FINANCIACIÓN"</t>
        </r>
        <r>
          <rPr>
            <sz val="10"/>
            <color indexed="81"/>
            <rFont val="Tahoma"/>
            <family val="2"/>
          </rPr>
          <t xml:space="preserve">
</t>
        </r>
        <r>
          <rPr>
            <b/>
            <sz val="10"/>
            <color indexed="81"/>
            <rFont val="Tahoma"/>
            <family val="2"/>
          </rPr>
          <t>de Javier Santibáñez y Fernando Gómez-Bezares</t>
        </r>
        <r>
          <rPr>
            <sz val="10"/>
            <color indexed="81"/>
            <rFont val="Tahoma"/>
            <family val="2"/>
          </rPr>
          <t xml:space="preserve">. Publicado en Desclée de Brouwer, Bilbao, 2014, 3ª ed.
</t>
        </r>
        <r>
          <rPr>
            <b/>
            <sz val="10"/>
            <color indexed="81"/>
            <rFont val="Tahoma"/>
            <family val="2"/>
          </rPr>
          <t xml:space="preserve">
Así como las lecturas que pueden descargarse
de manera gratuita en las Url que se indican debajo</t>
        </r>
      </text>
    </comment>
    <comment ref="P4" authorId="0" shapeId="0" xr:uid="{DF0E0BAA-32DA-4D68-9052-FD6DDC8C1272}">
      <text>
        <r>
          <rPr>
            <b/>
            <sz val="9"/>
            <color indexed="81"/>
            <rFont val="Tahoma"/>
            <family val="2"/>
          </rPr>
          <t xml:space="preserve">
Incremento de caja provocado por el proyecto después de considerar efectos en fondo de maniobra (moneda constante):
GF = GF' - </t>
        </r>
        <r>
          <rPr>
            <b/>
            <sz val="9"/>
            <color indexed="81"/>
            <rFont val="Calibri"/>
            <family val="2"/>
          </rPr>
          <t>Δ</t>
        </r>
        <r>
          <rPr>
            <b/>
            <sz val="9"/>
            <color indexed="81"/>
            <rFont val="Tahoma"/>
            <family val="2"/>
          </rPr>
          <t>FM + FM (último año)</t>
        </r>
      </text>
    </comment>
    <comment ref="B5" authorId="0" shapeId="0" xr:uid="{11A70AE2-4227-4EBD-8691-E8B1036DBCE6}">
      <text>
        <r>
          <rPr>
            <b/>
            <sz val="10"/>
            <color indexed="81"/>
            <rFont val="Tahoma"/>
            <family val="2"/>
          </rPr>
          <t xml:space="preserve">
También puede resultar de interés la lectura previa del artículo:
"EL EFECTO DE LA INFLACIÓN EN EL ANÁLISIS DE LAS INVERSIONES"
de Fernando Gómez–Bezares, José Antonio Madariaga y Javier Santibáñez.
Publicado (en una versión similar) en Harvard–Deusto Finanzas &amp; Contabilidad, nº 11, Mayo–Junio, 1.996, págs. 47–56.
El artículo puede descargarse de manera gratuita haciendo clic en esta celdilla.</t>
        </r>
      </text>
    </comment>
    <comment ref="I5" authorId="0" shapeId="0" xr:uid="{433FDCDF-AD53-4B8A-99A6-06130259FA70}">
      <text>
        <r>
          <rPr>
            <b/>
            <sz val="9"/>
            <color indexed="81"/>
            <rFont val="Tahoma"/>
            <family val="2"/>
          </rPr>
          <t xml:space="preserve">
Incremento de ventas (en moneda constante) provocado por el proyecto</t>
        </r>
      </text>
    </comment>
    <comment ref="J5" authorId="0" shapeId="0" xr:uid="{A31F02FC-B8FC-4D41-8A45-B1363373C39C}">
      <text>
        <r>
          <rPr>
            <b/>
            <sz val="9"/>
            <color indexed="81"/>
            <rFont val="Tahoma"/>
            <family val="2"/>
          </rPr>
          <t xml:space="preserve">
Incremento de costes operativos con desembolso (en moneda constante) provocado por el proyecto</t>
        </r>
      </text>
    </comment>
    <comment ref="K5" authorId="0" shapeId="0" xr:uid="{5D8B02F6-5797-49D4-8871-1CB7C30CEBBB}">
      <text>
        <r>
          <rPr>
            <b/>
            <sz val="9"/>
            <color indexed="81"/>
            <rFont val="Tahoma"/>
            <family val="2"/>
          </rPr>
          <t xml:space="preserve">
Incremento de amortización de inmovilizado provocado por el proyecto</t>
        </r>
      </text>
    </comment>
    <comment ref="L5" authorId="0" shapeId="0" xr:uid="{22044CA9-5E87-49F1-B296-FFE926861BA3}">
      <text>
        <r>
          <rPr>
            <b/>
            <sz val="9"/>
            <color indexed="81"/>
            <rFont val="Tahoma"/>
            <family val="2"/>
          </rPr>
          <t xml:space="preserve">
Incremento de Beneficio antes de intereses e impuestos provocado por el proyecto (moneda constante):
BAII = V - C - AM</t>
        </r>
      </text>
    </comment>
    <comment ref="M5" authorId="0" shapeId="0" xr:uid="{5A1FD47E-F7BE-44F0-BF11-E213C4435EF0}">
      <text>
        <r>
          <rPr>
            <b/>
            <sz val="9"/>
            <color indexed="81"/>
            <rFont val="Tahoma"/>
            <family val="2"/>
          </rPr>
          <t xml:space="preserve">
Incremento de impuestos provocado por el proyecto (moneda constante):
Imp = t x BAII</t>
        </r>
      </text>
    </comment>
    <comment ref="N5" authorId="0" shapeId="0" xr:uid="{9C978841-FACF-423F-84C1-E69A677CD35D}">
      <text>
        <r>
          <rPr>
            <b/>
            <sz val="9"/>
            <color indexed="81"/>
            <rFont val="Tahoma"/>
            <family val="2"/>
          </rPr>
          <t xml:space="preserve">
Incremento de Beneficio antes de intereses y después de impuestos provocado por el proyecto (moneda constante):
BAIdI = BAII - Imp</t>
        </r>
      </text>
    </comment>
    <comment ref="O5" authorId="0" shapeId="0" xr:uid="{6874D5A7-4322-4C75-865D-03383D37B866}">
      <text>
        <r>
          <rPr>
            <b/>
            <sz val="9"/>
            <color indexed="81"/>
            <rFont val="Tahoma"/>
            <family val="2"/>
          </rPr>
          <t xml:space="preserve">
Incremento de caja provocado por el proyecto antes de considerar inversiones en fondo de maniobra (moneda constante):
GF' = BAIdI + AM</t>
        </r>
      </text>
    </comment>
    <comment ref="I10" authorId="0" shapeId="0" xr:uid="{2402E6AB-94E5-4D7B-9A83-F881C8DE0281}">
      <text>
        <r>
          <rPr>
            <b/>
            <sz val="9"/>
            <color indexed="81"/>
            <rFont val="Tahoma"/>
            <family val="2"/>
          </rPr>
          <t xml:space="preserve">
Saldo de clientes aportado por el proyecto (moneda constante):
Clientes = V / 360 x Plazo cobro V</t>
        </r>
      </text>
    </comment>
    <comment ref="J10" authorId="0" shapeId="0" xr:uid="{839AE98F-9BF9-4E26-A40C-53B56513AA08}">
      <text>
        <r>
          <rPr>
            <b/>
            <sz val="9"/>
            <color indexed="81"/>
            <rFont val="Tahoma"/>
            <family val="2"/>
          </rPr>
          <t xml:space="preserve">
Saldo de proveedores aportado por el proyecto (moneda constante):
Proveedores = C / 360 x Plazo pago C</t>
        </r>
      </text>
    </comment>
    <comment ref="K10" authorId="0" shapeId="0" xr:uid="{20986DB3-41DA-4390-A629-D29146F81A49}">
      <text>
        <r>
          <rPr>
            <b/>
            <sz val="9"/>
            <color indexed="81"/>
            <rFont val="Tahoma"/>
            <family val="2"/>
          </rPr>
          <t xml:space="preserve">
Saldo de fondo de maniobra aportado por el proyecto (moneda constante):
FM = Clientes - Proveedores</t>
        </r>
      </text>
    </comment>
    <comment ref="L10" authorId="0" shapeId="0" xr:uid="{B77612C2-3B6E-411A-B038-78CEB2489943}">
      <text>
        <r>
          <rPr>
            <b/>
            <sz val="9"/>
            <color indexed="81"/>
            <rFont val="Tahoma"/>
            <family val="2"/>
          </rPr>
          <t xml:space="preserve">
Inversión en fondo de maniobra exigida por el proyecto (moneda constante):
</t>
        </r>
        <r>
          <rPr>
            <b/>
            <sz val="9"/>
            <color indexed="81"/>
            <rFont val="Calibri"/>
            <family val="2"/>
          </rPr>
          <t>∆</t>
        </r>
        <r>
          <rPr>
            <b/>
            <sz val="9"/>
            <color indexed="81"/>
            <rFont val="Tahoma"/>
            <family val="2"/>
          </rPr>
          <t>FM (año i) = FM (año i) - FM (año i-1)</t>
        </r>
      </text>
    </comment>
    <comment ref="O10" authorId="0" shapeId="0" xr:uid="{AE18AEF6-E87B-4D8F-BACC-FCB17CF74453}">
      <text>
        <r>
          <rPr>
            <b/>
            <sz val="9"/>
            <color indexed="81"/>
            <rFont val="Tahoma"/>
            <family val="2"/>
          </rPr>
          <t xml:space="preserve">
Valor actualizado neto del proyecto, calculado con los flujos definidos en moneda constante descontados al tipo de interés real</t>
        </r>
      </text>
    </comment>
    <comment ref="C12" authorId="0" shapeId="0" xr:uid="{B4D8AE7A-1A3B-4C67-99C8-8400FEBB8FE5}">
      <text>
        <r>
          <rPr>
            <b/>
            <sz val="10"/>
            <color indexed="81"/>
            <rFont val="Tahoma"/>
            <family val="2"/>
          </rPr>
          <t xml:space="preserve">
INSTRUCCIONES GENERALES:</t>
        </r>
        <r>
          <rPr>
            <sz val="10"/>
            <color indexed="81"/>
            <rFont val="Tahoma"/>
            <family val="2"/>
          </rPr>
          <t xml:space="preserve">
</t>
        </r>
        <r>
          <rPr>
            <b/>
            <i/>
            <sz val="10"/>
            <color indexed="81"/>
            <rFont val="Tahoma"/>
            <family val="2"/>
          </rPr>
          <t>En esta Hoja puedes ver cuál es el efecto de la inflación en el análisis del interés de un proyecto de inversión sencillo, pero suficientemente completo. Como sabes, la primera regla a respetar en entornos de inflación tiene que ver con la coherencia: moneda corriente se descuenta al tipo de interés nominal; mientras que si el perfil se define en moneda constante, debe utilizarse el tipo de interés real.
Dicho esto, hay ocasiones en que podemos "prescindir del efecto de la inflación" (es decir, podemos calcular el VAN a partir de las generaciones de fondos directamente calculadas en moneda constante -sin incorporar el efecto de la inflación-, descontándolas al tipo de interés real; o hacerlo partiendo de los flujos en los que se incorpora el efecto de la inflación -moneda corriente-, descontándolos en este caso al tipo de interés nominal). Para que ello no suponga una "sobrevaloración" o "infravaloración" artificial de dicho proyecto tienen que cumplirse tres condiciones:
 - Que la inflación afecte por igual a todos los elementos implicados (incluidos los impuestos).
 - Para que lo anterior sea posible es necesario, si la empresa está sujeta al impuesto de sociedades, que o bien
     el proyecto no provoque impactos en la amortización; y que si lo hace, se permita amortizar sobre valores de
     reposición.
 - Que el proyecto no tenga efectos en el fondo de maniobra de la empresa.
Puedes ver los efectos de la inflación en diferentes escenarios posibles en cuanto al cumplimiento o no de las hipótesis indicadas sobre la base de una serie de situaciones predefinidas por la propia Excel. La Hoja te ayudará a "leer" los resultados obtenidos en cada caso.</t>
        </r>
      </text>
    </comment>
    <comment ref="B17" authorId="0" shapeId="0" xr:uid="{FC0F5724-3E1B-43CE-91CF-BC34AA16E173}">
      <text>
        <r>
          <rPr>
            <b/>
            <sz val="9"/>
            <color indexed="81"/>
            <rFont val="Tahoma"/>
            <family val="2"/>
          </rPr>
          <t>Incremento de ventas (en moneda constante) provocado por el proyecto</t>
        </r>
      </text>
    </comment>
    <comment ref="B18" authorId="0" shapeId="0" xr:uid="{A8E5A40E-5AAA-4624-8DF1-4C50C4241752}">
      <text>
        <r>
          <rPr>
            <b/>
            <sz val="9"/>
            <color indexed="81"/>
            <rFont val="Tahoma"/>
            <family val="2"/>
          </rPr>
          <t>Incremento en costes operativos con  desembolso (en moneda constante) provocado por el proyecto</t>
        </r>
      </text>
    </comment>
    <comment ref="B19" authorId="0" shapeId="0" xr:uid="{CE88224A-E6D7-4653-B5B4-44E0C8DFC850}">
      <text>
        <r>
          <rPr>
            <b/>
            <sz val="9"/>
            <color indexed="81"/>
            <rFont val="Tahoma"/>
            <family val="2"/>
          </rPr>
          <t>Incremento en la amortización de inmovilizados provocado por el proyecto</t>
        </r>
      </text>
    </comment>
    <comment ref="B20" authorId="0" shapeId="0" xr:uid="{C0765E2B-0F4D-4A12-BA3E-3CBA28DCA093}">
      <text>
        <r>
          <rPr>
            <b/>
            <sz val="9"/>
            <color indexed="81"/>
            <rFont val="Tahoma"/>
            <family val="2"/>
          </rPr>
          <t>Tipo impositivo (impuesto de sociedades). Se suponen amortizaciones sobre coste histórico</t>
        </r>
      </text>
    </comment>
    <comment ref="B21" authorId="0" shapeId="0" xr:uid="{4DAD4541-035F-438F-8E29-B47952FD1DDB}">
      <text>
        <r>
          <rPr>
            <b/>
            <sz val="9"/>
            <color indexed="81"/>
            <rFont val="Tahoma"/>
            <family val="2"/>
          </rPr>
          <t>Plazo de pago concedido a los clientes (en días; supuesto año comercial -360 días-)</t>
        </r>
      </text>
    </comment>
    <comment ref="B22" authorId="0" shapeId="0" xr:uid="{AC757D85-6E62-427B-88E1-42FD961520F5}">
      <text>
        <r>
          <rPr>
            <b/>
            <sz val="9"/>
            <color indexed="81"/>
            <rFont val="Tahoma"/>
            <family val="2"/>
          </rPr>
          <t>Plazo de pago concedido por los proveedores (en días; supuesto año comercial -360 días-)</t>
        </r>
      </text>
    </comment>
    <comment ref="P22" authorId="0" shapeId="0" xr:uid="{A5A87169-C633-490D-B62E-C1632DF4B62F}">
      <text>
        <r>
          <rPr>
            <b/>
            <sz val="9"/>
            <color indexed="81"/>
            <rFont val="Tahoma"/>
            <family val="2"/>
          </rPr>
          <t xml:space="preserve">
Incremento de caja provocado por el proyecto después de considerar efectos en fondo de maniobra (moneda corriente):
GF = GF' - </t>
        </r>
        <r>
          <rPr>
            <b/>
            <sz val="9"/>
            <color indexed="81"/>
            <rFont val="Calibri"/>
            <family val="2"/>
          </rPr>
          <t>Δ</t>
        </r>
        <r>
          <rPr>
            <b/>
            <sz val="9"/>
            <color indexed="81"/>
            <rFont val="Tahoma"/>
            <family val="2"/>
          </rPr>
          <t>FM + FM (último año)</t>
        </r>
      </text>
    </comment>
    <comment ref="R22" authorId="0" shapeId="0" xr:uid="{FAC4F140-87EE-41D0-8A1A-094C480F8693}">
      <text>
        <r>
          <rPr>
            <b/>
            <sz val="9"/>
            <color indexed="81"/>
            <rFont val="Tahoma"/>
            <family val="2"/>
          </rPr>
          <t xml:space="preserve">
Impacto en caja del proyecto en moneda constante, calculado a partir de los flujos corrientes convenientemente deflactados
GF (i) cons = GF (i) corr / (1+f general) ^ i</t>
        </r>
      </text>
    </comment>
    <comment ref="I23" authorId="0" shapeId="0" xr:uid="{4E0375E9-B307-4DAB-B138-C64E89AB00F9}">
      <text>
        <r>
          <rPr>
            <b/>
            <sz val="9"/>
            <color indexed="81"/>
            <rFont val="Tahoma"/>
            <family val="2"/>
          </rPr>
          <t xml:space="preserve">
Incremento de ventas (en moneda corriente) provocado por el proyecto
V(i) = V x [1 + f(V)] ^ i</t>
        </r>
      </text>
    </comment>
    <comment ref="J23" authorId="0" shapeId="0" xr:uid="{E97A2312-C32C-4010-9C87-2781551993DC}">
      <text>
        <r>
          <rPr>
            <b/>
            <sz val="9"/>
            <color indexed="81"/>
            <rFont val="Tahoma"/>
            <family val="2"/>
          </rPr>
          <t xml:space="preserve">
Incremento de costes operativos con desembolso (en moneda corriente) provocado por el proyecto
C(i) = C x [1 + f(C)] ^ i</t>
        </r>
      </text>
    </comment>
    <comment ref="K23" authorId="0" shapeId="0" xr:uid="{6ECC2FA9-FC5E-446C-9AC7-F8AB812AD60C}">
      <text>
        <r>
          <rPr>
            <b/>
            <sz val="9"/>
            <color indexed="81"/>
            <rFont val="Tahoma"/>
            <family val="2"/>
          </rPr>
          <t xml:space="preserve">
Incremento de amortización de inmovilizado provocado por el proyecto</t>
        </r>
      </text>
    </comment>
    <comment ref="L23" authorId="0" shapeId="0" xr:uid="{7C2300D3-D7EC-4E18-AF78-44E694183F5C}">
      <text>
        <r>
          <rPr>
            <b/>
            <sz val="9"/>
            <color indexed="81"/>
            <rFont val="Tahoma"/>
            <family val="2"/>
          </rPr>
          <t xml:space="preserve">
Incremento de Beneficio antes de intereses e impuestos provocado por el proyecto (moneda corriente):
BAII = V - C - AM</t>
        </r>
      </text>
    </comment>
    <comment ref="M23" authorId="0" shapeId="0" xr:uid="{E7939CE3-5225-4056-BDC2-41651BA6170D}">
      <text>
        <r>
          <rPr>
            <b/>
            <sz val="9"/>
            <color indexed="81"/>
            <rFont val="Tahoma"/>
            <family val="2"/>
          </rPr>
          <t xml:space="preserve">
Incremento de impuestos provocado por el proyecto (moneda corriente):
Imp = t x BAII</t>
        </r>
      </text>
    </comment>
    <comment ref="N23" authorId="0" shapeId="0" xr:uid="{9A368DEF-B023-4D31-B712-69B8DF6D80DD}">
      <text>
        <r>
          <rPr>
            <b/>
            <sz val="9"/>
            <color indexed="81"/>
            <rFont val="Tahoma"/>
            <family val="2"/>
          </rPr>
          <t xml:space="preserve">
Incremento de Beneficio antes de intereses y después de impuestos provocado por el proyecto (moneda corriente):
BAIdI = BAII - Imp</t>
        </r>
      </text>
    </comment>
    <comment ref="O23" authorId="0" shapeId="0" xr:uid="{D8A3F474-D1AC-4AEC-B2C5-08553989A139}">
      <text>
        <r>
          <rPr>
            <b/>
            <sz val="9"/>
            <color indexed="81"/>
            <rFont val="Tahoma"/>
            <family val="2"/>
          </rPr>
          <t xml:space="preserve">
Incremento de caja provocado por el proyecto antes de considerar inversiones en fondo de maniobra (moneda corriente):
GF' = BAIdI + AM</t>
        </r>
      </text>
    </comment>
    <comment ref="B24" authorId="0" shapeId="0" xr:uid="{3B6CF700-0F74-4B90-8A0F-F8320ADF4B22}">
      <text>
        <r>
          <rPr>
            <b/>
            <sz val="9"/>
            <color indexed="81"/>
            <rFont val="Tahoma"/>
            <family val="2"/>
          </rPr>
          <t>Tipo inflación acumulativo anual que afecta a las ventas</t>
        </r>
      </text>
    </comment>
    <comment ref="B25" authorId="0" shapeId="0" xr:uid="{7A4760B9-0FFE-4388-813A-8F8655929ECF}">
      <text>
        <r>
          <rPr>
            <b/>
            <sz val="9"/>
            <color indexed="81"/>
            <rFont val="Tahoma"/>
            <family val="2"/>
          </rPr>
          <t>Tipo inflación acumulativo anual que afecta a los costes operativos con desembolso</t>
        </r>
      </text>
    </comment>
    <comment ref="B26" authorId="0" shapeId="0" xr:uid="{7DE8BFA1-E052-4602-86F5-2B82DC97ABF2}">
      <text>
        <r>
          <rPr>
            <b/>
            <sz val="9"/>
            <color indexed="81"/>
            <rFont val="Tahoma"/>
            <family val="2"/>
          </rPr>
          <t>Tipo inflación (acumulativo anual) general de la economía (IPC)</t>
        </r>
      </text>
    </comment>
    <comment ref="B28" authorId="0" shapeId="0" xr:uid="{63024ABC-37A5-4D71-BD51-262A99BB6A7C}">
      <text>
        <r>
          <rPr>
            <b/>
            <sz val="9"/>
            <color indexed="81"/>
            <rFont val="Tahoma"/>
            <family val="2"/>
          </rPr>
          <t>Rendimiento real (anual) que se le exige al proyecto (coste de los fondos en términos reales)</t>
        </r>
      </text>
    </comment>
    <comment ref="I28" authorId="0" shapeId="0" xr:uid="{DEC5CB90-AC66-49BB-A0F7-1969ED660D85}">
      <text>
        <r>
          <rPr>
            <b/>
            <sz val="9"/>
            <color indexed="81"/>
            <rFont val="Tahoma"/>
            <family val="2"/>
          </rPr>
          <t xml:space="preserve">
Saldo de clientes aportado por el proyecto (moneda corriente):
Clientes = V / 360 x Plazo cobro V</t>
        </r>
      </text>
    </comment>
    <comment ref="J28" authorId="0" shapeId="0" xr:uid="{A26A543C-D8C6-433E-B103-2223C0FC9220}">
      <text>
        <r>
          <rPr>
            <b/>
            <sz val="9"/>
            <color indexed="81"/>
            <rFont val="Tahoma"/>
            <family val="2"/>
          </rPr>
          <t xml:space="preserve">
Saldo de proveedores aportado por el proyecto (moneda corriente):
Proveedores = C / 360 x Plazo pago C</t>
        </r>
      </text>
    </comment>
    <comment ref="K28" authorId="0" shapeId="0" xr:uid="{78856E68-71F0-4443-9734-FC07BEAB23F9}">
      <text>
        <r>
          <rPr>
            <b/>
            <sz val="9"/>
            <color indexed="81"/>
            <rFont val="Tahoma"/>
            <family val="2"/>
          </rPr>
          <t xml:space="preserve">
Saldo de fondo de maniobra aportado por el proyecto (moneda corriente):
FM = Clientes - Proveedores</t>
        </r>
      </text>
    </comment>
    <comment ref="L28" authorId="0" shapeId="0" xr:uid="{31452A0D-700D-4376-8E0B-C6071168D62E}">
      <text>
        <r>
          <rPr>
            <b/>
            <sz val="9"/>
            <color indexed="81"/>
            <rFont val="Tahoma"/>
            <family val="2"/>
          </rPr>
          <t xml:space="preserve">
Inversión en fondo de maniobra exigida por el proyecto (moneda corriente):
</t>
        </r>
        <r>
          <rPr>
            <b/>
            <sz val="9"/>
            <color indexed="81"/>
            <rFont val="Calibri"/>
            <family val="2"/>
          </rPr>
          <t>∆</t>
        </r>
        <r>
          <rPr>
            <b/>
            <sz val="9"/>
            <color indexed="81"/>
            <rFont val="Tahoma"/>
            <family val="2"/>
          </rPr>
          <t>FM (año i) = FM (año i) - FM (año i-1)</t>
        </r>
      </text>
    </comment>
    <comment ref="O28" authorId="0" shapeId="0" xr:uid="{6E798478-40F9-43F8-BC86-95E044A56242}">
      <text>
        <r>
          <rPr>
            <b/>
            <sz val="9"/>
            <color indexed="81"/>
            <rFont val="Tahoma"/>
            <family val="2"/>
          </rPr>
          <t xml:space="preserve">
Valor actualizado neto del proyecto, calculado con los flujos definidos en moneda corriente descontados al tipo de interés nominal</t>
        </r>
      </text>
    </comment>
    <comment ref="B30" authorId="0" shapeId="0" xr:uid="{ADF9D42F-794D-496C-85A4-32AA43895E91}">
      <text>
        <r>
          <rPr>
            <b/>
            <sz val="9"/>
            <color indexed="81"/>
            <rFont val="Tahoma"/>
            <family val="2"/>
          </rPr>
          <t>Rendimiento nominal (anual) que se le exige al proyecto (coste de los fondos en términos nominales):
k = (1+r) x (1+fgeneral) - 1</t>
        </r>
      </text>
    </comment>
    <comment ref="P30" authorId="0" shapeId="0" xr:uid="{9C2C7FCE-D9FE-4040-858E-475A111A7487}">
      <text>
        <r>
          <rPr>
            <b/>
            <sz val="9"/>
            <color indexed="81"/>
            <rFont val="Tahoma"/>
            <family val="2"/>
          </rPr>
          <t xml:space="preserve">
Valor actualizado neto del proyecto, calculado con los flujos deflactados (moneda constante) descontados al tipo de interés real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I3" authorId="0" shapeId="0" xr:uid="{7541E0CD-C0C2-497A-9221-9CC45F0693FA}">
      <text>
        <r>
          <rPr>
            <b/>
            <sz val="9"/>
            <color indexed="81"/>
            <rFont val="Tahoma"/>
            <family val="2"/>
          </rPr>
          <t>Incremento anual de ventas que aporta el proyecto</t>
        </r>
      </text>
    </comment>
    <comment ref="J3" authorId="0" shapeId="0" xr:uid="{565811D5-849D-4EFD-A33D-60F1448AF989}">
      <text>
        <r>
          <rPr>
            <b/>
            <sz val="9"/>
            <color indexed="81"/>
            <rFont val="Tahoma"/>
            <family val="2"/>
          </rPr>
          <t>Incremento anual de costes variables (consumo de mercaderías) que aporta el proyecto</t>
        </r>
      </text>
    </comment>
    <comment ref="K3" authorId="0" shapeId="0" xr:uid="{992F0A17-4DB0-4A6B-A3F7-33E53EDA8EFB}">
      <text>
        <r>
          <rPr>
            <b/>
            <sz val="9"/>
            <color indexed="81"/>
            <rFont val="Tahoma"/>
            <family val="2"/>
          </rPr>
          <t>Incremento anual de amortizaciones de inmovilizados que aporta el proyecto</t>
        </r>
      </text>
    </comment>
    <comment ref="L3" authorId="0" shapeId="0" xr:uid="{28E66A95-FF7E-4EF2-9878-48528D91344D}">
      <text>
        <r>
          <rPr>
            <b/>
            <sz val="9"/>
            <color indexed="81"/>
            <rFont val="Tahoma"/>
            <family val="2"/>
          </rPr>
          <t>Incremento anual de beneficio antes de intereses e impuestos</t>
        </r>
      </text>
    </comment>
    <comment ref="M3" authorId="0" shapeId="0" xr:uid="{D5127AC8-EC81-49F1-9755-09800E717D7C}">
      <text>
        <r>
          <rPr>
            <b/>
            <sz val="9"/>
            <color indexed="81"/>
            <rFont val="Tahoma"/>
            <family val="2"/>
          </rPr>
          <t>Incremento anual de impuestos (Impuesto de sociedades)</t>
        </r>
      </text>
    </comment>
    <comment ref="N3" authorId="0" shapeId="0" xr:uid="{F1A66C08-43D4-49F7-AACF-0DA9DD1A1ED9}">
      <text>
        <r>
          <rPr>
            <b/>
            <sz val="9"/>
            <color indexed="81"/>
            <rFont val="Tahoma"/>
            <family val="2"/>
          </rPr>
          <t>Incremento anual de beneficio antes de intereses y después de impuestos</t>
        </r>
      </text>
    </comment>
    <comment ref="O3" authorId="0" shapeId="0" xr:uid="{32452BD2-E38E-4143-822F-32F2B13995BD}">
      <text>
        <r>
          <rPr>
            <b/>
            <sz val="9"/>
            <color indexed="81"/>
            <rFont val="Tahoma"/>
            <family val="2"/>
          </rPr>
          <t>Incremento de caja anual generado por el proyecto, antes de considerar las inversiones en fondo de maniobra</t>
        </r>
      </text>
    </comment>
    <comment ref="I4" authorId="1" shapeId="0" xr:uid="{276F06CC-D285-4654-A128-B4CFB499FDBE}">
      <text>
        <r>
          <rPr>
            <b/>
            <sz val="9"/>
            <color indexed="81"/>
            <rFont val="Tahoma"/>
            <family val="2"/>
          </rPr>
          <t>1</t>
        </r>
      </text>
    </comment>
    <comment ref="J4" authorId="1" shapeId="0" xr:uid="{DCE7C241-44B1-4F4F-9BD4-222B3E5793D7}">
      <text>
        <r>
          <rPr>
            <b/>
            <sz val="9"/>
            <color indexed="81"/>
            <rFont val="Tahoma"/>
            <family val="2"/>
          </rPr>
          <t>4</t>
        </r>
      </text>
    </comment>
    <comment ref="K4" authorId="1" shapeId="0" xr:uid="{A7A26FAA-9744-4AF5-9D87-B3E89EBD5F2C}">
      <text>
        <r>
          <rPr>
            <b/>
            <sz val="9"/>
            <color indexed="81"/>
            <rFont val="Tahoma"/>
            <family val="2"/>
          </rPr>
          <t>7</t>
        </r>
      </text>
    </comment>
    <comment ref="L4" authorId="1" shapeId="0" xr:uid="{AD5C02EA-EDA3-4F3D-9F7D-73071BAAF317}">
      <text>
        <r>
          <rPr>
            <b/>
            <sz val="9"/>
            <color indexed="81"/>
            <rFont val="Tahoma"/>
            <family val="2"/>
          </rPr>
          <t>10</t>
        </r>
      </text>
    </comment>
    <comment ref="M4" authorId="1" shapeId="0" xr:uid="{516A2DAF-F4EF-41ED-A425-4794CAD3DC00}">
      <text>
        <r>
          <rPr>
            <b/>
            <sz val="9"/>
            <color indexed="81"/>
            <rFont val="Tahoma"/>
            <family val="2"/>
          </rPr>
          <t>13</t>
        </r>
      </text>
    </comment>
    <comment ref="N4" authorId="1" shapeId="0" xr:uid="{B1C4F94C-436B-4F37-A0B9-37D43DD0C006}">
      <text>
        <r>
          <rPr>
            <b/>
            <sz val="9"/>
            <color indexed="81"/>
            <rFont val="Tahoma"/>
            <family val="2"/>
          </rPr>
          <t>16</t>
        </r>
      </text>
    </comment>
    <comment ref="O4" authorId="1" shapeId="0" xr:uid="{48EFD74A-DE64-4AA2-A9C8-2C234648ED8A}">
      <text>
        <r>
          <rPr>
            <b/>
            <sz val="9"/>
            <color indexed="81"/>
            <rFont val="Tahoma"/>
            <family val="2"/>
          </rPr>
          <t>19</t>
        </r>
      </text>
    </comment>
    <comment ref="I5" authorId="1" shapeId="0" xr:uid="{81A24576-91B7-4F27-A288-19D6E4F44DF8}">
      <text>
        <r>
          <rPr>
            <b/>
            <sz val="9"/>
            <color indexed="81"/>
            <rFont val="Tahoma"/>
            <family val="2"/>
          </rPr>
          <t>2</t>
        </r>
      </text>
    </comment>
    <comment ref="J5" authorId="1" shapeId="0" xr:uid="{E7B79B63-62DA-4BC5-AD85-D826E2F8AF65}">
      <text>
        <r>
          <rPr>
            <b/>
            <sz val="9"/>
            <color indexed="81"/>
            <rFont val="Tahoma"/>
            <family val="2"/>
          </rPr>
          <t>5</t>
        </r>
      </text>
    </comment>
    <comment ref="K5" authorId="1" shapeId="0" xr:uid="{83D44952-6B06-4EF6-8A45-4CEE85A65BB7}">
      <text>
        <r>
          <rPr>
            <b/>
            <sz val="9"/>
            <color indexed="81"/>
            <rFont val="Tahoma"/>
            <family val="2"/>
          </rPr>
          <t>8</t>
        </r>
      </text>
    </comment>
    <comment ref="L5" authorId="1" shapeId="0" xr:uid="{938075D9-D033-4E02-8803-E9AF1B6D558C}">
      <text>
        <r>
          <rPr>
            <b/>
            <sz val="9"/>
            <color indexed="81"/>
            <rFont val="Tahoma"/>
            <family val="2"/>
          </rPr>
          <t>11</t>
        </r>
      </text>
    </comment>
    <comment ref="M5" authorId="1" shapeId="0" xr:uid="{7616023F-9F19-4975-9B8C-FF883E415C12}">
      <text>
        <r>
          <rPr>
            <b/>
            <sz val="9"/>
            <color indexed="81"/>
            <rFont val="Tahoma"/>
            <family val="2"/>
          </rPr>
          <t>14</t>
        </r>
      </text>
    </comment>
    <comment ref="N5" authorId="1" shapeId="0" xr:uid="{FA5F9FA3-3642-48D8-8F8A-B566D7B230AD}">
      <text>
        <r>
          <rPr>
            <b/>
            <sz val="9"/>
            <color indexed="81"/>
            <rFont val="Tahoma"/>
            <family val="2"/>
          </rPr>
          <t>17</t>
        </r>
      </text>
    </comment>
    <comment ref="O5" authorId="1" shapeId="0" xr:uid="{28A7BD4B-D42D-4085-8FCF-6B04A309A983}">
      <text>
        <r>
          <rPr>
            <b/>
            <sz val="9"/>
            <color indexed="81"/>
            <rFont val="Tahoma"/>
            <family val="2"/>
          </rPr>
          <t>20</t>
        </r>
      </text>
    </comment>
    <comment ref="I6" authorId="1" shapeId="0" xr:uid="{88D90458-6293-401D-AD9A-C6EA20D5FC73}">
      <text>
        <r>
          <rPr>
            <b/>
            <sz val="9"/>
            <color indexed="81"/>
            <rFont val="Tahoma"/>
            <family val="2"/>
          </rPr>
          <t>3</t>
        </r>
      </text>
    </comment>
    <comment ref="J6" authorId="1" shapeId="0" xr:uid="{9609B5FF-999F-4BF7-907C-453ACEA74F39}">
      <text>
        <r>
          <rPr>
            <b/>
            <sz val="9"/>
            <color indexed="81"/>
            <rFont val="Tahoma"/>
            <family val="2"/>
          </rPr>
          <t>6</t>
        </r>
      </text>
    </comment>
    <comment ref="K6" authorId="1" shapeId="0" xr:uid="{7AC2BBCD-3155-44BB-932D-8A583FBB6139}">
      <text>
        <r>
          <rPr>
            <b/>
            <sz val="9"/>
            <color indexed="81"/>
            <rFont val="Tahoma"/>
            <family val="2"/>
          </rPr>
          <t>9</t>
        </r>
      </text>
    </comment>
    <comment ref="L6" authorId="1" shapeId="0" xr:uid="{15E58BD0-9C73-4FCF-9E5A-41FFCCFBA0D5}">
      <text>
        <r>
          <rPr>
            <b/>
            <sz val="9"/>
            <color indexed="81"/>
            <rFont val="Tahoma"/>
            <family val="2"/>
          </rPr>
          <t>12</t>
        </r>
      </text>
    </comment>
    <comment ref="M6" authorId="1" shapeId="0" xr:uid="{12AAC413-C5A6-45B5-A0EC-8AE264000B2A}">
      <text>
        <r>
          <rPr>
            <b/>
            <sz val="9"/>
            <color indexed="81"/>
            <rFont val="Tahoma"/>
            <family val="2"/>
          </rPr>
          <t>15</t>
        </r>
      </text>
    </comment>
    <comment ref="N6" authorId="1" shapeId="0" xr:uid="{9F0D9A81-0C55-4297-9272-A847BC8487A9}">
      <text>
        <r>
          <rPr>
            <b/>
            <sz val="9"/>
            <color indexed="81"/>
            <rFont val="Tahoma"/>
            <family val="2"/>
          </rPr>
          <t>18</t>
        </r>
      </text>
    </comment>
    <comment ref="O6" authorId="1" shapeId="0" xr:uid="{1F17DCE5-C2D5-4DB3-8DD2-9239FBE00670}">
      <text>
        <r>
          <rPr>
            <b/>
            <sz val="9"/>
            <color indexed="81"/>
            <rFont val="Tahoma"/>
            <family val="2"/>
          </rPr>
          <t>21</t>
        </r>
      </text>
    </comment>
    <comment ref="I9" authorId="0" shapeId="0" xr:uid="{865247ED-D71F-45E7-9ADE-9138C13F2DED}">
      <text>
        <r>
          <rPr>
            <b/>
            <sz val="9"/>
            <color indexed="81"/>
            <rFont val="Tahoma"/>
            <family val="2"/>
          </rPr>
          <t>Saldo de existencias generado por el proyecto (stock de seguridad incremental exigido por el mismo)</t>
        </r>
      </text>
    </comment>
    <comment ref="J9" authorId="0" shapeId="0" xr:uid="{119B1E5D-A0F0-4EE0-9547-D65A6C0D1C91}">
      <text>
        <r>
          <rPr>
            <b/>
            <sz val="9"/>
            <color indexed="81"/>
            <rFont val="Tahoma"/>
            <family val="2"/>
          </rPr>
          <t>Saldo de clientes generado por el proyecto (parte de las ventas anuales no cobradas al final de año)</t>
        </r>
      </text>
    </comment>
    <comment ref="K9" authorId="0" shapeId="0" xr:uid="{87093858-479B-4883-9E08-CA19CD106C57}">
      <text>
        <r>
          <rPr>
            <b/>
            <sz val="9"/>
            <color indexed="81"/>
            <rFont val="Tahoma"/>
            <family val="2"/>
          </rPr>
          <t>Saldo de proveedores generado por el proyecto (parte de los costes variables anuales no pagados al final de año)</t>
        </r>
      </text>
    </comment>
    <comment ref="L9" authorId="0" shapeId="0" xr:uid="{F963CF15-ABE8-4178-94E9-B02756F3E20F}">
      <text>
        <r>
          <rPr>
            <b/>
            <sz val="9"/>
            <color indexed="81"/>
            <rFont val="Tahoma"/>
            <family val="2"/>
          </rPr>
          <t>Saldo anual de fondo de maniobra generado por el proyecto</t>
        </r>
      </text>
    </comment>
    <comment ref="M9" authorId="0" shapeId="0" xr:uid="{772C3DBF-C31E-4461-9849-C4DB243CD69F}">
      <text>
        <r>
          <rPr>
            <b/>
            <sz val="9"/>
            <color indexed="81"/>
            <rFont val="Tahoma"/>
            <family val="2"/>
          </rPr>
          <t>Inversión anual en fondo de maniobra exigida por el proyecto</t>
        </r>
      </text>
    </comment>
    <comment ref="P9" authorId="0" shapeId="0" xr:uid="{8CD5668B-72EF-4FA8-A004-886B176A7B9F}">
      <text>
        <r>
          <rPr>
            <b/>
            <sz val="9"/>
            <color indexed="81"/>
            <rFont val="Tahoma"/>
            <family val="2"/>
          </rPr>
          <t>Impacto anual en caja del proyecto: Generaciones de fondos anuales que incluyen el desembolso inicial y el valor residual</t>
        </r>
      </text>
    </comment>
    <comment ref="I10" authorId="1" shapeId="0" xr:uid="{D2E32461-1C3B-4507-9A12-B8917D54C23A}">
      <text>
        <r>
          <rPr>
            <b/>
            <sz val="9"/>
            <color indexed="81"/>
            <rFont val="Tahoma"/>
            <family val="2"/>
          </rPr>
          <t>22</t>
        </r>
      </text>
    </comment>
    <comment ref="J10" authorId="1" shapeId="0" xr:uid="{84A5DA32-9907-4390-A95A-7141AB59F590}">
      <text>
        <r>
          <rPr>
            <b/>
            <sz val="9"/>
            <color indexed="81"/>
            <rFont val="Tahoma"/>
            <family val="2"/>
          </rPr>
          <t>26</t>
        </r>
      </text>
    </comment>
    <comment ref="K10" authorId="1" shapeId="0" xr:uid="{B0D037A6-8E01-4D3E-B215-686F02A9E535}">
      <text>
        <r>
          <rPr>
            <b/>
            <sz val="9"/>
            <color indexed="81"/>
            <rFont val="Tahoma"/>
            <family val="2"/>
          </rPr>
          <t>30</t>
        </r>
      </text>
    </comment>
    <comment ref="L10" authorId="1" shapeId="0" xr:uid="{BF2FBFC3-32DC-43CF-BD1C-875094EC5B57}">
      <text>
        <r>
          <rPr>
            <b/>
            <sz val="9"/>
            <color indexed="81"/>
            <rFont val="Tahoma"/>
            <family val="2"/>
          </rPr>
          <t>34</t>
        </r>
      </text>
    </comment>
    <comment ref="M10" authorId="1" shapeId="0" xr:uid="{79740550-40A9-4C41-8A60-6ACF3E138019}">
      <text>
        <r>
          <rPr>
            <b/>
            <sz val="9"/>
            <color indexed="81"/>
            <rFont val="Tahoma"/>
            <family val="2"/>
          </rPr>
          <t>38</t>
        </r>
      </text>
    </comment>
    <comment ref="P10" authorId="1" shapeId="0" xr:uid="{111008EE-796D-4D8B-BB02-1FA3E3A9148D}">
      <text>
        <r>
          <rPr>
            <b/>
            <sz val="9"/>
            <color indexed="81"/>
            <rFont val="Tahoma"/>
            <family val="2"/>
          </rPr>
          <t>49</t>
        </r>
      </text>
    </comment>
    <comment ref="I11" authorId="1" shapeId="0" xr:uid="{E1FE02D9-EE78-43DB-8D1C-EF3841F30209}">
      <text>
        <r>
          <rPr>
            <b/>
            <sz val="9"/>
            <color indexed="81"/>
            <rFont val="Tahoma"/>
            <family val="2"/>
          </rPr>
          <t>23</t>
        </r>
      </text>
    </comment>
    <comment ref="J11" authorId="1" shapeId="0" xr:uid="{19178158-6428-4E36-B0DB-3347AFA654F8}">
      <text>
        <r>
          <rPr>
            <b/>
            <sz val="9"/>
            <color indexed="81"/>
            <rFont val="Tahoma"/>
            <family val="2"/>
          </rPr>
          <t>27</t>
        </r>
      </text>
    </comment>
    <comment ref="K11" authorId="1" shapeId="0" xr:uid="{8A3B4A4C-A16D-407D-BC66-F8F5D0BA410F}">
      <text>
        <r>
          <rPr>
            <b/>
            <sz val="9"/>
            <color indexed="81"/>
            <rFont val="Tahoma"/>
            <family val="2"/>
          </rPr>
          <t>31</t>
        </r>
      </text>
    </comment>
    <comment ref="L11" authorId="1" shapeId="0" xr:uid="{F4BB6437-5AB2-443C-8A89-32993B1FEA4D}">
      <text>
        <r>
          <rPr>
            <b/>
            <sz val="9"/>
            <color indexed="81"/>
            <rFont val="Tahoma"/>
            <family val="2"/>
          </rPr>
          <t>35</t>
        </r>
      </text>
    </comment>
    <comment ref="M11" authorId="1" shapeId="0" xr:uid="{4C7B2BD0-C401-4FF7-9D66-48E2922E314E}">
      <text>
        <r>
          <rPr>
            <b/>
            <sz val="9"/>
            <color indexed="81"/>
            <rFont val="Tahoma"/>
            <family val="2"/>
          </rPr>
          <t>39</t>
        </r>
      </text>
    </comment>
    <comment ref="P11" authorId="1" shapeId="0" xr:uid="{66044F6F-3FD6-40DD-8C21-AE3B0592D18B}">
      <text>
        <r>
          <rPr>
            <b/>
            <sz val="9"/>
            <color indexed="81"/>
            <rFont val="Tahoma"/>
            <family val="2"/>
          </rPr>
          <t>50</t>
        </r>
      </text>
    </comment>
    <comment ref="I12" authorId="1" shapeId="0" xr:uid="{C45A14E8-6BC8-46F7-A926-BF64AD39A689}">
      <text>
        <r>
          <rPr>
            <b/>
            <sz val="9"/>
            <color indexed="81"/>
            <rFont val="Tahoma"/>
            <family val="2"/>
          </rPr>
          <t>24</t>
        </r>
      </text>
    </comment>
    <comment ref="J12" authorId="1" shapeId="0" xr:uid="{C289AE9E-C83B-4353-BA56-07F70433126E}">
      <text>
        <r>
          <rPr>
            <b/>
            <sz val="9"/>
            <color indexed="81"/>
            <rFont val="Tahoma"/>
            <family val="2"/>
          </rPr>
          <t>28</t>
        </r>
      </text>
    </comment>
    <comment ref="K12" authorId="1" shapeId="0" xr:uid="{AE0EF634-3624-4E03-A9E6-411E3C25E469}">
      <text>
        <r>
          <rPr>
            <b/>
            <sz val="9"/>
            <color indexed="81"/>
            <rFont val="Tahoma"/>
            <family val="2"/>
          </rPr>
          <t>32</t>
        </r>
      </text>
    </comment>
    <comment ref="L12" authorId="1" shapeId="0" xr:uid="{D5488B30-7969-431C-9405-0DA5B5367C05}">
      <text>
        <r>
          <rPr>
            <b/>
            <sz val="9"/>
            <color indexed="81"/>
            <rFont val="Tahoma"/>
            <family val="2"/>
          </rPr>
          <t>36</t>
        </r>
      </text>
    </comment>
    <comment ref="M12" authorId="1" shapeId="0" xr:uid="{203C7D0C-4308-4F1C-A024-B98AE3CD1A2C}">
      <text>
        <r>
          <rPr>
            <b/>
            <sz val="9"/>
            <color indexed="81"/>
            <rFont val="Tahoma"/>
            <family val="2"/>
          </rPr>
          <t>40</t>
        </r>
      </text>
    </comment>
    <comment ref="P12" authorId="1" shapeId="0" xr:uid="{BB4D8584-04A1-44DF-85DD-6C20EC99BEDC}">
      <text>
        <r>
          <rPr>
            <b/>
            <sz val="9"/>
            <color indexed="81"/>
            <rFont val="Tahoma"/>
            <family val="2"/>
          </rPr>
          <t>51</t>
        </r>
      </text>
    </comment>
    <comment ref="I13" authorId="1" shapeId="0" xr:uid="{31965865-09E9-4E52-B460-A7784118597E}">
      <text>
        <r>
          <rPr>
            <b/>
            <sz val="9"/>
            <color indexed="81"/>
            <rFont val="Tahoma"/>
            <family val="2"/>
          </rPr>
          <t>25</t>
        </r>
      </text>
    </comment>
    <comment ref="J13" authorId="1" shapeId="0" xr:uid="{BD897AD6-F320-4719-B582-A89AC4B84E6B}">
      <text>
        <r>
          <rPr>
            <b/>
            <sz val="9"/>
            <color indexed="81"/>
            <rFont val="Tahoma"/>
            <family val="2"/>
          </rPr>
          <t>29</t>
        </r>
      </text>
    </comment>
    <comment ref="K13" authorId="1" shapeId="0" xr:uid="{8EE4E07B-7CD2-4A99-842E-10540878417E}">
      <text>
        <r>
          <rPr>
            <b/>
            <sz val="9"/>
            <color indexed="81"/>
            <rFont val="Tahoma"/>
            <family val="2"/>
          </rPr>
          <t>33</t>
        </r>
      </text>
    </comment>
    <comment ref="L13" authorId="1" shapeId="0" xr:uid="{A02D7736-5D23-4D66-9285-793FFB2DD9A5}">
      <text>
        <r>
          <rPr>
            <b/>
            <sz val="9"/>
            <color indexed="81"/>
            <rFont val="Tahoma"/>
            <family val="2"/>
          </rPr>
          <t>37</t>
        </r>
      </text>
    </comment>
    <comment ref="M13" authorId="1" shapeId="0" xr:uid="{18B4A880-7B98-412B-B900-3F36A3397DA3}">
      <text>
        <r>
          <rPr>
            <b/>
            <sz val="9"/>
            <color indexed="81"/>
            <rFont val="Tahoma"/>
            <family val="2"/>
          </rPr>
          <t>41</t>
        </r>
      </text>
    </comment>
    <comment ref="P13" authorId="1" shapeId="0" xr:uid="{60FBF876-7AE3-46F7-8F74-F0BBC79DDA90}">
      <text>
        <r>
          <rPr>
            <b/>
            <sz val="9"/>
            <color indexed="81"/>
            <rFont val="Tahoma"/>
            <family val="2"/>
          </rPr>
          <t>52</t>
        </r>
      </text>
    </comment>
    <comment ref="O15" authorId="2" shapeId="0" xr:uid="{FC504B1F-39E1-4B9F-937A-0357FE2236D3}">
      <text>
        <r>
          <rPr>
            <b/>
            <sz val="9"/>
            <color indexed="81"/>
            <rFont val="Tahoma"/>
            <family val="2"/>
          </rPr>
          <t>Valor actualizado neto asociado al proyecto</t>
        </r>
      </text>
    </comment>
    <comment ref="P15" authorId="1" shapeId="0" xr:uid="{3AAB3ABC-1D4F-47A7-99D8-D1CB248F1FFF}">
      <text>
        <r>
          <rPr>
            <b/>
            <sz val="9"/>
            <color indexed="81"/>
            <rFont val="Tahoma"/>
            <family val="2"/>
          </rPr>
          <t>53</t>
        </r>
      </text>
    </comment>
    <comment ref="H16" authorId="0" shapeId="0" xr:uid="{DD5054F3-EC80-4E77-8D71-B1C360A962E6}">
      <text>
        <r>
          <rPr>
            <b/>
            <sz val="9"/>
            <color indexed="81"/>
            <rFont val="Tahoma"/>
            <family val="2"/>
          </rPr>
          <t>Desembolso inicial: inversión exigida por el proyecto en el momento cero</t>
        </r>
      </text>
    </comment>
    <comment ref="I16" authorId="1" shapeId="0" xr:uid="{8C2A115E-F7C6-48CF-B23E-B2F75383BC9A}">
      <text>
        <r>
          <rPr>
            <b/>
            <sz val="9"/>
            <color indexed="81"/>
            <rFont val="Tahoma"/>
            <family val="2"/>
          </rPr>
          <t>42</t>
        </r>
      </text>
    </comment>
    <comment ref="O16" authorId="2" shapeId="0" xr:uid="{A39AE7B7-B04B-458A-A7E3-4E4A7DE7A8B2}">
      <text>
        <r>
          <rPr>
            <b/>
            <sz val="9"/>
            <color indexed="81"/>
            <rFont val="Tahoma"/>
            <family val="2"/>
          </rPr>
          <t>Tasa de rentabilidad interna asociada al proyecto</t>
        </r>
      </text>
    </comment>
    <comment ref="P16" authorId="1" shapeId="0" xr:uid="{6E9F36E4-56BF-4098-B27B-4C9D6DE6B720}">
      <text>
        <r>
          <rPr>
            <b/>
            <sz val="9"/>
            <color indexed="81"/>
            <rFont val="Tahoma"/>
            <family val="2"/>
          </rPr>
          <t>54</t>
        </r>
      </text>
    </comment>
    <comment ref="H17" authorId="0" shapeId="0" xr:uid="{3DBE19AD-592B-42E6-9792-6FCA2B8D74E3}">
      <text>
        <r>
          <rPr>
            <b/>
            <sz val="9"/>
            <color indexed="81"/>
            <rFont val="Tahoma"/>
            <family val="2"/>
          </rPr>
          <t>Valor residual generado por la liquidación del inmovilizado al final del proyecto</t>
        </r>
      </text>
    </comment>
    <comment ref="I17" authorId="1" shapeId="0" xr:uid="{EE42EE59-B169-46C3-AC46-365072669BEA}">
      <text>
        <r>
          <rPr>
            <b/>
            <sz val="9"/>
            <color indexed="81"/>
            <rFont val="Tahoma"/>
            <family val="2"/>
          </rPr>
          <t>43</t>
        </r>
      </text>
    </comment>
    <comment ref="K17" authorId="0" shapeId="0" xr:uid="{628BAFD5-9AD8-43FB-8356-6207CCBAE71B}">
      <text>
        <r>
          <rPr>
            <b/>
            <sz val="9"/>
            <color indexed="81"/>
            <rFont val="Tahoma"/>
            <family val="2"/>
          </rPr>
          <t>Coste de los fondos ajenos:
Intereses x (1-t) / FALP</t>
        </r>
      </text>
    </comment>
    <comment ref="L17" authorId="1" shapeId="0" xr:uid="{D7603AC1-4DF9-4A45-ACB2-552E4918AE21}">
      <text>
        <r>
          <rPr>
            <b/>
            <sz val="9"/>
            <color indexed="81"/>
            <rFont val="Tahoma"/>
            <family val="2"/>
          </rPr>
          <t>46</t>
        </r>
      </text>
    </comment>
    <comment ref="H18" authorId="0" shapeId="0" xr:uid="{28F34A05-978B-49D8-99FB-F50F119DAF06}">
      <text>
        <r>
          <rPr>
            <b/>
            <sz val="9"/>
            <color indexed="81"/>
            <rFont val="Tahoma"/>
            <family val="2"/>
          </rPr>
          <t>Valor residual generado por la liquidación del fondo de maniobra incremental al final del proyecto</t>
        </r>
      </text>
    </comment>
    <comment ref="I18" authorId="1" shapeId="0" xr:uid="{F419C00F-02DB-4ACD-9586-251C3906BC5F}">
      <text>
        <r>
          <rPr>
            <b/>
            <sz val="9"/>
            <color indexed="81"/>
            <rFont val="Tahoma"/>
            <family val="2"/>
          </rPr>
          <t>44</t>
        </r>
      </text>
    </comment>
    <comment ref="K18" authorId="0" shapeId="0" xr:uid="{30A251A4-42B2-4BE3-9CFC-E1E605A675CE}">
      <text>
        <r>
          <rPr>
            <b/>
            <sz val="9"/>
            <color indexed="81"/>
            <rFont val="Tahoma"/>
            <family val="2"/>
          </rPr>
          <t>Coste de los fondos propios:
Dividendo / Cotización + Crecimiento dividendo</t>
        </r>
      </text>
    </comment>
    <comment ref="L18" authorId="1" shapeId="0" xr:uid="{816E1142-7504-459B-86F6-A15BCC7A7C1F}">
      <text>
        <r>
          <rPr>
            <b/>
            <sz val="9"/>
            <color indexed="81"/>
            <rFont val="Tahoma"/>
            <family val="2"/>
          </rPr>
          <t>47</t>
        </r>
      </text>
    </comment>
    <comment ref="H19" authorId="0" shapeId="0" xr:uid="{AC5BC253-2E95-4E7F-ADDC-FBEF6FC2778D}">
      <text>
        <r>
          <rPr>
            <b/>
            <sz val="9"/>
            <color indexed="81"/>
            <rFont val="Tahoma"/>
            <family val="2"/>
          </rPr>
          <t>Valor residual generado por el proyecto al final de su vida (VR instalación + VR(FM))</t>
        </r>
      </text>
    </comment>
    <comment ref="I19" authorId="1" shapeId="0" xr:uid="{8F8CA16C-886B-4177-95AF-D9E8B061C079}">
      <text>
        <r>
          <rPr>
            <b/>
            <sz val="9"/>
            <color indexed="81"/>
            <rFont val="Tahoma"/>
            <family val="2"/>
          </rPr>
          <t>45</t>
        </r>
      </text>
    </comment>
    <comment ref="K19" authorId="0" shapeId="0" xr:uid="{C3B4F837-C82B-4235-AAC8-355DD53D0D5C}">
      <text>
        <r>
          <rPr>
            <b/>
            <sz val="9"/>
            <color indexed="81"/>
            <rFont val="Tahoma"/>
            <family val="2"/>
          </rPr>
          <t>Coste medio ponderado del pasivo:
ki x [FALP/(FALP+FP)] + ke x [FP/(FALP+FP)]</t>
        </r>
      </text>
    </comment>
    <comment ref="L19" authorId="1" shapeId="0" xr:uid="{BDB34BAE-7652-4EFC-8AC8-DAF8FCCAC137}">
      <text>
        <r>
          <rPr>
            <b/>
            <sz val="9"/>
            <color indexed="81"/>
            <rFont val="Tahoma"/>
            <family val="2"/>
          </rPr>
          <t>48</t>
        </r>
      </text>
    </comment>
    <comment ref="M42" authorId="1" shapeId="0" xr:uid="{D54AA4B5-DA77-4F9A-BC4C-9C1F383579AF}">
      <text>
        <r>
          <rPr>
            <b/>
            <sz val="9"/>
            <color indexed="81"/>
            <rFont val="Tahoma"/>
            <family val="2"/>
          </rPr>
          <t xml:space="preserve"> 1. Planteamiento general: variabilidad a la decisión e inflación
 2. ¿Por qué es importante en este caso incorporar el efecto de la inflación en el análisis
      (y no trabajar directamente con moneda constante descontada al tipo real)?
 3. ¿Por qué debe tenerse en cuenta en ∆C la variación de existencias?
 4. ¿Por qué hay cambios en Existencias si el número de unidades físicas se mantiene a lo
      largo de toda la vida útil del proyecto?
 5. ¿Por qué los saldos de Clientes, Existencias y Proveedores asociados al proyecto llevan
      aparejado el símbolo '∆'?
 6. ¿Por qué la cifra de ∆Proveedores no puede calcularse a partir de ∆C?
 7. ¿Por qué el IVA solo aparece en el cálculo de los saldos de Clientes y Proveedores y no
      afecta a los datos relacionados con la compra y venta de inmovilizados?
 8. ¿Qué impacto tienen en el análisis las políticas de valoración (de almacenes y de
      inmovilizado)?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Javi</author>
    <author>Francisco Javier Santibañez Gruber</author>
    <author>santibañez gruber francisco javier</author>
  </authors>
  <commentList>
    <comment ref="I3" authorId="0" shapeId="0" xr:uid="{A7EF0A10-F46B-4789-AE8C-9CF41B0FE139}">
      <text>
        <r>
          <rPr>
            <b/>
            <sz val="9"/>
            <color indexed="81"/>
            <rFont val="Tahoma"/>
            <family val="2"/>
          </rPr>
          <t>Incremento anual de ventas que aporta el proyecto</t>
        </r>
      </text>
    </comment>
    <comment ref="J3" authorId="0" shapeId="0" xr:uid="{0000E0C0-9B36-4B65-9906-7C52C3B19DA7}">
      <text>
        <r>
          <rPr>
            <b/>
            <sz val="9"/>
            <color indexed="81"/>
            <rFont val="Tahoma"/>
            <family val="2"/>
          </rPr>
          <t>Incremento anual de costes variables (consumo de mercaderías) que aporta el proyecto</t>
        </r>
      </text>
    </comment>
    <comment ref="K3" authorId="0" shapeId="0" xr:uid="{65C74F91-0B42-497A-AB8C-372130631869}">
      <text>
        <r>
          <rPr>
            <b/>
            <sz val="9"/>
            <color indexed="81"/>
            <rFont val="Tahoma"/>
            <family val="2"/>
          </rPr>
          <t>Incremento anual de amortizaciones de inmovilizados que aporta el proyecto</t>
        </r>
      </text>
    </comment>
    <comment ref="L3" authorId="0" shapeId="0" xr:uid="{D4B58C49-BED7-4AE5-B93A-A3F694ADF6BA}">
      <text>
        <r>
          <rPr>
            <b/>
            <sz val="9"/>
            <color indexed="81"/>
            <rFont val="Tahoma"/>
            <family val="2"/>
          </rPr>
          <t>Incremento anual de beneficio antes de intereses e impuestos</t>
        </r>
      </text>
    </comment>
    <comment ref="M3" authorId="0" shapeId="0" xr:uid="{3E520D8D-901E-4B32-9A28-93F18A9DAC96}">
      <text>
        <r>
          <rPr>
            <b/>
            <sz val="9"/>
            <color indexed="81"/>
            <rFont val="Tahoma"/>
            <family val="2"/>
          </rPr>
          <t>Incremento anual de impuestos (Impuesto de sociedades)</t>
        </r>
      </text>
    </comment>
    <comment ref="N3" authorId="0" shapeId="0" xr:uid="{E959A291-1A83-4A91-88DE-624F74032FFB}">
      <text>
        <r>
          <rPr>
            <b/>
            <sz val="9"/>
            <color indexed="81"/>
            <rFont val="Tahoma"/>
            <family val="2"/>
          </rPr>
          <t>Incremento anual de beneficio antes de intereses y después de impuestos</t>
        </r>
      </text>
    </comment>
    <comment ref="O3" authorId="0" shapeId="0" xr:uid="{908D0BA8-B798-428E-A42F-25F68711CE8C}">
      <text>
        <r>
          <rPr>
            <b/>
            <sz val="9"/>
            <color indexed="81"/>
            <rFont val="Tahoma"/>
            <family val="2"/>
          </rPr>
          <t>Incremento de caja anual generado por el proyecto, antes de considerar las inversiones en fondo de maniobra</t>
        </r>
      </text>
    </comment>
    <comment ref="I4" authorId="1" shapeId="0" xr:uid="{A5D66E8E-2687-4C6F-8155-C56C68D7A93A}">
      <text>
        <r>
          <rPr>
            <b/>
            <sz val="9"/>
            <color indexed="81"/>
            <rFont val="Tahoma"/>
            <family val="2"/>
          </rPr>
          <t>1</t>
        </r>
      </text>
    </comment>
    <comment ref="J4" authorId="1" shapeId="0" xr:uid="{EC457ABA-0D3F-4C2F-ADF0-7EDC51112719}">
      <text>
        <r>
          <rPr>
            <b/>
            <sz val="9"/>
            <color indexed="81"/>
            <rFont val="Tahoma"/>
            <family val="2"/>
          </rPr>
          <t>4</t>
        </r>
      </text>
    </comment>
    <comment ref="K4" authorId="1" shapeId="0" xr:uid="{593DC86C-FAB0-446E-BFF5-A1BA0B9BF5E9}">
      <text>
        <r>
          <rPr>
            <b/>
            <sz val="9"/>
            <color indexed="81"/>
            <rFont val="Tahoma"/>
            <family val="2"/>
          </rPr>
          <t>7</t>
        </r>
      </text>
    </comment>
    <comment ref="L4" authorId="1" shapeId="0" xr:uid="{51581E3A-F891-4404-B59F-2FA66508EA6D}">
      <text>
        <r>
          <rPr>
            <b/>
            <sz val="9"/>
            <color indexed="81"/>
            <rFont val="Tahoma"/>
            <family val="2"/>
          </rPr>
          <t>10</t>
        </r>
      </text>
    </comment>
    <comment ref="M4" authorId="1" shapeId="0" xr:uid="{ABEACFE0-75B1-4648-8197-29B5E8E15384}">
      <text>
        <r>
          <rPr>
            <b/>
            <sz val="9"/>
            <color indexed="81"/>
            <rFont val="Tahoma"/>
            <family val="2"/>
          </rPr>
          <t>13</t>
        </r>
      </text>
    </comment>
    <comment ref="N4" authorId="1" shapeId="0" xr:uid="{71115D73-AE0A-480D-AA03-F29C8287E52E}">
      <text>
        <r>
          <rPr>
            <b/>
            <sz val="9"/>
            <color indexed="81"/>
            <rFont val="Tahoma"/>
            <family val="2"/>
          </rPr>
          <t>16</t>
        </r>
      </text>
    </comment>
    <comment ref="O4" authorId="1" shapeId="0" xr:uid="{B67F7A70-C73A-46A9-9044-55593B2D1381}">
      <text>
        <r>
          <rPr>
            <b/>
            <sz val="9"/>
            <color indexed="81"/>
            <rFont val="Tahoma"/>
            <family val="2"/>
          </rPr>
          <t>19</t>
        </r>
      </text>
    </comment>
    <comment ref="I5" authorId="1" shapeId="0" xr:uid="{AA2C225E-5D49-4DEF-A98A-CFDF6B09FB6F}">
      <text>
        <r>
          <rPr>
            <b/>
            <sz val="9"/>
            <color indexed="81"/>
            <rFont val="Tahoma"/>
            <family val="2"/>
          </rPr>
          <t>2</t>
        </r>
      </text>
    </comment>
    <comment ref="J5" authorId="1" shapeId="0" xr:uid="{BEFE7092-5EBF-406E-927D-9AABEC1D7707}">
      <text>
        <r>
          <rPr>
            <b/>
            <sz val="9"/>
            <color indexed="81"/>
            <rFont val="Tahoma"/>
            <family val="2"/>
          </rPr>
          <t>5</t>
        </r>
      </text>
    </comment>
    <comment ref="K5" authorId="1" shapeId="0" xr:uid="{04B06B03-05A7-4643-916B-3C2CC8C1F733}">
      <text>
        <r>
          <rPr>
            <b/>
            <sz val="9"/>
            <color indexed="81"/>
            <rFont val="Tahoma"/>
            <family val="2"/>
          </rPr>
          <t>8</t>
        </r>
      </text>
    </comment>
    <comment ref="L5" authorId="1" shapeId="0" xr:uid="{459F5021-2092-4584-BDFD-35705B8AA7E6}">
      <text>
        <r>
          <rPr>
            <b/>
            <sz val="9"/>
            <color indexed="81"/>
            <rFont val="Tahoma"/>
            <family val="2"/>
          </rPr>
          <t>11</t>
        </r>
      </text>
    </comment>
    <comment ref="M5" authorId="1" shapeId="0" xr:uid="{72DB9E65-E085-482B-B36C-5E75E4BA30B4}">
      <text>
        <r>
          <rPr>
            <b/>
            <sz val="9"/>
            <color indexed="81"/>
            <rFont val="Tahoma"/>
            <family val="2"/>
          </rPr>
          <t>14</t>
        </r>
      </text>
    </comment>
    <comment ref="N5" authorId="1" shapeId="0" xr:uid="{7499C7E6-6AB4-448C-AD67-A5F2DF975240}">
      <text>
        <r>
          <rPr>
            <b/>
            <sz val="9"/>
            <color indexed="81"/>
            <rFont val="Tahoma"/>
            <family val="2"/>
          </rPr>
          <t>17</t>
        </r>
      </text>
    </comment>
    <comment ref="O5" authorId="1" shapeId="0" xr:uid="{42E82A18-CDD0-4E3F-B587-9BE537F15AEA}">
      <text>
        <r>
          <rPr>
            <b/>
            <sz val="9"/>
            <color indexed="81"/>
            <rFont val="Tahoma"/>
            <family val="2"/>
          </rPr>
          <t>20</t>
        </r>
      </text>
    </comment>
    <comment ref="I6" authorId="1" shapeId="0" xr:uid="{A1C1AD9F-280D-4456-91D3-EA95B2F42121}">
      <text>
        <r>
          <rPr>
            <b/>
            <sz val="9"/>
            <color indexed="81"/>
            <rFont val="Tahoma"/>
            <family val="2"/>
          </rPr>
          <t>3</t>
        </r>
      </text>
    </comment>
    <comment ref="J6" authorId="1" shapeId="0" xr:uid="{25FA56F1-7C99-43B1-946C-F6F86919A546}">
      <text>
        <r>
          <rPr>
            <b/>
            <sz val="9"/>
            <color indexed="81"/>
            <rFont val="Tahoma"/>
            <family val="2"/>
          </rPr>
          <t>6</t>
        </r>
      </text>
    </comment>
    <comment ref="K6" authorId="1" shapeId="0" xr:uid="{22AD20E5-A6C3-4A9F-82B2-39B3705EE286}">
      <text>
        <r>
          <rPr>
            <b/>
            <sz val="9"/>
            <color indexed="81"/>
            <rFont val="Tahoma"/>
            <family val="2"/>
          </rPr>
          <t>9</t>
        </r>
      </text>
    </comment>
    <comment ref="L6" authorId="1" shapeId="0" xr:uid="{3E14CAA7-A2E6-48FA-81D5-42ECD6AAE67E}">
      <text>
        <r>
          <rPr>
            <b/>
            <sz val="9"/>
            <color indexed="81"/>
            <rFont val="Tahoma"/>
            <family val="2"/>
          </rPr>
          <t>12</t>
        </r>
      </text>
    </comment>
    <comment ref="M6" authorId="1" shapeId="0" xr:uid="{F97F3CB2-080E-40EB-A1F4-6B243496F672}">
      <text>
        <r>
          <rPr>
            <b/>
            <sz val="9"/>
            <color indexed="81"/>
            <rFont val="Tahoma"/>
            <family val="2"/>
          </rPr>
          <t>15</t>
        </r>
      </text>
    </comment>
    <comment ref="N6" authorId="1" shapeId="0" xr:uid="{8C378790-40C4-4263-BE4F-B0F7CDC6349B}">
      <text>
        <r>
          <rPr>
            <b/>
            <sz val="9"/>
            <color indexed="81"/>
            <rFont val="Tahoma"/>
            <family val="2"/>
          </rPr>
          <t>18</t>
        </r>
      </text>
    </comment>
    <comment ref="O6" authorId="1" shapeId="0" xr:uid="{75651EA9-C2F1-4FFD-9CC0-581EA0C3A59E}">
      <text>
        <r>
          <rPr>
            <b/>
            <sz val="9"/>
            <color indexed="81"/>
            <rFont val="Tahoma"/>
            <family val="2"/>
          </rPr>
          <t>21</t>
        </r>
      </text>
    </comment>
    <comment ref="I9" authorId="0" shapeId="0" xr:uid="{E10F120A-B6E7-4977-A25F-8AE89F5BB10A}">
      <text>
        <r>
          <rPr>
            <b/>
            <sz val="9"/>
            <color indexed="81"/>
            <rFont val="Tahoma"/>
            <family val="2"/>
          </rPr>
          <t>Saldo de existencias generado por el proyecto (stock de seguridad incremental exigido por el mismo)</t>
        </r>
      </text>
    </comment>
    <comment ref="J9" authorId="0" shapeId="0" xr:uid="{D8DFA4DB-1046-4FD2-A0FD-B0DBC9F53258}">
      <text>
        <r>
          <rPr>
            <b/>
            <sz val="9"/>
            <color indexed="81"/>
            <rFont val="Tahoma"/>
            <family val="2"/>
          </rPr>
          <t>Saldo de clientes generado por el proyecto (parte de las ventas anuales no cobradas al final de año)</t>
        </r>
      </text>
    </comment>
    <comment ref="K9" authorId="0" shapeId="0" xr:uid="{98D10797-BD2A-4D12-96CF-CBBB087CDF96}">
      <text>
        <r>
          <rPr>
            <b/>
            <sz val="9"/>
            <color indexed="81"/>
            <rFont val="Tahoma"/>
            <family val="2"/>
          </rPr>
          <t>Saldo de proveedores generado por el proyecto (parte de los costes variables anuales no pagados al final de año)</t>
        </r>
      </text>
    </comment>
    <comment ref="L9" authorId="0" shapeId="0" xr:uid="{2CED2329-7973-4C65-B0E3-B5F00DB65778}">
      <text>
        <r>
          <rPr>
            <b/>
            <sz val="9"/>
            <color indexed="81"/>
            <rFont val="Tahoma"/>
            <family val="2"/>
          </rPr>
          <t>Saldo anual de fondo de maniobra generado por el proyecto</t>
        </r>
      </text>
    </comment>
    <comment ref="M9" authorId="0" shapeId="0" xr:uid="{B0FBF9EA-0D8B-48B1-9676-FD6050EC0E0E}">
      <text>
        <r>
          <rPr>
            <b/>
            <sz val="9"/>
            <color indexed="81"/>
            <rFont val="Tahoma"/>
            <family val="2"/>
          </rPr>
          <t>Inversión anual en fondo de maniobra exigida por el proyecto</t>
        </r>
      </text>
    </comment>
    <comment ref="P9" authorId="0" shapeId="0" xr:uid="{A601740B-E8A4-4146-9A61-71B87BCA246A}">
      <text>
        <r>
          <rPr>
            <b/>
            <sz val="9"/>
            <color indexed="81"/>
            <rFont val="Tahoma"/>
            <family val="2"/>
          </rPr>
          <t>Impacto anual en caja del proyecto: Generaciones de fondos anuales que incluyen el desembolso inicial y el valor residual</t>
        </r>
      </text>
    </comment>
    <comment ref="I10" authorId="1" shapeId="0" xr:uid="{066390D8-F5DA-4BF3-AE0A-55E36033FECF}">
      <text>
        <r>
          <rPr>
            <b/>
            <sz val="9"/>
            <color indexed="81"/>
            <rFont val="Tahoma"/>
            <family val="2"/>
          </rPr>
          <t>22</t>
        </r>
      </text>
    </comment>
    <comment ref="J10" authorId="1" shapeId="0" xr:uid="{E08F72F3-DC6C-481F-B362-415A198F0081}">
      <text>
        <r>
          <rPr>
            <b/>
            <sz val="9"/>
            <color indexed="81"/>
            <rFont val="Tahoma"/>
            <family val="2"/>
          </rPr>
          <t>26</t>
        </r>
      </text>
    </comment>
    <comment ref="K10" authorId="1" shapeId="0" xr:uid="{583DB655-D21F-40AA-90E2-AE2FFB23F94B}">
      <text>
        <r>
          <rPr>
            <b/>
            <sz val="9"/>
            <color indexed="81"/>
            <rFont val="Tahoma"/>
            <family val="2"/>
          </rPr>
          <t>30</t>
        </r>
      </text>
    </comment>
    <comment ref="L10" authorId="1" shapeId="0" xr:uid="{A229F7F3-AF09-459A-B4CD-26F5CCF8D52C}">
      <text>
        <r>
          <rPr>
            <b/>
            <sz val="9"/>
            <color indexed="81"/>
            <rFont val="Tahoma"/>
            <family val="2"/>
          </rPr>
          <t>34</t>
        </r>
      </text>
    </comment>
    <comment ref="M10" authorId="1" shapeId="0" xr:uid="{9F44AEEB-8993-45F6-ABCD-EBA1424D1EE1}">
      <text>
        <r>
          <rPr>
            <b/>
            <sz val="9"/>
            <color indexed="81"/>
            <rFont val="Tahoma"/>
            <family val="2"/>
          </rPr>
          <t>38</t>
        </r>
      </text>
    </comment>
    <comment ref="P10" authorId="1" shapeId="0" xr:uid="{AEF227D7-CD65-4267-AB45-540305A26D49}">
      <text>
        <r>
          <rPr>
            <b/>
            <sz val="9"/>
            <color indexed="81"/>
            <rFont val="Tahoma"/>
            <family val="2"/>
          </rPr>
          <t>49</t>
        </r>
      </text>
    </comment>
    <comment ref="I11" authorId="1" shapeId="0" xr:uid="{B421BC36-06B8-41E9-8354-320782883E43}">
      <text>
        <r>
          <rPr>
            <b/>
            <sz val="9"/>
            <color indexed="81"/>
            <rFont val="Tahoma"/>
            <family val="2"/>
          </rPr>
          <t>23</t>
        </r>
      </text>
    </comment>
    <comment ref="J11" authorId="1" shapeId="0" xr:uid="{34CF48BA-2446-45AF-B4C8-D0C277FCC01F}">
      <text>
        <r>
          <rPr>
            <b/>
            <sz val="9"/>
            <color indexed="81"/>
            <rFont val="Tahoma"/>
            <family val="2"/>
          </rPr>
          <t>27</t>
        </r>
      </text>
    </comment>
    <comment ref="K11" authorId="1" shapeId="0" xr:uid="{80381482-F36D-4F74-B883-53522A5E8974}">
      <text>
        <r>
          <rPr>
            <b/>
            <sz val="9"/>
            <color indexed="81"/>
            <rFont val="Tahoma"/>
            <family val="2"/>
          </rPr>
          <t>31</t>
        </r>
      </text>
    </comment>
    <comment ref="L11" authorId="1" shapeId="0" xr:uid="{52788B62-DBCF-4EA0-8F85-7B01767D19D7}">
      <text>
        <r>
          <rPr>
            <b/>
            <sz val="9"/>
            <color indexed="81"/>
            <rFont val="Tahoma"/>
            <family val="2"/>
          </rPr>
          <t>35</t>
        </r>
      </text>
    </comment>
    <comment ref="M11" authorId="1" shapeId="0" xr:uid="{FA6E5E02-2BC2-432D-B622-7AA3B34A6B4F}">
      <text>
        <r>
          <rPr>
            <b/>
            <sz val="9"/>
            <color indexed="81"/>
            <rFont val="Tahoma"/>
            <family val="2"/>
          </rPr>
          <t>39</t>
        </r>
      </text>
    </comment>
    <comment ref="P11" authorId="1" shapeId="0" xr:uid="{1390802B-393E-4DE0-9ECD-4FEFDD9DBC35}">
      <text>
        <r>
          <rPr>
            <b/>
            <sz val="9"/>
            <color indexed="81"/>
            <rFont val="Tahoma"/>
            <family val="2"/>
          </rPr>
          <t>50</t>
        </r>
      </text>
    </comment>
    <comment ref="I12" authorId="1" shapeId="0" xr:uid="{31ABC9D4-558D-40E7-9C61-60B1DA212258}">
      <text>
        <r>
          <rPr>
            <b/>
            <sz val="9"/>
            <color indexed="81"/>
            <rFont val="Tahoma"/>
            <family val="2"/>
          </rPr>
          <t>24</t>
        </r>
      </text>
    </comment>
    <comment ref="J12" authorId="1" shapeId="0" xr:uid="{6798D167-2BA5-4E1E-A8B5-F6D610D14C29}">
      <text>
        <r>
          <rPr>
            <b/>
            <sz val="9"/>
            <color indexed="81"/>
            <rFont val="Tahoma"/>
            <family val="2"/>
          </rPr>
          <t>28</t>
        </r>
      </text>
    </comment>
    <comment ref="K12" authorId="1" shapeId="0" xr:uid="{3A5B33D8-E08B-4AA8-8E08-18F2F0B808EB}">
      <text>
        <r>
          <rPr>
            <b/>
            <sz val="9"/>
            <color indexed="81"/>
            <rFont val="Tahoma"/>
            <family val="2"/>
          </rPr>
          <t>32</t>
        </r>
      </text>
    </comment>
    <comment ref="L12" authorId="1" shapeId="0" xr:uid="{7552163C-C356-49D1-86ED-BEF7B4724C6B}">
      <text>
        <r>
          <rPr>
            <b/>
            <sz val="9"/>
            <color indexed="81"/>
            <rFont val="Tahoma"/>
            <family val="2"/>
          </rPr>
          <t>36</t>
        </r>
      </text>
    </comment>
    <comment ref="M12" authorId="1" shapeId="0" xr:uid="{813AA650-5962-496F-82A7-EA938D945C0B}">
      <text>
        <r>
          <rPr>
            <b/>
            <sz val="9"/>
            <color indexed="81"/>
            <rFont val="Tahoma"/>
            <family val="2"/>
          </rPr>
          <t>40</t>
        </r>
      </text>
    </comment>
    <comment ref="P12" authorId="1" shapeId="0" xr:uid="{D1AC677D-79C6-4646-9917-93AC939C5557}">
      <text>
        <r>
          <rPr>
            <b/>
            <sz val="9"/>
            <color indexed="81"/>
            <rFont val="Tahoma"/>
            <family val="2"/>
          </rPr>
          <t>51</t>
        </r>
      </text>
    </comment>
    <comment ref="I13" authorId="1" shapeId="0" xr:uid="{1800114D-A74E-4D95-AFF6-27F23A67B556}">
      <text>
        <r>
          <rPr>
            <b/>
            <sz val="9"/>
            <color indexed="81"/>
            <rFont val="Tahoma"/>
            <family val="2"/>
          </rPr>
          <t>25</t>
        </r>
      </text>
    </comment>
    <comment ref="J13" authorId="1" shapeId="0" xr:uid="{AEBE4539-1995-4CD2-9CCA-7C633A223290}">
      <text>
        <r>
          <rPr>
            <b/>
            <sz val="9"/>
            <color indexed="81"/>
            <rFont val="Tahoma"/>
            <family val="2"/>
          </rPr>
          <t>29</t>
        </r>
      </text>
    </comment>
    <comment ref="K13" authorId="1" shapeId="0" xr:uid="{468C7B27-9656-4BA5-BEFC-2E7255ADD83B}">
      <text>
        <r>
          <rPr>
            <b/>
            <sz val="9"/>
            <color indexed="81"/>
            <rFont val="Tahoma"/>
            <family val="2"/>
          </rPr>
          <t>33</t>
        </r>
      </text>
    </comment>
    <comment ref="L13" authorId="1" shapeId="0" xr:uid="{8F7215A9-14DE-4E14-AC97-7C96DAEBC726}">
      <text>
        <r>
          <rPr>
            <b/>
            <sz val="9"/>
            <color indexed="81"/>
            <rFont val="Tahoma"/>
            <family val="2"/>
          </rPr>
          <t>37</t>
        </r>
      </text>
    </comment>
    <comment ref="M13" authorId="1" shapeId="0" xr:uid="{89A436A4-91EC-4026-8686-142396E37AA4}">
      <text>
        <r>
          <rPr>
            <b/>
            <sz val="9"/>
            <color indexed="81"/>
            <rFont val="Tahoma"/>
            <family val="2"/>
          </rPr>
          <t>41</t>
        </r>
      </text>
    </comment>
    <comment ref="P13" authorId="1" shapeId="0" xr:uid="{BB2E9D77-B624-4307-A33E-CAC8DC5AEC7E}">
      <text>
        <r>
          <rPr>
            <b/>
            <sz val="9"/>
            <color indexed="81"/>
            <rFont val="Tahoma"/>
            <family val="2"/>
          </rPr>
          <t>52</t>
        </r>
      </text>
    </comment>
    <comment ref="O15" authorId="2" shapeId="0" xr:uid="{74C08F81-058F-4A66-AF1C-775F2A9501BD}">
      <text>
        <r>
          <rPr>
            <b/>
            <sz val="9"/>
            <color indexed="81"/>
            <rFont val="Tahoma"/>
            <family val="2"/>
          </rPr>
          <t>Valor actualizado neto asociado al proyecto</t>
        </r>
      </text>
    </comment>
    <comment ref="P15" authorId="1" shapeId="0" xr:uid="{180A58EC-3FB1-40E3-8D4A-C5D42BF6AF3E}">
      <text>
        <r>
          <rPr>
            <b/>
            <sz val="9"/>
            <color indexed="81"/>
            <rFont val="Tahoma"/>
            <family val="2"/>
          </rPr>
          <t>53</t>
        </r>
      </text>
    </comment>
    <comment ref="H16" authorId="0" shapeId="0" xr:uid="{D5181AD3-7CA1-4975-9F1D-75A80155952F}">
      <text>
        <r>
          <rPr>
            <b/>
            <sz val="9"/>
            <color indexed="81"/>
            <rFont val="Tahoma"/>
            <family val="2"/>
          </rPr>
          <t>Desembolso inicial: inversión exigida por el proyecto en el momento cero</t>
        </r>
      </text>
    </comment>
    <comment ref="I16" authorId="1" shapeId="0" xr:uid="{E4C11121-4123-44F5-9F51-084DEAA16BF6}">
      <text>
        <r>
          <rPr>
            <b/>
            <sz val="9"/>
            <color indexed="81"/>
            <rFont val="Tahoma"/>
            <family val="2"/>
          </rPr>
          <t>42</t>
        </r>
      </text>
    </comment>
    <comment ref="O16" authorId="2" shapeId="0" xr:uid="{A3809250-B224-4ACB-8470-36A013EADBEE}">
      <text>
        <r>
          <rPr>
            <b/>
            <sz val="9"/>
            <color indexed="81"/>
            <rFont val="Tahoma"/>
            <family val="2"/>
          </rPr>
          <t>Tasa de rentabilidad interna asociada al proyecto</t>
        </r>
      </text>
    </comment>
    <comment ref="P16" authorId="1" shapeId="0" xr:uid="{2DFD21BD-4214-47F6-9014-24581A39E7AF}">
      <text>
        <r>
          <rPr>
            <b/>
            <sz val="9"/>
            <color indexed="81"/>
            <rFont val="Tahoma"/>
            <family val="2"/>
          </rPr>
          <t>54</t>
        </r>
      </text>
    </comment>
    <comment ref="H17" authorId="0" shapeId="0" xr:uid="{9D80974A-BC41-4CC4-AA21-C09186976679}">
      <text>
        <r>
          <rPr>
            <b/>
            <sz val="9"/>
            <color indexed="81"/>
            <rFont val="Tahoma"/>
            <family val="2"/>
          </rPr>
          <t>Valor residual generado por la liquidación del inmovilizado al final del proyecto</t>
        </r>
      </text>
    </comment>
    <comment ref="I17" authorId="1" shapeId="0" xr:uid="{26425904-668D-4417-9707-91C6AE960892}">
      <text>
        <r>
          <rPr>
            <b/>
            <sz val="9"/>
            <color indexed="81"/>
            <rFont val="Tahoma"/>
            <family val="2"/>
          </rPr>
          <t>43</t>
        </r>
      </text>
    </comment>
    <comment ref="K17" authorId="0" shapeId="0" xr:uid="{CED3B370-4998-4ACD-A69B-64C271BEAE65}">
      <text>
        <r>
          <rPr>
            <b/>
            <sz val="9"/>
            <color indexed="81"/>
            <rFont val="Tahoma"/>
            <family val="2"/>
          </rPr>
          <t>Coste de los fondos ajenos:
Intereses x (1-t) / FALP</t>
        </r>
      </text>
    </comment>
    <comment ref="L17" authorId="1" shapeId="0" xr:uid="{7F0B57C0-CAFC-4807-A05E-6D065728F072}">
      <text>
        <r>
          <rPr>
            <b/>
            <sz val="9"/>
            <color indexed="81"/>
            <rFont val="Tahoma"/>
            <family val="2"/>
          </rPr>
          <t>46</t>
        </r>
      </text>
    </comment>
    <comment ref="H18" authorId="0" shapeId="0" xr:uid="{DB0D9480-59B3-45EF-B8F9-814DB402F475}">
      <text>
        <r>
          <rPr>
            <b/>
            <sz val="9"/>
            <color indexed="81"/>
            <rFont val="Tahoma"/>
            <family val="2"/>
          </rPr>
          <t>Valor residual generado por la liquidación del fondo de maniobra incremental al final del proyecto</t>
        </r>
      </text>
    </comment>
    <comment ref="I18" authorId="1" shapeId="0" xr:uid="{AA3142E1-F43A-46C8-81E2-F92393D1AB8A}">
      <text>
        <r>
          <rPr>
            <b/>
            <sz val="9"/>
            <color indexed="81"/>
            <rFont val="Tahoma"/>
            <family val="2"/>
          </rPr>
          <t>44</t>
        </r>
      </text>
    </comment>
    <comment ref="K18" authorId="0" shapeId="0" xr:uid="{D9E87A5A-BA24-410A-B07C-70CE55468980}">
      <text>
        <r>
          <rPr>
            <b/>
            <sz val="9"/>
            <color indexed="81"/>
            <rFont val="Tahoma"/>
            <family val="2"/>
          </rPr>
          <t>Coste de los fondos propios:
Dividendo / Cotización + Crecimiento dividendo</t>
        </r>
      </text>
    </comment>
    <comment ref="L18" authorId="1" shapeId="0" xr:uid="{46625B88-D760-4EA1-A8A6-D629AB6CA5C6}">
      <text>
        <r>
          <rPr>
            <b/>
            <sz val="9"/>
            <color indexed="81"/>
            <rFont val="Tahoma"/>
            <family val="2"/>
          </rPr>
          <t>47</t>
        </r>
      </text>
    </comment>
    <comment ref="H19" authorId="0" shapeId="0" xr:uid="{24E040D2-B66C-4214-9497-B03EDDA813C8}">
      <text>
        <r>
          <rPr>
            <b/>
            <sz val="9"/>
            <color indexed="81"/>
            <rFont val="Tahoma"/>
            <family val="2"/>
          </rPr>
          <t>Valor residual generado por el proyecto al final de su vida (VR instalación + VR(FM))</t>
        </r>
      </text>
    </comment>
    <comment ref="I19" authorId="1" shapeId="0" xr:uid="{5B4F288A-8FAB-47D5-A0C4-9F5CC343121B}">
      <text>
        <r>
          <rPr>
            <b/>
            <sz val="9"/>
            <color indexed="81"/>
            <rFont val="Tahoma"/>
            <family val="2"/>
          </rPr>
          <t>45</t>
        </r>
      </text>
    </comment>
    <comment ref="K19" authorId="0" shapeId="0" xr:uid="{C4CE5269-B987-4825-AEDF-0F3E931646FB}">
      <text>
        <r>
          <rPr>
            <b/>
            <sz val="9"/>
            <color indexed="81"/>
            <rFont val="Tahoma"/>
            <family val="2"/>
          </rPr>
          <t>Coste medio ponderado del pasivo:
ki x [FALP/(FALP+FP)] + ke x [FP/(FALP+FP)]</t>
        </r>
      </text>
    </comment>
    <comment ref="L19" authorId="1" shapeId="0" xr:uid="{186AFB00-214D-40FB-8C32-69E24B4AAFE5}">
      <text>
        <r>
          <rPr>
            <b/>
            <sz val="9"/>
            <color indexed="81"/>
            <rFont val="Tahoma"/>
            <family val="2"/>
          </rPr>
          <t>48</t>
        </r>
      </text>
    </comment>
    <comment ref="M42" authorId="1" shapeId="0" xr:uid="{8AA224D3-ABEB-4C55-A41A-C7827D542C69}">
      <text>
        <r>
          <rPr>
            <b/>
            <sz val="9"/>
            <color indexed="81"/>
            <rFont val="Tahoma"/>
            <family val="2"/>
          </rPr>
          <t xml:space="preserve"> 1. Planteamiento general: variabilidad a la decisión e inflación
 2. ¿Por qué es importante en este caso incorporar el efecto de la inflación en el análisis
      (y no trabajar directamente con moneda constante descontada al tipo real)?
 3. ¿Por qué debe tenerse en cuenta en ∆C la variación de existencias?
 4. ¿Por qué hay cambios en Existencias si el número de unidades físicas se mantiene a lo
      largo de toda la vida útil del proyecto?
 5. ¿Por qué los saldos de Clientes, Existencias y Proveedores asociados al proyecto llevan
      aparejado el símbolo '∆"?
 6. ¿Por qué la cifra de ∆Proveedores no puede calcularse a partir de ∆C?
 7. ¿Por qué el IVA solo aparece en el cálculo de los saldos de Clientes y Proveedores y no
      afecta a los datos relacionados con la compra y venta de inmovilizados?
 8. ¿Qué impacto tienen en el análisis las políticas de valoración (de almacenes y de
      inmovilizado)?</t>
        </r>
      </text>
    </comment>
  </commentList>
</comments>
</file>

<file path=xl/sharedStrings.xml><?xml version="1.0" encoding="utf-8"?>
<sst xmlns="http://schemas.openxmlformats.org/spreadsheetml/2006/main" count="39040" uniqueCount="4150">
  <si>
    <t>Año</t>
  </si>
  <si>
    <t>TINV</t>
  </si>
  <si>
    <t>FALP (mercado)</t>
  </si>
  <si>
    <t>FP (mercado)</t>
  </si>
  <si>
    <t>t</t>
  </si>
  <si>
    <t>Año de partida</t>
  </si>
  <si>
    <t>AM (años)</t>
  </si>
  <si>
    <t>Plazo cobro V</t>
  </si>
  <si>
    <t>Plazo pago C</t>
  </si>
  <si>
    <t>Empresa en beneficios</t>
  </si>
  <si>
    <t>Intereses</t>
  </si>
  <si>
    <t>Dividendo</t>
  </si>
  <si>
    <t>g</t>
  </si>
  <si>
    <t>VAN</t>
  </si>
  <si>
    <t>Vida útil (n)</t>
  </si>
  <si>
    <t>Analice el interés del proyecto en cuestión, indicando si conviene o no realizar la sustitución.</t>
  </si>
  <si>
    <t>3 años</t>
  </si>
  <si>
    <t>IMPRIMIR Y PASAR A LAS PESTAÑAS DE CÁLCULOS</t>
  </si>
  <si>
    <t>ENUNCIADO DEL PROBLEMA</t>
  </si>
  <si>
    <t>Datos del enunciado</t>
  </si>
  <si>
    <t xml:space="preserve">Marque con "x" para mostrar solución </t>
  </si>
  <si>
    <t>Cálculo de las GFO (impacto anual en tesorería antes de considerar inversiones en fondo de maniobra)</t>
  </si>
  <si>
    <t>Cálculo de las inversiones en fondo de maniobra que demanda el proyecto</t>
  </si>
  <si>
    <t>Cálculo del valor residual incremental asociado al proyecto</t>
  </si>
  <si>
    <t>Cálculo del desembolso inicial exigido por el proyecto</t>
  </si>
  <si>
    <t>Cálculo del coste medio ponderado de los fondos (rentabilidad mínima a exigir al proyecto)</t>
  </si>
  <si>
    <t>Cálculo del perfil de fondos asociado al proyecto (impacto anual en tesorería)</t>
  </si>
  <si>
    <t>Análisis del interés del proyecto</t>
  </si>
  <si>
    <t>TRI</t>
  </si>
  <si>
    <t>IR</t>
  </si>
  <si>
    <t>Pay-back</t>
  </si>
  <si>
    <t>TINV acum.</t>
  </si>
  <si>
    <t>Nueva máquina</t>
  </si>
  <si>
    <t>Vieja máquina</t>
  </si>
  <si>
    <t>Inc V (i)</t>
  </si>
  <si>
    <t>Inc C (i)</t>
  </si>
  <si>
    <t>x</t>
  </si>
  <si>
    <t>INSTRUCCIONES GENERALES</t>
  </si>
  <si>
    <t>N</t>
  </si>
  <si>
    <t>a</t>
  </si>
  <si>
    <t>S</t>
  </si>
  <si>
    <t>b</t>
  </si>
  <si>
    <t>E</t>
  </si>
  <si>
    <t>c</t>
  </si>
  <si>
    <t>O</t>
  </si>
  <si>
    <t>d</t>
  </si>
  <si>
    <t>RESUMEN RESULTADOS:</t>
  </si>
  <si>
    <t>ACIERTOS</t>
  </si>
  <si>
    <t>ERRORES</t>
  </si>
  <si>
    <t>NOTA FINAL</t>
  </si>
  <si>
    <t>Secuencia correcta</t>
  </si>
  <si>
    <t>El desembolso inicial del proyecto es:</t>
  </si>
  <si>
    <t>El coste de los fondos ajenos que la empresa debe aplicar en el cálculo del coste medio ponderado del pasivo es:</t>
  </si>
  <si>
    <t>El coste de los fondos propios que la empresa debe aplicar en el cálculo del coste medio ponderado del pasivo es:</t>
  </si>
  <si>
    <t>El coste medio ponderado del pasivo que la empresa debe aplicar en el cálculo del VAN del proyecto es:</t>
  </si>
  <si>
    <t/>
  </si>
  <si>
    <t xml:space="preserve"> - Cada una de ellas tiene asignadas cuatro posibles respuestas. Sólo una de ellas es correcta.</t>
  </si>
  <si>
    <t>La lógica es correcta, pero faltan los efectos fiscales (plusvalía/minusvalía en la liquidación de la antigua)</t>
  </si>
  <si>
    <t>Es un proyecto de sustitución: es absurdo sumar el precio de la nueva y lo que se obtiene por la venta de la antigua</t>
  </si>
  <si>
    <t>Faltan efectos fiscales; además, los importes asociados a la compra de la nueva y la venta de la antigua no se suman en una sustitución</t>
  </si>
  <si>
    <t>El precio de liquidación de la instalación vieja no es su valor en libros</t>
  </si>
  <si>
    <t>Falta el efecto fiscal asociado a la plusvalía/minusvalía obtenida en la liquidación de la instalación vieja</t>
  </si>
  <si>
    <t>No tiene sentido acumular las ventas incrementales asociadas al proyecto en los distintos años de su vida útil</t>
  </si>
  <si>
    <t>El propio enunciado proporciona el impacto anual en ventas asociado al proyecto</t>
  </si>
  <si>
    <t>En un proyecto de sustitución las amortizaciones de la nueva y la antigua no se suman, se restan</t>
  </si>
  <si>
    <t>En un proyecto de sustitución hay que restar la amortización de la instalación antigua a la correspondiente a la nueva</t>
  </si>
  <si>
    <r>
      <t>K</t>
    </r>
    <r>
      <rPr>
        <b/>
        <vertAlign val="subscript"/>
        <sz val="11"/>
        <rFont val="Calibri"/>
        <family val="2"/>
      </rPr>
      <t>i</t>
    </r>
    <r>
      <rPr>
        <b/>
        <sz val="11"/>
        <rFont val="Calibri"/>
        <family val="2"/>
      </rPr>
      <t xml:space="preserve"> =</t>
    </r>
  </si>
  <si>
    <r>
      <t>K</t>
    </r>
    <r>
      <rPr>
        <b/>
        <vertAlign val="subscript"/>
        <sz val="11"/>
        <rFont val="Calibri"/>
        <family val="2"/>
      </rPr>
      <t>e</t>
    </r>
    <r>
      <rPr>
        <b/>
        <sz val="11"/>
        <rFont val="Calibri"/>
        <family val="2"/>
      </rPr>
      <t xml:space="preserve"> =</t>
    </r>
  </si>
  <si>
    <r>
      <t>K</t>
    </r>
    <r>
      <rPr>
        <b/>
        <vertAlign val="subscript"/>
        <sz val="11"/>
        <rFont val="Calibri"/>
        <family val="2"/>
      </rPr>
      <t>0</t>
    </r>
    <r>
      <rPr>
        <b/>
        <sz val="11"/>
        <rFont val="Calibri"/>
        <family val="2"/>
      </rPr>
      <t xml:space="preserve"> =</t>
    </r>
  </si>
  <si>
    <t>∆V</t>
  </si>
  <si>
    <t>∆C</t>
  </si>
  <si>
    <t>∆AM</t>
  </si>
  <si>
    <t>∆BAII</t>
  </si>
  <si>
    <t>∆Imp</t>
  </si>
  <si>
    <t>∆BAIdI</t>
  </si>
  <si>
    <t>∆GFO</t>
  </si>
  <si>
    <t>∆Clientes</t>
  </si>
  <si>
    <t>∆Proveedores</t>
  </si>
  <si>
    <t>∆FM</t>
  </si>
  <si>
    <t>∆∆FM</t>
  </si>
  <si>
    <t>∆GFO - ∆∆FM</t>
  </si>
  <si>
    <t>∆GFO - ∆∆FM - DI + ∆VR</t>
  </si>
  <si>
    <t xml:space="preserve"> - Debe marcar la alternativa que considere correcta con una "x" en el cuadro reservado al efecto.</t>
  </si>
  <si>
    <t xml:space="preserve"> - Cuando haya respondido a todas las preguntas obtendrá un resumen del número de aciertos y errores, así como la calificación obtenida</t>
  </si>
  <si>
    <t>(los aciertos dan 1 punto positivo; los errores restan 1/3 = 0,33). Podrá también solicitar un feed-back adicional.</t>
  </si>
  <si>
    <t>Tus respuestas</t>
  </si>
  <si>
    <t>Si desea comprobar cuáles son las respuestas acertadas y equivocadas</t>
  </si>
  <si>
    <t>y recibir un feed-back relativo a las diferentes respuestas realizadas</t>
  </si>
  <si>
    <t>ponga una "x"</t>
  </si>
  <si>
    <t>Inversión de sustitución en certeza con FM</t>
  </si>
  <si>
    <t>En el cálculo del ∆BAII las ventas y costes operativos incrementales con desembolso no se suman, se restan</t>
  </si>
  <si>
    <t>En el cálculo del ∆BAII falta la amortización incremental</t>
  </si>
  <si>
    <t>La lógica es correcta (valor liquidación del nuevo - valor liquidación viejo), pero faltan todos los efectos fiscales</t>
  </si>
  <si>
    <t>Éste es el valor liquidación de la nueva máquina (neto de impuestos), pero falta restar el valor de liquidación de la vieja</t>
  </si>
  <si>
    <t>Éste es el valor liquidación de la vieja máquina (neto de impuestos), pero hay que restarlo del valor de liquidación de la nueva</t>
  </si>
  <si>
    <t>Los flujos de fondos no deben descontarse al coste de los fondos propios, sino al coste medio ponderado</t>
  </si>
  <si>
    <t>Los flujos de fondos no deben descontarse al coste de los fondos ajenos sino al coste medio ponderado</t>
  </si>
  <si>
    <t>El rendimiento del proyecto debe compararse con el coste medio ponderado, no con el coste de los fondos ajenos</t>
  </si>
  <si>
    <t>El coste medio ponderado está mal calculado (falta considerar el escudo fiscal de los intereses)</t>
  </si>
  <si>
    <t>Esto es la suma de los saldos de clientes de los dos primeros ejercicios, no el saldo correspondiente al segundo año</t>
  </si>
  <si>
    <t>Esto es la parte de las ventas del ejercicio que se han cobrado a final de año, no la cifra que está pendiente de cobro</t>
  </si>
  <si>
    <t>Esta es la cifra de ventas de todo el ejercicio, no la parte que está pendiente de cobro a final de año</t>
  </si>
  <si>
    <t>El plazo de pago a proveedores está equivocado</t>
  </si>
  <si>
    <t>Esta es la parte de los costes operativos con desembolso del ejercicio que se han pagado, no la cifra que queda pendiente de pago a final de año</t>
  </si>
  <si>
    <t>Esto no es el FM aportado por el proyecto, sino el EBITDA (ventas - costes operativos con desembolso)</t>
  </si>
  <si>
    <t>Los saldos de clientes y proveedores no se suman, se restan</t>
  </si>
  <si>
    <t>La cifra señalada es el saldo de FM que el proyecto aporta a la empresa, pero como se mantiene con respecto al año anterior, la inversión es nula</t>
  </si>
  <si>
    <t>Lo que supone inversión en FM es la diferencia del saldo con respecto al año anterior; además, el saldo de FM está mal calculado (es clientes - proveedores)</t>
  </si>
  <si>
    <t>Ésta es la inversión a realizar en FM en el ejercicio, no el saldo que presenta y se recupera al final de la vida útil del proyecto</t>
  </si>
  <si>
    <t>Falta considerar el escudo fiscal asociado a los intereses</t>
  </si>
  <si>
    <t>Los intereses permiten conseguir un ahorro en el impuesto de sociedades, no se ven aumentados por efecto del impuesto</t>
  </si>
  <si>
    <t>Lo que se presenta es el coste en tanto por uno, no en tanto por cien</t>
  </si>
  <si>
    <t>Falta considerar el escudo fiscal de los intereses y el crecimiento del dividendo</t>
  </si>
  <si>
    <t>Falta considerar el escudo fiscal de los intereses y el crecimiento del dividendo; además, lo que se presenta es un tanto por uno, no un %</t>
  </si>
  <si>
    <t>Falta considerar el crecimiento del dividendo</t>
  </si>
  <si>
    <t>Falta restar la inversión en fondo de maniobra del ejercicio</t>
  </si>
  <si>
    <t>Falta sumar la amortización y restar la inversión en fondo de maniobra del ejercicio</t>
  </si>
  <si>
    <t>La amortización incremental se suma al ΔBAIdI, no se resta</t>
  </si>
  <si>
    <t>Éste es el saldo de clientes, no de fondo de maniobra</t>
  </si>
  <si>
    <t>Al mantenerse ventas, costes operativos con desembolso y plazos de cobro y pago, el saldo de FM se mantiene en el tiempo (por lo que la inversión es nula)</t>
  </si>
  <si>
    <t>Falta sumar al ∆BAIdI la amortización incremental</t>
  </si>
  <si>
    <t>Al ∆BAIdI se le suma la amortización incremental (no se le resta)</t>
  </si>
  <si>
    <t>El fondo de maniobra se calcula restando al activo corriente el pasivo corriente (no sumándolos)</t>
  </si>
  <si>
    <t xml:space="preserve">    Indique criterio si desea explicación</t>
  </si>
  <si>
    <t>Ki =</t>
  </si>
  <si>
    <t>Ke =</t>
  </si>
  <si>
    <t>K0 =</t>
  </si>
  <si>
    <t xml:space="preserve">Ponga "x" si ha terminado y la Hoja le mostrará la corrección del ejercicio: </t>
  </si>
  <si>
    <t>Puntuación obtenida</t>
  </si>
  <si>
    <t>Desembolso inicial</t>
  </si>
  <si>
    <t>Tratamiento del FM</t>
  </si>
  <si>
    <t>Valor residual</t>
  </si>
  <si>
    <t>Perfil de fondos</t>
  </si>
  <si>
    <t>Coste de los fondos ajenos</t>
  </si>
  <si>
    <t>Coste de los fondos propios</t>
  </si>
  <si>
    <t>Coste medio ponderado</t>
  </si>
  <si>
    <t>Decisión final</t>
  </si>
  <si>
    <t>PUNTUACIÓN TOTAL</t>
  </si>
  <si>
    <t>Flujos antes de corregir con FM (GFO)</t>
  </si>
  <si>
    <t>Valor</t>
  </si>
  <si>
    <t>alternativo</t>
  </si>
  <si>
    <t>original</t>
  </si>
  <si>
    <t>Cálculo del desembolso inicial y del valor residual incremental asociados al proyecto</t>
  </si>
  <si>
    <t>% de variación</t>
  </si>
  <si>
    <t>VAN original</t>
  </si>
  <si>
    <t>VAN resultante</t>
  </si>
  <si>
    <t>Original</t>
  </si>
  <si>
    <t>Alternativo</t>
  </si>
  <si>
    <t>Sensitividad</t>
  </si>
  <si>
    <t>Val. Mín.</t>
  </si>
  <si>
    <t>VAN=0</t>
  </si>
  <si>
    <t>Análisis de sensitividad de la solución ante cambios en el comportamiento de diferentes variables</t>
  </si>
  <si>
    <t>Supuesto todo lo demás constante, ¿cómo afectaría al VAN cada uno de los siguientes hechos?</t>
  </si>
  <si>
    <t>Aumenta el número de años en que puede amortizarse el inmovilizado nuevo</t>
  </si>
  <si>
    <t>Aumenta el precio de compra del inmovilizado nuevo</t>
  </si>
  <si>
    <t>Disminuye el precio de liquidación del activo nuevo al final de su vida útil</t>
  </si>
  <si>
    <t>Aumenta el precio de venta actual del inmovilizado a sustituir</t>
  </si>
  <si>
    <t>Disminuye el plazo legal para amortizar el inmovilizado a sustituir</t>
  </si>
  <si>
    <t>Aumenta el valor libros del inmovilizado a sustituir</t>
  </si>
  <si>
    <t>Disminuye el precio de liquidación actual del inmovilizado viejo</t>
  </si>
  <si>
    <t>Aumenta el precio de liquidación del inmovilizado viejo al final de su vida útil</t>
  </si>
  <si>
    <t>Aumentan las ventas anuales del proyecto</t>
  </si>
  <si>
    <t>Aumenta el plazo de pago concedido a los clientes</t>
  </si>
  <si>
    <t>Disminuyen los costes operativos con desembolso anuales asociados al proyecto</t>
  </si>
  <si>
    <t>Disminuye el plazo de pago de los costes operativos con desembolso</t>
  </si>
  <si>
    <t>Aumentan los intereses a pagar por el disfrute de la deuda a largo plazo</t>
  </si>
  <si>
    <t>Disminuye el crecimiento esperado del dividendo</t>
  </si>
  <si>
    <t>Aumenta el dividendo esperado por los accionistas para el primer año</t>
  </si>
  <si>
    <t>Aumenta el valor de mercado de los fondos propios</t>
  </si>
  <si>
    <t>Disminuye la cantidad de deuda a largo plazo a utilizar por la empresa</t>
  </si>
  <si>
    <t>Aumenta el tipo impositivo (IS)</t>
  </si>
  <si>
    <t>Aumenta la vida útil del proyecto</t>
  </si>
  <si>
    <t>Nuevo VAN</t>
  </si>
  <si>
    <t>enunciado</t>
  </si>
  <si>
    <t>Nuevo</t>
  </si>
  <si>
    <t>valor</t>
  </si>
  <si>
    <t>VAN con datos de partida</t>
  </si>
  <si>
    <t>Concepto</t>
  </si>
  <si>
    <t>D</t>
  </si>
  <si>
    <t>A</t>
  </si>
  <si>
    <t>Aumenta (A), Disminuye (D), No sabemos (?)</t>
  </si>
  <si>
    <t>?</t>
  </si>
  <si>
    <t>a priori</t>
  </si>
  <si>
    <t>nuevo VAN</t>
  </si>
  <si>
    <t>Inc. VAN</t>
  </si>
  <si>
    <t>Explicación</t>
  </si>
  <si>
    <t>¿hay errores?</t>
  </si>
  <si>
    <t>Nº</t>
  </si>
  <si>
    <t>El efecto neto es negativo para el interés del proyecto. El cambio influye en los siguientes elementos: permite amortizar menos cada año, por lo que el ahorro fiscal asociado a dicha amortización es menor (efecto negativo); el valor en libros del activo fijo nuevo en el momento de la liquidación es mayor, por lo que el pago de impuestos en ese momento será menor (efecto positivo). En resumen, que al aumentar el número de años mínimo en que puede amortizarse el inmovilizado nuevo, hay que postponer algunos escudos fiscales, lo que perjudica el interés del proyecto.</t>
  </si>
  <si>
    <t>El efecto neto es positivo para el interés del proyecto. El cambio influye en los siguientes elementos: la disminución del crecimiento esperado del dividendo abarata el coste de la financiación propia , lo que hace que el coste medio ponderado del pasivo disminuya, y por tanto, aumente el VAN. Es importante resaltar que se está suponiendo "todo lo demás constante", es decir, que en lo que se refiere al coste de la financiación propia, se mantiene el dividendo esperado y el valor de mercado de los fondos propios.</t>
  </si>
  <si>
    <t>El efecto neto es negativo para el interés del proyecto. El cambio influye en los siguientes elementos: el aumento del dividendo esperado encarece el coste de la financiación propia , lo que hace que el coste medio ponderado del pasivo aumente, y por tanto, disminuya el VAN. Es importante resaltar que se está suponiendo "todo lo demás constante", es decir, que en lo que se refiere al coste de la financiación propia, se mantiene el crecimiento esperado del dividendo y el valor de mercado de los fondos propios.</t>
  </si>
  <si>
    <t>El efecto neto es negativo para el interés del proyecto. El cambio influye en los siguientes elementos: el valor residual obtenido por la vía de la liquidación del inmovilizado es menor (efecto negativo). Al reducirse un flujo de fondos asociado al proyecto, su VAN disminuye.</t>
  </si>
  <si>
    <t>El efecto neto es negativo para el interés del proyecto. El cambio influye en los siguientes elementos: los ahorros fiscales asociados a la amortización del activo a sustituir se adelantan, por lo que el incremento de amortización asociado al proyecto se retrasa (efecto negativo); el valor en libros asociado al activo viejo podría reducirse al término de su vida, con lo que en ese momento los impuestos a pagar serían mayores, lo que reduciría su valor residual y por tanto incrementaría el asociado al proyecto (efecto positivo). En definitiva, que la disminución del plazo de amortización del activo a sustituir adelanta sus ahorros fiscales, aumentando su interés, en detrimento de la nueva inversión.</t>
  </si>
  <si>
    <t>El efecto neto es positivo para el interés del proyecto. El cambio influye en los siguientes elementos: se reduce el beneficio obtenido por la liquidación en el momento actual del activo a sustituir, por lo que se pagan menos impuestos y ello supone un menor desembolso inicial para el proyecto (efecto positivo); las amortizaciones del inmovilizado a sustituir aumentan, lo que provoca una disminución de las amortizaciones asociadas al proyecto (efecto negativo); el valor residual asociado a la liquidación del activo a sustituir puede aumentar, si no queda totalmente amortizado, por lo que el valor residual incremental del proyecto se reduce (efecto negativo). En definitiva, el aumento del valor en libros del activo a sustituir le da una mayor ventaja fiscal, que conviene hacer efectiva cuanto antes, liquidando en el momento actual y dando interés a la sustitución.</t>
  </si>
  <si>
    <t>El efecto neto es negativo para el interés del proyecto. El cambio influye en los siguientes elementos: se obtiene un importe menor en la liquidación del activo a sustituir, lo que hace que el desembolso inicial aumente (efecto negativo). De esta manera, el VAN se reduce, al aumentar la inversión necesaria para afrontarlo.</t>
  </si>
  <si>
    <t>El efecto neto es negativo para el interés del proyecto. El cambio influye en los siguientes elementos: aumenta el valor obtenido por la liquidación del inmovilizado a sustituir al final de su vida útil, lo que reduce el valor residual incremental asociado al proyecto (efecto negativo). Así, el aumento del valor de mercado asociado al inmovilizado a sustituir proporciona un mayor interés a su liquidación posterior, restándoselo al proyecto de sustitución.</t>
  </si>
  <si>
    <t>El efecto neto es negativo para el interés del proyecto. El cambio influye en los siguientes elementos: aumenta la inversión en fondo de maniobra correspondiente al primer año (efecto negativo); aumenta el valor residual obtenido por liquidación de fondo de maniobra al final de la vida útil del proyecto (efecto positivo). En términos netos, el efecto es claramente negativo, al suponer un retraso en la obtención de una parte de los flujos de fondos asociados al proyecto.</t>
  </si>
  <si>
    <t>El efecto neto es negativo para el interés del proyecto. El cambio influye en los siguientes elementos: el desembolso inicial a realizar para afrontar el proyecto aumenta (efecto negativo); la cantidad a amortizar cada año es mayor, por lo que se consiguen ahorros fiscales adicionales (efecto positivo); el valor en libros del activo fijo nuevo al término de su vida útil puede aumentar, con lo que los impuestos a pagar en la liquidación serían menores (efecto positivo). En términos netos, el efecto es negativo, ya que supone tener que pagar más por lo mismo, si bien se produce un cierto efecto compensación al permitir pagar algunos menores impuestos a lo largo de la vida del proyecto.</t>
  </si>
  <si>
    <t>El efecto neto es positivo para el interés del proyecto. El cambio influye en los siguientes elementos: el precio que se obtiene por la liquidación es mayor (aunque el impuesto a pagar por el beneficio obtenido también crezca), por lo que el desembolso inicial se reduce y por tanto el VAN aumenta.</t>
  </si>
  <si>
    <t>El efecto neto es positivo para el interés del proyecto. El cambio influye en los siguientes elementos: hay un aumento de la GF' anual igual al incremento de ventas multiplicado por el escudo fiscal (1-t) (efecto positivo); se produce un bloqueo adicional en fondo de maniobra en el año uno, que puede calcularse como producto del plazo de cobro a clientes y el cociente de dividir el incremento de ventas entre 360 (efecto negativo); el valor residual por liquidación de fondo de maniobra aumenta (efecto positivo). En definitiva, se producen aumentos de los flujos de caja de cada año (aunque una parte del primero no puede cobrarse hasta el final de la vida útil del proyecto), por lo que el VAN de la inversión crece.</t>
  </si>
  <si>
    <t>El efecto neto es negativo para el interés del proyecto. El cambio influye en los siguientes elementos: el aumento del plazo concedido a los clientes obliga a invertir un importe adicional en fondo de maniobra en el primer año (efecto negativo); aunque dicho aumento de plazo supone un mayor valor residual por liquidación de fondo de maniobra al término de la vida útil del proyecto (efecto positivo). El efecto neto es claramente negativo, al suponer la medida que una parte del flujo de fondos del primer año deba postponerse al final de la vida útil del proyecto.</t>
  </si>
  <si>
    <t>El efecto neto es positivo para el interés del proyecto. El cambio influye en los siguientes elementos: aumentan las GF' anuales, al reducirse los costes (efecto positivo); se pagan más impuestos cada año como consecuencia de la reducción de los costes anuales deducibles (efecto negativo); aumenta el fondo de maniobra del primer año (efecto negativo); aumenta el valor residual por liquidación de fondo de maniobra (efecto positivo). El efecto neto es claramente positivo, al aumentar los flujos obtenidos por el proyecto, si bien se produce un cierto efecto compensación provocado por la pérdida de algunos escudos fiscales, y por perder algo de financiación de los proveedores.</t>
  </si>
  <si>
    <t>El efecto neto es negativo para el interés del proyecto. El cambio influye en los siguientes elementos: el aumento de los intereses encarece el coste de la financiación ajena (aunque una parte del aumento se compensa con un mayor ahorro fiscal), lo que hace que el coste medio ponderado del pasivo crezca, y por tanto, se reduzca el VAN del proyecto.</t>
  </si>
  <si>
    <t>El efecto neto para el interés del proyecto es incierto. El cambio influye en los siguientes elementos: el coste fiscal por liquidar el activo fijo viejo en el momento cero es mayor, por lo que el desembolso inicial aumenta (efecto negativo; supuesta liquidación del inmovilizado viejo con beneficio, en caso contrario el efecto sería positivo, al aumentar el ahorro fiscal); los beneficios anuales positivos asociados al proyecto tributan más (efecto negativo; en el caso de que los beneficios fueran negativos el efecto sería positivo, al conseguirse un mayor ahorro fiscal para el resto de la empresa); el coste fiscal de liquidar el activo fijo nuevo al final de su vida es mayor (efecto negativo; supuesta liquidación con beneficio, en caso contrario el efecto sería positivo); y el coste fiscal de liquidar el activo fijo viejo al final de su vida es mayor (efecto positivo; supuesta liquidación con beneficio, en caso contrario el efecto sería negativo); el coste de la financiación ajena se reduce, provocando un abaratamiento del coste medio ponderado del pasivo (efecto positivo).</t>
  </si>
  <si>
    <t xml:space="preserve">Deseo explicación sobre la diferencia en VAN obtenido relativa al cambio nº (entre 1 y 19) </t>
  </si>
  <si>
    <t>Errores más frecuentes:</t>
  </si>
  <si>
    <t>¿Correcto?</t>
  </si>
  <si>
    <t xml:space="preserve">Total errores </t>
  </si>
  <si>
    <t>¿Es error?</t>
  </si>
  <si>
    <t>Correcta</t>
  </si>
  <si>
    <t>Tu resp.</t>
  </si>
  <si>
    <t>CONCATENAR("=";SI($D$35="N";;SI($D$35="T";;"")))</t>
  </si>
  <si>
    <t>ERROR 1</t>
  </si>
  <si>
    <t>ERROR 2</t>
  </si>
  <si>
    <t>ERROR 3</t>
  </si>
  <si>
    <t>ERROR 4</t>
  </si>
  <si>
    <t>ERROR 5</t>
  </si>
  <si>
    <t>nº errores</t>
  </si>
  <si>
    <t>ERROR 6</t>
  </si>
  <si>
    <t>ERROR 7</t>
  </si>
  <si>
    <t>ERROR 8</t>
  </si>
  <si>
    <t>ERROR 9</t>
  </si>
  <si>
    <t>ERROR 10</t>
  </si>
  <si>
    <t>EXPL. ER. 1</t>
  </si>
  <si>
    <t>EXPL. ER. 2</t>
  </si>
  <si>
    <t>EXPL. ER. 3</t>
  </si>
  <si>
    <t>EXPL. ER. 4</t>
  </si>
  <si>
    <t>EXPL. ER. 5</t>
  </si>
  <si>
    <t>EXPL. ER. 6</t>
  </si>
  <si>
    <t>EXPL. ER. 7</t>
  </si>
  <si>
    <t>EXPL. ER. 8</t>
  </si>
  <si>
    <t>Falta restar el importe correspondiente a la liquidación de la vieja instalación</t>
  </si>
  <si>
    <t>El valor residual correspondiente a la venta de la vieja instalación se resta del precio de compra de la nueva (proyecto de sustitución); además, habría que considerar el efecto fiscal correspondiente a la liquidación de dicha instalación vieja</t>
  </si>
  <si>
    <t>Las ventas no deben corregirse con la parte no cobrada al final del año: en la cuenta de resultados debe respetarse el principio de devengo (comparación de ingresos y gastos, no de cobros y pagos), realizándose la corrección correspondiente por la vía de las inversiones necesarias en fondo de maniobra; el error planteado lleva a calcular erróneamente los impuestos incrementales que provoca el proyecto</t>
  </si>
  <si>
    <t>Las ventas incrementales anuales son sólo la mitad, no deben acumularse las ventas del año a las del año anterior</t>
  </si>
  <si>
    <t>Las ventas incrementales anuales son sólo la tercera parte, no deben acumularse las ventas del año a las de los años anteriores</t>
  </si>
  <si>
    <t>Los costes operativos con desembolso no deben corregirse con la parte no pagada al final del año: en la cuenta de resultados debe respetarse el principio de devengo (comparación de ingresos y gastos, no de cobros y pagos), realizándose la corrección correspondiente por la vía de las inversiones necesarias en fondo de maniobra; el error planteado lleva a calcular erróneamente los impuestos incrementales que provoca el proyecto</t>
  </si>
  <si>
    <t>Los costes operativos con desembolso incrementales anuales son sólo la mitad, no deben acumularse los costes del año a los del año anterior</t>
  </si>
  <si>
    <t>Los costes operativos con desembolso incrementales anuales son sólo la tercera parte, no deben acumularse los costes del año a los de los años anteriores</t>
  </si>
  <si>
    <t>Falta considerar la amortización de las instalaciones sustituidas (que deben restarse de la amortización anual de la nueva instalación requerida por el proyecto)</t>
  </si>
  <si>
    <t>La amortización anual de las instalaciones a sustituir no deben sumarse a la de la nueva instalación, sino restarse (proyecto de sustitución)</t>
  </si>
  <si>
    <t>No es el valor de liquidación de la vieja instalación lo que se amortiza a lo largo de la vida útil del proyecto, sino su valor en libros</t>
  </si>
  <si>
    <t>La amortización anual de la vieja instalación debe restarse de la amortización correspondiente a la nueva, y no al revés</t>
  </si>
  <si>
    <t>La amortización incremental se resta de la diferencia entre los ingresos y costes operativos con desembolso incrementales asociados al proyecto (no se suma)</t>
  </si>
  <si>
    <t>Correcta a partir</t>
  </si>
  <si>
    <t>de tus errores</t>
  </si>
  <si>
    <t>Tu resultado</t>
  </si>
  <si>
    <t>Resultado correcto</t>
  </si>
  <si>
    <t>a partir de tus</t>
  </si>
  <si>
    <t>cálculos anteriores</t>
  </si>
  <si>
    <t>Falta considerar el efecto fiscal asociado a la venta de la vieja instalación</t>
  </si>
  <si>
    <t>El efecto fiscal asociado a la venta de la antigua instalación está cambiado de signo</t>
  </si>
  <si>
    <t>Se ha recogido sólo la parte no cobrada de las ventas (es decir, lo que ha indicado es el importe que aparecerá al final del año en la cuenta de Clientes, la parte de las ventas del año que no se cobrarán en el presente ejercicio sino en el siguiente)</t>
  </si>
  <si>
    <t>Se ha recogido sólo la parte no pagada de los costes operativos con desembolso (es decir, lo que ha indicado es el importe que aparecerá al final del año en la cuenta de Proveedores, la parte de los costes operativos con desembolso del año que no se pagarán en el presente ejercicio sino en el siguiente)</t>
  </si>
  <si>
    <t>Sigue amortizándose la instalación vieja cuando en realidad está ya totalmente amortizada</t>
  </si>
  <si>
    <t>Aunque la amortización es un coste sin desembolso, debe restarse primero de cara al cálculo del BAII (sólo de esta manera se considerará su impacto fiscal), y sumarse después al BAIdI</t>
  </si>
  <si>
    <t>Los impuestos se restan del BAII, no se suman</t>
  </si>
  <si>
    <t>Falta sumar la amortización al BAIdI; la razón es que la amortización es un coste sin desembolso, que se resta de la base imponible junto con los costes con desembolso para considerar su efecto fiscal, pero una vez considerado éste, tiene que volver a sumarse para recuperar el concepto de "impacto en caja"</t>
  </si>
  <si>
    <t>La amortización anual incremental debe sumarse al beneficio después de impuestos, y no restarse</t>
  </si>
  <si>
    <t>Lo que debe reflejarse en la cuenta de Clientes es el saldo que el proyecto aporta a la empresa al final de cada año, es decir, la parte no cobrada de las ventas incrementales anuales asociadas al proyecto; lo que se ha reflejado es precisamente lo contrario, la parte cobrada de las ventas del año</t>
  </si>
  <si>
    <t>El plazo de cobro a clientes utilizado se ha sustituido por el plazo de pago a proveedores</t>
  </si>
  <si>
    <t>El saldo de la cuenta de clientes al final de cada año debe recoger sólo la parte no cobrada de las ventas del año; no se acumula el saldo del año al correspondiente al año anterior, ya que durante el año se cobra el importe pendiente de cobro correspondiente al año anterior</t>
  </si>
  <si>
    <t>Lo que debe reflejarse en la cuenta de Proveedores es el saldo que el proyecto aporta a la empresa al final de cada año, es decir, la parte no pagada de los costes operativos con desembolso incrementales anuales asociados al proyecto; lo que se ha reflejado es precisamente lo contrario, la parte pagada de los costes operativos con desembolso del año</t>
  </si>
  <si>
    <t>Se ha confundido el plazo de pago a proveedores con el plazo de cobro a clientes</t>
  </si>
  <si>
    <t>El saldo de la cuenta de proveedores al final de cada año debe recoger sólo la parte no pagada de los costes operativos con desembolso del año; no se acumula el saldo del año al correspondiente al año anterior, ya que durante el año se paga el importe pendiente de pago correspondiente al ejercicio anterior</t>
  </si>
  <si>
    <t>El fondo de maniobra que aporta el proyecto se calcula restando el saldo de Proveedores del saldo de Clientes, y no sumando ámbos conceptos</t>
  </si>
  <si>
    <t>Como paso previo al cálculo de la "inversión en fondo de maniobra exigida por el proyecto", debe calcularse el saldo de fondo de maniobra que el proyecto aporta a la empresa; es a partir de dichos saldos como se obtiene la mencionada inversión, restando del saldo de cada año el correspondiente al anterior</t>
  </si>
  <si>
    <t>Lo que influye en la tesorería de la empresa no es el saldo que el proyecto de inversión aporta al fondo de maniobra, sino la inversión que en dicho concepto obliga a realizar</t>
  </si>
  <si>
    <t>La inversión en fondo de maniobra exigida por el proyecto se calcula restando del saldo del año el correspondiente al anterior (y no sumando dichos saldos)</t>
  </si>
  <si>
    <t>La inversión en fondo de maniobra debe restarse del flujo de fondos (es una necesidad de inversión) y no sumarse</t>
  </si>
  <si>
    <t>La corrección por fondo de maniobra no debe realizarse utilizando el saldo que aporta el proyecto, sino la inversión que exige en cada año concreto</t>
  </si>
  <si>
    <t>Faltan los efectos fiscales asociados a la venta de las dos máquinas</t>
  </si>
  <si>
    <t>Los efectos fiscales se han calculando suponiendo que ambas máquinas (nueva y vieja) están totalmente amortizadas al final de su vida útil</t>
  </si>
  <si>
    <t>En esta celdilla debe calcularse sólo el valor residual que se obtiene por liquidación de activo fijo, el correspondiente a la recuperación de fondo de maniobra se presenta aparte</t>
  </si>
  <si>
    <t>El valor residual incremental del proyecto se calcula sumando el correspondiente al activo fijo y el asociado al fondo de maniobra (y no restando ambos conceptos)</t>
  </si>
  <si>
    <t>Debe cambiar el signo del desmbolso, ya que se trata de una salida de fondos, y no de una entrada</t>
  </si>
  <si>
    <t>Falta sumar el valor residual incremental al flujo de fondos recurrente del proyecto correspondiente al último año</t>
  </si>
  <si>
    <t>Falta considerar el efecto fiscal asociado al pago de los intereses</t>
  </si>
  <si>
    <t>Falta considerar el crecimiento esperado del dividendo, que debe sumarse el cociente entre el dividendo esperado y el valor de mercado de los fondos propios</t>
  </si>
  <si>
    <t>Cuando el BAII incremental es negativo, tiene sentido considerar un valor "negativo" de impuestos, no entendido como "cobro" a Hacienda, sino como un "menor pago" (siempre, claro está, que estemos ante una empresa que en su conjunto obtiene beneficios)</t>
  </si>
  <si>
    <t>El tipo impositivo que soporta la empresa está equivocado, en este caso no es el 30%</t>
  </si>
  <si>
    <t>El fondo de maniobra que aporta el proyecto se calcula restando el saldo de Proveedores del saldo de Clientes</t>
  </si>
  <si>
    <t>Falta realizar la corrección por fondo de maniobra</t>
  </si>
  <si>
    <t>Falta restar el valor residual asociado a la venta de la instalación vieja al final de su vida útil (de lo que se trata, por coherencia con lo realizado con todos los demás conceptos, es de reflejar el valor residual incremental del proyecto)</t>
  </si>
  <si>
    <t>Falta sumar el valor residual aportado por la recuperación del fondo de maniobra</t>
  </si>
  <si>
    <t>Falta considerar el valor residual aportado por la liquidación de activo fijo</t>
  </si>
  <si>
    <t>El VAN debe calcularse utilizando como tipo de descuento el coste medio ponderado de los fondos, y no el coste de la financiación ajena a largo plazo</t>
  </si>
  <si>
    <t>El VAN debe calcularse utilizando como tipo de descuento el coste medio ponderado de los fondos, y no el coste de la financiación propia</t>
  </si>
  <si>
    <t>La función de VAN está mal utilizada: el rango de celdillas a incluir en la fórmula correspondiente no debe incluir el desembolso, que debe sumarse (con su signo) aparte; el error consiste en que todos los flujos de fondos han sido actualizados un año más de lo debido</t>
  </si>
  <si>
    <t>El valor de recuperación de fondo de maniobra es el saldo del proyecto al final de su vida (o lo que es lo mismo, la suma de todas las inversiones realizadas en este concepto), supuesto, claro está, que todos los componentes del fondo de maniobra se liquidan a valor en libros</t>
  </si>
  <si>
    <t>nº celdillas en blanco</t>
  </si>
  <si>
    <t>Explicación de la diferencia en VAN</t>
  </si>
  <si>
    <t>¿Cuánto hay que pagar para comprar la nueva máquina?</t>
  </si>
  <si>
    <t>¿Cuál es el coste de la financiación ajena?</t>
  </si>
  <si>
    <t>¿Cuál es la rentabilidad exigida por los fondos propios?</t>
  </si>
  <si>
    <t>¿Cuál es el coste medio ponderado del pasivo?</t>
  </si>
  <si>
    <t>Prescindiendo de cualquier impacto en el valor residual, ¿cuál es el valor actual de los impuestos a pagar, supuesto que no fuera posible amortizar los inmovilizados?</t>
  </si>
  <si>
    <t>Prescindiendo de cualquier impacto en el valor residual, ¿cuál es valor actual de las inversiones que la empresa debe realizar en fondo de maniobra?</t>
  </si>
  <si>
    <t>Prescindiendo de cualquier impacto en el valor residual, ¿cuál es el valor actual de los ahorros fiscales provocados por la amortización incremental de inmovilizados?</t>
  </si>
  <si>
    <t>En ausencia de impuestos, ¿cuánto podría obtenerse al final de la vida del proyecto por la venta de la instalación nueva?</t>
  </si>
  <si>
    <t>¿Cuántos impuestos habría que pagar por la liquidación de la nueva instalación al final de su vida si no pudiera deducirse el valor en libros al final de su vida útil?</t>
  </si>
  <si>
    <t>¿Cuál es el ahorro fiscal que reporta la posibilidad de deducir el valor en libros de la nueva instalación al final de su vida útil?</t>
  </si>
  <si>
    <t>En definitiva, ¿cuál es el valor residual neto de impuestos que reporta la liquidación de la instalación nueva al final de su vida útil?</t>
  </si>
  <si>
    <t>En ausencia de impuestos, ¿cuánto podría obtenerse al final de la vida del proyecto por la venta de la máquina vieja?</t>
  </si>
  <si>
    <t>¿Cuántos impuestos habría que pagar por la liquidación de la vieja instalación al final de su vida si no pudiera deducirse el valor en libros al final de su vida útil?</t>
  </si>
  <si>
    <t>¿Cuál es el ahorro fiscal que reporta la posibilidad de deducir el valor en libros de la vieja máquina al final de su vida útil?</t>
  </si>
  <si>
    <t>En definitiva, ¿cuál es el valor residual neto de impuestos que reportaría la liquidación de la máquina vieja al final de su vida útil?</t>
  </si>
  <si>
    <t>¿Cuál es el valor actual del valor residual incremental asociado a la liquidación de activo fijo al final de la vida útil del proyecto?</t>
  </si>
  <si>
    <t>¿Cuál es el valor de recuperación del fondo de maniobra al final de la vida del proyecto?</t>
  </si>
  <si>
    <t>¿Cuál es el valor actual del valor residual incremental asociado a la liquidación de fondo de maniobra al final de la vida útil del proyecto?</t>
  </si>
  <si>
    <t>En ausencia de impuestos, ¿cuál sería el VAN del proyecto?</t>
  </si>
  <si>
    <t>Prescindiendo de los efectos fiscales en los flujos de fondos y supuesto cobros y pagos al contado, ¿cuál es el valor actual de la diferencia entre las ventas y costes operativos con desembolso incrementales?</t>
  </si>
  <si>
    <t>¿Qué consecuencia tendría en el VAN el hecho de que hubiera que invertir 100.000 euros en existencias en el momento cero (pago al contado) que se recuperaran, a valor en libros, al final de la vida del proyecto?</t>
  </si>
  <si>
    <t>En ausencia de impuestos, ¿cuánto podría obtenerse en el momento cero por la liquidación de la vieja instalación?</t>
  </si>
  <si>
    <t>Teniendo en cuenta el efecto fiscal, ¿cuánto dinero se obtendrá en el momento cero por la venta de la vieja instalación?</t>
  </si>
  <si>
    <t>A igualdad de todo lo demás, ¿cuánto VAN ganaría el proyecto si las ventas se cobraran al contado?</t>
  </si>
  <si>
    <t>A igualdad de todo lo demás, ¿cuánto VAN se perdería si hubiera que pagar los costes al contado?</t>
  </si>
  <si>
    <t>¿Cuál es el VAN del proyecto?</t>
  </si>
  <si>
    <t>Respuesta correcta</t>
  </si>
  <si>
    <t xml:space="preserve">Marque una "x" si desea corregir </t>
  </si>
  <si>
    <t>Tu respuesta</t>
  </si>
  <si>
    <t>Es el precio de compra de la nueva instalación (enunciado)</t>
  </si>
  <si>
    <t>Es el precio de venta hoy de la vieja instalación (enunciado)</t>
  </si>
  <si>
    <t>Es el precio de venta de la instalación nueva al final de su vida útil (enunciado)</t>
  </si>
  <si>
    <t>Es el precio de venta de la instalación vieja al final de su vida útil (enunciado)</t>
  </si>
  <si>
    <t>Corrección</t>
  </si>
  <si>
    <t>Feed-back de la pregunta</t>
  </si>
  <si>
    <t>Pregunta</t>
  </si>
  <si>
    <t>IMPORTANTE: Lea cuidadosamente estas instrucciones antes de pasar a las pestañas siguientes</t>
  </si>
  <si>
    <t>Marque con una "x" cuando haya leído la información anterior</t>
  </si>
  <si>
    <t>En la pestaña "Enunciado" encontrará el enunciado del caso a resolver (previamente definido por usted), que deberá imprimir para una mayor comodidad en su utilización.</t>
  </si>
  <si>
    <t>Si lo desea, puede también consultar la solución completa de cada problema concreto en las pestañas de "Solución". En ellas se presenta la información completa requerida en las plantillas de Autoevaluación correspondientes. El usuario podrá también solicitar la justificación (en texto o numérica) de las diferentes cifras presentadas.</t>
  </si>
  <si>
    <t>Es importante que antes de pasar a cualquiera de las pestañas de "Autoevaluación" se asegure de que es usted capaz de extraer y resumir la información relevante en cada caso, así como de realizar el diseño general de la hoja que permita resolver el problema. En este sentido, hay que señalar que la realidad raramente ofrece "plantillas" para la resolución de casos prácticos reales; por otro lado, la mencionada realidad es siempre sorprendemente rica en su variedad, y hace que en muchas ocasiones los casos no puedan resolverse con un diseño de hoja estándar. Todo ello exige que el usuario desarrolle "criterio" a la hora de enfrentarse a los problemas, y no que intente aprender recetas universalmente válidas.</t>
  </si>
  <si>
    <t>La utilidad de esta Hoja de cálculo radica en permitir "practicar" o "entrenar" la aplicación de la técnica de resolución del caso propuesto. Pero en la realidad el usuario deberá ser capaz de diseñar las propias plantillas que esta Hoja ofrece para su resolución, por lo que es importante que no se descuide esta primera fase del proceso, y que el usuario debe practicar fuera del contexto de esta Hoja de cálculo.</t>
  </si>
  <si>
    <t>Una vez cumplido el paso anterior, puede pasar a las pestañas de "Autoevaluación". En ellas se ofrece siempre un resumen de la información relevante para la resolución del problema, así como la plantilla que el usuario debe rellenar. Una vez concluido el proceso de resolución, puede solicitarse la corrección del caso. La Hoja Excel indicará qué cálculos son acertados y cuáles no, presentando en éste último caso el valor correcto.</t>
  </si>
  <si>
    <t>Finalmente, conviene señalar que, aunque se ha hecho un esfuerzo importante para "cerrar" en la medida de lo posible las posibles interpretaciones del enunciado del caso, podría ocurrir que el usuario realice una interpretación distinta a la deseada de algún punto del mismo, lo que podría justificar que algún cálculo juzgado por la Hoja Excel como "incorrecto" fuera en realidad correcto partiendo de dicha interpretación alternativa. Si, a la vista de la solución propuesta, persiste en su duda, contacte con el profesor para discernir si tal interpretación es razonable o no.</t>
  </si>
  <si>
    <t>contraseña</t>
  </si>
  <si>
    <t>DESPLÁCESE HACIA LA DERECHA SI DESEA TRABAJAR EL ANÁLISIS DE SENSITIVIDAD</t>
  </si>
  <si>
    <t>Proyecto A</t>
  </si>
  <si>
    <t>K =</t>
  </si>
  <si>
    <t>Proyecto B</t>
  </si>
  <si>
    <t>Los costes operativos deben restarse de las ventas, no sumarse</t>
  </si>
  <si>
    <t>Lo que se ha recogido no es el impuesto incremental del año, sino el beneficio después de impuestos asociado al mismo</t>
  </si>
  <si>
    <t>Lo que debe aparecer aquí es el saldo pendiente de cobro correspondiente a las ventas incrementales del año, y no el importe total de ventas incrementales realizadas</t>
  </si>
  <si>
    <t>Lo que debe aparecer aquí es el saldo pendiente de pago correspondiente a los costes operativos con desembolso incrementales del año, y no el importe total de costes operativos con desembolso incrementales del ejercicio</t>
  </si>
  <si>
    <t>El precio de venta de la instalación vieja está equivocado (se ha tomado el correspondiente al momento inicial, y no el esperado al final de su vida útil)</t>
  </si>
  <si>
    <t>El valor residual incremental se suma al flujo ordinario del último año, no se resta</t>
  </si>
  <si>
    <t>Falta dividir la cifra reflejada (intereses) por el importe de deuda del que se ha disfrutado durante el ejercicio</t>
  </si>
  <si>
    <t>El coste de la financiación ajena antes de intereses (cociente entre Intereses soportados y saldo de Deuda disfrutado) debe multiplicarse por el escudo fiscal (1-t), y no por el tipo impositivo</t>
  </si>
  <si>
    <t>El escudo fiscal (ahorro impositivo asociado al pago de intereses) se calcula aplicando el término (1-t) al coste antes de impuestos, y no (1+t)</t>
  </si>
  <si>
    <t>El coste de los fondos propios puede calcularse, cuando se cumple la hipótesis de dividendo creciente a tasa constante, dividiendo el dividendo entre la cotización y sumando la tasa de crecimiento esperada (lo que se señala es el dividendo esperado, no el coste de los fondos propios)</t>
  </si>
  <si>
    <t>La tasa de crecimiento esperada del dividendo se suma al cociente entre el dividendo esperado y el valor de mercado de los fondos propios (no se resta)</t>
  </si>
  <si>
    <t>Falta restar el desembolso inicial (lo señalado es el Valor Actual, VA, no el Valor Actualizado Neto, VAN)</t>
  </si>
  <si>
    <t>El desembolso inicial debe restarse del valor actual de los flujos de fondos asociados al proyecto, no sumarse</t>
  </si>
  <si>
    <t>VA</t>
  </si>
  <si>
    <t>Duración</t>
  </si>
  <si>
    <t>Suma flujos</t>
  </si>
  <si>
    <t>B-A</t>
  </si>
  <si>
    <t xml:space="preserve">TRI = </t>
  </si>
  <si>
    <t xml:space="preserve">Marque con 'x' para continuar </t>
  </si>
  <si>
    <t xml:space="preserve">Marque con 'x' para corregir y continuar </t>
  </si>
  <si>
    <t>Cuenta-errores</t>
  </si>
  <si>
    <t>Proyecto A(1)</t>
  </si>
  <si>
    <t>Proyecto A(2)</t>
  </si>
  <si>
    <r>
      <t>"A" (K</t>
    </r>
    <r>
      <rPr>
        <vertAlign val="subscript"/>
        <sz val="11"/>
        <color indexed="8"/>
        <rFont val="Calibri"/>
        <family val="2"/>
      </rPr>
      <t>0</t>
    </r>
    <r>
      <rPr>
        <sz val="11"/>
        <color theme="1"/>
        <rFont val="Calibri"/>
        <family val="2"/>
        <scheme val="minor"/>
      </rPr>
      <t>; que ahora llamaremos simplemente K):</t>
    </r>
  </si>
  <si>
    <t>Compare ahora las TRIs obtenidas. ¿Coincide la TRI de A con la de A(1)?</t>
  </si>
  <si>
    <t>¿Coincide la TRI de A con la de A(2)?</t>
  </si>
  <si>
    <t>Paso 1</t>
  </si>
  <si>
    <t>Paso 2</t>
  </si>
  <si>
    <t>Paso 3</t>
  </si>
  <si>
    <t>Con este tipo de descuento (K=TRI de A), ¿coinciden el VAN de A y el de A(1)? ¿Coinciden los IR de ambos proyectos?</t>
  </si>
  <si>
    <t>De lo anterior es fácil colegir que la TRI "supone que el dinero que sale del proyecto se reinvierte al tipo TRI".</t>
  </si>
  <si>
    <t>Paso 4</t>
  </si>
  <si>
    <t>Veamos ahora otro concepto interesante, el llamado saldo de un proyecto de inversión. Para ello, volvamos a nuestro proyecto original.</t>
  </si>
  <si>
    <t>Perfil de fondos del proyecto estudiado (al que a partir de ahora llamaremos "A"):</t>
  </si>
  <si>
    <t>Recordemos también el coste de los fondos aplicable en el análisis del interés del proyecto</t>
  </si>
  <si>
    <t>Analice el interés del proyecto. Para ello, calcule las medidas más importantes de su interés:</t>
  </si>
  <si>
    <t>Calcule el flujo capitalizado al final del tercer año bajo cada una de los dos hipótesis propuestas con respecto al tipo de reinversión (K, para A(1); y TRI, para A(2)):</t>
  </si>
  <si>
    <t xml:space="preserve">Lo que acabamos de hacer es convertir un proyecto "multiperiodo" en un proyecto "uniperiodo"; y para ello hemos asumido dos hipótesis distintas: en A(1) suponemos que el individuo puede reinvertir al tipo K (que recordemos que es resultado de aplicar la lógica del "coste de oportunidad"); mientras que en A(2) hemos supuesto que podría hacerlo a lo que rinde el dinero en este proyecto concreto (la propia TRI del proyecto A). </t>
  </si>
  <si>
    <t>Calcule ahora las medidas principales del interés de los dos nuevos proyectos.</t>
  </si>
  <si>
    <t>Si utilizamos como tipo de descuento el tipo K, ¿coinciden el VAN de A y el de A(1)?</t>
  </si>
  <si>
    <t>Bajo la misma hipótesis de tipo de descuento, ¿coinciden el IR de A y el de A(1)?</t>
  </si>
  <si>
    <t xml:space="preserve">Sin embargo, si comparamos ahora (siempre supuesto que el tipo de descuento es K) el  VAN de A con el de A(2) (que, recordemos, se ha calculado suponiendo reinversión del dinero que el proyecto reporta al tipo TRI), vemos que no coinciden ni el VAN ni el IR; de lo que podemos deducir que ninguno de los dos criterios "supone reinversión al tipo TRI" (ya que si esa hipótesis de reinversión fuera lógica los resultados de A y A(2) coincidirían). </t>
  </si>
  <si>
    <t>La respuesta a la pregunta anterior es "NO" (recuérdese que A(1) se construye suponiendo reinversión de los flujos del proyecto A al tipo K).</t>
  </si>
  <si>
    <t>Suponga ahora que el proyecto propuesto actúa como "sustitutivo" de otro proyecto "B" cuyo comportamiento (impacto en la tesorería de la empresa, partiendo de la situación inicial, es decir, sin el proyecto "A") es el siguiente:</t>
  </si>
  <si>
    <t>Paso 5</t>
  </si>
  <si>
    <t>Saldo del</t>
  </si>
  <si>
    <t>proyecto A</t>
  </si>
  <si>
    <t>Proyecto</t>
  </si>
  <si>
    <t>Paso 6</t>
  </si>
  <si>
    <t>Cambios</t>
  </si>
  <si>
    <t>perfil</t>
  </si>
  <si>
    <t>saldo</t>
  </si>
  <si>
    <t>A la vista de las definiciones anteriores, responda a las siguientes cuestiones.</t>
  </si>
  <si>
    <t>La inversión es Simple (S) o No simple (N)</t>
  </si>
  <si>
    <t>La inversión es Pura (P) o Mixta (M)</t>
  </si>
  <si>
    <t>M</t>
  </si>
  <si>
    <t>P</t>
  </si>
  <si>
    <t>Simple</t>
  </si>
  <si>
    <t>No simple</t>
  </si>
  <si>
    <t>Puro</t>
  </si>
  <si>
    <t>Mixto</t>
  </si>
  <si>
    <t xml:space="preserve">La respuesta correcta  a las dos preguntas anteriores es "SI". Por lo tanto, podríamos decir que tanto el VAN como el IR "suponen que el dinero que sale del proyecto se reinvierte al tipo K"; o bien, que los resultados obtenidos "son coherentes con la hipótesis de que el  dinero que el proyecto no necesita puede reinvertirse al tipo K" (siempre en el caso del VAN y del IR). Y podemos afirmarlo porque el resultado obtenido tanto en VAN como en IR es idéntico en el proyecto A (en el que retiramos el dinero al ritmo que el proyecto nos lo da) y en el proyecto A(1) (en el que no "gastamos" el dinero que el proyecto A nos reporta, sino que lo reinvertimos al tipo K hasta el final de su vida útil). </t>
  </si>
  <si>
    <t xml:space="preserve">Veamos ahora qué ocurre si el tipo de descuento utilizado fuera la TRI del proyecto (aunque debemos decir que, para que esto tuviera realmente sentido en el cálculo del VAN, debería ser éste el coste de oportunidad de invertir en el proyecto A). </t>
  </si>
  <si>
    <t xml:space="preserve">De todo lo anterior es fácil colegir que "el VAN supone que el dinero que sale del proyecto se reinvierte al tipo que se utilice en su cálculo (que es lo que hemos llamado K)". </t>
  </si>
  <si>
    <t>Paso 7</t>
  </si>
  <si>
    <t xml:space="preserve">Tipo de reinversión = </t>
  </si>
  <si>
    <t xml:space="preserve">Tipo K = </t>
  </si>
  <si>
    <t>TRI =</t>
  </si>
  <si>
    <t xml:space="preserve">Explicación: Indique si desea explicación Numérica (N) ó de Texto (T) </t>
  </si>
  <si>
    <t>Contador de errores</t>
  </si>
  <si>
    <t>Total aciertos</t>
  </si>
  <si>
    <t>(sobre 49)</t>
  </si>
  <si>
    <t xml:space="preserve">Indique el número correspondiente a la celdilla de la que desea explicación adicional </t>
  </si>
  <si>
    <t>Ki</t>
  </si>
  <si>
    <t>Ke</t>
  </si>
  <si>
    <t>K0</t>
  </si>
  <si>
    <t>Incremento VAN</t>
  </si>
  <si>
    <t>La respuesta es "SI" (recuérdese que A(2) se construye sobre la hipótesis de reinversión del dinero generado por el proyecto A al tipo TRI).</t>
  </si>
  <si>
    <t>Lo anterior está relacionado con otro problema que puede presentar la TRI. En efecto, la TRI de un proyecto se calcula despejando la incógnita en una ecuación de grado "n" (donde "n" es el número de años de vida útil del proyecto). Desde un punto de vista matemático, la ecuación podría presentar más de una solución (de hecho, según lo que se conoce como la "regla de los signos de Descartes", podría haber hasta tantas soluciones reales como cambios de signo en el polinomio ordenado). A este problema se le conoce con el nombre de "TRI múltiple", y lo más grave es que ello podría provocar un problema de "inconsistencia de la TRI", es decir, que algunas soluciones estuvieran por encima y otras por debajo de K; lo que significaría que la TRI podría a la vez aconsejar y rechazar el proyecto.</t>
  </si>
  <si>
    <t xml:space="preserve">Explicación Teórica (T) ó Numérica (N) </t>
  </si>
  <si>
    <t xml:space="preserve">Marque con una "x" si desea empezar </t>
  </si>
  <si>
    <t>Total coincidencias</t>
  </si>
  <si>
    <t>¿ERROR?</t>
  </si>
  <si>
    <t>javi</t>
  </si>
  <si>
    <t>El efecto neto es negativo para el interés del proyecto. El cambio influye en los siguientes elementos: la reducción de deuda supone que los fondos propios, más caros, aumentan su proporción sobre el total, lo que provoca un aumento del coste medio ponderado, y en consecuencia, una reducción del VAN asociado al proyecto.
NOTA: Suponemos en el cálculo del nuevo coste medio ponderado que se mantienen los costes de fondos propios y ajenos a largo plazo, así como la cantidad total de capitales permanentes (lo que supone que la reducción de FALP se compensa con un aumento de FP por el mismo importe).</t>
  </si>
  <si>
    <t>El efecto neto para el interés del proyecto es incierto. El cambio influye en los siguientes elementos: se añade un flujo adicional, que puede beneficiar o perjudicar el interés del proyecto en función del comportamiento de las variables (efecto normalmente positivo, si suponemos flujos operativos positivos); se postpone un año la obtención del valor residual (efecto negativo), que debe recalcularse para considerar las nuevas amortizaciones que afectan al valor en libros de los activos fijos en el momento de la liquidación.</t>
  </si>
  <si>
    <t>El efecto neto para el interés del proyecto es incierto. El cambio influye en los siguientes elementos: el aumento del valor de los fondos propios provoca un abaratamiento de los mismos (efecto positivo); el peso del coste de los fondos propios (que por lógica deberían siempre ser más caros que los ajenos) aumenta, lo que encarece el coste de los mismos (efecto negativo). El impacto final que el cambio tendrá en el VAN del proyecto dependerá de la fuerza que tengan los dos efectos anteriores.
NOTA: Suponemos en los cálculos realizados que el coste de los fondos ajenos a largo plazo, así como su valor de mercado, mantienen los valores originales.</t>
  </si>
  <si>
    <t>Analice el interés de los dos proyectos, utilizando en el cálculo de los VANes el tipo de descuento propuesto en cada caso.</t>
  </si>
  <si>
    <t>Δ V</t>
  </si>
  <si>
    <t>Δ C</t>
  </si>
  <si>
    <t>Δ AM</t>
  </si>
  <si>
    <t>Δ BAII</t>
  </si>
  <si>
    <t>Δ Imp</t>
  </si>
  <si>
    <t>Δ BAIdI</t>
  </si>
  <si>
    <t>Δ GFO</t>
  </si>
  <si>
    <t>Δ Clientes</t>
  </si>
  <si>
    <t>Δ Proveedores</t>
  </si>
  <si>
    <t>Δ FM</t>
  </si>
  <si>
    <t>Δ Δ FM</t>
  </si>
  <si>
    <t>Intereses x (1-t) / FALP</t>
  </si>
  <si>
    <t>Dividendo esperado / FP (mercado) + Crecimiento (g)</t>
  </si>
  <si>
    <t>ki x FALP/(FALP+FP) + ke x FP/(FALP+FP)</t>
  </si>
  <si>
    <t xml:space="preserve">Puede comprobarse que la respuesta a ambas preguntas es "NO". Sin embargo, lo que sí coinciden son los VANes de A y A(2) (que recordemos que se había construido suponiendo reinversión a la TRI), así como sus IR. </t>
  </si>
  <si>
    <t>Es fácil relacionar el problema de discrepancia VAN-TRI con la hipótesis de reinversión implícita en ambos criterios de la que nos hemos ocupado anteriormente. Recuérdese que habíamos concluido que la hipótesis de reinversión implícita en el VAN es que los flujos de fondos que reporta un proyecto se reinvierten al tipo K (el tipo de descuento utilizado en el cálculo del VAN), mientras que la TRI supone que el tipo al que se reinvierte el dinero que sale del proyecto es la propia TRI. Ahora hemos visto que proyectos en los que los ritmos de recuperación de los fondos son distintos (distinta pendiente del perfil del VAN) pueden plantear problemas de discrepancia VAN-TRI: el VAN puede preferir un proyecto, mientras que la TRI se decanta por el otro. Y esta discrepancia puede deberse, aunque veremos que no es la única causa posible, al distinto tipo de reinversión implícito.</t>
  </si>
  <si>
    <t>El saldo de un proyecto de inversión en el momento t se define como el valor capitalizado en ese momento de todos los flujos de fondos del proyecto hasta ese momento t, utilizando como tasa de capitalización la TRI del proyecto. Calcule el saldo del proyecto A en cada momento de su vida útil.</t>
  </si>
  <si>
    <t>Observe ahora el comportamiento de los signos en el perfil de fondos y en el saldo del proyecto. Si el proyecto tiene un solo desembolso en el momento 0 y resto de flujos de fondos todos positivos decimos que estamos ante una inversión simple; en caso contrario, se trata de una inversión no simple. Y en el caso de que los saldos del proyecto tengan siempre signo negativo salvo en el momento "n" (final de la vida útil), en el que por definición (tanto del saldo del proyecto como de TRI), éste es igual a 0, decimos que la inversión es pura; en caso contrario, es decir, si se alternan los signos en el saldo del proyecto, decimos que estamos ante una inversión mixta.</t>
  </si>
  <si>
    <t>Desde un punto de vista financiero, el problema está relacionado con el hecho de que el proyecto estudiado mezcla elementos propios de una inversión con otros que corresponden a una financiación. No es un problema de que se aplique mal la técnica, sino que el propio proyecto se comporta de manera "extraña". Y es el saldo del proyecto de inversión que hemos definido lo que permite detectar cuándo puede darse la mezcla de inversión y financiación: lo propio de una inversión es que su saldo sea siempre negativo (salvo en "n", que es cero); mientras que lo propio de una financiación es que sus saldos sean todos positivos (salvo el último, que es también cero). Así, los problemas de inconsistencia pueden aparecer (no siempre) en los proyectos mixtos (es decir, aquellos que alternan saldos positivos y negativos; lo que requiere, a su vez, que haya más de un cambio de signo en el perfil de fondos).</t>
  </si>
  <si>
    <t>A continuación, vamos a analizar cuáles son las hipótesis de reinversión implícitas en el VAN y la TRI. Para ello, comenzaremos construyendo el perfil de fondos de un proyecto similar a A, pero en el que supondremos que su propietario no "gasta" el dinero en el momento en que el proyecto se lo da, sino que decide reinvertirlo. Es decir, vamos a suponer que el individuo decide retirar el resultado íntegro de su inversión al final del tercer año; y para ello, supondremos dos hipótesis distintas: que reinvierte al coste de los fondos (K); o que reinvierte a la TRI del proyecto. Llamaremos A(1) y A(2) a los perfiles de fondos resultantes de la aplicación de cada una de las dos hipótesis apuntadas.</t>
  </si>
  <si>
    <t>Antes de continuar, analice  por un momento los resultados obtenidos. En concreto, trate de responder a las siguientes preguntas:</t>
  </si>
  <si>
    <t>Efectivamente, piense en dos proyectos de inversión uniperiodo (da lo mismo cuánto tiempo medie entra las dos posiciones, aquella en la que se invierte y aquella en la que se retira el resultado de la inversión; lo importante es que sólo haya dos momentos en los que se produzca el impacto en caja, el inicial, en el que se invierte, y el final, en el que se retira el resultado de la inversión) en los que el desembolso sea idéntico. Es fácil en estas condiciones comprobar que es imposible que se produzca el problema de discrepancia VAN-TRI: el proyecto que tenga un mayor flujo final tendrá más VAN y más TRI. La razón es que no se da la condición de posibilidad para que ocurra el problema, ya que no puede entrar en juego aquello que puede provocar la discrepancia (la distinta hipótesis de reinversión): todo está invertido en el proyecto, no hay nada que reinvertir fuera del proyecto.</t>
  </si>
  <si>
    <t>Obviamente, de lo anterior puede también deducirse fácilmente que hay una segunda razón que puede provocar la discrepancia: que el desembolso inicial sea distinto entre los dos proyectos comparados; y es que si el desembolso es pequeño, una alta rentabilidad puede dar lugar a un proyecto peor que otro en el que la inversión es grande, pero con una rentabilidad menor; es decir, puede ser mejor "sacar poca rentabilidad a mucho dinero" que "sacar mucha rentabilidad a poco dinero".</t>
  </si>
  <si>
    <t>EXPL NUMÉRICA</t>
  </si>
  <si>
    <t>EXPL. TEXTO</t>
  </si>
  <si>
    <t xml:space="preserve">    Indique número de celdilla si desea explicación</t>
  </si>
  <si>
    <t>Informe de errores (de concepto) cometidos: las celdillas coloreadas en rosa son errores "derivados", se corregirán solos cuando las celdillas señaladas en rojo (errores de concepto) sean correctas</t>
  </si>
  <si>
    <t>DI (2021)</t>
  </si>
  <si>
    <t>IncVR (2024) (AF)</t>
  </si>
  <si>
    <t>IncVR (2024) (FM)</t>
  </si>
  <si>
    <t>IncVR (2024)</t>
  </si>
  <si>
    <t>Para ciego: copiar y pegar valores rango A3:C31</t>
  </si>
  <si>
    <t>Y toda la solución (recuperar comentarios después de Autoeval)</t>
  </si>
  <si>
    <t>Posible explicación</t>
  </si>
  <si>
    <t>blanco</t>
  </si>
  <si>
    <t>Y rango H10:K11; y columnas M a P; y rango B139:B150</t>
  </si>
  <si>
    <t>Esto se debe borrar una vez completado el proceso (después del proceso corta-pega)</t>
  </si>
  <si>
    <t>INTERPRETACIÓN DE LA CORRECCIÓN</t>
  </si>
  <si>
    <t>Verde</t>
  </si>
  <si>
    <t>Cálculos y resultado correctos</t>
  </si>
  <si>
    <t>Rojo</t>
  </si>
  <si>
    <t>Cálculos y resultado erróneos</t>
  </si>
  <si>
    <t>Rosa</t>
  </si>
  <si>
    <t>Cálculos correctos, resultado erróneo</t>
  </si>
  <si>
    <t>EXPLICACIÓN NUMÉRICA</t>
  </si>
  <si>
    <t>EXPLICACIÓN TEXTO</t>
  </si>
  <si>
    <t>EXPLICACIÓN</t>
  </si>
  <si>
    <t xml:space="preserve">Introduce número de problema (1 a 6) </t>
  </si>
  <si>
    <t>"A" (K0; que ahora llamaremos simplemente K):</t>
  </si>
  <si>
    <t>El ∆BAII está mal calculado porque la amortización incremental tiene un error: no resta la amortización de la antigua instalación</t>
  </si>
  <si>
    <t xml:space="preserve">(para comprobar el número ponga el cursor encima de la celdilla correspondiente) </t>
  </si>
  <si>
    <t>Diego Unda, director financiero de la compañía DU,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</si>
  <si>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1.000.000 euros, podría amortizarse linealmente en 10 años, y se liquidaría al final del proyecto (tres años) por 400.000 euros.</t>
  </si>
  <si>
    <t>Los datos relativos a la instalación a sustituir son los siguientes: su valor contable a día de hoy es de 100.000 euros, que se amortizarían a partes iguales en los próximos 2 años; podrían liquidarse hoy por 200.000 euros, o por 100.000 al final del tercer año.</t>
  </si>
  <si>
    <t>La nueva máquina presenta como ventaja la posibilidad de incrementar las ventas anuales (que se cobran a 90 días) en 420.000 euros, lo que exigiría incurrir en un aumento de costes operativos con desembolso (que tienen un plazo de pago de 60 días) de 300.000.</t>
  </si>
  <si>
    <t>En lo que se refiere al pasivo a largo plazo de la empresa, el valor de mercado de la deuda es de 7.000.000 euros, cifra que coincide con el valor de los fondos propios. Los intereses anuales a pagar por el disfrute de la deuda son de 350.000 euros. En cuanto a los fondos propios, los accionistas esperan recibir un dividendo de 420.000 euros, con un crecimiento anual del 2,25% para los próximos años.</t>
  </si>
  <si>
    <t>El tipo impositivo aplicable a la empresa es del 25%, y se espera seguir obteniendo abundantes beneficios, con independencia de lo que ocurra con un proyecto concreto.</t>
  </si>
  <si>
    <t>SI</t>
  </si>
  <si>
    <t>NO HAY ERRORES, EL CASO SE HA RESUELTO CORRECTAMENTE Y LA DECISIÓN ADOPTADA ES LA ADECUADA</t>
  </si>
  <si>
    <t>INV (2022)</t>
  </si>
  <si>
    <t>VE (2025)</t>
  </si>
  <si>
    <t>DI (2022)</t>
  </si>
  <si>
    <t>IncVR (2025) (AF)</t>
  </si>
  <si>
    <t>VE (2022)</t>
  </si>
  <si>
    <t>IncVR (2025) (FM)</t>
  </si>
  <si>
    <t>IncVR (2025)</t>
  </si>
  <si>
    <t>VL (2022)</t>
  </si>
  <si>
    <t xml:space="preserve">(en verde las celdillas correctas; en rojo las celdillas equivocadas) </t>
  </si>
  <si>
    <t xml:space="preserve">∆∆FM (2024) = </t>
  </si>
  <si>
    <t>0</t>
  </si>
  <si>
    <t>= 55.000 - 55.000</t>
  </si>
  <si>
    <t>RESPUESTA CORRECTA.</t>
  </si>
  <si>
    <t>(sobre 1)</t>
  </si>
  <si>
    <t>(sobre 1,5)</t>
  </si>
  <si>
    <t>-2.594,42  =  300.000/360x(30-60)/1,0600^1 - 300.000/360x(30-60)/1,0600^3</t>
  </si>
  <si>
    <t>(sobre 0,5)</t>
  </si>
  <si>
    <t>Diferencia</t>
  </si>
  <si>
    <t>(sobre 10)</t>
  </si>
  <si>
    <t>= ∆FM (2024) - ∆FM (2023)</t>
  </si>
  <si>
    <t>= 1.000.000 - [200.000 - 0,25 x (200.000 - 100.000)]</t>
  </si>
  <si>
    <t>= INV (2022) - [VE (2022) vieja - t x (VE (2022) vieja - VL (2022) vieja)]</t>
  </si>
  <si>
    <t>∆V (2023)</t>
  </si>
  <si>
    <t>= 420.000</t>
  </si>
  <si>
    <t>= Incremento de ventas del año 2023</t>
  </si>
  <si>
    <t>∆V (2024)</t>
  </si>
  <si>
    <t>= Incremento de ventas del año 2024</t>
  </si>
  <si>
    <t>∆V (2025)</t>
  </si>
  <si>
    <t>= Incremento de ventas del año 2025</t>
  </si>
  <si>
    <t>∆C (2023)</t>
  </si>
  <si>
    <t>= 300.000</t>
  </si>
  <si>
    <t>= Incremento de costes operativos con desembolso del año 2023</t>
  </si>
  <si>
    <t>NO</t>
  </si>
  <si>
    <t>∆C (2024)</t>
  </si>
  <si>
    <t>= Incremento de costes operativos con desembolso del año 2024</t>
  </si>
  <si>
    <t>∆C (2025)</t>
  </si>
  <si>
    <t>= Incremento de costes operativos con desembolso del año 2025</t>
  </si>
  <si>
    <t>∆AM (2023)</t>
  </si>
  <si>
    <t>= 1.000.000/10 - 100.000/2</t>
  </si>
  <si>
    <t>= AM nueva (2023)  - AM vieja (2023)</t>
  </si>
  <si>
    <t>∆AM (2024)</t>
  </si>
  <si>
    <t>= AM nueva (2024)  - AM vieja (2024)</t>
  </si>
  <si>
    <t>∆AM (2025)</t>
  </si>
  <si>
    <t>= 1.000.000/10 - 0</t>
  </si>
  <si>
    <t>= AM nueva (2025)  - AM vieja (2025)</t>
  </si>
  <si>
    <t>∆BAII (2023)</t>
  </si>
  <si>
    <t>= 420.000 - 300.000 - 50.000</t>
  </si>
  <si>
    <t>= Inc V (2023) - Inc C (2023) - Inc AM (2023)</t>
  </si>
  <si>
    <t>∆BAII (2024)</t>
  </si>
  <si>
    <t>= Inc V (2024) - Inc C (2024) - Inc AM (2024)</t>
  </si>
  <si>
    <t>∆BAII (2025)</t>
  </si>
  <si>
    <t>= 420.000 - 300.000 - 100.000</t>
  </si>
  <si>
    <t>= Inc V (2025) - Inc C (2025) - Inc AM (2025)</t>
  </si>
  <si>
    <t>∆Imp (2023)</t>
  </si>
  <si>
    <t>= 0,25 x 70.000</t>
  </si>
  <si>
    <t>= t x Inc BAII (2023)</t>
  </si>
  <si>
    <t>∆Imp (2024)</t>
  </si>
  <si>
    <t>= t x Inc BAII (2024)</t>
  </si>
  <si>
    <t>∆Imp (2025)</t>
  </si>
  <si>
    <t>= 0,25 x 20.000</t>
  </si>
  <si>
    <t>= t x Inc BAII (2025)</t>
  </si>
  <si>
    <t>∆BAIdI (2023)</t>
  </si>
  <si>
    <t>= 70.000 - 17.500</t>
  </si>
  <si>
    <t>= Inc BAII (2023) - Inc Imp (2023)</t>
  </si>
  <si>
    <t>∆BAIdI (2024)</t>
  </si>
  <si>
    <t>= Inc BAII (2024) - Inc Imp (2024)</t>
  </si>
  <si>
    <t>∆BAIdI (2025)</t>
  </si>
  <si>
    <t>= 20.000 - 5.000</t>
  </si>
  <si>
    <t>= Inc BAII (2025) - Inc Imp (2025)</t>
  </si>
  <si>
    <t>∆GFO (2023)</t>
  </si>
  <si>
    <t>= 52.500 + 50.000</t>
  </si>
  <si>
    <t>= Inc BAIdI (2023) + Inc AM (2023)</t>
  </si>
  <si>
    <t>∆GFO (2024)</t>
  </si>
  <si>
    <t>= Inc BAIdI (2024) + Inc AM (2024)</t>
  </si>
  <si>
    <t>∆GFO (2025)</t>
  </si>
  <si>
    <t>= 15.000 + 100.000</t>
  </si>
  <si>
    <t>= Inc BAIdI (2025) + Inc AM (2025)</t>
  </si>
  <si>
    <t>∆Clientes (2023)</t>
  </si>
  <si>
    <t>= 420.000 / 360 x 90</t>
  </si>
  <si>
    <t>= Inc V (2023) / 360 x Plazo cobro clientes</t>
  </si>
  <si>
    <t>∆Clientes (2024)</t>
  </si>
  <si>
    <t>= Inc V (2024) / 360 x Plazo cobro clientes</t>
  </si>
  <si>
    <t>∆Clientes (2025)</t>
  </si>
  <si>
    <t>= Inc V (2025) / 360 x Plazo cobro clientes</t>
  </si>
  <si>
    <t>∆Proveedores (2023)</t>
  </si>
  <si>
    <t>= 300.000 / 360 x 60</t>
  </si>
  <si>
    <t>= Inc C (2023) / 360 x Plazo pago proveedores</t>
  </si>
  <si>
    <t>∆Proveedores (2024)</t>
  </si>
  <si>
    <t>= Inc C (2024) / 360 x Plazo pago proveedores</t>
  </si>
  <si>
    <t>∆Proveedores (2025)</t>
  </si>
  <si>
    <t>= Inc C (2025) / 360 x Plazo pago proveedores</t>
  </si>
  <si>
    <t>∆FM (2023)</t>
  </si>
  <si>
    <t>= 105.000 - 50.000</t>
  </si>
  <si>
    <t>= Inc Clientes (2023) - Inc Proveedores (2023)</t>
  </si>
  <si>
    <t>∆FM (2024)</t>
  </si>
  <si>
    <t>= Inc Clientes (2024) - Inc Proveedores (2024)</t>
  </si>
  <si>
    <t>∆FM (2025)</t>
  </si>
  <si>
    <t>= Inc Clientes (2025) - Inc Proveedores (2025)</t>
  </si>
  <si>
    <t>∆∆FM (2023)</t>
  </si>
  <si>
    <t>= 55.000 - 0</t>
  </si>
  <si>
    <t>= ∆FM (2023) - ∆FM (2022)</t>
  </si>
  <si>
    <t>∆∆FM (2024)</t>
  </si>
  <si>
    <t>∆∆FM (2025)</t>
  </si>
  <si>
    <t>= ∆FM (2025) - ∆FM (2024)</t>
  </si>
  <si>
    <t>∆GFO - ∆∆FM (2023)</t>
  </si>
  <si>
    <t>= 102.500 - 55.000</t>
  </si>
  <si>
    <t>= Inc GF antes de corregir con FM (2023) - Inversión en FM (2023)</t>
  </si>
  <si>
    <t>∆GFO - ∆∆FM (2024)</t>
  </si>
  <si>
    <t>= 102.500 - 0</t>
  </si>
  <si>
    <t>= Inc GF antes de corregir con FM (2024) - Inversión en FM (2024)</t>
  </si>
  <si>
    <t>∆GFO - ∆∆FM (2025)</t>
  </si>
  <si>
    <t>= 115.000 - 0</t>
  </si>
  <si>
    <t>= Inc GF antes de corregir con FM (2025) - Inversión en FM (2025)</t>
  </si>
  <si>
    <t>= [400.000 - 0,25 x (400.000 - 700.000)] - [100.000 - 0,25 x (100.000 - 0)]</t>
  </si>
  <si>
    <t>= [VE (2025) nueva - t x (VE (2025) nueva - VL (2025) nueva)] - [VE (2025) vieja - t x (VE (2025) vieja - VL (2025) vieja)]</t>
  </si>
  <si>
    <t>= 55.000</t>
  </si>
  <si>
    <t>= Saldo FM aportado por el proyecto en año 2025</t>
  </si>
  <si>
    <t>= 400.000 + 55.000</t>
  </si>
  <si>
    <t>= VR incremental por AF (2025) + VR incremental por liquidación del FM (2025)</t>
  </si>
  <si>
    <t>TINV (2022)</t>
  </si>
  <si>
    <t>= - {1.000.000 - [200.000 - 0,25 x (200.000 - 100.000)]}</t>
  </si>
  <si>
    <t>= - {INV Nueva (2022) - [VE (2022) vieja - t x (VE (2022) vieja - VL (2022) vieja)]}</t>
  </si>
  <si>
    <t>TINV (2023)</t>
  </si>
  <si>
    <t>TINV (2024)</t>
  </si>
  <si>
    <t>TINV (2025)</t>
  </si>
  <si>
    <t>= 115.000 - 0 + 455.000</t>
  </si>
  <si>
    <t>= Inc GF antes de corregir con FM (2025) - Inversión en FM (2025) + Valor residual incremental (2025)</t>
  </si>
  <si>
    <t>= 350.000 x (1 - 0,25) / 7.000.000</t>
  </si>
  <si>
    <t>= Intereses x (1-t) / FALP</t>
  </si>
  <si>
    <t>= 420.000 / 7.000.000 + 0,0225</t>
  </si>
  <si>
    <t>= Dividendo esperado / FP (mercado) + Crecimiento (g)</t>
  </si>
  <si>
    <t>= 0,0375 x 7.000.000 / (7.000.000 + 7.000.000) + 0,0825 x 7.000.000 / (7.000.000 + 7.000.000)</t>
  </si>
  <si>
    <t>= ki x FALP/(FALP+FP) + ke x FP/(FALP+FP)</t>
  </si>
  <si>
    <t>= -825.000 + 47.500/1,06 + 102.500/(1,06^2) + 570.000/(1,06^3)</t>
  </si>
  <si>
    <t>= TINV|2022| + TINV|2023|/(1+k0) + TINV|2024|/(1+k0)^2 + TINV|2025|/(1+k0)^3</t>
  </si>
  <si>
    <t xml:space="preserve">  0 = -825.000 + 47.500/(1+TRI) + 102.500/(1+TRI)^2 + 570.000/(1+TRI)^3</t>
  </si>
  <si>
    <t xml:space="preserve">  0 = TINV|2022| + TINV|2023|/(1+TRI) + TINV|2024|/(1+TRI)^2 + TINV|2025|/(1+TRI)^3</t>
  </si>
  <si>
    <t>Problema predefinido nº 1</t>
  </si>
  <si>
    <t>-1.284,62  =  (-8.333)/1,0600^1 + (-8.333)/1,0600^2 + (-8.333)/1,0600^3 + 0,25x(800.000-700.000)/1,0600^3</t>
  </si>
  <si>
    <t>-78.624,13  =  -(1.100.000-1.000.000) + 2.500/1,0600^1 + 2.500/1,0600^2 + 2.500/1,0600^3 + 0,25x[(1.100.000-1.000.000)x(1-3/10)]/1,0600^3</t>
  </si>
  <si>
    <t>-25.188,58  =  (360.000-400.000)x(1-0,25)/1,0600^3</t>
  </si>
  <si>
    <t>15.000,00  =  (220.000-200.000)x(1-0,25)</t>
  </si>
  <si>
    <t>-667,50  =  0,25x[(50.000/1,0600^1 + 50.000/1,0600^2 + 0/1,0600^3) - (100.000/1,0600^1 + 0/1,0600^2 + 0/1,0600^3)] + 0,25x(0-0)/1,0600^3</t>
  </si>
  <si>
    <t>208,26  =  0,25x(110.000-100.000) - 0,25x(5.000/1,0600^1 + 5.000/1,0600^2 + 0/1,0600^3) - 0,25x(0-0)/1,0600^3</t>
  </si>
  <si>
    <t>-15.000,00  =  (180.000-200.000)x(1-0,25)</t>
  </si>
  <si>
    <t>-6.297,14  =  -(110.000-100.000)x(1-0,25)/1,0600^3</t>
  </si>
  <si>
    <t>83.110,22  =  (462.000-420.000)x(1-0,25)/1,0600^1 + (462.000-420.000)x(1-0,25)/1,0600^2 + (462.000-420.000)x(1-0,25)/1,0600^3 - [(462.000-420.000)/360x90]/1,0600^1 + [(462.000-420.000)/360x90]/1,0600^3</t>
  </si>
  <si>
    <t>-3.632,19  =  -420.000/360x(120-90)/1,0600^1 + 420.000/360x(120-90)/1,0600^3</t>
  </si>
  <si>
    <t>59.623,88  =  (300.000-270.000)x(1-0,25)/1,0600^1 + (300.000-270.000)x(1-0,25)/1,0600^2 + (300.000-270.000)x(1-0,25)/1,0600^3 - [(300.000-270.000)/360x60]/1,0600^1 + [(300.000-270.000)/360x60]/1,0600^3</t>
  </si>
  <si>
    <t>-2.931,69  =  47.500x[1/1,0619^1 -1/1,0600^1] + 102.500x[1/1,0619^2 -1/1,0600^2] + 570.000x[1/1,0619^3 -1/1,0600^3]</t>
  </si>
  <si>
    <t>7.915,91  =  47.500x[1/1,0550^1 - 1/1,0600^1] + 102.500x[1/1,0550^2 - 1/1,0600^2] + 570.000x[1/1,0550^3 - 1/1,0600^3]</t>
  </si>
  <si>
    <t>No recupera</t>
  </si>
  <si>
    <t>-4.681,20  =  47.500x[1/1,0630^1 - 1/1,0600^1] + 102.500x[1/1,0630^2 - 1/1,0600^2] + 570.000x[1/1,0630^3 - 1/1,0600^3]</t>
  </si>
  <si>
    <t>2.810,64  =  47.500x[1/1,0582^1 - 1/1,0600^1] + 102.500x[1/1,0582^2 - 1/1,0600^2] + 570.000x[1/1,0582^3 - 1/1,0600^3]</t>
  </si>
  <si>
    <t>-17.296,66  =  47.500x[1/1,0713^1 - 1/1,0600^1] + 102.500x[1/1,0713^2 - 1/1,0600^2] + 570.000x[1/1,0713^3 - 1/1,0600^3]</t>
  </si>
  <si>
    <t>6.546,74  =  47.500x[1/1,0588^1 - 1/1,0600^1] + 102.500x[1/1,0588^2 - 1/1,0600^2] + 570.000x[1/1,0588^3 - 1/1,0600^3] + (0,30 - 0,25) x [-(200.000-100.000) - (70.000/1,0588^1 + 70.000/1,0588^2 + 20.000/1,0588^3) - (400.000 - 700.000)/1,0588^3 + (100.000 - 0)/1,0588^3]</t>
  </si>
  <si>
    <t>49.664,27  =  [(420.000-300.000) x (1-0,25) + (100.000-0) x 0,25] /1,0600^4 + {[400.000-0,25x(400.000-600.000)] - [100.000-0,25x(100.000-0)] + 420.000/360x90 - 300.000/360x60} /1,0600^4 - 455.000/1,0600^3</t>
  </si>
  <si>
    <t>B</t>
  </si>
  <si>
    <t>Δ AM (2024)</t>
  </si>
  <si>
    <t>50.000</t>
  </si>
  <si>
    <t>= 1.000.000/10-100.000/2</t>
  </si>
  <si>
    <t>Δ Proveedores (2025)</t>
  </si>
  <si>
    <t>= 300.000/360x60</t>
  </si>
  <si>
    <t>= 350.000 x (1-0,25) / 7.000.000</t>
  </si>
  <si>
    <t>-0,26</t>
  </si>
  <si>
    <t>= [-825.000 + 47.500/1,06 + 102.500/(1,06^2) + 570.000/(1,06^3)] / 825.000</t>
  </si>
  <si>
    <t>El proyecto no es interesante, ya que destruye valor</t>
  </si>
  <si>
    <t>El proyecto no interesa, ya que rinde menos de lo necesario para devolver y retribuir los fondos utilizados</t>
  </si>
  <si>
    <t>El proyecto no es interesante, ya que cada euro invertido en él destruye valor</t>
  </si>
  <si>
    <t>El proyecto no es interesante, ya que ni siquiera recupera la inversión realizada</t>
  </si>
  <si>
    <t>= AM nueva - AM vieja</t>
  </si>
  <si>
    <t>= 420.000-300.000-50.000</t>
  </si>
  <si>
    <t>= Inc V - Inc C - Inc AM</t>
  </si>
  <si>
    <t>= 0,25x70.000</t>
  </si>
  <si>
    <t>= t x Inc BAII</t>
  </si>
  <si>
    <t>= 70.000-17.500</t>
  </si>
  <si>
    <t>= Inc BAII x (1-t)</t>
  </si>
  <si>
    <t>= 52.500+50.000</t>
  </si>
  <si>
    <t>= Inc BAIdI + Inc AM</t>
  </si>
  <si>
    <t>= 1.000.000/10-0</t>
  </si>
  <si>
    <t>= 420.000-300.000-100.000</t>
  </si>
  <si>
    <t>= 0,25x20.000</t>
  </si>
  <si>
    <t>= 20.000-5.000</t>
  </si>
  <si>
    <t>= 15.000+100.000</t>
  </si>
  <si>
    <t>= 420.000/360x90</t>
  </si>
  <si>
    <t>= Inc V / 360 x Plazo cobro clientes</t>
  </si>
  <si>
    <t>= Inc C / 360 x Plazo pago proveedores</t>
  </si>
  <si>
    <t>= 105.000-50.000</t>
  </si>
  <si>
    <t>= Inc Clientes - Inc Proveedores</t>
  </si>
  <si>
    <t>= 55.000-0</t>
  </si>
  <si>
    <t>= Inc FM (2023) - Inc FM(2022)</t>
  </si>
  <si>
    <t>= 55.000-55.000</t>
  </si>
  <si>
    <t>= Inc FM (2024) - Inc FM(2023)</t>
  </si>
  <si>
    <t>= Inc FM (2025) - Inc FM(2024)</t>
  </si>
  <si>
    <t>= TINV|2022|+TINV|2023|/(1+k0)+TINV|2024|/(1+k0)^2+TINV|2025|/(1+k0)^3</t>
  </si>
  <si>
    <t xml:space="preserve">  0 = TINV|2022|+TINV|2023|/(1+TRI)+TINV|2024|/(1+TRI)^2+TINV|2025|/(1+TRI)^3</t>
  </si>
  <si>
    <t>= [TINV|2022|+TINV|2023|/(1+k0)+TINV|2024|/(1+k0)^2+TINV|2025|/(1+k0)^3] / TINV|2022|</t>
  </si>
  <si>
    <t xml:space="preserve">-825.000 + 47.500 + 102.500 + 570.000 &lt; 0 </t>
  </si>
  <si>
    <t>TINV|2022|+TINV|2023|+TINV|2024|+TINV|2025|&lt;0</t>
  </si>
  <si>
    <t>1.000.000 - [200.000 - 0,25 x (200.000 - 100.000)]</t>
  </si>
  <si>
    <t>INV Nueva (2022) - [VE (2022) vieja - t x (VE (2022) vieja - VL (2022) vieja)]</t>
  </si>
  <si>
    <t>[400.000 - 0,25 x (400.000 - 700.000)] - [100.000 - 0,25 x (100.000 - 0)]</t>
  </si>
  <si>
    <t>[VE (2025) nueva - t x (VE (2025) nueva - VL (2025) nueva)] - [VE (2025) vieja - t x (VE (2025) vieja - VL (2025) vieja)]</t>
  </si>
  <si>
    <t>55.000</t>
  </si>
  <si>
    <t>Saldo FM aportado por el proyecto en año 2025</t>
  </si>
  <si>
    <t>400.000 + 55.000</t>
  </si>
  <si>
    <t>VR incremental por AF (2025) + VR incremental por liquidación del FM (2025)</t>
  </si>
  <si>
    <t>350.000 x (1-0,25) / 7.000.000</t>
  </si>
  <si>
    <t>420.000 / 7.000.000 + 0,0225</t>
  </si>
  <si>
    <t>0,0375 x 7.000.000 / (7.000.000 + 7.000.000) + 0,0825 x 7.000.000 / (7.000.000 + 7.000.000)</t>
  </si>
  <si>
    <t>ΔV (2023)</t>
  </si>
  <si>
    <t>420.000</t>
  </si>
  <si>
    <t>ΔC (2023)</t>
  </si>
  <si>
    <t>300.000</t>
  </si>
  <si>
    <t>ΔAM (2023)</t>
  </si>
  <si>
    <t>1.000.000/10 - 100.000/2</t>
  </si>
  <si>
    <t>INV (2022) / Años amortización nueva - VL (2022) / Años amortización vieja</t>
  </si>
  <si>
    <t>ΔBAII (2023)</t>
  </si>
  <si>
    <t>420.000 - 300.000 - (1.000.000/10 - 100.000/2)</t>
  </si>
  <si>
    <t>ΔV (2023) - ΔC (2023) - ΔAM (2023)</t>
  </si>
  <si>
    <t>ΔImp (2023)</t>
  </si>
  <si>
    <t>0,25 x [420.000 - 300.000 - (1.000.000/10 - 100.000/2)]</t>
  </si>
  <si>
    <t>t x [ΔV (2023) - ΔC (2023) - ΔAM (2023)]</t>
  </si>
  <si>
    <t>ΔBAIdI (2023)</t>
  </si>
  <si>
    <t>[420.000 - 300.000 - (1.000.000/10 - 100.000/2)] x (1-0,25)</t>
  </si>
  <si>
    <t>[ΔV (2023) - ΔC (2023) - ΔAM (2023)] x (1-t)</t>
  </si>
  <si>
    <t>ΔGFO (2023)</t>
  </si>
  <si>
    <t>[420.000 - 300.000 - (1.000.000/10 - 100.000/2)] x (1-0,25) + 50.000</t>
  </si>
  <si>
    <t>[ΔV (2023) - ΔC (2023) - ΔAM (2023)] x (1-t) + ΔAM (2023)</t>
  </si>
  <si>
    <t>ΔClientes (2023)</t>
  </si>
  <si>
    <t>420.000/360x90</t>
  </si>
  <si>
    <t>ΔV (2023) / 360 x Plazo cobro clientes</t>
  </si>
  <si>
    <t>ΔProveedores (2023)</t>
  </si>
  <si>
    <t>300.000/360x60</t>
  </si>
  <si>
    <t>ΔC (2023) / 360 x Plazo pago proveedores</t>
  </si>
  <si>
    <t>ΔFM (2023)</t>
  </si>
  <si>
    <t>(420.000/360x90) - (300.000/360x60)</t>
  </si>
  <si>
    <t>[ΔV (2023) / 360 x Plazo cobro clientes] - [ΔC (2023) / 360 x Plazo pago proveedores]</t>
  </si>
  <si>
    <t>ΔΔFM (2023)</t>
  </si>
  <si>
    <t>[(420.000/360x90) - (300.000/360x60)] - [0]</t>
  </si>
  <si>
    <t>ΔFM (2023) - ΔFM(2022)</t>
  </si>
  <si>
    <t>ΔGFO - ΔΔFM (2023)</t>
  </si>
  <si>
    <t>{[420.000 - 300.000 - (1.000.000/10 - 100.000/2)] x (1-0,25) + 50.000} - {[(420.000/360x90) - (300.000/360x60)] - [0]}</t>
  </si>
  <si>
    <t>ΔV (2024)</t>
  </si>
  <si>
    <t>ΔC (2024)</t>
  </si>
  <si>
    <t>ΔAM (2024)</t>
  </si>
  <si>
    <t>ΔBAII (2024)</t>
  </si>
  <si>
    <t>ΔV (2024) - ΔC (2024) - ΔAM (2024)</t>
  </si>
  <si>
    <t>ΔImp (2024)</t>
  </si>
  <si>
    <t>t x [ΔV (2024) - ΔC (2024) - ΔAM (2024)]</t>
  </si>
  <si>
    <t>ΔBAIdI (2024)</t>
  </si>
  <si>
    <t>[ΔV (2024) - ΔC (2024) - ΔAM (2024)] x (1-t)</t>
  </si>
  <si>
    <t>ΔGFO (2024)</t>
  </si>
  <si>
    <t>[ΔV (2024) - ΔC (2024) - ΔAM (2024)] x (1-t) + ΔAM (2024)</t>
  </si>
  <si>
    <t>ΔClientes (2024)</t>
  </si>
  <si>
    <t>ΔV (2024) / 360 x Plazo cobro clientes</t>
  </si>
  <si>
    <t>ΔProveedores (2024)</t>
  </si>
  <si>
    <t>ΔC (2024) / 360 x Plazo pago proveedores</t>
  </si>
  <si>
    <t>ΔFM (2024)</t>
  </si>
  <si>
    <t>[ΔV (2024) / 360 x Plazo cobro clientes] - [ΔC (2024) / 360 x Plazo pago proveedores]</t>
  </si>
  <si>
    <t>ΔΔFM (2024)</t>
  </si>
  <si>
    <t>[(420.000/360x90) - (300.000/360x60)] - [(420.000/360x90) - (300.000/360x60)]</t>
  </si>
  <si>
    <t>ΔFM (2024) - ΔFM (2023)</t>
  </si>
  <si>
    <t>ΔGFO - ΔΔFM (2024)</t>
  </si>
  <si>
    <t>{[420.000 - 300.000 - (1.000.000/10 - 100.000/2)] x (1-0,25) + 50.000} - {[(420.000/360x90) - (300.000/360x60)] - [(420.000/360x90) - (300.000/360x60)]}</t>
  </si>
  <si>
    <t>ΔV (2025)</t>
  </si>
  <si>
    <t>ΔC (2025)</t>
  </si>
  <si>
    <t>ΔAM (2025)</t>
  </si>
  <si>
    <t>1.000.000/10 - 0</t>
  </si>
  <si>
    <t>INV (2022) / Años amortización nueva0 (la vieja está amortizada)</t>
  </si>
  <si>
    <t>ΔBAII (2025)</t>
  </si>
  <si>
    <t>420.000 - 300.000 - (1.000.000/10 - 0)</t>
  </si>
  <si>
    <t>ΔV (2025) - ΔC (2025) - ΔAM (2025)</t>
  </si>
  <si>
    <t>ΔImp (2025)</t>
  </si>
  <si>
    <t>0,25 x [420.000 - 300.000 - (1.000.000/10 - 0)]</t>
  </si>
  <si>
    <t>t x [ΔV (2025) - ΔC (2025) - ΔAM (2025)]</t>
  </si>
  <si>
    <t>ΔBAIdI (2025)</t>
  </si>
  <si>
    <t>[420.000 - 300.000 - (1.000.000/10 - 0)] x (1-0,25)</t>
  </si>
  <si>
    <t>[ΔV (2025) - ΔC (2025) - ΔAM (2025)] x (1-t)</t>
  </si>
  <si>
    <t>ΔGFO (2025)</t>
  </si>
  <si>
    <t>[420.000 - 300.000 - (1.000.000/10 - 0)] x (1-0,25) + 100.000</t>
  </si>
  <si>
    <t>[ΔV (2025) - ΔC (2025) - ΔAM (2025)] x (1-t) + ΔAM (2025)</t>
  </si>
  <si>
    <t>ΔClientes (2025)</t>
  </si>
  <si>
    <t>ΔV (2025) / 360 x Plazo cobro clientes</t>
  </si>
  <si>
    <t>ΔProveedores (2025)</t>
  </si>
  <si>
    <t>ΔC (2025) / 360 x Plazo pago proveedores</t>
  </si>
  <si>
    <t>ΔFM (2025)</t>
  </si>
  <si>
    <t>[ΔV (2025) / 360 x Plazo cobro clientes] - [ΔC (2025) / 360 x Plazo pago proveedores]</t>
  </si>
  <si>
    <t>ΔΔFM (2025)</t>
  </si>
  <si>
    <t>ΔFM (2025) - ΔFM (2024)</t>
  </si>
  <si>
    <t>ΔGFO - ΔΔFM (2025)</t>
  </si>
  <si>
    <t>{[420.000 - 300.000 - (1.000.000/10 - 0)] x (1-0,25) + 100.000} - {[(420.000/360x90) - (300.000/360x60)] - [(420.000/360x90) - (300.000/360x60)]}</t>
  </si>
  <si>
    <t>ΔVR(AF) (2025)</t>
  </si>
  <si>
    <t>ΔVR(FM) (2025)</t>
  </si>
  <si>
    <t>ΔVR (2025)</t>
  </si>
  <si>
    <t>{[400.000 - 0,25 x (400.000 - 700.000)] - [100.000 - 0,25 x (100.000 - 0)]} + {(420.000/360x90) - (300.000/360x60)}</t>
  </si>
  <si>
    <t>{[VE (2025) nueva - t x (VE (2025) nueva - VL (2025) nueva)] - [VE (2025) vieja - t x (VE (2025) vieja - VL (2025) vieja)]} + {[ΔV (2025) / 360 x Plazo cobro clientes] - [ΔC (2025) / 360 x Plazo pago proveedores]}</t>
  </si>
  <si>
    <t>- {1.000.000 - [200.000 - 0,25 x (200.000 - 100.000)]}</t>
  </si>
  <si>
    <t>-DI (2022)</t>
  </si>
  <si>
    <t>{[420.000 - 300.000 - (1.000.000/10 - 0)] x (1-0,25) + 100.000} - {[(420.000/360x90) - (300.000/360x60)] - [(420.000/360x90) - (300.000/360x60)]} + {[400.000 - 0,25 x (400.000 - 700.000)] - [100.000 - 0,25 x (100.000 - 0)]} + {(420.000/360x90) - (300.000/360x60)}</t>
  </si>
  <si>
    <t>ΔGFO - ΔΔFM (2025) + ΔVR (2025)</t>
  </si>
  <si>
    <t>-825.000 + 47.500/1,06 + 102.500/(1,06^2) + 570.000/(1,06^3)</t>
  </si>
  <si>
    <t>[-825.000 + 47.500/1,06 + 102.500/(1,06^2) + 570.000/(1,06^3)] / 825.000</t>
  </si>
  <si>
    <t>= [TINV|2022|+TINV|2023|/(1+k0) + TINV|2024|/(1+k0)^2 + TINV|2025|/(1+k0)^3] / TINV|2022|</t>
  </si>
  <si>
    <t>TINV|2022| + TINV|2023| + TINV|2024| + TINV|2025|&lt;0</t>
  </si>
  <si>
    <t>Deshaga operación (Ctrl-Z)</t>
  </si>
  <si>
    <t>2023 alternativo</t>
  </si>
  <si>
    <t>2024 alternativo</t>
  </si>
  <si>
    <t>2025 alternativo</t>
  </si>
  <si>
    <t>2026 alternativo</t>
  </si>
  <si>
    <t>2027 alternativo</t>
  </si>
  <si>
    <t>2022 alternativo</t>
  </si>
  <si>
    <t>CORRECTO</t>
  </si>
  <si>
    <t xml:space="preserve">175.000 = </t>
  </si>
  <si>
    <t>VE (2022) - t x [VE (2022) - VL (2022)] = 200.000 - 0,25 x (200.000 - 100.000)</t>
  </si>
  <si>
    <t>Intereses x (1 - t) / FALP (mercado) = 350.000 x (1 - 0,25) / 7.000.000</t>
  </si>
  <si>
    <t>Dividendo / FP (mercado) + g = 420.000 / 7.000.000 + 0,0225</t>
  </si>
  <si>
    <t>ki x {FALP (mercado) / [FALP (mercado) + FP (mercado)]} + ke x {FP (mercado) / [FALP (mercado) + FP (mercado)]} = 0,0375 x 7.000.000 / 14.000.000 + 0,0825 x 7.000.000 / 14.000.000</t>
  </si>
  <si>
    <t>[Inc V (2023) - Inc C (2023)] / (1+k0)^1 + [Inc V (2024) - Inc C (2024)] / (1+k0)^2 + [Inc V (2025) - Inc C (2025)] / (1+k0)^3 = 120.000 / 1,0600^1 + 120.000 / 1,0600^2 + 120.000 / 1,0600^3</t>
  </si>
  <si>
    <t>t x [Inc V (2023) - Inc C (2023)] / (1+k0)^1 + t x [Inc V (2024) - Inc C (2024)] / (1+k0)^2 + t x [Inc V (2025) - Inc C (2025)] / (1+k0)^3 = 0,25 x 120.000 / 1,0600^1 + 0,25 x 120.000 / 1,0600^2 + 0,25 x 120.000 / 1,0600^3</t>
  </si>
  <si>
    <t>t x [AM nueva (2023) - AM vieja (2023)] / (1+k0)^1 + t x [AM nueva (2024) - AM vieja (2024)] / (1+k0)^2 + t x [AM nueva (2025) - AM vieja (2025)] / (1+k0)^3 = 0,25 x 50.000 / 1,0600^1 + 0,25 x 50.000 / 1,0600^2 + 0,25 x 100.000 / 1,0600^3</t>
  </si>
  <si>
    <t>[Inc V (2023) / 360 x Plazo cobro V - Inc C (2023) / 360 x Plazo pago C] / (1+k0)^1 = [420.000 / 360 x 90 - 300.000 / 360 x 60] / (1,0600)^1</t>
  </si>
  <si>
    <t>t x VE (2025) = 0,25 x 400.000</t>
  </si>
  <si>
    <t>t x VL (2025) = 0,25 x 700.000</t>
  </si>
  <si>
    <t>VE (2025) - t x [VE (2025) - VL (2025)] = 400.000 - 0,25 x (400.000 - 700.000)</t>
  </si>
  <si>
    <t>t x VE (2025) = 0,25 x 100.000</t>
  </si>
  <si>
    <t>t x VL (2025) = 0,25 x 0</t>
  </si>
  <si>
    <t>VE (2025) - t x [VE (2025) - VL (2025)] = 100.000 - 0,25 x (100.000 - 0)</t>
  </si>
  <si>
    <t>[VR máquina nueva (2025) - VR máquina vieja (2025)] / (1+k0)^3 = [475.000 - 75.000] / (1,0600)^3</t>
  </si>
  <si>
    <t>[Inc V (2025) / 360 x Plazo cobro V - Inc C (2025) / 360 x Plazo pago C] = 420.000 / 360 x 90 - 300.000 / 360 x 60</t>
  </si>
  <si>
    <t>[Inc V (2025) / 360 x Plazo cobro V - Inc C (2025) / 360 x Plazo pago C] / (1+k0)^3 = [420.000 / 360 x 90 - 300.000 / 360 x 60] / (1,0600)^3</t>
  </si>
  <si>
    <t>-[INV (2022) - Valor neto vieja máquina] + VA de (V-C) - VA de Imptos. (V-C) + VA escudos Inc AM - VA Inversión en FM + VA Inc VR por AF + VA rec. FM = - (1.000.000 - 175.000) + 320.761 - 80.190 + 43.908 - 51.887 + 335.848 + 46.179</t>
  </si>
  <si>
    <t>-[INV (2022) - VE (2022) vieja] + VA [Inc (V-C)] - VA [Inv en FM] + VA [VE (2025) nueva - VE (2025) vieja ] + VA [Rec FM] = -[1.000.000 - 200.000] + [(420.000 - 300.000) / (1,0663)^1 + (420.000 - 300.000) / (1,0663)^2 + (420.000 - 300.000) / (1,0663)^3] - [(105.000 - 50.000) / (1,0663)^1] + [(400.000 - 100.000) / (1,0663)^3] + [(105.000 - 50.000) / (1,0663)^3]</t>
  </si>
  <si>
    <t>Inversión en Clientes (2023) / (1+k0)^1 - Desinversión en Clientes (2025) / (1+k0)^3 = 420.000 / 360 x 90 / (1,0600)^1 - 420.000 / 360 x 90 / (1,0600)^3</t>
  </si>
  <si>
    <t>-Saldo Proveedores (2023) / (1+k0)^1 + Saldo Proveedores (2025) / (1+k0)^3 = -300.000 / 360 x 60 / (1,0600)^1 + 300.000 / 360 x 60 / (1,0600)^3</t>
  </si>
  <si>
    <t>-Existencias (2022) + Existencias (2025) / (1+k0)^3 = -100.000 + 100.000 / (1,0600)^3</t>
  </si>
  <si>
    <t>Proyecto de sustitución:  DI = 1.000.000 - [200.000 - 0,25 x (200.000 - 100.000)]</t>
  </si>
  <si>
    <t>DI = TINV|2022| = 825.000 euros</t>
  </si>
  <si>
    <t>DI = TINV|2022| = 1.175.000 euros</t>
  </si>
  <si>
    <t>DI = TINV|2022| = 800.000 euros</t>
  </si>
  <si>
    <t>DI = TINV|2022| = 1.200.000 euros</t>
  </si>
  <si>
    <t>El dinero que puede obtenerse por la liquidación de la vieja máquina en el año 2022 es:</t>
  </si>
  <si>
    <t>Precio de liquidación antigua instalación = [200.000 - 0,25 x (200.000 - 100.000)]</t>
  </si>
  <si>
    <t>Valor de liquidación vieja máquina |2022| = 100.000 euros</t>
  </si>
  <si>
    <t>Valor de liquidación vieja máquina |2022| = 200.000 euros</t>
  </si>
  <si>
    <t>Valor de liquidación vieja máquina |2022| = 175.000 euros</t>
  </si>
  <si>
    <t>Ninguna de las repuestas anteriores es correcta</t>
  </si>
  <si>
    <t>Las ventas que el proyecto aporta el año 2024 son:</t>
  </si>
  <si>
    <t>ΔV|2024| = 1.260.000 euros</t>
  </si>
  <si>
    <t>ΔV|2024| = 840.000 euros</t>
  </si>
  <si>
    <t>ΔV|2024| = 420.000 euros</t>
  </si>
  <si>
    <t>La amortización incremental asociada al proyecto en el año 2023 es:</t>
  </si>
  <si>
    <t>Amortización incremental = 1.000.000/10 - 100.000/2</t>
  </si>
  <si>
    <t>Incremento AM|2023| = 150.000 euros</t>
  </si>
  <si>
    <t>Incremento AM|2023| = 50.000 euros</t>
  </si>
  <si>
    <t>Incremento AM|2023| = 100.000 euros</t>
  </si>
  <si>
    <t>La amortización incremental asociada al proyecto en el año 2025 es:</t>
  </si>
  <si>
    <t>Amortización incremental = 1.000.000/10 - 0 (la vieja instalación está totalmente amortizada a estas alturas de la vida del proyecto)</t>
  </si>
  <si>
    <t>ΔAM|2025| = 50.000 euros</t>
  </si>
  <si>
    <t>La máquina vieja está totalmente amortizada en este ejercicio, por lo que la amortización incremental coincide con la de la nueva</t>
  </si>
  <si>
    <t>ΔAM|2025| = 100.000 euros</t>
  </si>
  <si>
    <t>ΔAM|2025| = 150.000 euros</t>
  </si>
  <si>
    <t>En un proyecto de sustitución las amortizaciones de la nueva y la antigua se restan; además, la antigua está totalmente amortizada</t>
  </si>
  <si>
    <t>El impuesto incremental que el proyecto aporta a la empresa en el año 2023 es:</t>
  </si>
  <si>
    <t>Incremento de Impuestos |2023| = tipo impositivo x ΔBAII = 0,25 x [420.000 - 300.000 - (1.000.000/10 - 100.000/2)]</t>
  </si>
  <si>
    <t>ΔImpuestos |2023| = 5.000 euros</t>
  </si>
  <si>
    <t>ΔImpuestos |2023| = 167.500 euros</t>
  </si>
  <si>
    <t>ΔImpuestos |2023| = 30.000 euros</t>
  </si>
  <si>
    <t>ΔImpuestos |2023| = 17.500 euros</t>
  </si>
  <si>
    <t>El incremento de caja que el proyecto aportaría en el año 2024 si no fueran necesarias inversiones en fondo de maniobra sería:</t>
  </si>
  <si>
    <t>Incremento de caja |2024| = ΔBAIdI + ΔAM = 52.500 + 50.000</t>
  </si>
  <si>
    <t>ΔGF'|2024| = 52.500 euros</t>
  </si>
  <si>
    <t>ΔGF'|2024| = 2.500 euros</t>
  </si>
  <si>
    <t>ΔGF'|2024| = 15.000 euros</t>
  </si>
  <si>
    <t>Hay que sumar al ∆BAIdI la amortización incremental; y el dato no corresponde al año 2024</t>
  </si>
  <si>
    <t>ΔGF'|2024| = 102.500 euros</t>
  </si>
  <si>
    <t>El impacto que el proyecto tendrá en el saldo de clientes en el año 2024 es:</t>
  </si>
  <si>
    <t>Saldo de clientes aportado por el proyecto en el año 2024 = (420.000/360) x 90</t>
  </si>
  <si>
    <t>ΔClientes |2024| = 210.000 euros</t>
  </si>
  <si>
    <t>ΔClientes |2024| = 315.000 euros</t>
  </si>
  <si>
    <t>ΔClientes |2024| = 420.000 euros</t>
  </si>
  <si>
    <t>ΔClientes |2024| = 105.000 euros</t>
  </si>
  <si>
    <t>Como consecuencia del proyecto el saldo de proveedores de la empresa en el año 2025 experimentará una variación de:</t>
  </si>
  <si>
    <t>Saldo de proveedores aportado por el proyecto en el año 2025 = (300.000/360) x 60</t>
  </si>
  <si>
    <t>ΔProveedores |2025| = 75.000 euros</t>
  </si>
  <si>
    <t>ΔProveedores |2025| = 250.000 euros</t>
  </si>
  <si>
    <t>ΔProveedores |2025| = 150.000 euros</t>
  </si>
  <si>
    <t>No tiene sentido acumular los saldos de proveedores de los tres ejercicios. Saldo de proveedores |2025| = (300.000/360) x 60</t>
  </si>
  <si>
    <t>ΔProveedores |2025| = 50.000 euros</t>
  </si>
  <si>
    <t>El saldo de fondo de maniobra que el proyecto aporta a la empresa en el año 2023 es:</t>
  </si>
  <si>
    <t>Saldo de FM aportado por el proyecto en el año 2023 = (420.000/360) x 90 - (300.000/360) x 60</t>
  </si>
  <si>
    <t>ΔFM |2023| = 120.000 euros</t>
  </si>
  <si>
    <t>ΔFM |2023| = 55.000 euros</t>
  </si>
  <si>
    <t>ΔFM |2023| = 155.000 euros</t>
  </si>
  <si>
    <t>ΔFM |2023| = 0 euros</t>
  </si>
  <si>
    <t>La detracción de fondos que el proyecto obliga a realizar por fondo de maniobra en el año 2024 es:</t>
  </si>
  <si>
    <t>ΔΔFM |2024| = 55.000 euros</t>
  </si>
  <si>
    <t>ΔΔFM |2024| = 155.000 euros</t>
  </si>
  <si>
    <t>ΔΔFM |2024| = 105.000 euros</t>
  </si>
  <si>
    <t>ΔΔFM |2024| = 0 euros</t>
  </si>
  <si>
    <t>El flujo de caja incremental asociado al proyecto en el año 2023 es:</t>
  </si>
  <si>
    <t>Tesorería generada en el ejercicio 2023 = ΔBAIdI + ΔAM - ΔΔFM = 52.500 + 50.000 - 55.000</t>
  </si>
  <si>
    <t>ΔGF |2023| = TINV |2023| = 102.500 euros</t>
  </si>
  <si>
    <t>ΔGF |2023| = TINV |2023| = 52.500 euros</t>
  </si>
  <si>
    <t>ΔGF |2023| = TINV |2023| = -52.500 euros</t>
  </si>
  <si>
    <t>ΔGF |2023| = TINV |2023| = 47.500 euros</t>
  </si>
  <si>
    <t>El valor residual que el proyecto aporta a la empresa en el año 2025 en concepto de liquidación de activo fijo es:</t>
  </si>
  <si>
    <t>Valor residual incremental AF en el año 2025 = [400.000 - 0,25 x (400.000 - (1.000.000 - 3 x 1.000.000/10))] - [100.000 - 0,25 x (100.000 - 0)]</t>
  </si>
  <si>
    <t>ΔVR por liquidación de AF |2025| = 400.000 euros</t>
  </si>
  <si>
    <t>ΔVR por liquidación de AF |2025| = 200.000 euros</t>
  </si>
  <si>
    <t>ΔVR por liquidación de AF |2025| = 75.000 euros</t>
  </si>
  <si>
    <t>ΔVR por liquidación de AF |2025| = 475.000 euros</t>
  </si>
  <si>
    <t>El valor residual que el proyecto aporta a la empresa en el año 2025 en concepto de liquidación de fondo de maniobra es:</t>
  </si>
  <si>
    <t>Saldo de fondo de maniobra en el ejercicio 2025 = Clientes - Proveedores = (420.000/360) x 90 - (300.000/360) x 60</t>
  </si>
  <si>
    <t>ΔVR por liquidación de FM |2025| = 155.000 euros</t>
  </si>
  <si>
    <t>ΔVR por liquidación de FM |2025| = 55.000 euros</t>
  </si>
  <si>
    <t>ΔVR por liquidación de FM |2025| = 65.000 euros</t>
  </si>
  <si>
    <t>ΔVR por liquidación de FM |2025| = 0 euros</t>
  </si>
  <si>
    <t>ki = Intereses x (1-t) / Deuda a largo plazo = 350.000 x (1 - 0,25) / 7.000.000</t>
  </si>
  <si>
    <t>ki = 3,75%</t>
  </si>
  <si>
    <t>ki = 5%</t>
  </si>
  <si>
    <t>ki = 6,25%</t>
  </si>
  <si>
    <t>ki = 0,0375%</t>
  </si>
  <si>
    <t>ke = Dividendo esperado / Cotización + Crecimiento = 420.000 / 7.000.000 + 0,0225</t>
  </si>
  <si>
    <t>ke = 0,0825%</t>
  </si>
  <si>
    <t>ke = 3,75%</t>
  </si>
  <si>
    <t>El crecimiento no se resta, se suma:  ke = Dividendo esperado / Cotización + Crecimiento = 420.000 / 7.000.000 + 0,0225</t>
  </si>
  <si>
    <t>ke = 8,25%</t>
  </si>
  <si>
    <t>k0 = (ki x FALP + ke x FP) / (FALP + FP) = (0,0375 x 7.000.000 + 0,0825 x 7.000.000) / (7.000.000 + 7.000.000)</t>
  </si>
  <si>
    <t>k0 = WACC = 6%</t>
  </si>
  <si>
    <t>k0 = WACC = 0,055%</t>
  </si>
  <si>
    <t>k0 = WACC = 5,5%</t>
  </si>
  <si>
    <t>k0 = WACC = 4,875%</t>
  </si>
  <si>
    <t>Supuesto que el perfil de fondos del proyecto fuera: TINV|2022|=-825.000; TINV|2023|=47.500; TINV|2024|=102.500; TINV|2025|=570.000:</t>
  </si>
  <si>
    <t>Proyecto no interesante: VAN (k0=6%) = -825.000 + 47.500/1,06 + 102.500/1,06^2 + 570.000/1,06^3 = -210.381 euros</t>
  </si>
  <si>
    <t>Proyecto no interesante: VAN (k0=8,25%)= -244.292 euros</t>
  </si>
  <si>
    <t>Proyecto no interesante: VAN (k0=3,75%)= -173.593 euros</t>
  </si>
  <si>
    <t>Proyecto no interesante: VAN (k0=6%)= -210.381 euros</t>
  </si>
  <si>
    <t>El proyecto rinde menos que el coste medio ponderado del capital</t>
  </si>
  <si>
    <t>Proyecto no interesante: TRI = -4,86% &lt; k0 = 3,75%</t>
  </si>
  <si>
    <t>Proyecto no interesante: TRI = -4,86% &lt; k0 = 6,625%</t>
  </si>
  <si>
    <t>Proyecto no interesante: TRI = -4,86% &lt; k0 = 6%</t>
  </si>
  <si>
    <t>El proyecto rinde menos (TRI = -4,86%) que el coste medio ponderado del capital (k0 = 6,%)</t>
  </si>
  <si>
    <t>Supuesto k0=6,% y que el perfil de fondos del proyecto fuera: TINV|2022|=-825.000; TINV|2023|=47.500; TINV|2024|=102.500; TINV|2025|=570.000:</t>
  </si>
  <si>
    <t>Saldo acumulado de fondos = -825.000 + 47.500 + 102.500 + 570.000 = -105.000</t>
  </si>
  <si>
    <t>El pay-back del proyecto es de 2 años</t>
  </si>
  <si>
    <t>Saldo acumulado |2022| = -825.000;  Saldo acumulado |2023| = -777.500;  Saldo acumulado |2024| = -675.000;  Saldo acumulado |2025| = -105.000</t>
  </si>
  <si>
    <t>El pay-back es superior a la vida útil del proyecto</t>
  </si>
  <si>
    <t>El pay-back del proyecto es de 1 año</t>
  </si>
  <si>
    <t>BIEN</t>
  </si>
  <si>
    <t>¡Enhorabuena, tienes un sobresaliente! Buen trabajo</t>
  </si>
  <si>
    <t xml:space="preserve">VAN (K=6,00%) = </t>
  </si>
  <si>
    <t>=-825.000+47.500/1,06+102.500/1,06^2+570.000/1,06^3</t>
  </si>
  <si>
    <t xml:space="preserve">IR (K=6,00%) = </t>
  </si>
  <si>
    <t>=[-825.000+47.500/1,06+102.500/1,06^2+570.000/1,06^3] / 825.000</t>
  </si>
  <si>
    <t>0 = -825.000+47.500/(1+TRI)+102.500/(1+TRI)^2+570.000/(1+TRI)^3</t>
  </si>
  <si>
    <t>DESPLÁCESE HACIA ABAJO PARA CONTINUAR</t>
  </si>
  <si>
    <t>=47.500x1,060^2+102.500x1,060+570.000</t>
  </si>
  <si>
    <t>=47.500x0,951^2+102.500x0,951+570.000</t>
  </si>
  <si>
    <t>=-825.000+732.021/1,06^3</t>
  </si>
  <si>
    <t>=-825.000+710.518/1,06^3</t>
  </si>
  <si>
    <t>=[-825.000+732.021/1,06^3] / 825.000</t>
  </si>
  <si>
    <t>=[-825.000+710.518/1,06^3] / 825.000</t>
  </si>
  <si>
    <t xml:space="preserve">VAN (K=-4,86%) = </t>
  </si>
  <si>
    <t>=-825.000+732.021/0,95^3</t>
  </si>
  <si>
    <t>=-825.000+710.518/0,95^3</t>
  </si>
  <si>
    <t xml:space="preserve">IR (K=-4,86%) = </t>
  </si>
  <si>
    <t>=[-825.000+732.021/0,95^3] / 825.000</t>
  </si>
  <si>
    <t>=[-825.000+710.518/0,95^3] / 825.000</t>
  </si>
  <si>
    <t>0 = -825.000+732.021/(1+TRI)^3</t>
  </si>
  <si>
    <t>0 = -825.000+710.518/(1+TRI)^3</t>
  </si>
  <si>
    <t>Y que ambos proyectos tienen idéntico riesgo (por lo que el tipo de descuento aplicable es el mismo; en este caso, suponga un K=12,0%).</t>
  </si>
  <si>
    <t xml:space="preserve">VAN (K=5%) = </t>
  </si>
  <si>
    <t xml:space="preserve">VAN (K=12%) = </t>
  </si>
  <si>
    <t xml:space="preserve">A la vista de los resultados obtenidos, ¿puede afirmarse que hay discrepancia VAN-TRI? Independientemente de que cada uno de los dos proyectos fuera interesante o no por separado, si fuera necesario elegir entre ambos, ¿cuál sería la decisión si el tipo de descuento fuera igual a 12%? ¿y qué ocurriría si decidiéramos con la TRI? </t>
  </si>
  <si>
    <t>Álvaro Pérez, director financiero de la compañía ALPE,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</si>
  <si>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600.000 euros, podría amortizarse linealmente en 10 años, y se liquidaría al final del proyecto (tres años) por 400.000 euros.</t>
  </si>
  <si>
    <t>Los datos relativos a la instalación a sustituir son los siguientes: su valor contable a día de hoy es de 90.000 euros, que se amortizarían a partes iguales en los próximos 3 años; podrían liquidarse hoy por 45.000 euros, o por 22.500 al final del tercer año.</t>
  </si>
  <si>
    <t>La nueva máquina presenta como ventaja la posibilidad de incrementar las ventas anuales (que se cobran a 30 días) en 360.000 euros, lo que exigiría incurrir en un aumento de costes operativos con desembolso (que tienen un plazo de pago de 60 días) de 240.000.</t>
  </si>
  <si>
    <t>En lo que se refiere al pasivo a largo plazo de la empresa, los valores de mercado de Fondos ajenos a largo plazo y Fondos propios son de 12.000.000 y 4.000.000 euros, respectivamente. Los intereses anuales a pagar por el disfrute de la deuda son de 720.000 euros. En cuanto a los fondos propios, los accionistas esperan recibir un dividendo de 240.000 euros, con un crecimiento anual del 2% para los próximos años.</t>
  </si>
  <si>
    <t>= -10.000 - (-10.000)</t>
  </si>
  <si>
    <t>-1.886,88  =  240.000/360x(30-60)/1,0538^1 - 240.000/360x(30-60)/1,0538^3</t>
  </si>
  <si>
    <t>= 600.000 - [45.000 - 0,25 x (45.000 - 90.000)]</t>
  </si>
  <si>
    <t>= 360.000</t>
  </si>
  <si>
    <t>= 240.000</t>
  </si>
  <si>
    <t>= 600.000/10 - 90.000/3</t>
  </si>
  <si>
    <t>= 360.000 - 240.000 - 30.000</t>
  </si>
  <si>
    <t>= 0,25 x 90.000</t>
  </si>
  <si>
    <t>= 90.000 - 22.500</t>
  </si>
  <si>
    <t>= 67.500 + 30.000</t>
  </si>
  <si>
    <t>= 360.000 / 360 x 30</t>
  </si>
  <si>
    <t>= 240.000 / 360 x 60</t>
  </si>
  <si>
    <t>= 30.000 - 40.000</t>
  </si>
  <si>
    <t>= -10.000 - 0</t>
  </si>
  <si>
    <t>= 97.500 - (-10.000)</t>
  </si>
  <si>
    <t>= 97.500 - 0</t>
  </si>
  <si>
    <t>= [400.000 - 0,25 x (400.000 - 420.000)] - [22.500 - 0,25 x (22.500 - 0)]</t>
  </si>
  <si>
    <t>= -10.000</t>
  </si>
  <si>
    <t>= 388.125 + (-10.000)</t>
  </si>
  <si>
    <t>= - {600.000 - [45.000 - 0,25 x (45.000 - 90.000)]}</t>
  </si>
  <si>
    <t>= 97.500 - 0 + 378.125</t>
  </si>
  <si>
    <t>= 720.000 x (1 - 0,25) / 12.000.000</t>
  </si>
  <si>
    <t>= 240.000 / 4.000.000 + 0,02</t>
  </si>
  <si>
    <t>= 0,045 x 12.000.000 / (12.000.000 + 4.000.000) + 0,08 x 4.000.000 / (12.000.000 + 4.000.000)</t>
  </si>
  <si>
    <t>= -543.750 + 107.500/1,0538 + 97.500/(1,0538^2) + 475.625/(1,0538^3)</t>
  </si>
  <si>
    <t xml:space="preserve">  0 = -543.750 + 107.500/(1+TRI) + 97.500/(1+TRI)^2 + 475.625/(1+TRI)^3</t>
  </si>
  <si>
    <t>Problema predefinido nº 2</t>
  </si>
  <si>
    <t>-701,41  =  (-5.000)/1,0538^1 + (-5.000)/1,0538^2 + (-5.000)/1,0538^3 + 0,25x(480.000-420.000)/1,0538^3</t>
  </si>
  <si>
    <t>-46.969,86  =  -(660.000-600.000) + 1.500/1,0538^1 + 1.500/1,0538^2 + 1.500/1,0538^3 + 0,25x[(660.000-600.000)x(1-3/10)]/1,0538^3</t>
  </si>
  <si>
    <t>-25.639,44  =  (360.000-400.000)x(1-0,25)/1,0538^3</t>
  </si>
  <si>
    <t>3.375,00  =  (49.500-45.000)x(1-0,25)</t>
  </si>
  <si>
    <t>-526,05  =  0,25x[(30.000/1,0538^1 + 30.000/1,0538^2 + 30.000/1,0538^3) - (45.000/1,0538^1 + 45.000/1,0538^2 + 0/1,0538^3)] + 0,25x(0-0)/1,0538^3</t>
  </si>
  <si>
    <t>221,83  =  0,25x(99.000-90.000) - 0,25x(3.000/1,0538^1 + 3.000/1,0538^2 + 3.000/1,0538^3) - 0,25x(0-0)/1,0538^3</t>
  </si>
  <si>
    <t>-3.375,00  =  (40.500-45.000)x(1-0,25)</t>
  </si>
  <si>
    <t>-1.442,22  =  -(24.750-22.500)x(1-0,25)/1,0538^3</t>
  </si>
  <si>
    <t>72.731,04  =  (396.000-360.000)x(1-0,25)/1,0538^1 + (396.000-360.000)x(1-0,25)/1,0538^2 + (396.000-360.000)x(1-0,25)/1,0538^3 - [(396.000-360.000)/360x30]/1,0538^1 + [(396.000-360.000)/360x30]/1,0538^3</t>
  </si>
  <si>
    <t>-2.830,31  =  -360.000/360x(60-30)/1,0538^1 + 360.000/360x(60-30)/1,0538^3</t>
  </si>
  <si>
    <t>48.298,67  =  (240.000-216.000)x(1-0,25)/1,0538^1 + (240.000-216.000)x(1-0,25)/1,0538^2 + (240.000-216.000)x(1-0,25)/1,0538^3 - [(240.000-216.000)/360x60]/1,0538^1 + [(240.000-216.000)/360x60]/1,0538^3</t>
  </si>
  <si>
    <t>-4.766,38  =  107.500x[1/1,0571^1 -1/1,0538^1] + 97.500x[1/1,0571^2 -1/1,0538^2] + 475.625x[1/1,0571^3 -1/1,0538^3]</t>
  </si>
  <si>
    <t>3.567,70  =  107.500x[1/1,0513^1 - 1/1,0538^1] + 97.500x[1/1,0513^2 - 1/1,0538^2] + 475.625x[1/1,0513^3 - 1/1,0538^3]</t>
  </si>
  <si>
    <t>-2.125,44  =  107.500x[1/1,0553^1 - 1/1,0538^1] + 97.500x[1/1,0553^2 - 1/1,0538^2] + 475.625x[1/1,0553^3 - 1/1,0538^3]</t>
  </si>
  <si>
    <t>1.171,23  =  107.500x[1/1,0529^1 - 1/1,0538^1] + 97.500x[1/1,0529^2 - 1/1,0538^2] + 475.625x[1/1,0529^3 - 1/1,0538^3]</t>
  </si>
  <si>
    <t>-18.220,73  =  107.500x[1/1,0669^1 - 1/1,0538^1] + 97.500x[1/1,0669^2 - 1/1,0538^2] + 475.625x[1/1,0669^3 - 1/1,0538^3]</t>
  </si>
  <si>
    <t>-4.932,94  =  107.500x[1/1,0515^1 - 1/1,0538^1] + 97.500x[1/1,0515^2 - 1/1,0538^2] + 475.625x[1/1,0515^3 - 1/1,0538^3] + (0,30 - 0,25) x [-(45.000-90.000) - (90.000/1,0515^1 + 90.000/1,0515^2 + 90.000/1,0515^3) - (400.000 - 420.000)/1,0515^3 + (22.500 - 0)/1,0515^3]</t>
  </si>
  <si>
    <t>56.510,81  =  [(360.000-240.000) x (1-0,25) + (60.000-0) x 0,25] /1,0538^4 + {[400.000-0,25x(400.000-360.000)] - [22.500-0,25x(22.500-0)] + 360.000/360x30 - 240.000/360x60} /1,0538^4 - 378.125/1,0538^3</t>
  </si>
  <si>
    <t>30.000</t>
  </si>
  <si>
    <t>= 600.000/10-90.000/3</t>
  </si>
  <si>
    <t>40.000</t>
  </si>
  <si>
    <t>= 240.000/360x60</t>
  </si>
  <si>
    <t>= 720.000 x (1-0,25) / 12.000.000</t>
  </si>
  <si>
    <t>0,10</t>
  </si>
  <si>
    <t>= [-543.750 + 107.500/1,0538 + 97.500/(1,0538^2) + 475.625/(1,0538^3)] / 543.750</t>
  </si>
  <si>
    <t>El proyecto es interesante, al tener un VAN positivo crea valor para la empresa</t>
  </si>
  <si>
    <t>El proyecto es interesante según la TRI, ya que rinde más que el coste de los fondos</t>
  </si>
  <si>
    <t>El proyecto es interesante, cada euro invertido en él crea valor para la empresa</t>
  </si>
  <si>
    <t>El proyecto recupera la inversión realizada en 3 años</t>
  </si>
  <si>
    <t>= 360.000-240.000-30.000</t>
  </si>
  <si>
    <t>= 0,25x90.000</t>
  </si>
  <si>
    <t>= 90.000-22.500</t>
  </si>
  <si>
    <t>= 67.500+30.000</t>
  </si>
  <si>
    <t>= 360.000/360x30</t>
  </si>
  <si>
    <t>= 30.000-40.000</t>
  </si>
  <si>
    <t>= -10.000-0</t>
  </si>
  <si>
    <t>= -10.000-(-10.000)</t>
  </si>
  <si>
    <t xml:space="preserve">-543.750 + 107.500 + 97.500 + 475.625 &gt; 0 </t>
  </si>
  <si>
    <t>TINV|2022|+TINV|2023|+TINV|2024|+TINV|2025|&gt;0</t>
  </si>
  <si>
    <t>600.000 - [45.000 - 0,25 x (45.000 - 90.000)]</t>
  </si>
  <si>
    <t>[400.000 - 0,25 x (400.000 - 420.000)] - [22.500 - 0,25 x (22.500 - 0)]</t>
  </si>
  <si>
    <t>-10.000</t>
  </si>
  <si>
    <t>388.125 + (-10.000)</t>
  </si>
  <si>
    <t>720.000 x (1-0,25) / 12.000.000</t>
  </si>
  <si>
    <t>240.000 / 4.000.000 + 0,02</t>
  </si>
  <si>
    <t>0,045 x 12.000.000 / (12.000.000 + 4.000.000) + 0,08 x 4.000.000 / (12.000.000 + 4.000.000)</t>
  </si>
  <si>
    <t>360.000</t>
  </si>
  <si>
    <t>240.000</t>
  </si>
  <si>
    <t>600.000/10 - 90.000/3</t>
  </si>
  <si>
    <t>360.000 - 240.000 - (600.000/10 - 90.000/3)</t>
  </si>
  <si>
    <t>0,25 x [360.000 - 240.000 - (600.000/10 - 90.000/3)]</t>
  </si>
  <si>
    <t>[360.000 - 240.000 - (600.000/10 - 90.000/3)] x (1-0,25)</t>
  </si>
  <si>
    <t>[360.000 - 240.000 - (600.000/10 - 90.000/3)] x (1-0,25) + 30.000</t>
  </si>
  <si>
    <t>360.000/360x30</t>
  </si>
  <si>
    <t>240.000/360x60</t>
  </si>
  <si>
    <t>(360.000/360x30) - (240.000/360x60)</t>
  </si>
  <si>
    <t>[(360.000/360x30) - (240.000/360x60)] - [0]</t>
  </si>
  <si>
    <t>{[360.000 - 240.000 - (600.000/10 - 90.000/3)] x (1-0,25) + 30.000} - {[(360.000/360x30) - (240.000/360x60)] - [0]}</t>
  </si>
  <si>
    <t>[(360.000/360x30) - (240.000/360x60)] - [(360.000/360x30) - (240.000/360x60)]</t>
  </si>
  <si>
    <t>{[360.000 - 240.000 - (600.000/10 - 90.000/3)] x (1-0,25) + 30.000} - {[(360.000/360x30) - (240.000/360x60)] - [(360.000/360x30) - (240.000/360x60)]}</t>
  </si>
  <si>
    <t>{[400.000 - 0,25 x (400.000 - 420.000)] - [22.500 - 0,25 x (22.500 - 0)]} + {(360.000/360x30) - (240.000/360x60)}</t>
  </si>
  <si>
    <t>- {600.000 - [45.000 - 0,25 x (45.000 - 90.000)]}</t>
  </si>
  <si>
    <t>{[360.000 - 240.000 - (600.000/10 - 90.000/3)] x (1-0,25) + 30.000} - {[(360.000/360x30) - (240.000/360x60)] - [(360.000/360x30) - (240.000/360x60)]} + {[400.000 - 0,25 x (400.000 - 420.000)] - [22.500 - 0,25 x (22.500 - 0)]} + {(360.000/360x30) - (240.000/360x60)}</t>
  </si>
  <si>
    <t>-543.750 + 107.500/1,0538 + 97.500/(1,0538^2) + 475.625/(1,0538^3)</t>
  </si>
  <si>
    <t>[-543.750 + 107.500/1,0538 + 97.500/(1,0538^2) + 475.625/(1,0538^3)] / 543.750</t>
  </si>
  <si>
    <t>TINV|2022| + TINV|2023| + TINV|2024| + TINV|2025|&gt;0</t>
  </si>
  <si>
    <t xml:space="preserve">56.250 = </t>
  </si>
  <si>
    <t>VE (2022) - t x [VE (2022) - VL (2022)] = 45.000 - 0,25 x (45.000 - 90.000)</t>
  </si>
  <si>
    <t>Intereses x (1 - t) / FALP (mercado) = 720.000 x (1 - 0,25) / 12.000.000</t>
  </si>
  <si>
    <t>Dividendo / FP (mercado) + g = 240.000 / 4.000.000 + 0,0200</t>
  </si>
  <si>
    <t>ki x {FALP (mercado) / [FALP (mercado) + FP (mercado)]} + ke x {FP (mercado) / [FALP (mercado) + FP (mercado)]} = 0,0450 x 12.000.000 / 16.000.000 + 0,0800 x 4.000.000 / 16.000.000</t>
  </si>
  <si>
    <t>[Inc V (2023) - Inc C (2023)] / (1+k0)^1 + [Inc V (2024) - Inc C (2024)] / (1+k0)^2 + [Inc V (2025) - Inc C (2025)] / (1+k0)^3 = 120.000 / 1,0538^1 + 120.000 / 1,0538^2 + 120.000 / 1,0538^3</t>
  </si>
  <si>
    <t>t x [Inc V (2023) - Inc C (2023)] / (1+k0)^1 + t x [Inc V (2024) - Inc C (2024)] / (1+k0)^2 + t x [Inc V (2025) - Inc C (2025)] / (1+k0)^3 = 0,25 x 120.000 / 1,0538^1 + 0,25 x 120.000 / 1,0538^2 + 0,25 x 120.000 / 1,0538^3</t>
  </si>
  <si>
    <t>t x [AM nueva (2023) - AM vieja (2023)] / (1+k0)^1 + t x [AM nueva (2024) - AM vieja (2024)] / (1+k0)^2 + t x [AM nueva (2025) - AM vieja (2025)] / (1+k0)^3 = 0,25 x 30.000 / 1,0538^1 + 0,25 x 30.000 / 1,0538^2 + 0,25 x 30.000 / 1,0538^3</t>
  </si>
  <si>
    <t>[Inc V (2023) / 360 x Plazo cobro V - Inc C (2023) / 360 x Plazo pago C] / (1+k0)^1 = [360.000 / 360 x 30 - 240.000 / 360 x 60] / (1,0538)^1</t>
  </si>
  <si>
    <t>t x VL (2025) = 0,25 x 420.000</t>
  </si>
  <si>
    <t>VE (2025) - t x [VE (2025) - VL (2025)] = 400.000 - 0,25 x (400.000 - 420.000)</t>
  </si>
  <si>
    <t>t x VE (2025) = 0,25 x 22.500</t>
  </si>
  <si>
    <t>VE (2025) - t x [VE (2025) - VL (2025)] = 22.500 - 0,25 x (22.500 - 0)</t>
  </si>
  <si>
    <t>[VR máquina nueva (2025) - VR máquina vieja (2025)] / (1+k0)^3 = [405.000 - 16.875] / (1,0538)^3</t>
  </si>
  <si>
    <t>[Inc V (2025) / 360 x Plazo cobro V - Inc C (2025) / 360 x Plazo pago C] = 360.000 / 360 x 30 - 240.000 / 360 x 60</t>
  </si>
  <si>
    <t>[Inc V (2025) / 360 x Plazo cobro V - Inc C (2025) / 360 x Plazo pago C] / (1+k0)^3 = [360.000 / 360 x 30 - 240.000 / 360 x 60] / (1,0538)^3</t>
  </si>
  <si>
    <t>-[INV (2022) - Valor neto vieja máquina] + VA de (V-C) - VA de Imptos. (V-C) + VA escudos Inc AM - VA Inversión en FM + VA Inc VR por AF + VA rec. FM = - (600.000 - 56.250) + 324.507 - 81.127 + 20.282 - -9.490 + 331.710 + -8.546</t>
  </si>
  <si>
    <t>-[INV (2022) - VE (2022) vieja] + VA [Inc (V-C)] - VA [Inv en FM] + VA [VE (2025) nueva - VE (2025) vieja ] + VA [Rec FM] = -[600.000 - 45.000] + [(360.000 - 240.000) / (1,0650)^1 + (360.000 - 240.000) / (1,0650)^2 + (360.000 - 240.000) / (1,0650)^3] - [(30.000 - 40.000) / (1,0650)^1] + [(400.000 - 22.500) / (1,0650)^3] + [(30.000 - 40.000) / (1,0650)^3]</t>
  </si>
  <si>
    <t>Inversión en Clientes (2023) / (1+k0)^1 - Desinversión en Clientes (2025) / (1+k0)^3 = 360.000 / 360 x 30 / (1,0538)^1 - 360.000 / 360 x 30 / (1,0538)^3</t>
  </si>
  <si>
    <t>-Saldo Proveedores (2023) / (1+k0)^1 + Saldo Proveedores (2025) / (1+k0)^3 = -240.000 / 360 x 60 / (1,0538)^1 + 240.000 / 360 x 60 / (1,0538)^3</t>
  </si>
  <si>
    <t>-Existencias (2022) + Existencias (2025) / (1+k0)^3 = -100.000 + 100.000 / (1,0538)^3</t>
  </si>
  <si>
    <t>Proyecto de sustitución:  DI = 600.000 - [45.000 - 0,25 x (45.000 - 90.000)]</t>
  </si>
  <si>
    <t>DI = TINV|2022| = 543.750 euros</t>
  </si>
  <si>
    <t>DI = TINV|2022| = 656.250 euros</t>
  </si>
  <si>
    <t>DI = TINV|2022| = 555.000 euros</t>
  </si>
  <si>
    <t>DI = TINV|2022| = 645.000 euros</t>
  </si>
  <si>
    <t>Precio de liquidación antigua instalación = [45.000 - 0,25 x (45.000 - 90.000)]</t>
  </si>
  <si>
    <t>Valor de liquidación vieja máquina |2022| = 90.000 euros</t>
  </si>
  <si>
    <t>Valor de liquidación vieja máquina |2022| = 45.000 euros</t>
  </si>
  <si>
    <t>Valor de liquidación vieja máquina |2022| = 56.250 euros</t>
  </si>
  <si>
    <t>ΔV|2024| = 1.080.000 euros</t>
  </si>
  <si>
    <t>ΔV|2024| = 720.000 euros</t>
  </si>
  <si>
    <t>ΔV|2024| = 360.000 euros</t>
  </si>
  <si>
    <t>Amortización incremental = 600.000/10 - 90.000/3</t>
  </si>
  <si>
    <t>Incremento AM|2023| = 90.000 euros</t>
  </si>
  <si>
    <t>Incremento AM|2023| = 30.000 euros</t>
  </si>
  <si>
    <t>Incremento AM|2023| = 60.000 euros</t>
  </si>
  <si>
    <t>ΔAM|2025| = 60.000 euros</t>
  </si>
  <si>
    <t>Debe reflejarse la amortización incremental: falta restar la amortización de la antigua</t>
  </si>
  <si>
    <t>ΔAM|2025| = 30.000 euros</t>
  </si>
  <si>
    <t>ΔAM|2025| = 90.000 euros</t>
  </si>
  <si>
    <t>En un proyecto de sustitución las amortizaciones de la nueva y la antigua se restan</t>
  </si>
  <si>
    <t>Incremento de Impuestos |2023| = tipo impositivo x ΔBAII = 0,25 x [360.000 - 240.000 - (600.000/10 - 90.000/3)]</t>
  </si>
  <si>
    <t>ΔImpuestos |2023| = 15.000 euros</t>
  </si>
  <si>
    <t>ΔImpuestos |2023| = 142.500 euros</t>
  </si>
  <si>
    <t>ΔImpuestos |2023| = 22.500 euros</t>
  </si>
  <si>
    <t>Incremento de caja |2024| = ΔBAIdI + ΔAM = 67.500 + 30.000</t>
  </si>
  <si>
    <t>+</t>
  </si>
  <si>
    <t>ΔGF'|2024| = 74.250 euros</t>
  </si>
  <si>
    <t>ΔGF'|2024| = 37.500 euros</t>
  </si>
  <si>
    <t>ΔGF'|2024| = 87.750 euros</t>
  </si>
  <si>
    <t>ΔGF'|2024| = 97.500 euros</t>
  </si>
  <si>
    <t>Saldo de clientes aportado por el proyecto en el año 2024 = (360.000/360) x 30</t>
  </si>
  <si>
    <t>ΔClientes |2024| = 60.000 euros</t>
  </si>
  <si>
    <t>ΔClientes |2024| = 330.000 euros</t>
  </si>
  <si>
    <t>ΔClientes |2024| = 360.000 euros</t>
  </si>
  <si>
    <t>ΔClientes |2024| = 30.000 euros</t>
  </si>
  <si>
    <t>Saldo de proveedores aportado por el proyecto en el año 2025 = (240.000/360) x 60</t>
  </si>
  <si>
    <t>ΔProveedores |2025| = 20.000 euros</t>
  </si>
  <si>
    <t>ΔProveedores |2025| = 200.000 euros</t>
  </si>
  <si>
    <t>ΔProveedores |2025| = 120.000 euros</t>
  </si>
  <si>
    <t>No tiene sentido acumular los saldos de proveedores de los tres ejercicios. Saldo de proveedores |2025| = (240.000/360) x 60</t>
  </si>
  <si>
    <t>ΔProveedores |2025| = 40.000 euros</t>
  </si>
  <si>
    <t>Saldo de FM aportado por el proyecto en el año 2023 = (360.000/360) x 30 - (240.000/360) x 60</t>
  </si>
  <si>
    <t>ΔFM |2023| = -10.000 euros</t>
  </si>
  <si>
    <t>ΔFM |2023| = 70.000 euros</t>
  </si>
  <si>
    <t>ΔΔFM |2024| = -10.000 euros</t>
  </si>
  <si>
    <t>ΔΔFM |2024| = 70.000 euros</t>
  </si>
  <si>
    <t>ΔΔFM |2024| = 30.000 euros</t>
  </si>
  <si>
    <t>Tesorería generada en el ejercicio 2023 = ΔBAIdI + ΔAM - ΔΔFM = 67.500 + 30.000 - (-10.000)</t>
  </si>
  <si>
    <t>ΔGF |2023| = TINV |2023| = 97.500 euros</t>
  </si>
  <si>
    <t>ΔGF |2023| = TINV |2023| = 67.500 euros</t>
  </si>
  <si>
    <t>ΔGF |2023| = TINV |2023| = 107.500 euros</t>
  </si>
  <si>
    <t>Valor residual incremental AF en el año 2025 = [400.000 - 0,25 x (400.000 - (600.000 - 3 x 600.000/10))] - [22.500 - 0,25 x (22.500 - 0)]</t>
  </si>
  <si>
    <t>ΔVR por liquidación de AF |2025| = 388.125 euros</t>
  </si>
  <si>
    <t>ΔVR por liquidación de AF |2025| = 45.000 euros</t>
  </si>
  <si>
    <t>ΔVR por liquidación de AF |2025| = 16.875 euros</t>
  </si>
  <si>
    <t>ΔVR por liquidación de AF |2025| = 405.000 euros</t>
  </si>
  <si>
    <t>Saldo de fondo de maniobra en el ejercicio 2025 = Clientes - Proveedores = (360.000/360) x 30 - (240.000/360) x 60</t>
  </si>
  <si>
    <t>ΔVR por liquidación de FM |2025| = 70.000 euros</t>
  </si>
  <si>
    <t>ΔVR por liquidación de FM |2025| = -10.000 euros</t>
  </si>
  <si>
    <t>ΔVR por liquidación de FM |2025| = 130.000 euros</t>
  </si>
  <si>
    <t>ki = Intereses x (1-t) / Deuda a largo plazo = 720.000 x (1 - 0,25) / 12.000.000</t>
  </si>
  <si>
    <t>ki = 4,5%</t>
  </si>
  <si>
    <t>ki = 6%</t>
  </si>
  <si>
    <t>ki = 7,5%</t>
  </si>
  <si>
    <t>ki = 0,045%</t>
  </si>
  <si>
    <t>ke = Dividendo esperado / Cotización + Crecimiento = 240.000 / 4.000.000 + 0,02</t>
  </si>
  <si>
    <t>ke = 0,08%</t>
  </si>
  <si>
    <t>ke = 4%</t>
  </si>
  <si>
    <t>El crecimiento no se resta, se suma:  ke = Dividendo esperado / Cotización + Crecimiento = 240.000 / 4.000.000 + 0,02</t>
  </si>
  <si>
    <t>ke = 8%</t>
  </si>
  <si>
    <t>k0 = (ki x FALP + ke x FP) / (FALP + FP) = (0,045 x 12.000.000 + 0,08 x 4.000.000) / (12.000.000 + 4.000.000)</t>
  </si>
  <si>
    <t>k0 = WACC = 5,375%</t>
  </si>
  <si>
    <t>k0 = WACC = 0,06%</t>
  </si>
  <si>
    <t>Supuesto que el perfil de fondos del proyecto fuera: TINV|2022|=-543.750; TINV|2023|=107.500; TINV|2024|=97.500; TINV|2025|=475.625:</t>
  </si>
  <si>
    <t>Proyecto interesante: VAN (k0=5,375%) = -543.750 + 107.500/1,0538 + 97.500/1,0538^2 + 475.625/1,0538^3 = 52.566 euros</t>
  </si>
  <si>
    <t>Proyecto interesante: VAN (k0=8%)= 16.944 euros</t>
  </si>
  <si>
    <t>Proyecto interesante: VAN (k0=4,5%)= 65.193 euros</t>
  </si>
  <si>
    <t>Proyecto interesante: VAN (k0=5,375%)= 52.566 euros</t>
  </si>
  <si>
    <t>El proyecto rinde más que el coste medio ponderado del capital</t>
  </si>
  <si>
    <t>Proyecto interesante: TRI = 9,34% &gt; k0 = 4,5%</t>
  </si>
  <si>
    <t>Proyecto interesante: TRI = 9,34% &gt; k0 = 7%</t>
  </si>
  <si>
    <t>Proyecto interesante: TRI = 9,34% &gt; k0 = 5,375%</t>
  </si>
  <si>
    <t>El proyecto rinde más (TRI = 9,34%) que el coste medio ponderado del capital (k0 = 5,38%)</t>
  </si>
  <si>
    <t>Supuesto k0=5,38% y que el perfil de fondos del proyecto fuera: TINV|2022|=-543.750; TINV|2023|=107.500; TINV|2024|=97.500; TINV|2025|=475.625:</t>
  </si>
  <si>
    <t>El proyecto recupera la inversión realizada en 3 años.</t>
  </si>
  <si>
    <t>Saldo acumulado |2022| = -543.750;  Saldo acumulado |2023| = -436.250;  Saldo acumulado |2024| = -338.750;  Saldo acumulado |2025| = 136.875</t>
  </si>
  <si>
    <t>El pay-back del proyecto es de 3 años</t>
  </si>
  <si>
    <t xml:space="preserve">VAN (K=5,38%) = </t>
  </si>
  <si>
    <t>=-543.750+107.500/1,05+97.500/1,05^2+475.625/1,05^3</t>
  </si>
  <si>
    <t xml:space="preserve">IR (K=5,38%) = </t>
  </si>
  <si>
    <t>=[-543.750+107.500/1,05+97.500/1,05^2+475.625/1,05^3] / 543.750</t>
  </si>
  <si>
    <t>0 = -543.750+107.500/(1+TRI)+97.500/(1+TRI)^2+475.625/(1+TRI)^3</t>
  </si>
  <si>
    <t>=107.500x1,054^2+97.500x1,054+475.625</t>
  </si>
  <si>
    <t>=107.500x1,093^2+97.500x1,093+475.625</t>
  </si>
  <si>
    <t>=-543.750+697.732/1,05^3</t>
  </si>
  <si>
    <t>=-543.750+710.744/1,05^3</t>
  </si>
  <si>
    <t>=[-543.750+697.732/1,05^3] / 543.750</t>
  </si>
  <si>
    <t>=[-543.750+710.744/1,05^3] / 543.750</t>
  </si>
  <si>
    <t xml:space="preserve">VAN (K=9,34%) = </t>
  </si>
  <si>
    <t>=-543.750+697.732/1,09^3</t>
  </si>
  <si>
    <t>=-543.750+710.744/1,09^3</t>
  </si>
  <si>
    <t xml:space="preserve">IR (K=9,34%) = </t>
  </si>
  <si>
    <t>=[-543.750+697.732/1,09^3] / 543.750</t>
  </si>
  <si>
    <t>=[-543.750+710.744/1,09^3] / 543.750</t>
  </si>
  <si>
    <t>0 = -543.750+697.732/(1+TRI)^3</t>
  </si>
  <si>
    <t>0 = -543.750+710.744/(1+TRI)^3</t>
  </si>
  <si>
    <t>Y que ambos proyectos tienen idéntico riesgo (por lo que el tipo de descuento aplicable es el mismo; en este caso, suponga un K=6,0%).</t>
  </si>
  <si>
    <t xml:space="preserve">VAN (K=6%) = </t>
  </si>
  <si>
    <t xml:space="preserve">VAN (K=13%) = </t>
  </si>
  <si>
    <t xml:space="preserve">A la vista de los resultados obtenidos, ¿puede afirmarse que hay discrepancia VAN-TRI? Independientemente de que cada uno de los dos proyectos fuera interesante o no por separado, si fuera necesario elegir entre ambos, ¿cuál sería la decisión si el tipo de descuento fuera igual a 6%? ¿y qué ocurriría si decidiéramos con la TRI? </t>
  </si>
  <si>
    <t>Amanda López, director financiero de la compañía AMALOP,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</si>
  <si>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300.000 euros, podría amortizarse linealmente en 6 años, y se liquidaría al final del proyecto (tres años) por 100.000 euros.</t>
  </si>
  <si>
    <t>Los datos relativos a la instalación a sustituir son los siguientes: su valor contable a día de hoy es de 200.000 euros, que se amortizarían a partes iguales en los próximos 3 años; podrían liquidarse hoy por 100.000 euros, o por 50.000 al final del tercer año.</t>
  </si>
  <si>
    <t>La nueva máquina presenta como ventaja la posibilidad de incrementar las ventas anuales (que se cobran a 60 días) en 720.000 euros, lo que exigiría incurrir en un aumento de costes operativos con desembolso (que tienen un plazo de pago de 30 días) de 576.000.</t>
  </si>
  <si>
    <t>En lo que se refiere al pasivo a largo plazo de la empresa, los valores de mercado de Fondos ajenos a largo plazo y Fondos propios son de 3.000.000 y 9.000.000 euros, respectivamente. Los intereses anuales a pagar por el disfrute de la deuda son de 180.000 euros. En cuanto a los fondos propios, los accionistas esperan recibir un dividendo de 450.000 euros, con un crecimiento anual del 3% para los próximos años.</t>
  </si>
  <si>
    <t>= 72.000 - 72.000</t>
  </si>
  <si>
    <t>-5.762,17  =  576.000/360x(0-30)/1,0713^1 - 576.000/360x(0-30)/1,0713^3</t>
  </si>
  <si>
    <t>= 300.000 - [100.000 - 0,25 x (100.000 - 200.000)]</t>
  </si>
  <si>
    <t>= 720.000</t>
  </si>
  <si>
    <t>= 576.000</t>
  </si>
  <si>
    <t>= 300.000/6 - 200.000/3</t>
  </si>
  <si>
    <t>= 720.000 - 576.000 - (-16.667)</t>
  </si>
  <si>
    <t>= 0,25 x 160.667</t>
  </si>
  <si>
    <t>= 160.667 - 40.167</t>
  </si>
  <si>
    <t>= 120.500 + (-16.667)</t>
  </si>
  <si>
    <t>= 720.000 / 360 x 60</t>
  </si>
  <si>
    <t>= 576.000 / 360 x 30</t>
  </si>
  <si>
    <t>= 120.000 - 48.000</t>
  </si>
  <si>
    <t>= 72.000 - 0</t>
  </si>
  <si>
    <t>= 103.833 - 72.000</t>
  </si>
  <si>
    <t>= 103.833 - 0</t>
  </si>
  <si>
    <t>= [100.000 - 0,25 x (100.000 - 150.000)] - [50.000 - 0,25 x (50.000 - 0)]</t>
  </si>
  <si>
    <t>= 72.000</t>
  </si>
  <si>
    <t>= 75.000 + 72.000</t>
  </si>
  <si>
    <t>= - {300.000 - [100.000 - 0,25 x (100.000 - 200.000)]}</t>
  </si>
  <si>
    <t>= 103.833 - 0 + 147.000</t>
  </si>
  <si>
    <t>= 180.000 x (1 - 0,25) / 3.000.000</t>
  </si>
  <si>
    <t>= 450.000 / 9.000.000 + 0,03</t>
  </si>
  <si>
    <t>= 0,045 x 3.000.000 / (3.000.000 + 9.000.000) + 0,08 x 9.000.000 / (3.000.000 + 9.000.000)</t>
  </si>
  <si>
    <t>= -175.000 + 31.833/1,0713 + 103.833/(1,0713^2) + 250.833/(1,0713^3)</t>
  </si>
  <si>
    <t xml:space="preserve">  0 = -175.000 + 31.833/(1+TRI) + 103.833/(1+TRI)^2 + 250.833/(1+TRI)^3</t>
  </si>
  <si>
    <t>Problema predefinido nº 3</t>
  </si>
  <si>
    <t>-741,68  =  (-4.167)/1,0713^1 + (-4.167)/1,0713^2 + (-4.167)/1,0713^3 + 0,25x(200.000-150.000)/1,0713^3</t>
  </si>
  <si>
    <t>-23.676,67  =  -(330.000-300.000) + 1.250/1,0713^1 + 1.250/1,0713^2 + 1.250/1,0713^3 + 0,25x[(330.000-300.000)x(1-3/6)]/1,0713^3</t>
  </si>
  <si>
    <t>-6.100,83  =  (90.000-100.000)x(1-0,25)/1,0713^3</t>
  </si>
  <si>
    <t>7.500,00  =  (110.000-100.000)x(1-0,25)</t>
  </si>
  <si>
    <t>-1.483,36  =  0,25x[(66.667/1,0713^1 + 66.667/1,0713^2 + 66.667/1,0713^3) - (100.000/1,0713^1 + 100.000/1,0713^2 + 0/1,0713^3)] + 0,25x(0-0)/1,0713^3</t>
  </si>
  <si>
    <t>636,11  =  0,25x(220.000-200.000) - 0,25x(6.667/1,0713^1 + 6.667/1,0713^2 + 6.667/1,0713^3) - 0,25x(0-0)/1,0713^3</t>
  </si>
  <si>
    <t>-7.500,00  =  (90.000-100.000)x(1-0,25)</t>
  </si>
  <si>
    <t>-3.050,41  =  -(55.000-50.000)x(1-0,25)/1,0713^3</t>
  </si>
  <si>
    <t>139.949,50  =  (792.000-720.000)x(1-0,25)/1,0713^1 + (792.000-720.000)x(1-0,25)/1,0713^2 + (792.000-720.000)x(1-0,25)/1,0713^3 - [(792.000-720.000)/360x60]/1,0713^1 + [(792.000-720.000)/360x60]/1,0713^3</t>
  </si>
  <si>
    <t>-7.202,71  =  -720.000/360x(90-60)/1,0713^1 + 720.000/360x(90-60)/1,0713^3</t>
  </si>
  <si>
    <t>112.535,82  =  (576.000-518.400)x(1-0,25)/1,0713^1 + (576.000-518.400)x(1-0,25)/1,0713^2 + (576.000-518.400)x(1-0,25)/1,0713^3 - [(576.000-518.400)/360x30]/1,0713^1 + [(576.000-518.400)/360x30]/1,0713^3</t>
  </si>
  <si>
    <t>-862,40  =  31.833x[1/1,0724^1 -1/1,0713^1] + 103.833x[1/1,0724^2 -1/1,0713^2] + 250.833x[1/1,0724^3 -1/1,0713^3]</t>
  </si>
  <si>
    <t>5.836,13  =  31.833x[1/1,0638^1 - 1/1,0713^1] + 103.833x[1/1,0638^2 - 1/1,0713^2] + 250.833x[1/1,0638^3 - 1/1,0713^3]</t>
  </si>
  <si>
    <t>-2.861,67  =  31.833x[1/1,0750^1 - 1/1,0713^1] + 103.833x[1/1,0750^2 - 1/1,0713^2] + 250.833x[1/1,0750^3 - 1/1,0713^3]</t>
  </si>
  <si>
    <t>2.221,49  =  31.833x[1/1,0684^1 - 1/1,0713^1] + 103.833x[1/1,0684^2 - 1/1,0713^2] + 250.833x[1/1,0684^3 - 1/1,0713^3]</t>
  </si>
  <si>
    <t>-3.335,02  =  31.833x[1/1,0756^1 - 1/1,0713^1] + 103.833x[1/1,0756^2 - 1/1,0713^2] + 250.833x[1/1,0756^3 - 1/1,0713^3]</t>
  </si>
  <si>
    <t>-11.410,19  =  31.833x[1/1,0705^1 - 1/1,0713^1] + 103.833x[1/1,0705^2 - 1/1,0713^2] + 250.833x[1/1,0705^3 - 1/1,0713^3] + (0,30 - 0,25) x [-(100.000-200.000) - (160.667/1,0705^1 + 160.667/1,0705^2 + 160.667/1,0705^3) - (100.000 - 150.000)/1,0705^3 + (50.000 - 0)/1,0705^3]</t>
  </si>
  <si>
    <t>74.055,65  =  [(720.000-576.000) x (1-0,25) + (50.000-0) x 0,25] /1,0713^4 + {[100.000-0,25x(100.000-100.000)] - [50.000-0,25x(50.000-0)] + 720.000/360x60 - 576.000/360x30} /1,0713^4 - 147.000/1,0713^3</t>
  </si>
  <si>
    <t>-16.667</t>
  </si>
  <si>
    <t>= 300.000/6-200.000/3</t>
  </si>
  <si>
    <t>48.000</t>
  </si>
  <si>
    <t>= 576.000/360x30</t>
  </si>
  <si>
    <t>= 180.000 x (1-0,25) / 3.000.000</t>
  </si>
  <si>
    <t>0,85</t>
  </si>
  <si>
    <t>= [-175.000 + 31.833/1,0713 + 103.833/(1,0713^2) + 250.833/(1,0713^3)] / 175.000</t>
  </si>
  <si>
    <t>= 720.000-576.000-(-16.667)</t>
  </si>
  <si>
    <t>= 0,25x160.667</t>
  </si>
  <si>
    <t>= 160.667-40.167</t>
  </si>
  <si>
    <t>= 120.500+(-16.667)</t>
  </si>
  <si>
    <t>= 720.000/360x60</t>
  </si>
  <si>
    <t>= 120.000-48.000</t>
  </si>
  <si>
    <t>= 72.000-0</t>
  </si>
  <si>
    <t>= 72.000-72.000</t>
  </si>
  <si>
    <t xml:space="preserve">-175.000 + 31.833 + 103.833 + 250.833 &gt; 0 </t>
  </si>
  <si>
    <t>300.000 - [100.000 - 0,25 x (100.000 - 200.000)]</t>
  </si>
  <si>
    <t>[100.000 - 0,25 x (100.000 - 150.000)] - [50.000 - 0,25 x (50.000 - 0)]</t>
  </si>
  <si>
    <t>72.000</t>
  </si>
  <si>
    <t>75.000 + 72.000</t>
  </si>
  <si>
    <t>180.000 x (1-0,25) / 3.000.000</t>
  </si>
  <si>
    <t>450.000 / 9.000.000 + 0,03</t>
  </si>
  <si>
    <t>0,045 x 3.000.000 / (3.000.000 + 9.000.000) + 0,08 x 9.000.000 / (3.000.000 + 9.000.000)</t>
  </si>
  <si>
    <t>720.000</t>
  </si>
  <si>
    <t>576.000</t>
  </si>
  <si>
    <t>300.000/6 - 200.000/3</t>
  </si>
  <si>
    <t>720.000 - 576.000 - (300.000/6 - 200.000/3)</t>
  </si>
  <si>
    <t>0,25 x [720.000 - 576.000 - (300.000/6 - 200.000/3)]</t>
  </si>
  <si>
    <t>[720.000 - 576.000 - (300.000/6 - 200.000/3)] x (1-0,25)</t>
  </si>
  <si>
    <t>[720.000 - 576.000 - (300.000/6 - 200.000/3)] x (1-0,25) + -16.667</t>
  </si>
  <si>
    <t>720.000/360x60</t>
  </si>
  <si>
    <t>576.000/360x30</t>
  </si>
  <si>
    <t>(720.000/360x60) - (576.000/360x30)</t>
  </si>
  <si>
    <t>[(720.000/360x60) - (576.000/360x30)] - [0]</t>
  </si>
  <si>
    <t>{[720.000 - 576.000 - (300.000/6 - 200.000/3)] x (1-0,25) + -16.667} - {[(720.000/360x60) - (576.000/360x30)] - [0]}</t>
  </si>
  <si>
    <t>[(720.000/360x60) - (576.000/360x30)] - [(720.000/360x60) - (576.000/360x30)]</t>
  </si>
  <si>
    <t>{[720.000 - 576.000 - (300.000/6 - 200.000/3)] x (1-0,25) + -16.667} - {[(720.000/360x60) - (576.000/360x30)] - [(720.000/360x60) - (576.000/360x30)]}</t>
  </si>
  <si>
    <t>{[100.000 - 0,25 x (100.000 - 150.000)] - [50.000 - 0,25 x (50.000 - 0)]} + {(720.000/360x60) - (576.000/360x30)}</t>
  </si>
  <si>
    <t>- {300.000 - [100.000 - 0,25 x (100.000 - 200.000)]}</t>
  </si>
  <si>
    <t>{[720.000 - 576.000 - (300.000/6 - 200.000/3)] x (1-0,25) + -16.667} - {[(720.000/360x60) - (576.000/360x30)] - [(720.000/360x60) - (576.000/360x30)]} + {[100.000 - 0,25 x (100.000 - 150.000)] - [50.000 - 0,25 x (50.000 - 0)]} + {(720.000/360x60) - (576.000/360x30)}</t>
  </si>
  <si>
    <t>-175.000 + 31.833/1,0713 + 103.833/(1,0713^2) + 250.833/(1,0713^3)</t>
  </si>
  <si>
    <t>[-175.000 + 31.833/1,0713 + 103.833/(1,0713^2) + 250.833/(1,0713^3)] / 175.000</t>
  </si>
  <si>
    <t xml:space="preserve">125.000 = </t>
  </si>
  <si>
    <t>VE (2022) - t x [VE (2022) - VL (2022)] = 100.000 - 0,25 x (100.000 - 200.000)</t>
  </si>
  <si>
    <t>Intereses x (1 - t) / FALP (mercado) = 180.000 x (1 - 0,25) / 3.000.000</t>
  </si>
  <si>
    <t>Dividendo / FP (mercado) + g = 450.000 / 9.000.000 + 0,0300</t>
  </si>
  <si>
    <t>ki x {FALP (mercado) / [FALP (mercado) + FP (mercado)]} + ke x {FP (mercado) / [FALP (mercado) + FP (mercado)]} = 0,0450 x 3.000.000 / 12.000.000 + 0,0800 x 9.000.000 / 12.000.000</t>
  </si>
  <si>
    <t>[Inc V (2023) - Inc C (2023)] / (1+k0)^1 + [Inc V (2024) - Inc C (2024)] / (1+k0)^2 + [Inc V (2025) - Inc C (2025)] / (1+k0)^3 = 144.000 / 1,0713^1 + 144.000 / 1,0713^2 + 144.000 / 1,0713^3</t>
  </si>
  <si>
    <t>t x [Inc V (2023) - Inc C (2023)] / (1+k0)^1 + t x [Inc V (2024) - Inc C (2024)] / (1+k0)^2 + t x [Inc V (2025) - Inc C (2025)] / (1+k0)^3 = 0,25 x 144.000 / 1,0713^1 + 0,25 x 144.000 / 1,0713^2 + 0,25 x 144.000 / 1,0713^3</t>
  </si>
  <si>
    <t>t x [AM nueva (2023) - AM vieja (2023)] / (1+k0)^1 + t x [AM nueva (2024) - AM vieja (2024)] / (1+k0)^2 + t x [AM nueva (2025) - AM vieja (2025)] / (1+k0)^3 = 0,25 x -16.667 / 1,0713^1 + 0,25 x -16.667 / 1,0713^2 + 0,25 x -16.667 / 1,0713^3</t>
  </si>
  <si>
    <t>[Inc V (2023) / 360 x Plazo cobro V - Inc C (2023) / 360 x Plazo pago C] / (1+k0)^1 = [720.000 / 360 x 60 - 576.000 / 360 x 30] / (1,0713)^1</t>
  </si>
  <si>
    <t>t x VL (2025) = 0,25 x 150.000</t>
  </si>
  <si>
    <t>VE (2025) - t x [VE (2025) - VL (2025)] = 100.000 - 0,25 x (100.000 - 150.000)</t>
  </si>
  <si>
    <t>t x VE (2025) = 0,25 x 50.000</t>
  </si>
  <si>
    <t>VE (2025) - t x [VE (2025) - VL (2025)] = 50.000 - 0,25 x (50.000 - 0)</t>
  </si>
  <si>
    <t>[VR máquina nueva (2025) - VR máquina vieja (2025)] / (1+k0)^3 = [112.500 - 37.500] / (1,0713)^3</t>
  </si>
  <si>
    <t>[Inc V (2025) / 360 x Plazo cobro V - Inc C (2025) / 360 x Plazo pago C] = 720.000 / 360 x 60 - 576.000 / 360 x 30</t>
  </si>
  <si>
    <t>[Inc V (2025) / 360 x Plazo cobro V - Inc C (2025) / 360 x Plazo pago C] / (1+k0)^3 = [720.000 / 360 x 60 - 576.000 / 360 x 30] / (1,0713)^3</t>
  </si>
  <si>
    <t>-[INV (2022) - Valor neto vieja máquina] + VA de (V-C) - VA de Imptos. (V-C) + VA escudos Inc AM - VA Inversión en FM + VA Inc VR por AF + VA rec. FM = - (300.000 - 125.000) + 377.040 - 94.260 + -10.910 - 67.211 + 61.008 + 58.568</t>
  </si>
  <si>
    <t>-[INV (2022) - VE (2022) vieja] + VA [Inc (V-C)] - VA [Inv en FM] + VA [VE (2025) nueva - VE (2025) vieja ] + VA [Rec FM] = -[300.000 - 100.000] + [(720.000 - 576.000) / (1,0750)^1 + (720.000 - 576.000) / (1,0750)^2 + (720.000 - 576.000) / (1,0750)^3] - [(120.000 - 48.000) / (1,0750)^1] + [(100.000 - 50.000) / (1,0750)^3] + [(120.000 - 48.000) / (1,0750)^3]</t>
  </si>
  <si>
    <t>Inversión en Clientes (2023) / (1+k0)^1 - Desinversión en Clientes (2025) / (1+k0)^3 = 720.000 / 360 x 60 / (1,0713)^1 - 720.000 / 360 x 60 / (1,0713)^3</t>
  </si>
  <si>
    <t>-Saldo Proveedores (2023) / (1+k0)^1 + Saldo Proveedores (2025) / (1+k0)^3 = -576.000 / 360 x 30 / (1,0713)^1 + 576.000 / 360 x 30 / (1,0713)^3</t>
  </si>
  <si>
    <t>-Existencias (2022) + Existencias (2025) / (1+k0)^3 = -100.000 + 100.000 / (1,0713)^3</t>
  </si>
  <si>
    <t>Proyecto de sustitución:  DI = 300.000 - [100.000 - 0,25 x (100.000 - 200.000)]</t>
  </si>
  <si>
    <t>DI = TINV|2022| = 175.000 euros</t>
  </si>
  <si>
    <t>DI = TINV|2022| = 425.000 euros</t>
  </si>
  <si>
    <t>DI = TINV|2022| = 200.000 euros</t>
  </si>
  <si>
    <t>DI = TINV|2022| = 400.000 euros</t>
  </si>
  <si>
    <t>Precio de liquidación antigua instalación = [100.000 - 0,25 x (100.000 - 200.000)]</t>
  </si>
  <si>
    <t>Valor de liquidación vieja máquina |2022| = 125.000 euros</t>
  </si>
  <si>
    <t>ΔV|2024| = 2.160.000 euros</t>
  </si>
  <si>
    <t>ΔV|2024| = 1.440.000 euros</t>
  </si>
  <si>
    <t>Amortización incremental = 300.000/6 - 200.000/3</t>
  </si>
  <si>
    <t>Incremento AM|2023| = 116.667 euros</t>
  </si>
  <si>
    <t>Incremento AM|2023| = -16.667 euros</t>
  </si>
  <si>
    <t>ΔAM|2025| = -16.667 euros</t>
  </si>
  <si>
    <t>ΔAM|2025| = 116.667 euros</t>
  </si>
  <si>
    <t>Incremento de Impuestos |2023| = tipo impositivo x ΔBAII = 0,25 x [720.000 - 576.000 - (300.000/6 - 200.000/3)]</t>
  </si>
  <si>
    <t>ΔImpuestos |2023| = 23.500 euros</t>
  </si>
  <si>
    <t>ΔImpuestos |2023| = 328.167 euros</t>
  </si>
  <si>
    <t>ΔImpuestos |2023| = 36.000 euros</t>
  </si>
  <si>
    <t>ΔImpuestos |2023| = 40.167 euros</t>
  </si>
  <si>
    <t>Incremento de caja |2024| = ΔBAIdI + ΔAM = 120.500 + (-16.667)</t>
  </si>
  <si>
    <t>ΔGF'|2024| = 132.550 euros</t>
  </si>
  <si>
    <t>ΔGF'|2024| = 137.167 euros</t>
  </si>
  <si>
    <t>ΔGF'|2024| = 156.650 euros</t>
  </si>
  <si>
    <t>ΔGF'|2024| = 103.833 euros</t>
  </si>
  <si>
    <t>Saldo de clientes aportado por el proyecto en el año 2024 = (720.000/360) x 60</t>
  </si>
  <si>
    <t>ΔClientes |2024| = 240.000 euros</t>
  </si>
  <si>
    <t>ΔClientes |2024| = 600.000 euros</t>
  </si>
  <si>
    <t>ΔClientes |2024| = 720.000 euros</t>
  </si>
  <si>
    <t>ΔClientes |2024| = 120.000 euros</t>
  </si>
  <si>
    <t>Saldo de proveedores aportado por el proyecto en el año 2025 = (576.000/360) x 30</t>
  </si>
  <si>
    <t>ΔProveedores |2025| = 96.000 euros</t>
  </si>
  <si>
    <t>ΔProveedores |2025| = 528.000 euros</t>
  </si>
  <si>
    <t>ΔProveedores |2025| = 144.000 euros</t>
  </si>
  <si>
    <t>No tiene sentido acumular los saldos de proveedores de los tres ejercicios. Saldo de proveedores |2025| = (576.000/360) x 30</t>
  </si>
  <si>
    <t>ΔProveedores |2025| = 48.000 euros</t>
  </si>
  <si>
    <t>Saldo de FM aportado por el proyecto en el año 2023 = (720.000/360) x 60 - (576.000/360) x 30</t>
  </si>
  <si>
    <t>ΔFM |2023| = 144.000 euros</t>
  </si>
  <si>
    <t>ΔFM |2023| = 72.000 euros</t>
  </si>
  <si>
    <t>ΔFM |2023| = 168.000 euros</t>
  </si>
  <si>
    <t>ΔΔFM |2024| = 72.000 euros</t>
  </si>
  <si>
    <t>ΔΔFM |2024| = 168.000 euros</t>
  </si>
  <si>
    <t>ΔΔFM |2024| = 120.000 euros</t>
  </si>
  <si>
    <t>Tesorería generada en el ejercicio 2023 = ΔBAIdI + ΔAM - ΔΔFM = 120.500 + (-16.667) - 72.000</t>
  </si>
  <si>
    <t>ΔGF |2023| = TINV |2023| = 103.833 euros</t>
  </si>
  <si>
    <t>ΔGF |2023| = TINV |2023| = 120.500 euros</t>
  </si>
  <si>
    <t>ΔGF |2023| = TINV |2023| = 65.167 euros</t>
  </si>
  <si>
    <t>ΔGF |2023| = TINV |2023| = 31.833 euros</t>
  </si>
  <si>
    <t>Valor residual incremental AF en el año 2025 = [100.000 - 0,25 x (100.000 - (300.000 - 3 x 300.000/6))] - [50.000 - 0,25 x (50.000 - 0)]</t>
  </si>
  <si>
    <t>ΔVR por liquidación de AF |2025| = 100.000 euros</t>
  </si>
  <si>
    <t>ΔVR por liquidación de AF |2025| = 37.500 euros</t>
  </si>
  <si>
    <t>ΔVR por liquidación de AF |2025| = 112.500 euros</t>
  </si>
  <si>
    <t>Saldo de fondo de maniobra en el ejercicio 2025 = Clientes - Proveedores = (720.000/360) x 60 - (576.000/360) x 30</t>
  </si>
  <si>
    <t>ΔVR por liquidación de FM |2025| = 168.000 euros</t>
  </si>
  <si>
    <t>++</t>
  </si>
  <si>
    <t>ΔVR por liquidación de FM |2025| = 72.000 euros</t>
  </si>
  <si>
    <t>ΔVR por liquidación de FM |2025| = 93.600 euros</t>
  </si>
  <si>
    <t>ki = Intereses x (1-t) / Deuda a largo plazo = 180.000 x (1 - 0,25) / 3.000.000</t>
  </si>
  <si>
    <t>ke = Dividendo esperado / Cotización + Crecimiento = 450.000 / 9.000.000 + 0,03</t>
  </si>
  <si>
    <t>ke = 2%</t>
  </si>
  <si>
    <t>El crecimiento no se resta, se suma:  ke = Dividendo esperado / Cotización + Crecimiento = 450.000 / 9.000.000 + 0,03</t>
  </si>
  <si>
    <t>k0 = (ki x FALP + ke x FP) / (FALP + FP) = (0,045 x 3.000.000 + 0,08 x 9.000.000) / (3.000.000 + 9.000.000)</t>
  </si>
  <si>
    <t>k0 = WACC = 7,125%</t>
  </si>
  <si>
    <t>k0 = WACC = 0,0525%</t>
  </si>
  <si>
    <t>k0 = WACC = 5,25%</t>
  </si>
  <si>
    <t>Supuesto que el perfil de fondos del proyecto fuera: TINV|2022|=-175.000; TINV|2023|=31.833; TINV|2024|=103.833; TINV|2025|=250.833:</t>
  </si>
  <si>
    <t>Proyecto interesante: VAN (k0=7,125%) = -175.000 + 31.833/1,0713 + 103.833/1,0713^2 + 250.833/1,0713^3 = 149.235 euros</t>
  </si>
  <si>
    <t>Proyecto interesante: VAN (k0=8%)= 142.615 euros</t>
  </si>
  <si>
    <t>Proyecto interesante: VAN (k0=4,5%)= 170.350 euros</t>
  </si>
  <si>
    <t>Proyecto interesante: VAN (k0=7,125%)= 149.235 euros</t>
  </si>
  <si>
    <t>Proyecto interesante: TRI = 37,36% &gt; k0 = 4,5%</t>
  </si>
  <si>
    <t>Proyecto interesante: TRI = 37,36% &gt; k0 = 7%</t>
  </si>
  <si>
    <t>Proyecto interesante: TRI = 37,36% &gt; k0 = 7,125%</t>
  </si>
  <si>
    <t>El proyecto rinde más (TRI = 37,36%) que el coste medio ponderado del capital (k0 = 7,13%)</t>
  </si>
  <si>
    <t>Supuesto k0=7,13% y que el perfil de fondos del proyecto fuera: TINV|2022|=-175.000; TINV|2023|=31.833; TINV|2024|=103.833; TINV|2025|=250.833:</t>
  </si>
  <si>
    <t>Saldo acumulado |2022| = -175.000;  Saldo acumulado |2023| = -143.167;  Saldo acumulado |2024| = -39.333;  Saldo acumulado |2025| = 211.500</t>
  </si>
  <si>
    <t xml:space="preserve">VAN (K=7,13%) = </t>
  </si>
  <si>
    <t>=-175.000+31.833/1,07+103.833/1,07^2+250.833/1,07^3</t>
  </si>
  <si>
    <t xml:space="preserve">IR (K=7,13%) = </t>
  </si>
  <si>
    <t>=[-175.000+31.833/1,07+103.833/1,07^2+250.833/1,07^3] / 175.000</t>
  </si>
  <si>
    <t>0 = -175.000+31.833/(1+TRI)+103.833/(1+TRI)^2+250.833/(1+TRI)^3</t>
  </si>
  <si>
    <t>=31.833x1,071^2+103.833x1,071+250.833</t>
  </si>
  <si>
    <t>=31.833x1,374^2+103.833x1,374+250.833</t>
  </si>
  <si>
    <t>=-175.000+398.596/1,07^3</t>
  </si>
  <si>
    <t>=-175.000+453.516/1,07^3</t>
  </si>
  <si>
    <t>=[-175.000+398.596/1,07^3] / 175.000</t>
  </si>
  <si>
    <t>=[-175.000+453.516/1,07^3] / 175.000</t>
  </si>
  <si>
    <t xml:space="preserve">VAN (K=37,36%) = </t>
  </si>
  <si>
    <t>=-175.000+398.596/1,37^3</t>
  </si>
  <si>
    <t>=-175.000+453.516/1,37^3</t>
  </si>
  <si>
    <t xml:space="preserve">IR (K=37,36%) = </t>
  </si>
  <si>
    <t>=[-175.000+398.596/1,37^3] / 175.000</t>
  </si>
  <si>
    <t>=[-175.000+453.516/1,37^3] / 175.000</t>
  </si>
  <si>
    <t>0 = -175.000+398.596/(1+TRI)^3</t>
  </si>
  <si>
    <t>0 = -175.000+453.516/(1+TRI)^3</t>
  </si>
  <si>
    <t>Ernestina Vázquez, director financiero de la compañía ERVAZ,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</si>
  <si>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500.000 euros, podría amortizarse linealmente en 10 años, y se liquidaría al final del proyecto (tres años) por 100.000 euros.</t>
  </si>
  <si>
    <t>Los datos relativos a la instalación a sustituir son los siguientes: su valor contable a día de hoy es de 250.000 euros, que se amortizarían a partes iguales en los próximos 4 años; podrían liquidarse hoy por 175.000 euros, o por 43.750 al final del tercer año.</t>
  </si>
  <si>
    <t>La nueva máquina presenta como ventaja la posibilidad de incrementar las ventas anuales (que se cobran a 90 días) en 600.000 euros, lo que exigiría incurrir en un aumento de costes operativos con desembolso (que tienen un plazo de pago de 90 días) de 500.000.</t>
  </si>
  <si>
    <t>En lo que se refiere al pasivo a largo plazo de la empresa, el valor de mercado de la deuda es de 5.000.000 euros, cifra que coincide con el valor de los fondos propios. Los intereses anuales a pagar por el disfrute de la deuda son de 400.000 euros. En cuanto a los fondos propios, los accionistas esperan recibir un dividendo de 500.000 euros, con un crecimiento anual del 1% para los próximos años.</t>
  </si>
  <si>
    <t>= 25.000 - 25.000</t>
  </si>
  <si>
    <t>-5.781,29  =  500.000/360x(60-90)/1,0850^1 - 500.000/360x(60-90)/1,0850^3</t>
  </si>
  <si>
    <t>= 500.000 - [175.000 - 0,25 x (175.000 - 250.000)]</t>
  </si>
  <si>
    <t>= 600.000</t>
  </si>
  <si>
    <t>= 500.000</t>
  </si>
  <si>
    <t>= 500.000/10 - 250.000/4</t>
  </si>
  <si>
    <t>= 600.000 - 500.000 - (-12.500)</t>
  </si>
  <si>
    <t>= 0,25 x 112.500</t>
  </si>
  <si>
    <t>= 112.500 - 28.125</t>
  </si>
  <si>
    <t>= 84.375 + (-12.500)</t>
  </si>
  <si>
    <t>= 600.000 / 360 x 90</t>
  </si>
  <si>
    <t>= 500.000 / 360 x 90</t>
  </si>
  <si>
    <t>= 150.000 - 125.000</t>
  </si>
  <si>
    <t>= 25.000 - 0</t>
  </si>
  <si>
    <t>= 71.875 - 25.000</t>
  </si>
  <si>
    <t>= 71.875 - 0</t>
  </si>
  <si>
    <t>= [100.000 - 0,25 x (100.000 - 350.000)] - [43.750 - 0,25 x (43.750 - 62.500)]</t>
  </si>
  <si>
    <t>= 25.000</t>
  </si>
  <si>
    <t>= 114.063 + 25.000</t>
  </si>
  <si>
    <t>= - {500.000 - [175.000 - 0,25 x (175.000 - 250.000)]}</t>
  </si>
  <si>
    <t>= 71.875 - 0 + 139.063</t>
  </si>
  <si>
    <t>= 400.000 x (1 - 0,25) / 5.000.000</t>
  </si>
  <si>
    <t>= 500.000 / 5.000.000 + 0,01</t>
  </si>
  <si>
    <t>= 0,06 x 5.000.000 / (5.000.000 + 5.000.000) + 0,11 x 5.000.000 / (5.000.000 + 5.000.000)</t>
  </si>
  <si>
    <t>= -306.250 + 46.875/1,085 + 71.875/(1,085^2) + 210.938/(1,085^3)</t>
  </si>
  <si>
    <t xml:space="preserve">  0 = -306.250 + 46.875/(1+TRI) + 71.875/(1+TRI)^2 + 210.938/(1+TRI)^3</t>
  </si>
  <si>
    <t>Problema predefinido nº 4</t>
  </si>
  <si>
    <t>-855,41  =  (-4.167)/1,0850^1 + (-4.167)/1,0850^2 + (-4.167)/1,0850^3 + 0,25x(400.000-350.000)/1,0850^3</t>
  </si>
  <si>
    <t>-39.957,03  =  -(550.000-500.000) + 1.250/1,0850^1 + 1.250/1,0850^2 + 1.250/1,0850^3 + 0,25x[(550.000-500.000)x(1-3/10)]/1,0850^3</t>
  </si>
  <si>
    <t>-5.871,81  =  (90.000-100.000)x(1-0,25)/1,0850^3</t>
  </si>
  <si>
    <t>13.125,00  =  (192.500-175.000)x(1-0,25)</t>
  </si>
  <si>
    <t>-1.069,26  =  0,25x[(62.500/1,0850^1 + 62.500/1,0850^2 + 62.500/1,0850^3) - (83.333/1,0850^1 + 83.333/1,0850^2 + 83.333/1,0850^3)] + 0,25x(62.500-0)/1,0850^3</t>
  </si>
  <si>
    <t>1.036,05  =  0,25x(275.000-250.000) - 0,25x(6.250/1,0850^1 + 6.250/1,0850^2 + 6.250/1,0850^3) - 0,25x(68.750-62.500)/1,0850^3</t>
  </si>
  <si>
    <t>-13.125,00  =  (157.500-175.000)x(1-0,25)</t>
  </si>
  <si>
    <t>-2.568,92  =  -(48.125-43.750)x(1-0,25)/1,0850^3</t>
  </si>
  <si>
    <t>112.849,74  =  (660.000-600.000)x(1-0,25)/1,0850^1 + (660.000-600.000)x(1-0,25)/1,0850^2 + (660.000-600.000)x(1-0,25)/1,0850^3 - [(660.000-600.000)/360x90]/1,0850^1 + [(660.000-600.000)/360x90]/1,0850^3</t>
  </si>
  <si>
    <t>-6.937,54  =  -600.000/360x(120-90)/1,0850^1 + 600.000/360x(120-90)/1,0850^3</t>
  </si>
  <si>
    <t>94.041,45  =  (500.000-450.000)x(1-0,25)/1,0850^1 + (500.000-450.000)x(1-0,25)/1,0850^2 + (500.000-450.000)x(1-0,25)/1,0850^3 - [(500.000-450.000)/360x90]/1,0850^1 + [(500.000-450.000)/360x90]/1,0850^3</t>
  </si>
  <si>
    <t>-1.817,68  =  46.875x[1/1,0880^1 -1/1,0850^1] + 71.875x[1/1,0880^2 -1/1,0850^2] + 210.938x[1/1,0880^3 -1/1,0850^3]</t>
  </si>
  <si>
    <t>3.070,95  =  46.875x[1/1,0800^1 - 1/1,0850^1] + 71.875x[1/1,0800^2 - 1/1,0850^2] + 210.938x[1/1,0800^3 - 1/1,0850^3]</t>
  </si>
  <si>
    <t>-3.019,25  =  46.875x[1/1,0900^1 - 1/1,0850^1] + 71.875x[1/1,0900^2 - 1/1,0850^2] + 210.938x[1/1,0900^3 - 1/1,0850^3]</t>
  </si>
  <si>
    <t>2.188,20  =  46.875x[1/1,0814^1 - 1/1,0850^1] + 71.875x[1/1,0814^2 - 1/1,0850^2] + 210.938x[1/1,0814^3 - 1/1,0850^3]</t>
  </si>
  <si>
    <t>-7.453,64  =  46.875x[1/1,0975^1 - 1/1,0850^1] + 71.875x[1/1,0975^2 - 1/1,0850^2] + 210.938x[1/1,0975^3 - 1/1,0850^3]</t>
  </si>
  <si>
    <t>-343,32  =  46.875x[1/1,0830^1 - 1/1,0850^1] + 71.875x[1/1,0830^2 - 1/1,0850^2] + 210.938x[1/1,0830^3 - 1/1,0850^3] + (0,30 - 0,25) x [-(175.000-250.000) - (112.500/1,0830^1 + 112.500/1,0830^2 + 112.500/1,0830^3) - (100.000 - 350.000)/1,0830^3 + (43.750 - 62.500)/1,0830^3]</t>
  </si>
  <si>
    <t>45.588,84  =  [(600.000-500.000) x (1-0,25) + (50.000-62.500) x 0,25] /1,0850^4 + {[100.000-0,25x(100.000-300.000)] - [43.750-0,25x(43.750-0)] + 600.000/360x90 - 500.000/360x90} /1,0850^4 - 139.063/1,0850^3</t>
  </si>
  <si>
    <t>-12.500</t>
  </si>
  <si>
    <t>= 500.000/10-250.000/4</t>
  </si>
  <si>
    <t>125.000</t>
  </si>
  <si>
    <t>= 500.000/360x90</t>
  </si>
  <si>
    <t>= 400.000 x (1-0,25) / 5.000.000</t>
  </si>
  <si>
    <t>-0,12</t>
  </si>
  <si>
    <t>= [-306.250 + 46.875/1,085 + 71.875/(1,085^2) + 210.938/(1,085^3)] / 306.250</t>
  </si>
  <si>
    <t>= 600.000-500.000-(-12.500)</t>
  </si>
  <si>
    <t>= 0,25x112.500</t>
  </si>
  <si>
    <t>= 112.500-28.125</t>
  </si>
  <si>
    <t>= 84.375+(-12.500)</t>
  </si>
  <si>
    <t>= 600.000/360x90</t>
  </si>
  <si>
    <t>= 150.000-125.000</t>
  </si>
  <si>
    <t>= 25.000-0</t>
  </si>
  <si>
    <t>= 25.000-25.000</t>
  </si>
  <si>
    <t xml:space="preserve">-306.250 + 46.875 + 71.875 + 210.938 &gt; 0 </t>
  </si>
  <si>
    <t>500.000 - [175.000 - 0,25 x (175.000 - 250.000)]</t>
  </si>
  <si>
    <t>[100.000 - 0,25 x (100.000 - 350.000)] - [43.750 - 0,25 x (43.750 - 62.500)]</t>
  </si>
  <si>
    <t>25.000</t>
  </si>
  <si>
    <t>114.063 + 25.000</t>
  </si>
  <si>
    <t>400.000 x (1-0,25) / 5.000.000</t>
  </si>
  <si>
    <t>500.000 / 5.000.000 + 0,01</t>
  </si>
  <si>
    <t>0,06 x 5.000.000 / (5.000.000 + 5.000.000) + 0,11 x 5.000.000 / (5.000.000 + 5.000.000)</t>
  </si>
  <si>
    <t>600.000</t>
  </si>
  <si>
    <t>500.000</t>
  </si>
  <si>
    <t>500.000/10 - 250.000/4</t>
  </si>
  <si>
    <t>600.000 - 500.000 - (500.000/10 - 250.000/4)</t>
  </si>
  <si>
    <t>0,25 x [600.000 - 500.000 - (500.000/10 - 250.000/4)]</t>
  </si>
  <si>
    <t>[600.000 - 500.000 - (500.000/10 - 250.000/4)] x (1-0,25)</t>
  </si>
  <si>
    <t>[600.000 - 500.000 - (500.000/10 - 250.000/4)] x (1-0,25) + -12.500</t>
  </si>
  <si>
    <t>600.000/360x90</t>
  </si>
  <si>
    <t>500.000/360x90</t>
  </si>
  <si>
    <t>(600.000/360x90) - (500.000/360x90)</t>
  </si>
  <si>
    <t>[(600.000/360x90) - (500.000/360x90)] - [0]</t>
  </si>
  <si>
    <t>{[600.000 - 500.000 - (500.000/10 - 250.000/4)] x (1-0,25) + -12.500} - {[(600.000/360x90) - (500.000/360x90)] - [0]}</t>
  </si>
  <si>
    <t>[(600.000/360x90) - (500.000/360x90)] - [(600.000/360x90) - (500.000/360x90)]</t>
  </si>
  <si>
    <t>{[600.000 - 500.000 - (500.000/10 - 250.000/4)] x (1-0,25) + -12.500} - {[(600.000/360x90) - (500.000/360x90)] - [(600.000/360x90) - (500.000/360x90)]}</t>
  </si>
  <si>
    <t>{[100.000 - 0,25 x (100.000 - 350.000)] - [43.750 - 0,25 x (43.750 - 62.500)]} + {(600.000/360x90) - (500.000/360x90)}</t>
  </si>
  <si>
    <t>- {500.000 - [175.000 - 0,25 x (175.000 - 250.000)]}</t>
  </si>
  <si>
    <t>{[600.000 - 500.000 - (500.000/10 - 250.000/4)] x (1-0,25) + -12.500} - {[(600.000/360x90) - (500.000/360x90)] - [(600.000/360x90) - (500.000/360x90)]} + {[100.000 - 0,25 x (100.000 - 350.000)] - [43.750 - 0,25 x (43.750 - 62.500)]} + {(600.000/360x90) - (500.000/360x90)}</t>
  </si>
  <si>
    <t>-306.250 + 46.875/1,085 + 71.875/(1,085^2) + 210.938/(1,085^3)</t>
  </si>
  <si>
    <t>[-306.250 + 46.875/1,085 + 71.875/(1,085^2) + 210.938/(1,085^3)] / 306.250</t>
  </si>
  <si>
    <t xml:space="preserve">193.750 = </t>
  </si>
  <si>
    <t>VE (2022) - t x [VE (2022) - VL (2022)] = 175.000 - 0,25 x (175.000 - 250.000)</t>
  </si>
  <si>
    <t>Intereses x (1 - t) / FALP (mercado) = 400.000 x (1 - 0,25) / 5.000.000</t>
  </si>
  <si>
    <t>Dividendo / FP (mercado) + g = 500.000 / 5.000.000 + 0,0100</t>
  </si>
  <si>
    <t>ki x {FALP (mercado) / [FALP (mercado) + FP (mercado)]} + ke x {FP (mercado) / [FALP (mercado) + FP (mercado)]} = 0,0600 x 5.000.000 / 10.000.000 + 0,1100 x 5.000.000 / 10.000.000</t>
  </si>
  <si>
    <t>[Inc V (2023) - Inc C (2023)] / (1+k0)^1 + [Inc V (2024) - Inc C (2024)] / (1+k0)^2 + [Inc V (2025) - Inc C (2025)] / (1+k0)^3 = 100.000 / 1,0850^1 + 100.000 / 1,0850^2 + 100.000 / 1,0850^3</t>
  </si>
  <si>
    <t>t x [Inc V (2023) - Inc C (2023)] / (1+k0)^1 + t x [Inc V (2024) - Inc C (2024)] / (1+k0)^2 + t x [Inc V (2025) - Inc C (2025)] / (1+k0)^3 = 0,25 x 100.000 / 1,0850^1 + 0,25 x 100.000 / 1,0850^2 + 0,25 x 100.000 / 1,0850^3</t>
  </si>
  <si>
    <t>t x [AM nueva (2023) - AM vieja (2023)] / (1+k0)^1 + t x [AM nueva (2024) - AM vieja (2024)] / (1+k0)^2 + t x [AM nueva (2025) - AM vieja (2025)] / (1+k0)^3 = 0,25 x -12.500 / 1,0850^1 + 0,25 x -12.500 / 1,0850^2 + 0,25 x -12.500 / 1,0850^3</t>
  </si>
  <si>
    <t>[Inc V (2023) / 360 x Plazo cobro V - Inc C (2023) / 360 x Plazo pago C] / (1+k0)^1 = [600.000 / 360 x 90 - 500.000 / 360 x 90] / (1,0850)^1</t>
  </si>
  <si>
    <t>t x VL (2025) = 0,25 x 350.000</t>
  </si>
  <si>
    <t>VE (2025) - t x [VE (2025) - VL (2025)] = 100.000 - 0,25 x (100.000 - 350.000)</t>
  </si>
  <si>
    <t>t x VE (2025) = 0,25 x 43.750</t>
  </si>
  <si>
    <t>t x VL (2025) = 0,25 x 62.500</t>
  </si>
  <si>
    <t>VE (2025) - t x [VE (2025) - VL (2025)] = 43.750 - 0,25 x (43.750 - 62.500)</t>
  </si>
  <si>
    <t>[VR máquina nueva (2025) - VR máquina vieja (2025)] / (1+k0)^3 = [162.500 - 48.438] / (1,0850)^3</t>
  </si>
  <si>
    <t>[Inc V (2025) / 360 x Plazo cobro V - Inc C (2025) / 360 x Plazo pago C] = 600.000 / 360 x 90 - 500.000 / 360 x 90</t>
  </si>
  <si>
    <t>[Inc V (2025) / 360 x Plazo cobro V - Inc C (2025) / 360 x Plazo pago C] / (1+k0)^3 = [600.000 / 360 x 90 - 500.000 / 360 x 90] / (1,0850)^3</t>
  </si>
  <si>
    <t>-[INV (2022) - Valor neto vieja máquina] + VA de (V-C) - VA de Imptos. (V-C) + VA escudos Inc AM - VA Inversión en FM + VA Inc VR por AF + VA rec. FM = - (500.000 - 193.750) + 255.402 - 63.851 + -7.981 - 23.041 + 89.300 + 19.573</t>
  </si>
  <si>
    <t>-[INV (2022) - VE (2022) vieja] + VA [Inc (V-C)] - VA [Inv en FM] + VA [VE (2025) nueva - VE (2025) vieja ] + VA [Rec FM] = -[500.000 - 175.000] + [(600.000 - 500.000) / (1,0950)^1 + (600.000 - 500.000) / (1,0950)^2 + (600.000 - 500.000) / (1,0950)^3] - [(150.000 - 125.000) / (1,0950)^1] + [(100.000 - 43.750) / (1,0950)^3] + [(150.000 - 125.000) / (1,0950)^3]</t>
  </si>
  <si>
    <t>Inversión en Clientes (2023) / (1+k0)^1 - Desinversión en Clientes (2025) / (1+k0)^3 = 600.000 / 360 x 90 / (1,0850)^1 - 600.000 / 360 x 90 / (1,0850)^3</t>
  </si>
  <si>
    <t>-Saldo Proveedores (2023) / (1+k0)^1 + Saldo Proveedores (2025) / (1+k0)^3 = -500.000 / 360 x 90 / (1,0850)^1 + 500.000 / 360 x 90 / (1,0850)^3</t>
  </si>
  <si>
    <t>-Existencias (2022) + Existencias (2025) / (1+k0)^3 = -100.000 + 100.000 / (1,0850)^3</t>
  </si>
  <si>
    <t>Proyecto de sustitución:  DI = 500.000 - [175.000 - 0,25 x (175.000 - 250.000)]</t>
  </si>
  <si>
    <t>DI = TINV|2022| = 306.250 euros</t>
  </si>
  <si>
    <t>DI = TINV|2022| = 693.750 euros</t>
  </si>
  <si>
    <t>DI = TINV|2022| = 325.000 euros</t>
  </si>
  <si>
    <t>DI = TINV|2022| = 675.000 euros</t>
  </si>
  <si>
    <t>Precio de liquidación antigua instalación = [175.000 - 0,25 x (175.000 - 250.000)]</t>
  </si>
  <si>
    <t>Valor de liquidación vieja máquina |2022| = 250.000 euros</t>
  </si>
  <si>
    <t>Valor de liquidación vieja máquina |2022| = 193.750 euros</t>
  </si>
  <si>
    <t>ΔV|2024| = 1.800.000 euros</t>
  </si>
  <si>
    <t>ΔV|2024| = 1.200.000 euros</t>
  </si>
  <si>
    <t>ΔV|2024| = 600.000 euros</t>
  </si>
  <si>
    <t>Amortización incremental = 500.000/10 - 250.000/4</t>
  </si>
  <si>
    <t>Incremento AM|2023| = 112.500 euros</t>
  </si>
  <si>
    <t>Incremento AM|2023| = -12.500 euros</t>
  </si>
  <si>
    <t>ΔAM|2025| = -12.500 euros</t>
  </si>
  <si>
    <t>ΔAM|2025| = 112.500 euros</t>
  </si>
  <si>
    <t>Incremento de Impuestos |2023| = tipo impositivo x ΔBAII = 0,25 x [600.000 - 500.000 - (500.000/10 - 250.000/4)]</t>
  </si>
  <si>
    <t>ΔImpuestos |2023| = 12.500 euros</t>
  </si>
  <si>
    <t>ΔImpuestos |2023| = 278.125 euros</t>
  </si>
  <si>
    <t>ΔImpuestos |2023| = 25.000 euros</t>
  </si>
  <si>
    <t>ΔImpuestos |2023| = 28.125 euros</t>
  </si>
  <si>
    <t>Incremento de caja |2024| = ΔBAIdI + ΔAM = 84.375 + (-12.500)</t>
  </si>
  <si>
    <t>ΔGF'|2024| = 92.813 euros</t>
  </si>
  <si>
    <t>ΔGF'|2024| = 96.875 euros</t>
  </si>
  <si>
    <t>ΔGF'|2024| = 109.688 euros</t>
  </si>
  <si>
    <t>ΔGF'|2024| = 71.875 euros</t>
  </si>
  <si>
    <t>Saldo de clientes aportado por el proyecto en el año 2024 = (600.000/360) x 90</t>
  </si>
  <si>
    <t>ΔClientes |2024| = 300.000 euros</t>
  </si>
  <si>
    <t>ΔClientes |2024| = 450.000 euros</t>
  </si>
  <si>
    <t>ΔClientes |2024| = 150.000 euros</t>
  </si>
  <si>
    <t>Saldo de proveedores aportado por el proyecto en el año 2025 = (500.000/360) x 90</t>
  </si>
  <si>
    <t>ΔProveedores |2025| = 137.500 euros</t>
  </si>
  <si>
    <t>ΔProveedores |2025| = 450.000 euros</t>
  </si>
  <si>
    <t>ΔProveedores |2025| = 487.500 euros</t>
  </si>
  <si>
    <t>No tiene sentido acumular los saldos de proveedores de los tres ejercicios. Saldo de proveedores |2025| = (500.000/360) x 90</t>
  </si>
  <si>
    <t>ΔProveedores |2025| = 125.000 euros</t>
  </si>
  <si>
    <t>Saldo de FM aportado por el proyecto en el año 2023 = (600.000/360) x 90 - (500.000/360) x 90</t>
  </si>
  <si>
    <t>ΔFM |2023| = 100.000 euros</t>
  </si>
  <si>
    <t>ΔFM |2023| = 25.000 euros</t>
  </si>
  <si>
    <t>ΔFM |2023| = 275.000 euros</t>
  </si>
  <si>
    <t>ΔΔFM |2024| = 25.000 euros</t>
  </si>
  <si>
    <t>ΔΔFM |2024| = 275.000 euros</t>
  </si>
  <si>
    <t>ΔΔFM |2024| = 150.000 euros</t>
  </si>
  <si>
    <t>Tesorería generada en el ejercicio 2023 = ΔBAIdI + ΔAM - ΔΔFM = 84.375 + (-12.500) - 25.000</t>
  </si>
  <si>
    <t>ΔGF |2023| = TINV |2023| = 79.063 euros</t>
  </si>
  <si>
    <t>ΔGF |2023| = TINV |2023| = 84.375 euros</t>
  </si>
  <si>
    <t>ΔGF |2023| = TINV |2023| = 93.438 euros</t>
  </si>
  <si>
    <t>ΔGF |2023| = TINV |2023| = 46.875 euros</t>
  </si>
  <si>
    <t>Valor residual incremental AF en el año 2025 = [100.000 - 0,25 x (100.000 - (500.000 - 3 x 500.000/10))] - [43.750 - 0,25 x (43.750 - 0)]</t>
  </si>
  <si>
    <t>ΔVR por liquidación de AF |2025| = 114.063 euros</t>
  </si>
  <si>
    <t>ΔVR por liquidación de AF |2025| = 175.000 euros</t>
  </si>
  <si>
    <t>ΔVR por liquidación de AF |2025| = 32.813 euros</t>
  </si>
  <si>
    <t>ΔVR por liquidación de AF |2025| = 162.500 euros</t>
  </si>
  <si>
    <t>Saldo de fondo de maniobra en el ejercicio 2025 = Clientes - Proveedores = (600.000/360) x 90 - (500.000/360) x 90</t>
  </si>
  <si>
    <t>ΔVR por liquidación de FM |2025| = 275.000 euros</t>
  </si>
  <si>
    <t>ΔVR por liquidación de FM |2025| = 25.000 euros</t>
  </si>
  <si>
    <t>ΔVR por liquidación de FM |2025| = 75.000 euros</t>
  </si>
  <si>
    <t>ki = Intereses x (1-t) / Deuda a largo plazo = 400.000 x (1 - 0,25) / 5.000.000</t>
  </si>
  <si>
    <t>ki = 8%</t>
  </si>
  <si>
    <t>ki = 10%</t>
  </si>
  <si>
    <t>ki = 0,06%</t>
  </si>
  <si>
    <t>ke = Dividendo esperado / Cotización + Crecimiento = 500.000 / 5.000.000 + 0,01</t>
  </si>
  <si>
    <t>ke = 0,11%</t>
  </si>
  <si>
    <t>ke = 9%</t>
  </si>
  <si>
    <t>El crecimiento no se resta, se suma:  ke = Dividendo esperado / Cotización + Crecimiento = 500.000 / 5.000.000 + 0,01</t>
  </si>
  <si>
    <t>ke = 11%</t>
  </si>
  <si>
    <t>k0 = (ki x FALP + ke x FP) / (FALP + FP) = (0,06 x 5.000.000 + 0,11 x 5.000.000) / (5.000.000 + 5.000.000)</t>
  </si>
  <si>
    <t>k0 = WACC = 8,5%</t>
  </si>
  <si>
    <t>k0 = WACC = 0,09%</t>
  </si>
  <si>
    <t>k0 = WACC = 9%</t>
  </si>
  <si>
    <t>k0 = WACC = 8%</t>
  </si>
  <si>
    <t>Supuesto que el perfil de fondos del proyecto fuera: TINV|2022|=-306.250; TINV|2023|=46.875; TINV|2024|=71.875; TINV|2025|=210.938:</t>
  </si>
  <si>
    <t>Proyecto no interesante: VAN (k0=8,5%) = -306.250 + 46.875/1,085 + 71.875/1,085^2 + 210.938/1,085^3 = -36.848 euros</t>
  </si>
  <si>
    <t>Proyecto no interesante: VAN (k0=11%)= -51.449 euros</t>
  </si>
  <si>
    <t>Proyecto no interesante: VAN (k0=6%)= -20.953 euros</t>
  </si>
  <si>
    <t>Proyecto no interesante: VAN (k0=8,5%)= -36.848 euros</t>
  </si>
  <si>
    <t>Proyecto no interesante: TRI = 3,01% &lt; k0 = 6%</t>
  </si>
  <si>
    <t>Proyecto no interesante: TRI = 3,01% &lt; k0 = 9,5%</t>
  </si>
  <si>
    <t>Proyecto no interesante: TRI = 3,01% &lt; k0 = 8,5%</t>
  </si>
  <si>
    <t>El proyecto rinde menos (TRI = 3,01%) que el coste medio ponderado del capital (k0 = 8,5%)</t>
  </si>
  <si>
    <t>Supuesto k0=8,5% y que el perfil de fondos del proyecto fuera: TINV|2022|=-306.250; TINV|2023|=46.875; TINV|2024|=71.875; TINV|2025|=210.938:</t>
  </si>
  <si>
    <t>Saldo acumulado |2022| = -306.250;  Saldo acumulado |2023| = -259.375;  Saldo acumulado |2024| = -187.500;  Saldo acumulado |2025| = 23.438</t>
  </si>
  <si>
    <t xml:space="preserve">VAN (K=8,50%) = </t>
  </si>
  <si>
    <t>=-306.250+46.875/1,09+71.875/1,09^2+210.938/1,09^3</t>
  </si>
  <si>
    <t xml:space="preserve">IR (K=8,50%) = </t>
  </si>
  <si>
    <t>=[-306.250+46.875/1,09+71.875/1,09^2+210.938/1,09^3] / 306.250</t>
  </si>
  <si>
    <t>0 = -306.250+46.875/(1+TRI)+71.875/(1+TRI)^2+210.938/(1+TRI)^3</t>
  </si>
  <si>
    <t>=46.875x1,085^2+71.875x1,085+210.938</t>
  </si>
  <si>
    <t>=46.875x1,030^2+71.875x1,030+210.938</t>
  </si>
  <si>
    <t>=-306.250+344.104/1,09^3</t>
  </si>
  <si>
    <t>=-306.250+334.709/1,09^3</t>
  </si>
  <si>
    <t>=[-306.250+344.104/1,09^3] / 306.250</t>
  </si>
  <si>
    <t>=[-306.250+334.709/1,09^3] / 306.250</t>
  </si>
  <si>
    <t xml:space="preserve">VAN (K=3,01%) = </t>
  </si>
  <si>
    <t>=-306.250+344.104/1,03^3</t>
  </si>
  <si>
    <t>=-306.250+334.709/1,03^3</t>
  </si>
  <si>
    <t xml:space="preserve">IR (K=3,01%) = </t>
  </si>
  <si>
    <t>=[-306.250+344.104/1,03^3] / 306.250</t>
  </si>
  <si>
    <t>=[-306.250+334.709/1,03^3] / 306.250</t>
  </si>
  <si>
    <t>0 = -306.250+344.104/(1+TRI)^3</t>
  </si>
  <si>
    <t>0 = -306.250+334.709/(1+TRI)^3</t>
  </si>
  <si>
    <t>Y que ambos proyectos tienen idéntico riesgo (por lo que el tipo de descuento aplicable es el mismo; en este caso, suponga un K=14,0%).</t>
  </si>
  <si>
    <t xml:space="preserve">VAN (K=7%) = </t>
  </si>
  <si>
    <t xml:space="preserve">VAN (K=14%) = </t>
  </si>
  <si>
    <t xml:space="preserve">A la vista de los resultados obtenidos, ¿puede afirmarse que hay discrepancia VAN-TRI? Independientemente de que cada uno de los dos proyectos fuera interesante o no por separado, si fuera necesario elegir entre ambos, ¿cuál sería la decisión si el tipo de descuento fuera igual a 14%? ¿y qué ocurriría si decidiéramos con la TRI? </t>
  </si>
  <si>
    <t>Román García, director financiero de la compañía ROMGA,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</si>
  <si>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1.200.000 dólares, podría amortizarse linealmente en 10 años, y se liquidaría al final del proyecto (tres años) por 120.000 dólares.</t>
  </si>
  <si>
    <t>Los datos relativos a la instalación a sustituir son los siguientes: su valor contable a día de hoy es de 300.000 dólares, que se amortizarían a partes iguales en los próximos 2 años; podrían liquidarse hoy por 210.000 dólares, o por 30.000 al final del tercer año.</t>
  </si>
  <si>
    <t>La nueva máquina presenta como ventaja la posibilidad de incrementar las ventas anuales (que se cobran a 60 días) en 600.000 dólares, lo que exigiría incurrir en un aumento de costes operativos con desembolso (que tienen un plazo de pago de 90 días) de 150.000.</t>
  </si>
  <si>
    <t>En lo que se refiere al pasivo a largo plazo de la empresa, los valores de mercado de Fondos ajenos a largo plazo y Fondos propios son de 6.000.000 y 24.000.000 dólares, respectivamente. Los intereses anuales a pagar por el disfrute de la deuda son de 360.000 dólares. En cuanto a los fondos propios, los accionistas esperan recibir un dividendo de 1.920.000 dólares, con un crecimiento anual del 2% para los próximos años.</t>
  </si>
  <si>
    <t>= 62.500 - 62.500</t>
  </si>
  <si>
    <t>-1.799,51  =  150.000/360x(60-90)/1,0890^1 - 150.000/360x(60-90)/1,0890^3</t>
  </si>
  <si>
    <t>= 1.200.000 - [210.000 - 0,25 x (210.000 - 300.000)]</t>
  </si>
  <si>
    <t>= 150.000</t>
  </si>
  <si>
    <t>= 1.200.000/10 - 300.000/2</t>
  </si>
  <si>
    <t>= 1.200.000/10 - 0</t>
  </si>
  <si>
    <t>= 600.000 - 150.000 - (-30.000)</t>
  </si>
  <si>
    <t>= 600.000 - 150.000 - 120.000</t>
  </si>
  <si>
    <t>= 0,25 x 480.000</t>
  </si>
  <si>
    <t>= 0,25 x 330.000</t>
  </si>
  <si>
    <t>= 480.000 - 120.000</t>
  </si>
  <si>
    <t>= 330.000 - 82.500</t>
  </si>
  <si>
    <t>= 360.000 + (-30.000)</t>
  </si>
  <si>
    <t>= 247.500 + 120.000</t>
  </si>
  <si>
    <t>= 600.000 / 360 x 60</t>
  </si>
  <si>
    <t>= 150.000 / 360 x 90</t>
  </si>
  <si>
    <t>= 100.000 - 37.500</t>
  </si>
  <si>
    <t>= 62.500 - 0</t>
  </si>
  <si>
    <t>= 330.000 - 62.500</t>
  </si>
  <si>
    <t>= 330.000 - 0</t>
  </si>
  <si>
    <t>= 367.500 - 0</t>
  </si>
  <si>
    <t>= [120.000 - 0,25 x (120.000 - 840.000)] - [30.000 - 0,25 x (30.000 - 0)]</t>
  </si>
  <si>
    <t>= 62.500</t>
  </si>
  <si>
    <t>= 277.500 + 62.500</t>
  </si>
  <si>
    <t>= - {1.200.000 - [210.000 - 0,25 x (210.000 - 300.000)]}</t>
  </si>
  <si>
    <t>= 367.500 - 0 + 340.000</t>
  </si>
  <si>
    <t>= 360.000 x (1 - 0,25) / 6.000.000</t>
  </si>
  <si>
    <t>= 1.920.000 / 24.000.000 + 0,02</t>
  </si>
  <si>
    <t>= 0,045 x 6.000.000 / (6.000.000 + 24.000.000) + 0,1 x 24.000.000 / (6.000.000 + 24.000.000)</t>
  </si>
  <si>
    <t>= -967.500 + 267.500/1,089 + 330.000/(1,089^2) + 707.500/(1,089^3)</t>
  </si>
  <si>
    <t xml:space="preserve">  0 = -967.500 + 267.500/(1+TRI) + 330.000/(1+TRI)^2 + 707.500/(1+TRI)^3</t>
  </si>
  <si>
    <t>Problema predefinido nº 5</t>
  </si>
  <si>
    <t>-2.128,75  =  (-10.000)/1,0890^1 + (-10.000)/1,0890^2 + (-10.000)/1,0890^3 + 0,25x(960.000-840.000)/1,0890^3</t>
  </si>
  <si>
    <t>-96.132,00  =  -(1.320.000-1.200.000) + 3.000/1,0890^1 + 3.000/1,0890^2 + 3.000/1,0890^3 + 0,25x[(1.320.000-1.200.000)x(1-3/10)]/1,0890^3</t>
  </si>
  <si>
    <t>-6.968,81  =  (108.000-120.000)x(1-0,25)/1,0890^3</t>
  </si>
  <si>
    <t>15.750,00  =  (231.000-210.000)x(1-0,25)</t>
  </si>
  <si>
    <t>-2.814,27  =  0,25x[(150.000/1,0890^1 + 150.000/1,0890^2 + 0/1,0890^3) - (300.000/1,0890^1 + 0/1,0890^2 + 0/1,0890^3)] + 0,25x(0-0)/1,0890^3</t>
  </si>
  <si>
    <t>894,37  =  0,25x(330.000-300.000) - 0,25x(15.000/1,0890^1 + 15.000/1,0890^2 + 0/1,0890^3) - 0,25x(0-0)/1,0890^3</t>
  </si>
  <si>
    <t>-15.750,00  =  (189.000-210.000)x(1-0,25)</t>
  </si>
  <si>
    <t>-1.742,20  =  -(33.000-30.000)x(1-0,25)/1,0890^3</t>
  </si>
  <si>
    <t>112.671,97  =  (660.000-600.000)x(1-0,25)/1,0890^1 + (660.000-600.000)x(1-0,25)/1,0890^2 + (660.000-600.000)x(1-0,25)/1,0890^3 - [(660.000-600.000)/360x60]/1,0890^1 + [(660.000-600.000)/360x60]/1,0890^3</t>
  </si>
  <si>
    <t>-7.198,05  =  -600.000/360x(90-60)/1,0890^1 + 600.000/360x(90-60)/1,0890^3</t>
  </si>
  <si>
    <t>27.988,04  =  (150.000-135.000)x(1-0,25)/1,0890^1 + (150.000-135.000)x(1-0,25)/1,0890^2 + (150.000-135.000)x(1-0,25)/1,0890^3 - [(150.000-135.000)/360x90]/1,0890^1 + [(150.000-135.000)/360x90]/1,0890^3</t>
  </si>
  <si>
    <t>-2.018,22  =  267.500x[1/1,0899^1 -1/1,0890^1] + 330.000x[1/1,0899^2 -1/1,0890^2] + 707.500x[1/1,0899^3 -1/1,0890^3]</t>
  </si>
  <si>
    <t>18.204,61  =  267.500x[1/1,0810^1 - 1/1,0890^1] + 330.000x[1/1,0810^2 - 1/1,0890^2] + 707.500x[1/1,0810^3 - 1/1,0890^3]</t>
  </si>
  <si>
    <t>-14.223,48  =  267.500x[1/1,0954^1 - 1/1,0890^1] + 330.000x[1/1,0954^2 - 1/1,0890^2] + 707.500x[1/1,0954^3 - 1/1,0890^3]</t>
  </si>
  <si>
    <t>11.575,31  =  267.500x[1/1,0839^1 - 1/1,0890^1] + 330.000x[1/1,0839^2 - 1/1,0890^2] + 707.500x[1/1,0839^3 - 1/1,0890^3]</t>
  </si>
  <si>
    <t>-12.241,22  =  267.500x[1/1,0945^1 - 1/1,0890^1] + 330.000x[1/1,0945^2 - 1/1,0890^2] + 707.500x[1/1,0945^3 - 1/1,0890^3]</t>
  </si>
  <si>
    <t>-20.174,21  =  267.500x[1/1,0884^1 - 1/1,0890^1] + 330.000x[1/1,0884^2 - 1/1,0890^2] + 707.500x[1/1,0884^3 - 1/1,0890^3] + (0,30 - 0,25) x [-(210.000-300.000) - (480.000/1,0884^1 + 480.000/1,0884^2 + 330.000/1,0884^3) - (120.000 - 840.000)/1,0884^3 + (30.000 - 0)/1,0884^3]</t>
  </si>
  <si>
    <t>218.457,14  =  [(600.000-150.000) x (1-0,25) + (120.000-0) x 0,25] /1,0890^4 + {[120.000-0,25x(120.000-720.000)] - [30.000-0,25x(30.000-0)] + 600.000/360x60 - 150.000/360x90} /1,0890^4 - 340.000/1,0890^3</t>
  </si>
  <si>
    <t>-30.000</t>
  </si>
  <si>
    <t>= 1.200.000/10-300.000/2</t>
  </si>
  <si>
    <t>37.500</t>
  </si>
  <si>
    <t>= 150.000/360x90</t>
  </si>
  <si>
    <t>= 360.000 x (1-0,25) / 6.000.000</t>
  </si>
  <si>
    <t>0,11</t>
  </si>
  <si>
    <t>= [-967.500 + 267.500/1,089 + 330.000/(1,089^2) + 707.500/(1,089^3)] / 967.500</t>
  </si>
  <si>
    <t>= 600.000-150.000-(-30.000)</t>
  </si>
  <si>
    <t>= 0,25x480.000</t>
  </si>
  <si>
    <t>= 480.000-120.000</t>
  </si>
  <si>
    <t>= 360.000+(-30.000)</t>
  </si>
  <si>
    <t>= 1.200.000/10-0</t>
  </si>
  <si>
    <t>= 600.000-150.000-120.000</t>
  </si>
  <si>
    <t>= 0,25x330.000</t>
  </si>
  <si>
    <t>= 330.000-82.500</t>
  </si>
  <si>
    <t>= 247.500+120.000</t>
  </si>
  <si>
    <t>= 600.000/360x60</t>
  </si>
  <si>
    <t>= 100.000-37.500</t>
  </si>
  <si>
    <t>= 62.500-0</t>
  </si>
  <si>
    <t>= 62.500-62.500</t>
  </si>
  <si>
    <t xml:space="preserve">-967.500 + 267.500 + 330.000 + 707.500 &gt; 0 </t>
  </si>
  <si>
    <t>1.200.000 - [210.000 - 0,25 x (210.000 - 300.000)]</t>
  </si>
  <si>
    <t>[120.000 - 0,25 x (120.000 - 840.000)] - [30.000 - 0,25 x (30.000 - 0)]</t>
  </si>
  <si>
    <t>62.500</t>
  </si>
  <si>
    <t>277.500 + 62.500</t>
  </si>
  <si>
    <t>360.000 x (1-0,25) / 6.000.000</t>
  </si>
  <si>
    <t>1.920.000 / 24.000.000 + 0,02</t>
  </si>
  <si>
    <t>0,045 x 6.000.000 / (6.000.000 + 24.000.000) + 0,1 x 24.000.000 / (6.000.000 + 24.000.000)</t>
  </si>
  <si>
    <t>150.000</t>
  </si>
  <si>
    <t>1.200.000/10 - 300.000/2</t>
  </si>
  <si>
    <t>600.000 - 150.000 - (1.200.000/10 - 300.000/2)</t>
  </si>
  <si>
    <t>0,25 x [600.000 - 150.000 - (1.200.000/10 - 300.000/2)]</t>
  </si>
  <si>
    <t>[600.000 - 150.000 - (1.200.000/10 - 300.000/2)] x (1-0,25)</t>
  </si>
  <si>
    <t>[600.000 - 150.000 - (1.200.000/10 - 300.000/2)] x (1-0,25) + -30.000</t>
  </si>
  <si>
    <t>600.000/360x60</t>
  </si>
  <si>
    <t>150.000/360x90</t>
  </si>
  <si>
    <t>(600.000/360x60) - (150.000/360x90)</t>
  </si>
  <si>
    <t>[(600.000/360x60) - (150.000/360x90)] - [0]</t>
  </si>
  <si>
    <t>{[600.000 - 150.000 - (1.200.000/10 - 300.000/2)] x (1-0,25) + -30.000} - {[(600.000/360x60) - (150.000/360x90)] - [0]}</t>
  </si>
  <si>
    <t>[(600.000/360x60) - (150.000/360x90)] - [(600.000/360x60) - (150.000/360x90)]</t>
  </si>
  <si>
    <t>{[600.000 - 150.000 - (1.200.000/10 - 300.000/2)] x (1-0,25) + -30.000} - {[(600.000/360x60) - (150.000/360x90)] - [(600.000/360x60) - (150.000/360x90)]}</t>
  </si>
  <si>
    <t>1.200.000/10 - 0</t>
  </si>
  <si>
    <t>600.000 - 150.000 - (1.200.000/10 - 0)</t>
  </si>
  <si>
    <t>0,25 x [600.000 - 150.000 - (1.200.000/10 - 0)]</t>
  </si>
  <si>
    <t>[600.000 - 150.000 - (1.200.000/10 - 0)] x (1-0,25)</t>
  </si>
  <si>
    <t>[600.000 - 150.000 - (1.200.000/10 - 0)] x (1-0,25) + 120.000</t>
  </si>
  <si>
    <t>{[600.000 - 150.000 - (1.200.000/10 - 0)] x (1-0,25) + 120.000} - {[(600.000/360x60) - (150.000/360x90)] - [(600.000/360x60) - (150.000/360x90)]}</t>
  </si>
  <si>
    <t>{[120.000 - 0,25 x (120.000 - 840.000)] - [30.000 - 0,25 x (30.000 - 0)]} + {(600.000/360x60) - (150.000/360x90)}</t>
  </si>
  <si>
    <t>- {1.200.000 - [210.000 - 0,25 x (210.000 - 300.000)]}</t>
  </si>
  <si>
    <t>{[600.000 - 150.000 - (1.200.000/10 - 0)] x (1-0,25) + 120.000} - {[(600.000/360x60) - (150.000/360x90)] - [(600.000/360x60) - (150.000/360x90)]} + {[120.000 - 0,25 x (120.000 - 840.000)] - [30.000 - 0,25 x (30.000 - 0)]} + {(600.000/360x60) - (150.000/360x90)}</t>
  </si>
  <si>
    <t>-967.500 + 267.500/1,089 + 330.000/(1,089^2) + 707.500/(1,089^3)</t>
  </si>
  <si>
    <t>[-967.500 + 267.500/1,089 + 330.000/(1,089^2) + 707.500/(1,089^3)] / 967.500</t>
  </si>
  <si>
    <t xml:space="preserve">232.500 = </t>
  </si>
  <si>
    <t>VE (2022) - t x [VE (2022) - VL (2022)] = 210.000 - 0,25 x (210.000 - 300.000)</t>
  </si>
  <si>
    <t>Intereses x (1 - t) / FALP (mercado) = 360.000 x (1 - 0,25) / 6.000.000</t>
  </si>
  <si>
    <t>Dividendo / FP (mercado) + g = 1.920.000 / 24.000.000 + 0,0200</t>
  </si>
  <si>
    <t>ki x {FALP (mercado) / [FALP (mercado) + FP (mercado)]} + ke x {FP (mercado) / [FALP (mercado) + FP (mercado)]} = 0,0450 x 6.000.000 / 30.000.000 + 0,1000 x 24.000.000 / 30.000.000</t>
  </si>
  <si>
    <t>[Inc V (2023) - Inc C (2023)] / (1+k0)^1 + [Inc V (2024) - Inc C (2024)] / (1+k0)^2 + [Inc V (2025) - Inc C (2025)] / (1+k0)^3 = 450.000 / 1,0890^1 + 450.000 / 1,0890^2 + 450.000 / 1,0890^3</t>
  </si>
  <si>
    <t>t x [Inc V (2023) - Inc C (2023)] / (1+k0)^1 + t x [Inc V (2024) - Inc C (2024)] / (1+k0)^2 + t x [Inc V (2025) - Inc C (2025)] / (1+k0)^3 = 0,25 x 450.000 / 1,0890^1 + 0,25 x 450.000 / 1,0890^2 + 0,25 x 450.000 / 1,0890^3</t>
  </si>
  <si>
    <t>t x [AM nueva (2023) - AM vieja (2023)] / (1+k0)^1 + t x [AM nueva (2024) - AM vieja (2024)] / (1+k0)^2 + t x [AM nueva (2025) - AM vieja (2025)] / (1+k0)^3 = 0,25 x -30.000 / 1,0890^1 + 0,25 x -30.000 / 1,0890^2 + 0,25 x 120.000 / 1,0890^3</t>
  </si>
  <si>
    <t>[Inc V (2023) / 360 x Plazo cobro V - Inc C (2023) / 360 x Plazo pago C] / (1+k0)^1 = [600.000 / 360 x 60 - 150.000 / 360 x 90] / (1,0890)^1</t>
  </si>
  <si>
    <t>t x VE (2025) = 0,25 x 120.000</t>
  </si>
  <si>
    <t>t x VL (2025) = 0,25 x 840.000</t>
  </si>
  <si>
    <t>VE (2025) - t x [VE (2025) - VL (2025)] = 120.000 - 0,25 x (120.000 - 840.000)</t>
  </si>
  <si>
    <t>t x VE (2025) = 0,25 x 30.000</t>
  </si>
  <si>
    <t>VE (2025) - t x [VE (2025) - VL (2025)] = 30.000 - 0,25 x (30.000 - 0)</t>
  </si>
  <si>
    <t>[VR máquina nueva (2025) - VR máquina vieja (2025)] / (1+k0)^3 = [300.000 - 22.500] / (1,0890)^3</t>
  </si>
  <si>
    <t>[Inc V (2025) / 360 x Plazo cobro V - Inc C (2025) / 360 x Plazo pago C] = 600.000 / 360 x 60 - 150.000 / 360 x 90</t>
  </si>
  <si>
    <t>[Inc V (2025) / 360 x Plazo cobro V - Inc C (2025) / 360 x Plazo pago C] / (1+k0)^3 = [600.000 / 360 x 60 - 150.000 / 360 x 90] / (1,0890)^3</t>
  </si>
  <si>
    <t>-[INV (2022) - Valor neto vieja máquina] + VA de (V-C) - VA de Imptos. (V-C) + VA escudos Inc AM - VA Inversión en FM + VA Inc VR por AF + VA rec. FM = - (1.200.000 - 232.500) + 1.141.116 - 285.279 + 10.018 - 57.392 + 214.872 + 48.395</t>
  </si>
  <si>
    <t>-[INV (2022) - VE (2022) vieja] + VA [Inc (V-C)] - VA [Inv en FM] + VA [VE (2025) nueva - VE (2025) vieja ] + VA [Rec FM] = -[1.200.000 - 210.000] + [(600.000 - 150.000) / (1,0920)^1 + (600.000 - 150.000) / (1,0920)^2 + (600.000 - 150.000) / (1,0920)^3] - [(100.000 - 37.500) / (1,0920)^1] + [(120.000 - 30.000) / (1,0920)^3] + [(100.000 - 37.500) / (1,0920)^3]</t>
  </si>
  <si>
    <t>Inversión en Clientes (2023) / (1+k0)^1 - Desinversión en Clientes (2025) / (1+k0)^3 = 600.000 / 360 x 60 / (1,0890)^1 - 600.000 / 360 x 60 / (1,0890)^3</t>
  </si>
  <si>
    <t>-Saldo Proveedores (2023) / (1+k0)^1 + Saldo Proveedores (2025) / (1+k0)^3 = -150.000 / 360 x 90 / (1,0890)^1 + 150.000 / 360 x 90 / (1,0890)^3</t>
  </si>
  <si>
    <t>-Existencias (2022) + Existencias (2025) / (1+k0)^3 = -100.000 + 100.000 / (1,0890)^3</t>
  </si>
  <si>
    <t>Proyecto de sustitución:  DI = 1.200.000 - [210.000 - 0,25 x (210.000 - 300.000)]</t>
  </si>
  <si>
    <t>DI = TINV|2022| = 967.500 euros</t>
  </si>
  <si>
    <t>DI = TINV|2022| = 1.432.500 euros</t>
  </si>
  <si>
    <t>DI = TINV|2022| = 990.000 euros</t>
  </si>
  <si>
    <t>DI = TINV|2022| = 1.410.000 euros</t>
  </si>
  <si>
    <t>Precio de liquidación antigua instalación = [210.000 - 0,25 x (210.000 - 300.000)]</t>
  </si>
  <si>
    <t>Valor de liquidación vieja máquina |2022| = 300.000 euros</t>
  </si>
  <si>
    <t>Valor de liquidación vieja máquina |2022| = 210.000 euros</t>
  </si>
  <si>
    <t>Valor de liquidación vieja máquina |2022| = 232.500 euros</t>
  </si>
  <si>
    <t>Amortización incremental = 1.200.000/10 - 300.000/2</t>
  </si>
  <si>
    <t>Incremento AM|2023| = 270.000 euros</t>
  </si>
  <si>
    <t>Incremento AM|2023| = -30.000 euros</t>
  </si>
  <si>
    <t>Incremento AM|2023| = 120.000 euros</t>
  </si>
  <si>
    <t>Amortización incremental = 1.200.000/10 - 0 (la vieja instalación está totalmente amortizada a estas alturas de la vida del proyecto)</t>
  </si>
  <si>
    <t>ΔAM|2025| = -30.000 euros</t>
  </si>
  <si>
    <t>ΔAM|2025| = 120.000 euros</t>
  </si>
  <si>
    <t>ΔAM|2025| = 270.000 euros</t>
  </si>
  <si>
    <t>Incremento de Impuestos |2023| = tipo impositivo x ΔBAII = 0,25 x [600.000 - 150.000 - (1.200.000/10 - 300.000/2)]</t>
  </si>
  <si>
    <t>ΔImpuestos |2023| = 82.500 euros</t>
  </si>
  <si>
    <t>ΔImpuestos |2023| = 195.000 euros</t>
  </si>
  <si>
    <t>ΔImpuestos |2023| = 112.500 euros</t>
  </si>
  <si>
    <t>ΔImpuestos |2023| = 120.000 euros</t>
  </si>
  <si>
    <t>Incremento de caja |2024| = ΔBAIdI + ΔAM = 360.000 + (-30.000)</t>
  </si>
  <si>
    <t>ΔGF'|2024| = 360.000 euros</t>
  </si>
  <si>
    <t>ΔGF'|2024| = 390.000 euros</t>
  </si>
  <si>
    <t>ΔGF'|2024| = 247.500 euros</t>
  </si>
  <si>
    <t>ΔGF'|2024| = 330.000 euros</t>
  </si>
  <si>
    <t>Saldo de clientes aportado por el proyecto en el año 2024 = (600.000/360) x 60</t>
  </si>
  <si>
    <t>ΔClientes |2024| = 200.000 euros</t>
  </si>
  <si>
    <t>ΔClientes |2024| = 500.000 euros</t>
  </si>
  <si>
    <t>ΔClientes |2024| = 100.000 euros</t>
  </si>
  <si>
    <t>Saldo de proveedores aportado por el proyecto en el año 2025 = (150.000/360) x 90</t>
  </si>
  <si>
    <t>ΔProveedores |2025| = 25.000 euros</t>
  </si>
  <si>
    <t>ΔProveedores |2025| = 135.000 euros</t>
  </si>
  <si>
    <t>ΔProveedores |2025| = 146.250 euros</t>
  </si>
  <si>
    <t>No tiene sentido acumular los saldos de proveedores de los tres ejercicios. Saldo de proveedores |2025| = (150.000/360) x 90</t>
  </si>
  <si>
    <t>ΔProveedores |2025| = 37.500 euros</t>
  </si>
  <si>
    <t>Saldo de FM aportado por el proyecto en el año 2023 = (600.000/360) x 60 - (150.000/360) x 90</t>
  </si>
  <si>
    <t>ΔFM |2023| = 450.000 euros</t>
  </si>
  <si>
    <t>ΔFM |2023| = 62.500 euros</t>
  </si>
  <si>
    <t>ΔFM |2023| = 137.500 euros</t>
  </si>
  <si>
    <t>ΔΔFM |2024| = 62.500 euros</t>
  </si>
  <si>
    <t>ΔΔFM |2024| = 137.500 euros</t>
  </si>
  <si>
    <t>ΔΔFM |2024| = 100.000 euros</t>
  </si>
  <si>
    <t>Tesorería generada en el ejercicio 2023 = ΔBAIdI + ΔAM - ΔΔFM = 360.000 + (-30.000) - 62.500</t>
  </si>
  <si>
    <t>ΔGF |2023| = TINV |2023| = 330.000 euros</t>
  </si>
  <si>
    <t>ΔGF |2023| = TINV |2023| = 360.000 euros</t>
  </si>
  <si>
    <t>ΔGF |2023| = TINV |2023| = 327.500 euros</t>
  </si>
  <si>
    <t>ΔGF |2023| = TINV |2023| = 267.500 euros</t>
  </si>
  <si>
    <t>Valor residual incremental AF en el año 2025 = [120.000 - 0,25 x (120.000 - (1.200.000 - 3 x 1.200.000/10))] - [30.000 - 0,25 x (30.000 - 0)]</t>
  </si>
  <si>
    <t>ΔVR por liquidación de AF |2025| = 277.500 euros</t>
  </si>
  <si>
    <t>ΔVR por liquidación de AF |2025| = 210.000 euros</t>
  </si>
  <si>
    <t>ΔVR por liquidación de AF |2025| = 22.500 euros</t>
  </si>
  <si>
    <t>ΔVR por liquidación de AF |2025| = 300.000 euros</t>
  </si>
  <si>
    <t>Saldo de fondo de maniobra en el ejercicio 2025 = Clientes - Proveedores = (600.000/360) x 60 - (150.000/360) x 90</t>
  </si>
  <si>
    <t>ΔVR por liquidación de FM |2025| = 137.500 euros</t>
  </si>
  <si>
    <t>ΔVR por liquidación de FM |2025| = 62.500 euros</t>
  </si>
  <si>
    <t>ΔVR por liquidación de FM |2025| = 387.500 euros</t>
  </si>
  <si>
    <t>ki = Intereses x (1-t) / Deuda a largo plazo = 360.000 x (1 - 0,25) / 6.000.000</t>
  </si>
  <si>
    <t>ke = Dividendo esperado / Cotización + Crecimiento = 1.920.000 / 24.000.000 + 0,02</t>
  </si>
  <si>
    <t>ke = 0,1%</t>
  </si>
  <si>
    <t>ke = 6%</t>
  </si>
  <si>
    <t>El crecimiento no se resta, se suma:  ke = Dividendo esperado / Cotización + Crecimiento = 1.920.000 / 24.000.000 + 0,02</t>
  </si>
  <si>
    <t>ke = 10%</t>
  </si>
  <si>
    <t>k0 = (ki x FALP + ke x FP) / (FALP + FP) = (0,045 x 6.000.000 + 0,1 x 24.000.000) / (6.000.000 + 24.000.000)</t>
  </si>
  <si>
    <t>k0 = WACC = 8,9%</t>
  </si>
  <si>
    <t>k0 = WACC = 0,076%</t>
  </si>
  <si>
    <t>k0 = WACC = 7,6%</t>
  </si>
  <si>
    <t>k0 = WACC = 7,3%</t>
  </si>
  <si>
    <t>Supuesto que el perfil de fondos del proyecto fuera: TINV|2022|=-967.500; TINV|2023|=267.500; TINV|2024|=330.000; TINV|2025|=707.500:</t>
  </si>
  <si>
    <t>Proyecto interesante: VAN (k0=8,9%) = -967.500 + 267.500/1,089 + 330.000/1,089^2 + 707.500/1,089^3 = 104.229 euros</t>
  </si>
  <si>
    <t>Proyecto interesante: VAN (k0=10%)= 79.964 euros</t>
  </si>
  <si>
    <t>Proyecto interesante: VAN (k0=4,5%)= 210.652 euros</t>
  </si>
  <si>
    <t>Proyecto interesante: VAN (k0=8,9%)= 104.229 euros</t>
  </si>
  <si>
    <t>Proyecto interesante: TRI = 13,93% &gt; k0 = 4,5%</t>
  </si>
  <si>
    <t>Proyecto interesante: TRI = 13,93% &gt; k0 = 8%</t>
  </si>
  <si>
    <t>Proyecto interesante: TRI = 13,93% &gt; k0 = 8,9%</t>
  </si>
  <si>
    <t>El proyecto rinde más (TRI = 13,93%) que el coste medio ponderado del capital (k0 = 8,9%)</t>
  </si>
  <si>
    <t>Supuesto k0=8,9% y que el perfil de fondos del proyecto fuera: TINV|2022|=-967.500; TINV|2023|=267.500; TINV|2024|=330.000; TINV|2025|=707.500:</t>
  </si>
  <si>
    <t>Saldo acumulado |2022| = -967.500;  Saldo acumulado |2023| = -700.000;  Saldo acumulado |2024| = -370.000;  Saldo acumulado |2025| = 337.500</t>
  </si>
  <si>
    <t xml:space="preserve">VAN (K=8,90%) = </t>
  </si>
  <si>
    <t>=-967.500+267.500/1,09+330.000/1,09^2+707.500/1,09^3</t>
  </si>
  <si>
    <t xml:space="preserve">IR (K=8,90%) = </t>
  </si>
  <si>
    <t>=[-967.500+267.500/1,09+330.000/1,09^2+707.500/1,09^3] / 967.500</t>
  </si>
  <si>
    <t>0 = -967.500+267.500/(1+TRI)+330.000/(1+TRI)^2+707.500/(1+TRI)^3</t>
  </si>
  <si>
    <t>=267.500x1,089^2+330.000x1,089+707.500</t>
  </si>
  <si>
    <t>=267.500x1,139^2+330.000x1,139+707.500</t>
  </si>
  <si>
    <t>=-967.500+1.384.104/1,09^3</t>
  </si>
  <si>
    <t>=-967.500+1.430.662/1,09^3</t>
  </si>
  <si>
    <t>=[-967.500+1.384.104/1,09^3] / 967.500</t>
  </si>
  <si>
    <t>=[-967.500+1.430.662/1,09^3] / 967.500</t>
  </si>
  <si>
    <t xml:space="preserve">VAN (K=13,93%) = </t>
  </si>
  <si>
    <t>=-967.500+1.384.104/1,14^3</t>
  </si>
  <si>
    <t>=-967.500+1.430.662/1,14^3</t>
  </si>
  <si>
    <t xml:space="preserve">IR (K=13,93%) = </t>
  </si>
  <si>
    <t>=[-967.500+1.384.104/1,14^3] / 967.500</t>
  </si>
  <si>
    <t>=[-967.500+1.430.662/1,14^3] / 967.500</t>
  </si>
  <si>
    <t>0 = -967.500+1.384.104/(1+TRI)^3</t>
  </si>
  <si>
    <t>0 = -967.500+1.430.662/(1+TRI)^3</t>
  </si>
  <si>
    <t>Y que ambos proyectos tienen idéntico riesgo (por lo que el tipo de descuento aplicable es el mismo; en este caso, suponga un K=8,0%).</t>
  </si>
  <si>
    <t xml:space="preserve">VAN (K=8%) = </t>
  </si>
  <si>
    <t xml:space="preserve">VAN (K=15%) = </t>
  </si>
  <si>
    <t xml:space="preserve">A la vista de los resultados obtenidos, ¿puede afirmarse que hay discrepancia VAN-TRI? Independientemente de que cada uno de los dos proyectos fuera interesante o no por separado, si fuera necesario elegir entre ambos, ¿cuál sería la decisión si el tipo de descuento fuera igual a 8%? ¿y qué ocurriría si decidiéramos con la TRI? </t>
  </si>
  <si>
    <t>Isabel Bolaños, director financiero de la compañía ISABO, S.A., se encuentra analizando, a 31 de diciembre de 2022 las inversiones a realizar en los próximos años. Entre ellas, se encuentra la sustitución de una vieja máquina que, aunque algo obsoleta, podría seguir prestando sus servicios los próximos tres años. Sin embargo, cabe la posibilidad de sustituirla por otra más moderna, para lo que ha recopilado la información que se presenta a continuación.</t>
  </si>
  <si>
    <t>El precio de compra de la nueva máquina es de 750.000 dólares, podría amortizarse linealmente en 10 años, y se liquidaría al final del proyecto (tres años) por 75.000 dólares.</t>
  </si>
  <si>
    <t>Los datos relativos a la instalación a sustituir son los siguientes: su valor contable a día de hoy es de 187.500 dólares, que se amortizarían a partes iguales en los próximos 4 años; podrían liquidarse hoy por 225.000 dólares, o por 45.000 al final del tercer año.</t>
  </si>
  <si>
    <t>La nueva máquina presenta como ventaja la posibilidad de incrementar las ventas anuales (que se cobran a 90 días) en 250.000 dólares, y permitiría conseguir a la vez una reducción de costes operativos con desembolso (que tienen un plazo de pago de 90 días) de 25.000.</t>
  </si>
  <si>
    <t>En lo que se refiere al pasivo a largo plazo de la empresa, los valores de mercado de Fondos ajenos a largo plazo y Fondos propios son de 6.000.000 y 18.000.000 dólares, respectivamente. Los intereses anuales a pagar por el disfrute de la deuda son de 420.000 dólares. En cuanto a los fondos propios, los accionistas esperan recibir un dividendo de 1.800.000 dólares, con un crecimiento anual del 2% para los próximos años.</t>
  </si>
  <si>
    <t>= 68.750 - 68.750</t>
  </si>
  <si>
    <t>336,60  =  (-25.000)/360x(60-90)/1,1031^1 - (-25.000)/360x(60-90)/1,1031^3</t>
  </si>
  <si>
    <t>= 750.000 - [225.000 - 0,25 x (225.000 - 187.500)]</t>
  </si>
  <si>
    <t>= 250.000</t>
  </si>
  <si>
    <t>= -25.000</t>
  </si>
  <si>
    <t>= 750.000/10 - 187.500/4</t>
  </si>
  <si>
    <t>= 250.000 - (-25.000) - 28.125</t>
  </si>
  <si>
    <t>= 0,25 x 246.875</t>
  </si>
  <si>
    <t>= 246.875 - 61.719</t>
  </si>
  <si>
    <t>= 185.156 + 28.125</t>
  </si>
  <si>
    <t>= 250.000 / 360 x 90</t>
  </si>
  <si>
    <t>= -25.000 / 360 x 90</t>
  </si>
  <si>
    <t>= 62.500 - (-6.250)</t>
  </si>
  <si>
    <t>= 68.750 - 0</t>
  </si>
  <si>
    <t>= 213.281 - 68.750</t>
  </si>
  <si>
    <t>= 213.281 - 0</t>
  </si>
  <si>
    <t>= [75.000 - 0,25 x (75.000 - 525.000)] - [45.000 - 0,25 x (45.000 - 46.875)]</t>
  </si>
  <si>
    <t>= 68.750</t>
  </si>
  <si>
    <t>= 142.031 + 68.750</t>
  </si>
  <si>
    <t>= - {750.000 - [225.000 - 0,25 x (225.000 - 187.500)]}</t>
  </si>
  <si>
    <t>= 213.281 - 0 + 210.781</t>
  </si>
  <si>
    <t>= 420.000 x (1 - 0,25) / 6.000.000</t>
  </si>
  <si>
    <t>= 1.800.000 / 18.000.000 + 0,02</t>
  </si>
  <si>
    <t>= 0,0525 x 6.000.000 / (6.000.000 + 18.000.000) + 0,12 x 18.000.000 / (6.000.000 + 18.000.000)</t>
  </si>
  <si>
    <t>= -534.375 + 144.531/1,1031 + 213.281/(1,1031^2) + 424.063/(1,1031^3)</t>
  </si>
  <si>
    <t xml:space="preserve">  0 = -534.375 + 144.531/(1+TRI) + 213.281/(1+TRI)^2 + 424.063/(1+TRI)^3</t>
  </si>
  <si>
    <t>Problema predefinido nº 6</t>
  </si>
  <si>
    <t>-1.489,94  =  (-6.250)/1,1031^1 + (-6.250)/1,1031^2 + (-6.250)/1,1031^3 + 0,25x(600.000-525.000)/1,1031^3</t>
  </si>
  <si>
    <t>-60.585,25  =  -(825.000-750.000) + 1.875/1,1031^1 + 1.875/1,1031^2 + 1.875/1,1031^3 + 0,25x[(825.000-750.000)x(1-3/10)]/1,1031^3</t>
  </si>
  <si>
    <t>-4.190,33  =  (67.500-75.000)x(1-0,25)/1,1031^3</t>
  </si>
  <si>
    <t>16.875,00  =  (247.500-225.000)x(1-0,25)</t>
  </si>
  <si>
    <t>-931,21  =  0,25x[(46.875/1,1031^1 + 46.875/1,1031^2 + 46.875/1,1031^3) - (62.500/1,1031^1 + 62.500/1,1031^2 + 62.500/1,1031^3)] + 0,25x(46.875-0)/1,1031^3</t>
  </si>
  <si>
    <t>916,19  =  0,25x(206.250-187.500) - 0,25x(4.688/1,1031^1 + 4.688/1,1031^2 + 4.688/1,1031^3) - 0,25x(51.563-46.875)/1,1031^3</t>
  </si>
  <si>
    <t>-16.875,00  =  (202.500-225.000)x(1-0,25)</t>
  </si>
  <si>
    <t>-2.514,20  =  -(49.500-45.000)x(1-0,25)/1,1031^3</t>
  </si>
  <si>
    <t>45.363,34  =  (275.000-250.000)x(1-0,25)/1,1031^1 + (275.000-250.000)x(1-0,25)/1,1031^2 + (275.000-250.000)x(1-0,25)/1,1031^3 - [(275.000-250.000)/360x90]/1,1031^1 + [(275.000-250.000)/360x90]/1,1031^3</t>
  </si>
  <si>
    <t>-3.366,00  =  -250.000/360x(120-90)/1,1031^1 + 250.000/360x(120-90)/1,1031^3</t>
  </si>
  <si>
    <t>4.536,33  =  (-25.000-(-27.500))x(1-0,25)/1,1031^1 + (-25.000-(-27.500))x(1-0,25)/1,1031^2 + (-25.000-(-27.500))x(1-0,25)/1,1031^3 - [(-25.000-(-27.500))/360x90]/1,1031^1 + [(-25.000-(-27.500))/360x90]/1,1031^3</t>
  </si>
  <si>
    <t>-1.696,94  =  144.531x[1/1,1044^1 -1/1,1031^1] + 213.281x[1/1,1044^2 -1/1,1031^2] + 424.063x[1/1,1044^3 -1/1,1031^3]</t>
  </si>
  <si>
    <t>9.836,66  =  144.531x[1/1,0956^1 - 1/1,1031^1] + 213.281x[1/1,0956^2 - 1/1,1031^2] + 424.063x[1/1,0956^3 - 1/1,1031^3]</t>
  </si>
  <si>
    <t>-9.600,68  =  144.531x[1/1,1106^1 - 1/1,1031^1] + 213.281x[1/1,1106^2 - 1/1,1031^2] + 424.063x[1/1,1106^3 - 1/1,1031^3]</t>
  </si>
  <si>
    <t>7.585,17  =  144.531x[1/1,0973^1 - 1/1,1031^1] + 213.281x[1/1,0973^2 - 1/1,1031^2] + 424.063x[1/1,0973^3 - 1/1,1031^3]</t>
  </si>
  <si>
    <t>-10.784,54  =  144.531x[1/1,1116^1 - 1/1,1031^1] + 213.281x[1/1,1116^2 - 1/1,1031^2] + 424.063x[1/1,1116^3 - 1/1,1031^3]</t>
  </si>
  <si>
    <t>-14.584,32  =  144.531x[1/1,1023^1 - 1/1,1031^1] + 213.281x[1/1,1023^2 - 1/1,1031^2] + 424.063x[1/1,1023^3 - 1/1,1031^3] + (0,30 - 0,25) x [-(225.000-187.500) - (246.875/1,1023^1 + 246.875/1,1023^2 + 246.875/1,1023^3) - (75.000 - 525.000)/1,1023^3 + (45.000 - 46.875)/1,1023^3]</t>
  </si>
  <si>
    <t>124.603,00  =  [(250.000-(-25.000)) x (1-0,25) + (75.000-46.875) x 0,25] /1,1031^4 + {[75.000-0,25x(75.000-450.000)] - [45.000-0,25x(45.000-0)] + 250.000/360x90 - (-25.000)/360x90} /1,1031^4 - 210.781/1,1031^3</t>
  </si>
  <si>
    <t>28.125</t>
  </si>
  <si>
    <t>= 750.000/10-187.500/4</t>
  </si>
  <si>
    <t>-6.250</t>
  </si>
  <si>
    <t>= -25.000/360x90</t>
  </si>
  <si>
    <t>= 420.000 x (1-0,25) / 6.000.000</t>
  </si>
  <si>
    <t>0,16</t>
  </si>
  <si>
    <t>= [-534.375 + 144.531/1,1031 + 213.281/(1,1031^2) + 424.063/(1,1031^3)] / 534.375</t>
  </si>
  <si>
    <t>= 250.000-(-25.000)-28.125</t>
  </si>
  <si>
    <t>= 0,25x246.875</t>
  </si>
  <si>
    <t>= 246.875-61.719</t>
  </si>
  <si>
    <t>= 185.156+28.125</t>
  </si>
  <si>
    <t>= 250.000/360x90</t>
  </si>
  <si>
    <t>= 62.500-(-6.250)</t>
  </si>
  <si>
    <t>= 68.750-0</t>
  </si>
  <si>
    <t>= 68.750-68.750</t>
  </si>
  <si>
    <t xml:space="preserve">-534.375 + 144.531 + 213.281 + 424.063 &gt; 0 </t>
  </si>
  <si>
    <t>750.000 - [225.000 - 0,25 x (225.000 - 187.500)]</t>
  </si>
  <si>
    <t>[75.000 - 0,25 x (75.000 - 525.000)] - [45.000 - 0,25 x (45.000 - 46.875)]</t>
  </si>
  <si>
    <t>68.750</t>
  </si>
  <si>
    <t>142.031 + 68.750</t>
  </si>
  <si>
    <t>420.000 x (1-0,25) / 6.000.000</t>
  </si>
  <si>
    <t>1.800.000 / 18.000.000 + 0,02</t>
  </si>
  <si>
    <t>0,0525 x 6.000.000 / (6.000.000 + 18.000.000) + 0,12 x 18.000.000 / (6.000.000 + 18.000.000)</t>
  </si>
  <si>
    <t>250.000</t>
  </si>
  <si>
    <t>-25.000</t>
  </si>
  <si>
    <t>750.000/10 - 187.500/4</t>
  </si>
  <si>
    <t>250.000 - (-25.000) - (750.000/10 - 187.500/4)</t>
  </si>
  <si>
    <t>0,25 x [250.000 - (-25.000) - (750.000/10 - 187.500/4)]</t>
  </si>
  <si>
    <t>[250.000 - (-25.000) - (750.000/10 - 187.500/4)] x (1-0,25)</t>
  </si>
  <si>
    <t>[250.000 - (-25.000) - (750.000/10 - 187.500/4)] x (1-0,25) + 28.125</t>
  </si>
  <si>
    <t>250.000/360x90</t>
  </si>
  <si>
    <t>-25.000/360x90</t>
  </si>
  <si>
    <t>(250.000/360x90) - (-25.000/360x90)</t>
  </si>
  <si>
    <t>[(250.000/360x90) - (-25.000/360x90)] - [0]</t>
  </si>
  <si>
    <t>{[250.000 - (-25.000) - (750.000/10 - 187.500/4)] x (1-0,25) + 28.125} - {[(250.000/360x90) - (-25.000/360x90)] - [0]}</t>
  </si>
  <si>
    <t>[(250.000/360x90) - (-25.000/360x90)] - [(250.000/360x90) - (-25.000/360x90)]</t>
  </si>
  <si>
    <t>{[250.000 - (-25.000) - (750.000/10 - 187.500/4)] x (1-0,25) + 28.125} - {[(250.000/360x90) - (-25.000/360x90)] - [(250.000/360x90) - (-25.000/360x90)]}</t>
  </si>
  <si>
    <t>{[75.000 - 0,25 x (75.000 - 525.000)] - [45.000 - 0,25 x (45.000 - 46.875)]} + {(250.000/360x90) - (-25.000/360x90)}</t>
  </si>
  <si>
    <t>- {750.000 - [225.000 - 0,25 x (225.000 - 187.500)]}</t>
  </si>
  <si>
    <t>{[250.000 - (-25.000) - (750.000/10 - 187.500/4)] x (1-0,25) + 28.125} - {[(250.000/360x90) - (-25.000/360x90)] - [(250.000/360x90) - (-25.000/360x90)]} + {[75.000 - 0,25 x (75.000 - 525.000)] - [45.000 - 0,25 x (45.000 - 46.875)]} + {(250.000/360x90) - (-25.000/360x90)}</t>
  </si>
  <si>
    <t>-534.375 + 144.531/1,1031 + 213.281/(1,1031^2) + 424.063/(1,1031^3)</t>
  </si>
  <si>
    <t>[-534.375 + 144.531/1,1031 + 213.281/(1,1031^2) + 424.063/(1,1031^3)] / 534.375</t>
  </si>
  <si>
    <t xml:space="preserve">215.625 = </t>
  </si>
  <si>
    <t>VE (2022) - t x [VE (2022) - VL (2022)] = 225.000 - 0,25 x (225.000 - 187.500)</t>
  </si>
  <si>
    <t>Intereses x (1 - t) / FALP (mercado) = 420.000 x (1 - 0,25) / 6.000.000</t>
  </si>
  <si>
    <t>Dividendo / FP (mercado) + g = 1.800.000 / 18.000.000 + 0,0200</t>
  </si>
  <si>
    <t>ki x {FALP (mercado) / [FALP (mercado) + FP (mercado)]} + ke x {FP (mercado) / [FALP (mercado) + FP (mercado)]} = 0,0525 x 6.000.000 / 24.000.000 + 0,1200 x 18.000.000 / 24.000.000</t>
  </si>
  <si>
    <t>[Inc V (2023) - Inc C (2023)] / (1+k0)^1 + [Inc V (2024) - Inc C (2024)] / (1+k0)^2 + [Inc V (2025) - Inc C (2025)] / (1+k0)^3 = 275.000 / 1,1031^1 + 275.000 / 1,1031^2 + 275.000 / 1,1031^3</t>
  </si>
  <si>
    <t>t x [Inc V (2023) - Inc C (2023)] / (1+k0)^1 + t x [Inc V (2024) - Inc C (2024)] / (1+k0)^2 + t x [Inc V (2025) - Inc C (2025)] / (1+k0)^3 = 0,25 x 275.000 / 1,1031^1 + 0,25 x 275.000 / 1,1031^2 + 0,25 x 275.000 / 1,1031^3</t>
  </si>
  <si>
    <t>t x [AM nueva (2023) - AM vieja (2023)] / (1+k0)^1 + t x [AM nueva (2024) - AM vieja (2024)] / (1+k0)^2 + t x [AM nueva (2025) - AM vieja (2025)] / (1+k0)^3 = 0,25 x 28.125 / 1,1031^1 + 0,25 x 28.125 / 1,1031^2 + 0,25 x 28.125 / 1,1031^3</t>
  </si>
  <si>
    <t>[Inc V (2023) / 360 x Plazo cobro V - Inc C (2023) / 360 x Plazo pago C] / (1+k0)^1 = [250.000 / 360 x 90 - -25.000 / 360 x 90] / (1,1031)^1</t>
  </si>
  <si>
    <t>t x VE (2025) = 0,25 x 75.000</t>
  </si>
  <si>
    <t>t x VL (2025) = 0,25 x 525.000</t>
  </si>
  <si>
    <t>VE (2025) - t x [VE (2025) - VL (2025)] = 75.000 - 0,25 x (75.000 - 525.000)</t>
  </si>
  <si>
    <t>t x VE (2025) = 0,25 x 45.000</t>
  </si>
  <si>
    <t>t x VL (2025) = 0,25 x 46.875</t>
  </si>
  <si>
    <t>VE (2025) - t x [VE (2025) - VL (2025)] = 45.000 - 0,25 x (45.000 - 46.875)</t>
  </si>
  <si>
    <t>[VR máquina nueva (2025) - VR máquina vieja (2025)] / (1+k0)^3 = [187.500 - 45.469] / (1,1031)^3</t>
  </si>
  <si>
    <t>[Inc V (2025) / 360 x Plazo cobro V - Inc C (2025) / 360 x Plazo pago C] = 250.000 / 360 x 90 - -25.000 / 360 x 90</t>
  </si>
  <si>
    <t>[Inc V (2025) / 360 x Plazo cobro V - Inc C (2025) / 360 x Plazo pago C] / (1+k0)^3 = [250.000 / 360 x 90 - -25.000 / 360 x 90] / (1,1031)^3</t>
  </si>
  <si>
    <t>-[INV (2022) - Valor neto vieja máquina] + VA de (V-C) - VA de Imptos. (V-C) + VA escudos Inc AM - VA Inversión en FM + VA Inc VR por AF + VA rec. FM = - (750.000 - 215.625) + 680.139 - 170.035 + 17.390 - 62.323 + 105.806 + 51.215</t>
  </si>
  <si>
    <t>-[INV (2022) - VE (2022) vieja] + VA [Inc (V-C)] - VA [Inv en FM] + VA [VE (2025) nueva - VE (2025) vieja ] + VA [Rec FM] = -[750.000 - 225.000] + [(250.000 - -25.000) / (1,1075)^1 + (250.000 - -25.000) / (1,1075)^2 + (250.000 - -25.000) / (1,1075)^3] - [(62.500 - -6.250) / (1,1075)^1] + [(75.000 - 45.000) / (1,1075)^3] + [(62.500 - -6.250) / (1,1075)^3]</t>
  </si>
  <si>
    <t>Inversión en Clientes (2023) / (1+k0)^1 - Desinversión en Clientes (2025) / (1+k0)^3 = 250.000 / 360 x 90 / (1,1031)^1 - 250.000 / 360 x 90 / (1,1031)^3</t>
  </si>
  <si>
    <t>-Saldo Proveedores (2023) / (1+k0)^1 + Saldo Proveedores (2025) / (1+k0)^3 = 25.000 / 360 x 90 / (1,1031)^1 + -25.000 / 360 x 90 / (1,1031)^3</t>
  </si>
  <si>
    <t>-Existencias (2022) + Existencias (2025) / (1+k0)^3 = -100.000 + 100.000 / (1,1031)^3</t>
  </si>
  <si>
    <t>Proyecto de sustitución:  DI = 750.000 - [225.000 - 0,25 x (225.000 - 187.500)]</t>
  </si>
  <si>
    <t>DI = TINV|2022| = 534.375 euros</t>
  </si>
  <si>
    <t>DI = TINV|2022| = 965.625 euros</t>
  </si>
  <si>
    <t>DI = TINV|2022| = 525.000 euros</t>
  </si>
  <si>
    <t>DI = TINV|2022| = 975.000 euros</t>
  </si>
  <si>
    <t>Precio de liquidación antigua instalación = [225.000 - 0,25 x (225.000 - 187.500)]</t>
  </si>
  <si>
    <t>Valor de liquidación vieja máquina |2022| = 187.500 euros</t>
  </si>
  <si>
    <t>Valor de liquidación vieja máquina |2022| = 225.000 euros</t>
  </si>
  <si>
    <t>Valor de liquidación vieja máquina |2022| = 215.625 euros</t>
  </si>
  <si>
    <t>ΔV|2024| = 750.000 euros</t>
  </si>
  <si>
    <t>ΔV|2024| = 500.000 euros</t>
  </si>
  <si>
    <t>ΔV|2024| = 250.000 euros</t>
  </si>
  <si>
    <t>Amortización incremental = 750.000/10 - 187.500/4</t>
  </si>
  <si>
    <t>Incremento AM|2023| = 121.875 euros</t>
  </si>
  <si>
    <t>Incremento AM|2023| = 28.125 euros</t>
  </si>
  <si>
    <t>Incremento AM|2023| = 75.000 euros</t>
  </si>
  <si>
    <t>ΔAM|2025| = 75.000 euros</t>
  </si>
  <si>
    <t>ΔAM|2025| = 28.125 euros</t>
  </si>
  <si>
    <t>ΔAM|2025| = 121.875 euros</t>
  </si>
  <si>
    <t>Incremento de Impuestos |2023| = tipo impositivo x ΔBAII = 0,25 x [250.000 - -25.000 - (750.000/10 - 187.500/4)]</t>
  </si>
  <si>
    <t>ΔImpuestos |2023| = 50.000 euros</t>
  </si>
  <si>
    <t>ΔImpuestos |2023| = 49.219 euros</t>
  </si>
  <si>
    <t>ΔImpuestos |2023| = 68.750 euros</t>
  </si>
  <si>
    <t>ΔImpuestos |2023| = 61.719 euros</t>
  </si>
  <si>
    <t>Incremento de caja |2024| = ΔBAIdI + ΔAM = 185.156 + 28.125</t>
  </si>
  <si>
    <t>ΔGF'|2024| = 203.672 euros</t>
  </si>
  <si>
    <t>ΔGF'|2024| = 157.031 euros</t>
  </si>
  <si>
    <t>ΔGF'|2024| = 240.703 euros</t>
  </si>
  <si>
    <t>ΔGF'|2024| = 213.281 euros</t>
  </si>
  <si>
    <t>Saldo de clientes aportado por el proyecto en el año 2024 = (250.000/360) x 90</t>
  </si>
  <si>
    <t>ΔClientes |2024| = 125.000 euros</t>
  </si>
  <si>
    <t>ΔClientes |2024| = 187.500 euros</t>
  </si>
  <si>
    <t>ΔClientes |2024| = 250.000 euros</t>
  </si>
  <si>
    <t>ΔClientes |2024| = 62.500 euros</t>
  </si>
  <si>
    <t>Saldo de proveedores aportado por el proyecto en el año 2025 = (-25.000/360) x 90</t>
  </si>
  <si>
    <t>ΔProveedores |2025| = -6.875 euros</t>
  </si>
  <si>
    <t>ΔProveedores |2025| = -22.500 euros</t>
  </si>
  <si>
    <t>ΔProveedores |2025| = -24.375 euros</t>
  </si>
  <si>
    <t>No tiene sentido acumular los saldos de proveedores de los tres ejercicios. Saldo de proveedores |2025| = (-25.000/360) x 90</t>
  </si>
  <si>
    <t>ΔProveedores |2025| = -6.250 euros</t>
  </si>
  <si>
    <t>Saldo de FM aportado por el proyecto en el año 2023 = (250.000/360) x 90 - (-25.000/360) x 90</t>
  </si>
  <si>
    <t>ΔFM |2023| = 68.750 euros</t>
  </si>
  <si>
    <t>ΔFM |2023| = 56.250 euros</t>
  </si>
  <si>
    <t>ΔΔFM |2024| = 68.750 euros</t>
  </si>
  <si>
    <t>ΔΔFM |2024| = 56.250 euros</t>
  </si>
  <si>
    <t>Tesorería generada en el ejercicio 2023 = ΔBAIdI + ΔAM - ΔΔFM = 185.156 + 28.125 - 68.750</t>
  </si>
  <si>
    <t>ΔGF |2023| = TINV |2023| = 213.281 euros</t>
  </si>
  <si>
    <t>ΔGF |2023| = TINV |2023| = 185.156 euros</t>
  </si>
  <si>
    <t>ΔGF |2023| = TINV |2023| = 88.281 euros</t>
  </si>
  <si>
    <t>ΔGF |2023| = TINV |2023| = 144.531 euros</t>
  </si>
  <si>
    <t>Valor residual incremental AF en el año 2025 = [75.000 - 0,25 x (75.000 - (750.000 - 3 x 750.000/10))] - [45.000 - 0,25 x (45.000 - 0)]</t>
  </si>
  <si>
    <t>ΔVR por liquidación de AF |2025| = 142.031 euros</t>
  </si>
  <si>
    <t>ΔVR por liquidación de AF |2025| = 225.000 euros</t>
  </si>
  <si>
    <t>ΔVR por liquidación de AF |2025| = 33.750 euros</t>
  </si>
  <si>
    <t>ΔVR por liquidación de AF |2025| = 187.500 euros</t>
  </si>
  <si>
    <t>Saldo de fondo de maniobra en el ejercicio 2025 = Clientes - Proveedores = (250.000/360) x 90 - (-25.000/360) x 90</t>
  </si>
  <si>
    <t>ΔVR por liquidación de FM |2025| = 56.250 euros</t>
  </si>
  <si>
    <t>ΔVR por liquidación de FM |2025| = 68.750 euros</t>
  </si>
  <si>
    <t>ΔVR por liquidación de FM |2025| = 206.250 euros</t>
  </si>
  <si>
    <t>ki = Intereses x (1-t) / Deuda a largo plazo = 420.000 x (1 - 0,25) / 6.000.000</t>
  </si>
  <si>
    <t>ki = 5,25%</t>
  </si>
  <si>
    <t>ki = 7%</t>
  </si>
  <si>
    <t>ki = 8,75%</t>
  </si>
  <si>
    <t>ki = 0,0525%</t>
  </si>
  <si>
    <t>ke = Dividendo esperado / Cotización + Crecimiento = 1.800.000 / 18.000.000 + 0,02</t>
  </si>
  <si>
    <t>ke = 0,12%</t>
  </si>
  <si>
    <t>El crecimiento no se resta, se suma:  ke = Dividendo esperado / Cotización + Crecimiento = 1.800.000 / 18.000.000 + 0,02</t>
  </si>
  <si>
    <t>ke = 12%</t>
  </si>
  <si>
    <t>k0 = (ki x FALP + ke x FP) / (FALP + FP) = (0,0525 x 6.000.000 + 0,12 x 18.000.000) / (6.000.000 + 18.000.000)</t>
  </si>
  <si>
    <t>k0 = WACC = 10,3125%</t>
  </si>
  <si>
    <t>k0 = WACC = 0,0925%</t>
  </si>
  <si>
    <t>k0 = WACC = 9,25%</t>
  </si>
  <si>
    <t>k0 = WACC = 8,8125%</t>
  </si>
  <si>
    <t>Supuesto que el perfil de fondos del proyecto fuera: TINV|2022|=-534.375; TINV|2023|=144.531; TINV|2024|=213.281; TINV|2025|=424.063:</t>
  </si>
  <si>
    <t>Proyecto interesante: VAN (k0=10,3125%) = -534.375 + 144.531/1,1031 + 213.281/1,1031^2 + 424.063/1,1031^3 = 87.817 euros</t>
  </si>
  <si>
    <t>Proyecto interesante: VAN (k0=12%)= 66.537 euros</t>
  </si>
  <si>
    <t>Proyecto interesante: VAN (k0=5,25%)= 159.198 euros</t>
  </si>
  <si>
    <t>Proyecto interesante: VAN (k0=10,3125%)= 87.817 euros</t>
  </si>
  <si>
    <t>Proyecto interesante: TRI = 17,94% &gt; k0 = 5,25%</t>
  </si>
  <si>
    <t>Proyecto interesante: TRI = 17,94% &gt; k0 = 9,5%</t>
  </si>
  <si>
    <t>Proyecto interesante: TRI = 17,94% &gt; k0 = 10,3125%</t>
  </si>
  <si>
    <t>El proyecto rinde más (TRI = 17,94%) que el coste medio ponderado del capital (k0 = 10,31%)</t>
  </si>
  <si>
    <t>Supuesto k0=10,31% y que el perfil de fondos del proyecto fuera: TINV|2022|=-534.375; TINV|2023|=144.531; TINV|2024|=213.281; TINV|2025|=424.063:</t>
  </si>
  <si>
    <t>Saldo acumulado |2022| = -534.375;  Saldo acumulado |2023| = -389.844;  Saldo acumulado |2024| = -176.563;  Saldo acumulado |2025| = 247.500</t>
  </si>
  <si>
    <t xml:space="preserve">VAN (K=10,31%) = </t>
  </si>
  <si>
    <t>=-534.375+144.531/1,10+213.281/1,10^2+424.063/1,10^3</t>
  </si>
  <si>
    <t xml:space="preserve">IR (K=10,31%) = </t>
  </si>
  <si>
    <t>=[-534.375+144.531/1,10+213.281/1,10^2+424.063/1,10^3] / 534.375</t>
  </si>
  <si>
    <t>0 = -534.375+144.531/(1+TRI)+213.281/(1+TRI)^2+424.063/(1+TRI)^3</t>
  </si>
  <si>
    <t>=144.531x1,103^2+213.281x1,103+424.063</t>
  </si>
  <si>
    <t>=144.531x1,179^2+213.281x1,179+424.063</t>
  </si>
  <si>
    <t>=-534.375+835.216/1,10^3</t>
  </si>
  <si>
    <t>=-534.375+876.644/1,10^3</t>
  </si>
  <si>
    <t>=[-534.375+835.216/1,10^3] / 534.375</t>
  </si>
  <si>
    <t>=[-534.375+876.644/1,10^3] / 534.375</t>
  </si>
  <si>
    <t xml:space="preserve">VAN (K=17,94%) = </t>
  </si>
  <si>
    <t>=-534.375+835.216/1,18^3</t>
  </si>
  <si>
    <t>=-534.375+876.644/1,18^3</t>
  </si>
  <si>
    <t xml:space="preserve">IR (K=17,94%) = </t>
  </si>
  <si>
    <t>=[-534.375+835.216/1,18^3] / 534.375</t>
  </si>
  <si>
    <t>=[-534.375+876.644/1,18^3] / 534.375</t>
  </si>
  <si>
    <t>0 = -534.375+835.216/(1+TRI)^3</t>
  </si>
  <si>
    <t>0 = -534.375+876.644/(1+TRI)^3</t>
  </si>
  <si>
    <r>
      <t>K</t>
    </r>
    <r>
      <rPr>
        <b/>
        <vertAlign val="subscript"/>
        <sz val="11"/>
        <color theme="0"/>
        <rFont val="Calibri"/>
        <family val="2"/>
      </rPr>
      <t>i</t>
    </r>
    <r>
      <rPr>
        <b/>
        <sz val="11"/>
        <color theme="0"/>
        <rFont val="Calibri"/>
        <family val="2"/>
      </rPr>
      <t xml:space="preserve"> =</t>
    </r>
  </si>
  <si>
    <r>
      <t>K</t>
    </r>
    <r>
      <rPr>
        <b/>
        <vertAlign val="subscript"/>
        <sz val="11"/>
        <color theme="0"/>
        <rFont val="Calibri"/>
        <family val="2"/>
      </rPr>
      <t>e</t>
    </r>
    <r>
      <rPr>
        <b/>
        <sz val="11"/>
        <color theme="0"/>
        <rFont val="Calibri"/>
        <family val="2"/>
      </rPr>
      <t xml:space="preserve"> =</t>
    </r>
  </si>
  <si>
    <r>
      <t>K</t>
    </r>
    <r>
      <rPr>
        <b/>
        <vertAlign val="subscript"/>
        <sz val="11"/>
        <color theme="0"/>
        <rFont val="Calibri"/>
        <family val="2"/>
      </rPr>
      <t>0</t>
    </r>
    <r>
      <rPr>
        <b/>
        <sz val="11"/>
        <color theme="0"/>
        <rFont val="Calibri"/>
        <family val="2"/>
      </rPr>
      <t xml:space="preserve"> =</t>
    </r>
  </si>
  <si>
    <t xml:space="preserve">La respuesta a lo anterior es que SI hay discrepancia VAN-TRI. Y ello está relacionado con el hecho de que los flujos de fondos de los dos proyectos se distribuyan de manera distinta a lo largo del tiempo, lo que provoca una diferencia en las pendientes de sus perfiles de VAN (relación entre VAN y tipo de descuento). De hecho, los perfiles de proyectos que acumulan relativamente más pronto sus flujos de fondos presentan una pendiente menos negativa (son menos sensibles ante cambios en el tipo K), y por tanto tienden a dar una mayor TRI; mientras que los proyectos que recuperan más tarde, presentan perfiles de VAN con una pendiente más negativa (son más sensibles a cambios en el tipo K), y consecuentemente, tienen una propensión a presentar TRI más baja. Dicho de otra forma, la TRI "penaliza de alguna forma los proyectos que recuperan más tarde la inversión". </t>
  </si>
  <si>
    <t>Valor residual incremental AF en el año 2025 = {400.000 - 0,25 x [400.000 - (1.000.000 - 3 x 1.000.000/10)]} - {100.000 - 0,25 x [100.000 - (100.000 - 2 x 100.000/2)]}</t>
  </si>
  <si>
    <t>Valor residual incremental AF en el año 2025 = {400.000 - 0,25 x [400.000 - (600.000 - 3 x 600.000/10)]} - {22.500 - 0,25 x [22.500 - (90.000 - 3 x 90.000/3)]}</t>
  </si>
  <si>
    <t>Valor residual incremental AF en el año 2025 = {100.000 - 0,25 x [100.000 - (300.000 - 3 x 300.000/6)]} - {50.000 - 0,25 x [50.000 - (200.000 - 3 x 200.000/3)]}</t>
  </si>
  <si>
    <t>Valor residual incremental AF en el año 2025 = {100.000 - 0,25 x [100.000 - (500.000 - 3 x 500.000/10)]} - {43.750 - 0,25 x [43.750 - (250.000 - 3 x 250.000/4)]}</t>
  </si>
  <si>
    <t>Valor residual incremental AF en el año 2025 = {120.000 - 0,25 x [120.000 - (1.200.000 - 3 x 1.200.000/10)]} - {30.000 - 0,25 x (30.000 - (300.000 - 2 x 300.000/2)]}</t>
  </si>
  <si>
    <t>Valor residual incremental AF en el año 2025 = {75.000 - 0,25 x [75.000 - (750.000 - 3 x 750.000/10)]} - {45.000 - 0,25 x [45.000 - (187.500 - 3 x 187.500/4)]}</t>
  </si>
  <si>
    <t>En esta Hoja de cálculo podrá usted practicar la mecánica aplicable en la resolución de casos de inversión (con y sin inflación) en condiciones de certeza.</t>
  </si>
  <si>
    <t>Tipo</t>
  </si>
  <si>
    <t>Ventas</t>
  </si>
  <si>
    <t>Compras</t>
  </si>
  <si>
    <t>Inmovilizados</t>
  </si>
  <si>
    <t>Inflación general</t>
  </si>
  <si>
    <t>Jorge Pérez, consejero delegado de la empresa JOPESA, se encuentra a 31 de diciembre de 2022 ultimando el presupuesto de inversiones para los próximos años. En el momento actual, se dispone a estudiar el interés de un proyecto que exigiría una  inversión en inmovilizado por valor de 1.200.000 euros, que se pagarían al contado. Dicha inversión se amortizaría fiscalmente en 10 años, y tendría un valor de liquidación al término de la vida del proyecto (3 años) de 400.000 euros.</t>
  </si>
  <si>
    <t>La inversión permitiría aumentar las ventas anuales de mercaderías de la compañía en 400.000 euros, si bien ello llevaría aparejado un incremento en el consumo de materiales de 200.000 euros anuales. Los costes fijos permanecerían inalterados.</t>
  </si>
  <si>
    <t>En lo que se refiere al fondo de maniobra, hay que decir que las ventas se cobran a 90 días, mientras que las compras se liquidan con los proveedores con un diferimiento de 60 días. También el capítulo de existencias se vería afectado: sería necesario mantener un almacén equivalente al 20%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</si>
  <si>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Todas las cifras presentadas hasta el momento están expresadas en euros constantes del momento cero (año 2022). Los tipos de inflación  que afectan a los distintos conceptos son los siguientes:</t>
  </si>
  <si>
    <t>En lo que se refiere al coste de los fondos, se dispone de la siguiente información. Los valores de mercado de los fondos propios y ajenos (a largo plazo) son de 5.000.000 y 10.000.000 euros, respectivamente. Los primeros esperan recibir un dividendo de 250.000 euros, y se ha generado una expectativa de crecimiento del mismo del 4% anual. En cuanto a la deuda a largo plazo, los intereses anuales pactados por su disfrute ascienden a 500.000 euros (toda la información relativa al cálculo del coste de los fondos está expresada en moneda corriente).</t>
  </si>
  <si>
    <t>Finalmente, y en lo relativo a la fiscalidad, la empresa está sujeta al Impuesto sobre sociedades, cuyo tipo general para los próximos años se sitúa en el 30%. La empresa viene generando abundantes beneficios que se espera se mantengan en los próximos años. Hay que indicar que no está permitida la inclusión de la inflación, ni en las amortizaciones, ni en el valor en libros final (necesario para el cálculo del beneficio por enajenación de inmovilizados). En lo que se refiere al Impuesto sobre el valor añadido (IVA), el tipo que afecta a las operaciones de la empresa (compras y ventas, ordinarias y de inmovilizados) es del 21%. El IVA se liquida por trimestres vencidos (el último día de cada trimestre), por lo que a final de año no quedan saldos pendientes con Hacienda por este concepto.</t>
  </si>
  <si>
    <t>Analice el interés del proyecto, teniendo en cuenta que tiene una vida útil de tres años, al término de los cuales desparecerían todos los efectos asociados al mismo.</t>
  </si>
  <si>
    <t>Sebastián Corte, consejero delegado de la empresa SECOSA, se encuentra a 31 de diciembre de 2022 ultimando el presupuesto de inversiones para los próximos años. En el momento actual, se dispone a estudiar el interés de un proyecto que exigiría una  inversión en inmovilizado por valor de 400.000 euros, que se pagarían al contado. Dicha inversión se amortizaría fiscalmente en 10 años, y tendría un valor de liquidación al término de la vida del proyecto (3 años) de 100.000 euros.</t>
  </si>
  <si>
    <t>La inversión permitiría aumentar las ventas anuales de mercaderías de la compañía en 320.000 euros, si bien ello llevaría aparejado un incremento en el consumo de materiales de 180.000 euros anuales. Los costes fijos permanecerían inalterados.</t>
  </si>
  <si>
    <t>En lo que se refiere al fondo de maniobra, hay que decir que las ventas se cobran a 60 días, mientras que las compras se liquidan con los proveedores con un diferimiento de 60 días. También el capítulo de existencias se vería afectado: sería necesario mantener un almacén equivalente al 20%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</si>
  <si>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En lo que se refiere al coste de los fondos, se dispone de la siguiente información. Los valores de mercado de los fondos propios y ajenos (a largo plazo) son de 7.500.000 y 5.000.000 euros, respectivamente. Los primeros esperan recibir un dividendo de 450.000 euros, y se ha generado una expectativa de crecimiento del mismo del 2,5% anual. En cuanto a la deuda a largo plazo, los intereses anuales pactados por su disfrute ascienden a 300.000 euros (toda la información relativa al cálculo del coste de los fondos está expresada en moneda corriente).</t>
  </si>
  <si>
    <t>Finalmente, y en lo relativo a la fiscalidad, la empresa está sujeta al Impuesto sobre sociedades, cuyo tipo general para los próximos años se sitúa en el 25%. La empresa viene generando abundantes beneficios que se espera se mantengan en los próximos años. Hay que indicar que no está permitida la inclusión de la inflación, ni en las amortizaciones, ni en el valor en libros final (necesario para el cálculo del beneficio por enajenación de inmovilizados). En lo que se refiere al Impuesto sobre el valor añadido (IVA), el tipo que afecta a las operaciones de la empresa (compras y ventas, ordinarias y de inmovilizados) es del 21%. El IVA se liquida por trimestres vencidos (el último día de cada trimestre), por lo que a final de año no quedan saldos pendientes con Hacienda por este concepto.</t>
  </si>
  <si>
    <t>Marta Pérez, consejero delegado de la empresa MARPESA, se encuentra a 31 de diciembre de 2022 ultimando el presupuesto de inversiones para los próximos años. En el momento actual, se dispone a estudiar el interés de un proyecto que exigiría una  inversión en inmovilizado por valor de 300.000 euros, que se pagarían al contado. Dicha inversión se amortizaría fiscalmente en 8 años, y tendría un valor de liquidación al término de la vida del proyecto (3 años) de 60.000 euros.</t>
  </si>
  <si>
    <t>La inversión permitiría aumentar las ventas anuales de mercaderías de la compañía en 150.000 euros, si bien ello llevaría aparejado un incremento en el consumo de materiales de 120.000 euros anuales. Los costes fijos permanecerían inalterados.</t>
  </si>
  <si>
    <t>En lo que se refiere al fondo de maniobra, hay que decir que las ventas se cobran a 90 días, mientras que las compras se liquidan con los proveedores con un diferimiento de 90 días. También el capítulo de existencias se vería afectado: sería necesario mantener un almacén equivalente al 10%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</si>
  <si>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En lo que se refiere al coste de los fondos, se dispone de la siguiente información. Los valores de mercado de los fondos propios y ajenos (a largo plazo) son de 6.000.000 y 6.000.000 euros, respectivamente. Los primeros esperan recibir un dividendo de 600.000 euros, y se ha generado una expectativa de crecimiento del mismo del 2% anual. En cuanto a la deuda a largo plazo, los intereses anuales pactados por su disfrute ascienden a 480.000 euros (toda la información relativa al cálculo del coste de los fondos está expresada en moneda corriente).</t>
  </si>
  <si>
    <t>Roberto Aláez, consejero delegado de la empresa ROBEALSA, se encuentra a 31 de diciembre de 2022 ultimando el presupuesto de inversiones para los próximos años. En el momento actual, se dispone a estudiar el interés de un proyecto que exigiría una  inversión en inmovilizado por valor de 250.000 euros, que se pagarían al contado. Dicha inversión se amortizaría fiscalmente en 10 años, y tendría un valor de liquidación al término de la vida del proyecto (3 años) de 25.000 euros.</t>
  </si>
  <si>
    <t>La inversión permitiría aumentar las ventas anuales de mercaderías de la compañía en 170.000 euros, si bien ello llevaría aparejado un incremento en el consumo de materiales de 75.000 euros anuales. Los costes fijos permanecerían inalterados.</t>
  </si>
  <si>
    <t>En lo que se refiere al fondo de maniobra, hay que decir que las ventas se cobran a 30 días, mientras que las compras se liquidan con los proveedores con un diferimiento de 60 días. También el capítulo de existencias se vería afectado: sería necesario mantener un almacén equivalente al 10%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</si>
  <si>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En lo que se refiere al coste de los fondos, se dispone de la siguiente información. Los valores de mercado de los fondos propios y ajenos (a largo plazo) son de 5.000.000 y 5.000.000 euros, respectivamente. Los primeros esperan recibir un dividendo de 350.000 euros, y se ha generado una expectativa de crecimiento del mismo del 3% anual. En cuanto a la deuda a largo plazo, los intereses anuales pactados por su disfrute ascienden a 250.000 euros (toda la información relativa al cálculo del coste de los fondos está expresada en moneda corriente).</t>
  </si>
  <si>
    <t>Antonia Puertas, consejero delegado de la empresa ANPUERSA, se encuentra a 31 de diciembre de 2022 ultimando el presupuesto de inversiones para los próximos años. En el momento actual, se dispone a estudiar el interés de un proyecto que exigiría una  inversión en inmovilizado por valor de 200.000 euros, que se pagarían al contado. Dicha inversión se amortizaría fiscalmente en 5 años, y tendría un valor de liquidación al término de la vida del proyecto (3 años) de 160.000 euros.</t>
  </si>
  <si>
    <t>La inversión permitiría aumentar las ventas anuales de mercaderías de la compañía en 70.000 euros, si bien ello llevaría aparejado un incremento en el consumo de materiales de 40.000 euros anuales. Los costes fijos permanecerían inalterados.</t>
  </si>
  <si>
    <t>En lo que se refiere al fondo de maniobra, hay que decir que las ventas se cobran a 30 días, mientras que las compras se liquidan con los proveedores con un diferimiento de 90 días. También el capítulo de existencias se vería afectado: sería necesario mantener un almacén equivalente al 5%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</si>
  <si>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En lo que se refiere al coste de los fondos, se dispone de la siguiente información. Los valores de mercado de los fondos propios y ajenos (a largo plazo) son de 4.000.000 y 10.000.000 euros, respectivamente. Los primeros esperan recibir un dividendo de 320.000 euros, y se ha generado una expectativa de crecimiento del mismo del 1% anual. En cuanto a la deuda a largo plazo, los intereses anuales pactados por su disfrute ascienden a 600.000 euros (toda la información relativa al cálculo del coste de los fondos está expresada en moneda corriente).</t>
  </si>
  <si>
    <t>Eulalia Alvarez, consejero delegado de la empresa EULALSA, se encuentra a 31 de diciembre de 2022 ultimando el presupuesto de inversiones para los próximos años. En el momento actual, se dispone a estudiar el interés de un proyecto que exigiría una  inversión en inmovilizado por valor de 100.000 euros, que se pagarían al contado. Dicha inversión se amortizaría fiscalmente en 10 años, y tendría un valor de liquidación al término de la vida del proyecto (3 años) de 20.000 euros.</t>
  </si>
  <si>
    <t>La inversión permitiría aumentar las ventas anuales de mercaderías de la compañía en 100.000 euros, si bien ello llevaría aparejado un incremento en el consumo de materiales de 80.000 euros anuales. Los costes fijos permanecerían inalterados.</t>
  </si>
  <si>
    <t>En lo que se refiere al fondo de maniobra, hay que decir que las ventas se cobran a 60 días, mientras que las compras se liquidan con los proveedores con un diferimiento de 30 días. También el capítulo de existencias se vería afectado: sería necesario mantener un almacén equivalente al 10% del consumo previsto (en unidades físicas) para todo el año; la inversión se realizaría en el momento cero y se pagaría al contado, manteniéndose (siempre en unidades físicas) durante los tres años de vida del proyecto (la empresa utiliza el sistema FIFO en la valoración de los almacenes).</t>
  </si>
  <si>
    <t>En lo que se refiere al coste de los fondos, se dispone de la siguiente información. Los valores de mercado de los fondos propios y ajenos (a largo plazo) son de 4.000.000 y 2.000.000 euros, respectivamente. Los primeros esperan recibir un dividendo de 240.000 euros, y se ha generado una expectativa de crecimiento del mismo del 3% anual. En cuanto a la deuda a largo plazo, los intereses anuales pactados por su disfrute ascienden a 120.000 euros (toda la información relativa al cálculo del coste de los fondos está expresada en moneda corriente).</t>
  </si>
  <si>
    <t>∆ V</t>
  </si>
  <si>
    <t>∆ C</t>
  </si>
  <si>
    <t>∆ AM</t>
  </si>
  <si>
    <t>∆ BAII</t>
  </si>
  <si>
    <t>∆ Imp</t>
  </si>
  <si>
    <t>∆ BAIdI</t>
  </si>
  <si>
    <t>∆ GFO</t>
  </si>
  <si>
    <t>Inversión en inmovilizado</t>
  </si>
  <si>
    <t>∆ Existencias</t>
  </si>
  <si>
    <t>∆ Clientes</t>
  </si>
  <si>
    <t>∆ Proveedores</t>
  </si>
  <si>
    <t>∆ FM</t>
  </si>
  <si>
    <t>∆ ∆ FM</t>
  </si>
  <si>
    <t>Impacto en ventas y costes</t>
  </si>
  <si>
    <t>∆V (i)</t>
  </si>
  <si>
    <t>∆Compras (i)</t>
  </si>
  <si>
    <t>Existencias</t>
  </si>
  <si>
    <t>Valor existencias (i) (% s/ Consumo)</t>
  </si>
  <si>
    <t>(FIFO)</t>
  </si>
  <si>
    <t xml:space="preserve">Ponga "x" si desea corregir el ejercicio: </t>
  </si>
  <si>
    <t>Impuestos</t>
  </si>
  <si>
    <t>Tipo IVA</t>
  </si>
  <si>
    <t>t  (Tipo IS)</t>
  </si>
  <si>
    <t>aciertos</t>
  </si>
  <si>
    <t xml:space="preserve">Indique celdilla de la que desea explicación </t>
  </si>
  <si>
    <t>errores 'concepto'</t>
  </si>
  <si>
    <t xml:space="preserve">Para ello, sitúe el cursor encima de la celdilla </t>
  </si>
  <si>
    <t>errores 'derivados'</t>
  </si>
  <si>
    <t xml:space="preserve">deseada e introduzca el código correspondiente aquí </t>
  </si>
  <si>
    <t>Coste de los fondos (nominal)</t>
  </si>
  <si>
    <t xml:space="preserve">Dato solicitado: </t>
  </si>
  <si>
    <t xml:space="preserve">Explicación texto: </t>
  </si>
  <si>
    <t xml:space="preserve">Explicación numérica: </t>
  </si>
  <si>
    <t>Inflación</t>
  </si>
  <si>
    <t xml:space="preserve">EXPLICACIÓN ADICIONAL: </t>
  </si>
  <si>
    <t>C</t>
  </si>
  <si>
    <t>CONCEPTO</t>
  </si>
  <si>
    <t>DERIVADO</t>
  </si>
  <si>
    <t>Diferencia máxima</t>
  </si>
  <si>
    <t>Operación</t>
  </si>
  <si>
    <t>Error</t>
  </si>
  <si>
    <t>Explicación sencilla</t>
  </si>
  <si>
    <t>Contador errores desconocidos</t>
  </si>
  <si>
    <t>Contador errores derivados</t>
  </si>
  <si>
    <t>Identificador</t>
  </si>
  <si>
    <t>Valor correcto</t>
  </si>
  <si>
    <t>¿Acierto?</t>
  </si>
  <si>
    <t>correcta</t>
  </si>
  <si>
    <t>derivado</t>
  </si>
  <si>
    <t>Columna original</t>
  </si>
  <si>
    <t>en palabras</t>
  </si>
  <si>
    <t>Explica (T)</t>
  </si>
  <si>
    <t>Explica (N)</t>
  </si>
  <si>
    <t>Explicación adicional</t>
  </si>
  <si>
    <t>Total err der</t>
  </si>
  <si>
    <t>∆VR (2025) (AF)</t>
  </si>
  <si>
    <t>∆VR (2025) (FM)</t>
  </si>
  <si>
    <t>∆VR (2025)</t>
  </si>
  <si>
    <t>∆ V del año 2023</t>
  </si>
  <si>
    <t>∆ V del año 2023 = ∆V (i) x (1 + f ventas)^1</t>
  </si>
  <si>
    <t>∆ V del año 2023 = 400.000 x (1 + 0,02)^1</t>
  </si>
  <si>
    <t>Las ventas anuales incrementales que reporta el proyecto vienen dadas por el propio enunciado; dado que la cifra original está expresada en moneda constante, hay que incorporar el efecto de la inflación que afecta a las ventas (de manera acumulativa y desde el primer año). Por otro lado, y para calcular correctamente los impuestos incrementales, no debe considerarse aquí el plazo de pago concedido a los clientes (dicho de otro modo, en el cálculo del beneficio debe aplicarse el principio de devengo, que supone fijarse en la corriente real de bienes y servicios, y no en la monetaria).</t>
  </si>
  <si>
    <t>∆ V del año 2024</t>
  </si>
  <si>
    <t>∆ V del año 2024 = ∆V (i) x (1 + f ventas)^2</t>
  </si>
  <si>
    <t>∆ V del año 2024 = 400.000 x (1 + 0,02)^2</t>
  </si>
  <si>
    <t>∆ V del año 2025</t>
  </si>
  <si>
    <t>∆ V del año 2025 = ∆V (i) x (1 + f ventas)^3</t>
  </si>
  <si>
    <t>∆ V del año 2025 = 400.000 x (1 + 0,02)^3</t>
  </si>
  <si>
    <t>∆ C del año 2023</t>
  </si>
  <si>
    <t>∆ C del año 2023 = ∆Compras (i) x (1 + f compras)^1 - (∆ Existencias del año 2023 - ∆ Existencias del año 2022)</t>
  </si>
  <si>
    <t>∆ C del año 2023 = 200.000 x (1 + 0,01)^1 - (40.400 - 40.000)</t>
  </si>
  <si>
    <t>El coste variable (operativo con desembolso) incremental que reporta el proyecto coincide en este caso con el consumo de mercaderías; y éste se calcula restando a las compras (el consumo previsto de cada año incrementado con el efecto acumulativo de la inflación, al expresarse la cifra original en moneda constante) la variación de existencias (que en este caso coincide con el efecto de la inflación en la cifra de almacén, al utilizar el sistema FIFO en la valoración del mismo). Por otro lado, y para calcular correctamente los impuestos incrementales, no debe considerarse aquí el plazo de pago concedido por los proveedores (dicho de otro modo, en el cálculo del beneficio debe aplicarse el principio de devengo, que supone fijarse en la corriente real de bienes y servicios, y no en la monetaria).</t>
  </si>
  <si>
    <t>∆ C del año 2024</t>
  </si>
  <si>
    <t>∆ C del año 2024 = ∆Compras (i) x (1 + f compras)^2 - (∆ Existencias del año 2024 - ∆ Existencias del año 2023)</t>
  </si>
  <si>
    <t>∆ C del año 2024 = 200.000 x (1 + 0,01)^2 - (40.804 - 40.400)</t>
  </si>
  <si>
    <t>∆ C del año 2025</t>
  </si>
  <si>
    <t>∆ C del año 2025 = ∆Compras (i) x (1 + f compras)^3 - (∆ Existencias del año 2025 - ∆ Existencias del año 2024)</t>
  </si>
  <si>
    <t>∆ C del año 2025 = 200.000 x (1 + 0,01)^3 - (41.212 - 40.804)</t>
  </si>
  <si>
    <t>∆ AM del año 2023</t>
  </si>
  <si>
    <t>∆ AM del año 2023 = INV (2022) / AM (años)</t>
  </si>
  <si>
    <t>∆ AM del año 2023 = 1.200.000 / 10</t>
  </si>
  <si>
    <t>La amortización es un concepto que no provoca un impacto directo en la tesorería de la empresa, pero sí un efecto indirecto. Efectivamente, siempre que supongamos amortizaciones dentro de los límites legales, este concepto de coste provoca diferencias en la base imponible del impuesto sobre beneficios, y por tanto en el pago de impuestos. Debe recordarse que este concepto de coste no se ve afectado por la inflación, ya que la amortización debe realizarse sobre precios de adquisición (y no de reposición).</t>
  </si>
  <si>
    <t>∆ AM del año 2024</t>
  </si>
  <si>
    <t>∆ AM del año 2024 = INV (2022) / AM (años)</t>
  </si>
  <si>
    <t>∆ AM del año 2024 = 1.200.000 / 10</t>
  </si>
  <si>
    <t>∆ AM del año 2025</t>
  </si>
  <si>
    <t>∆ AM del año 2025 = INV (2022) / AM (años)</t>
  </si>
  <si>
    <t>∆ AM del año 2025 = 1.200.000 / 10</t>
  </si>
  <si>
    <t>∆ BAII del año 2023</t>
  </si>
  <si>
    <t>∆ BAII del año 2023 = ∆ V del año 2023 - ∆ C del año 2023 - ∆ AM del año 2023</t>
  </si>
  <si>
    <t>∆ BAII del año 2023 = 408.000 - 201.600 - 120.000</t>
  </si>
  <si>
    <t>Este epígrafe indica el efecto que el proyecto va a provocar en el beneficio por operaciones recurrentes que presentará la empresa al final de cada año (lo que tendrá sus consecuencias fiscales y, por tanto, en la tesorería del negocio). No debe perderse de vista el carácter incremental asociado a cualquiera de las cifras presentadas: lo que aquí aparece es el aumento (con su signo, positivo o negativo) de beneficio (antes de intereses e impuestos) provocado por el proyecto (en nuestro caso, la "diferencia" entre las ventas y los costes operativos -variables y fijos; con y sin desembolso- asociados al mismo).</t>
  </si>
  <si>
    <t>∆ BAII del año 2024</t>
  </si>
  <si>
    <t>∆ BAII del año 2024 = ∆ V del año 2024 - ∆ C del año 2024 - ∆ AM del año 2024</t>
  </si>
  <si>
    <t>∆ BAII del año 2024 = 416.160 - 203.616 - 120.000</t>
  </si>
  <si>
    <t>∆ BAII del año 2025</t>
  </si>
  <si>
    <t>∆ BAII del año 2025 = ∆ V del año 2025 - ∆ C del año 2025 - ∆ AM del año 2025</t>
  </si>
  <si>
    <t>∆ BAII del año 2025 = 424.483 - 205.652 - 120.000</t>
  </si>
  <si>
    <t>∆ Imp del año 2023</t>
  </si>
  <si>
    <t>∆ Imp del año 2023 = t  (Tipo IS) x ∆ BAII del año 2023</t>
  </si>
  <si>
    <t>∆ Imp del año 2023 = 0,3 x 86.400</t>
  </si>
  <si>
    <t>La cifra que se muestra en este epígrafe hace referencia a los impuestos incrementales que la empresa tendrá que pagar (por operaciones recurrentes) como consecuencia de afrontar el proyecto. El carácter incremental de todo el análisis explica que estaría justificado, en su caso, considerar una cifra negativa en este concepto (incluso teniendo en cuenta que Hacienda "no nos paga por las pérdidas", es decir, que no cabe entender este flujo como "desde Hacienda hacia la empresa"), siempre que la compañía tenga beneficios suficientes como para absorber la pérdida asociada al proyecto (en cuyo caso la interpretación de esta cifra sería la de "los impuestos de menos que la empresa pagaría con el proyecto, consecuencia de ganar menos con él en el año de que se trate").</t>
  </si>
  <si>
    <t>∆ Imp del año 2024</t>
  </si>
  <si>
    <t>∆ Imp del año 2024 = t  (Tipo IS) x ∆ BAII del año 2024</t>
  </si>
  <si>
    <t>∆ Imp del año 2024 = 0,3 x 92.544</t>
  </si>
  <si>
    <t>∆ Imp del año 2025</t>
  </si>
  <si>
    <t>∆ Imp del año 2025 = t  (Tipo IS) x ∆ BAII del año 2025</t>
  </si>
  <si>
    <t>∆ Imp del año 2025 = 0,3 x 98.831</t>
  </si>
  <si>
    <t>∆ BAIdI del año 2023</t>
  </si>
  <si>
    <t>∆ BAIdI del año 2023 = ∆ BAII del año 2023 - ∆ Imp del año 2023</t>
  </si>
  <si>
    <t>∆ BAIdI del año 2023 = 86.400 - 25.920</t>
  </si>
  <si>
    <t>Se recoge aquí el beneficio (recurrente) neto de impuestos que el proyecto aporta a la empresa (es decir, después de considerar el efecto fiscal, siempre sin tener en cuenta la forma en que ésta financie su activo). No tiene por qué coincidir con la tesorería generada (por operaciones recurrentes) por dos posibles motivos: se ha restado la amortización incremental (para considerar su efecto fiscal; pero al no suponer una "salida de fondos" deberá volver a sumarse para retomar el "impacto en caja"); y se ha aplicado la lógica del devengo y de la correlación de ingresos y gastos (por lo que, al no cobrarse y pagarse todo al contado, y producirse cambios en el almacén, habrá que realizar la corrección correspondiente a la inversión exigida en fondo de maniobra).</t>
  </si>
  <si>
    <t>∆ BAIdI del año 2024</t>
  </si>
  <si>
    <t>∆ BAIdI del año 2024 = ∆ BAII del año 2024 - ∆ Imp del año 2024</t>
  </si>
  <si>
    <t>∆ BAIdI del año 2024 = 92.544 - 27.763</t>
  </si>
  <si>
    <t>∆ BAIdI del año 2025</t>
  </si>
  <si>
    <t>∆ BAIdI del año 2025 = ∆ BAII del año 2025 - ∆ Imp del año 2025</t>
  </si>
  <si>
    <t>∆ BAIdI del año 2025 = 98.831 - 29.649</t>
  </si>
  <si>
    <t>∆ GFO del año 2023</t>
  </si>
  <si>
    <t>∆ GFO del año 2023 = ∆ BAIdI del año 2023 + ∆ AM del año 2023</t>
  </si>
  <si>
    <t>∆ GFO del año 2023 = 60.480 + 120.000</t>
  </si>
  <si>
    <t>La cifra que aparece aquí debe asociarse (con matices, relacionados con el interés de separar el análisis del activo y el pasivo) con la acepción más habitual de cash-flow: beneficio + amortización. Tal como puede comprobarse matemáticamente, existen dos formas de llegar al incremento (positivo o negativo) de tesorería provocado por el proyecto (sin considerar aún el efecto en fondo de maniobra): sumando al beneficio "neto" la amortización (con lo que corregimos el "error" cometido desde el punto de vista de impacto en caja provocado por la resta de dicho concepto para considerar su efecto fiscal); o restando de las ventas las compras y los impuestos (siempre, claro está, en términos incrementales).</t>
  </si>
  <si>
    <t>∆ GFO del año 2024</t>
  </si>
  <si>
    <t>∆ GFO del año 2024 = ∆ BAIdI del año 2024 + ∆ AM del año 2024</t>
  </si>
  <si>
    <t>∆ GFO del año 2024 = 64.781 + 120.000</t>
  </si>
  <si>
    <t>∆ GFO del año 2025</t>
  </si>
  <si>
    <t>∆ GFO del año 2025 = ∆ BAIdI del año 2025 + ∆ AM del año 2025</t>
  </si>
  <si>
    <t>∆ GFO del año 2025 = 69.182 + 120.000</t>
  </si>
  <si>
    <t>∆ Existencias del año 2022</t>
  </si>
  <si>
    <t>∆ Existencias del año 2022 = Inversión en existencias (2022)</t>
  </si>
  <si>
    <t>∆ Existencias del año 2022 = 40.000</t>
  </si>
  <si>
    <t>Recogemos aquí la inversión en almacén que el proyecto exige en el arranque del proyecto, dato que proporciona el propio enunciado.</t>
  </si>
  <si>
    <t>∆ Existencias del año 2023</t>
  </si>
  <si>
    <t>∆ Existencias del año 2023 = ∆ Existencias del año 2022 x (1 + f compras)</t>
  </si>
  <si>
    <t>∆ Existencias del año 2023 = 40.000 x (1 + 0,01)</t>
  </si>
  <si>
    <t>El proyecto exige invertir en almacenes en el momento inicial y mantener dicha inversión (en unidades físicas) a lo largo de la vida del proyecto. Por lo tanto, y al haber inflación y valorar los almacenes con el sistema FIFO, incorporamos el efecto de la mencionada inflación de manera acumulativa, ya que lo que debe reflejarse aquí es el saldo de existencias que en términos incrementales aparecerán al final de cada año en almacén al comparar las dos situaciones: afrontar el proyecto frente a no hacerlo.</t>
  </si>
  <si>
    <t>∆ Existencias del año 2024</t>
  </si>
  <si>
    <t>∆ Existencias del año 2024 = ∆ Existencias del año 2023 x (1 + f compras)</t>
  </si>
  <si>
    <t>∆ Existencias del año 2024 = 40.400 x (1 + 0,01)</t>
  </si>
  <si>
    <t>∆ Existencias del año 2025</t>
  </si>
  <si>
    <t>∆ Existencias del año 2025 = ∆ Existencias del año 2024 x (1 + f compras)</t>
  </si>
  <si>
    <t>∆ Existencias del año 2025 = 40.804 x (1 + 0,01)</t>
  </si>
  <si>
    <t>∆ Clientes del año 2022</t>
  </si>
  <si>
    <t>∆ Clientes del año 2022 = 0 (no hay impacto en ventas en el momento cero)</t>
  </si>
  <si>
    <t>∆ Clientes del año 2022 = 0</t>
  </si>
  <si>
    <t>En este apartado calculamos el saldo que en la cuenta de clientes aparecerá "de más" como consecuencia de afrontar el proyecto. Este saldo es importante, ya que puede matizar la información obtenida a partir del beneficio en lo que se refiere al impacto en caja del proyecto: en efecto, el beneficio se calcula respetando, entre otros, el principio de devengo, lo que significa que se consideran las ventas "realizadas", y no las cobradas; por tanto, es necesario corregir la información obtenida a partir del beneficio restando el saldo de clientes aportado por el proyecto (y sumando el correspondiente al año anterior) para acercarnos al concepto de caja. En nuestro caso, no hay impacto en la cuenta de clientes en el momento cero, al no verse afectadas las ventas.</t>
  </si>
  <si>
    <t>∆ Clientes del año 2023</t>
  </si>
  <si>
    <t>∆ Clientes del año 2023 = ∆ V del año 2023 x (1 + Tipo IVA) / 360 x Plazo cobro V</t>
  </si>
  <si>
    <t>∆ Clientes del año 2023 = 408.000 x (1 + 0,21) / 360 x 90</t>
  </si>
  <si>
    <t>En este apartado calculamos el saldo que en la cuenta de clientes aparecerá "de más" como consecuencia de afrontar el proyecto. Este saldo es importante, ya que puede matizar la información obtenida a partir del beneficio en lo que se refiere al impacto en caja del proyecto: en efecto, el beneficio se calcula respetando, entre otros, el principio de devengo, lo que significa que se consideran las ventas "realizadas", y no las cobradas; por tanto, es necesario corregir la información obtenida a partir del beneficio restando el saldo de clientes aportado por el proyecto (y sumando el correspondiente al año anterior) para acercarnos al concepto de caja.</t>
  </si>
  <si>
    <t>∆ Clientes del año 2024</t>
  </si>
  <si>
    <t>∆ Clientes del año 2024 = ∆ V del año 2024 x (1 + Tipo IVA) / 360 x Plazo cobro V</t>
  </si>
  <si>
    <t>∆ Clientes del año 2024 = 416.160 x (1 + 0,21) / 360 x 90</t>
  </si>
  <si>
    <t>∆ Clientes del año 2025</t>
  </si>
  <si>
    <t>∆ Clientes del año 2025 = ∆ V del año 2025 x (1 + Tipo IVA) / 360 x Plazo cobro V</t>
  </si>
  <si>
    <t>∆ Clientes del año 2025 = 424.483 x (1 + 0,21) / 360 x 90</t>
  </si>
  <si>
    <t>∆ Proveedores del año 2022</t>
  </si>
  <si>
    <t>∆ Proveedores del año 2022 = 0 (la compra de existencias inicial se paga al contado)</t>
  </si>
  <si>
    <t>∆ Proveedores del año 2022 = 0</t>
  </si>
  <si>
    <t>En este apartado calculamos el saldo que en la cuenta de proveedores aparecerá "de más" como consecuencia de afrontar el proyecto. Este saldo es importante, ya que puede matizar la información obtenida a partir del beneficio en lo que se refiere al impacto en caja del proyecto: en efecto, el beneficio se calcula respetando, entre otros, el principio de devengo, lo que significa que se consideran los costes variables incurridos, y no los pagados; por tanto, es necesario corregir la información obtenida a partir del beneficio sumando el saldo de proveedores aportado por el proyecto (y restando el correspondiente al año anterior) para acercarnos al concepto de caja. En nuestro caso, se supone que la dotación de almacén correspondiente al momento cero se paga al contado.</t>
  </si>
  <si>
    <t>∆ Proveedores del año 2023</t>
  </si>
  <si>
    <t>∆ Proveedores del año 2023 = ∆Compras (i) x (1 + f compras)^1 x (1 + Tipo IVA) / 360 x Plazo pago C</t>
  </si>
  <si>
    <t>∆ Proveedores del año 2023 = 200.000 x (1 + 0,01)^1 x (1 + 0,21) / 360 x 60</t>
  </si>
  <si>
    <t>En este apartado calculamos el saldo que en la cuenta de proveedores aparecerá "de más" como consecuencia de afrontar el proyecto. Este saldo es importante, ya que puede matizar la información obtenida a partir del beneficio en lo que se refiere al impacto en caja del proyecto: en efecto, el beneficio se calcula respetando, entre otros, el principio de devengo, lo que significa que se consideran los costes variables incurridos, y no los pagados; por tanto, es necesario corregir la información obtenida a partir del beneficio sumando el saldo de proveedores aportado por el proyecto (y restando el correspondiente al año anterior) para acercarnos al concepto de caja.</t>
  </si>
  <si>
    <t>∆ Proveedores del año 2024</t>
  </si>
  <si>
    <t>∆ Proveedores del año 2024 = ∆Compras (i) x (1 + f compras)^2 x (1 + Tipo IVA) / 360 x Plazo pago C</t>
  </si>
  <si>
    <t>∆ Proveedores del año 2024 = 200.000 x (1 + 0,01)^2 x (1 + 0,21) / 360 x 60</t>
  </si>
  <si>
    <t>∆ Proveedores del año 2025</t>
  </si>
  <si>
    <t>∆ Proveedores del año 2025 = ∆Compras (i) x (1 + f compras)^3 x (1 + Tipo IVA) / 360 x Plazo pago C</t>
  </si>
  <si>
    <t>∆ Proveedores del año 2025 = 200.000 x (1 + 0,01)^3 x (1 + 0,21) / 360 x 60</t>
  </si>
  <si>
    <t>∆ FM del año 2022</t>
  </si>
  <si>
    <t>∆ FM del año 2022 = ∆ Existencias del año 2022 + ∆ Clientes del año 2022 - ∆ Proveedores del año 2022</t>
  </si>
  <si>
    <t>∆ FM del año 2022 = 40.000 + 0 - 0</t>
  </si>
  <si>
    <t>En nuestro caso, el proyecto exige una inversión en fondo de maniobra al comienzo del mismo, la cual coincide con el impacto que provoca en el stock de seguridad deseado (que no ve compensado su saldo por la cuenta de proveedores, ya que se entiende pagado al contado).</t>
  </si>
  <si>
    <t>∆ FM del año 2023</t>
  </si>
  <si>
    <t>∆ FM del año 2023 = ∆ Existencias del año 2023 + ∆ Clientes del año 2023 - ∆ Proveedores del año 2023</t>
  </si>
  <si>
    <t>∆ FM del año 2023 = 40.400 + 123.420 - 40.737</t>
  </si>
  <si>
    <t>En este epígrafe se calcula el saldo de fondo de maniobra que exige mantener el proyecto al final de cada año. Es una información relevante, ya que permitirá corregir el dato obtenido a partir del beneficio (lo que en este contexto hemos llamado GFO, que se corresponde con el concepto más sencillo de cash-flow, entendido como beneficio más amortización), en la medida en que éste se confecciona aplicando principios y criterios que buscan la imputación "justa" de ingresos y gastos en el tiempo (y no el impacto en caja). A partir de los saldos de fondo de maniobra exigidos por el proyecto podrán calcularse las inversiones necesarias, restando del saldo de cada año el correspondiente al ejercicio anterior.</t>
  </si>
  <si>
    <t>∆ FM del año 2024</t>
  </si>
  <si>
    <t>∆ FM del año 2024 = ∆ Existencias del año 2024 + ∆ Clientes del año 2024 - ∆ Proveedores del año 2024</t>
  </si>
  <si>
    <t>∆ FM del año 2024 = 40.804 + 125.888 - 41.144</t>
  </si>
  <si>
    <t>∆ FM del año 2025</t>
  </si>
  <si>
    <t>∆ FM del año 2025 = ∆ Existencias del año 2025 + ∆ Clientes del año 2025 - ∆ Proveedores del año 2025</t>
  </si>
  <si>
    <t>∆ FM del año 2025 = 41.212 + 128.406 - 41.555</t>
  </si>
  <si>
    <t>∆ ∆ FM del año 2022</t>
  </si>
  <si>
    <t>∆ ∆ FM del año 2022 = ∆ FM del año 2022</t>
  </si>
  <si>
    <t>∆ ∆ FM del año 2022 = 40.000</t>
  </si>
  <si>
    <t>∆ ∆ FM del año 2023</t>
  </si>
  <si>
    <t>∆ ∆ FM del año 2023 = ∆ FM del año 2023 - ∆ FM del año 2022</t>
  </si>
  <si>
    <t>∆ ∆ FM del año 2023 = 123.083 - 40.000</t>
  </si>
  <si>
    <t>En este epígrafe se recoge la corrección que debe realizarse sobre la GFO incremental provocada por el hecho de que el proyecto exige inversiones en fondo de maniobra. En nuestro caso, estas inversiones vienen dadas por el hecho de que las ventas consideradas no se cobran al contado; además, la inflación provoca cambios en el valor del almacén y una parte de las compras quedarán a final de año pendientes de pago. Y debe tenerse en cuenta que lo que provoca impactos en caja no es "el saldo de FM", sino "la inversión en FM" (que viene dada por la diferencia entre el saldo generado por el proyecto en un año concreto y el correspondiente al año anterior).</t>
  </si>
  <si>
    <t>∆ ∆ FM del año 2024</t>
  </si>
  <si>
    <t>∆ ∆ FM del año 2024 = ∆ FM del año 2024 - ∆ FM del año 2023</t>
  </si>
  <si>
    <t>∆ ∆ FM del año 2024 = 125.548 - 123.083</t>
  </si>
  <si>
    <t>∆ ∆ FM del año 2025</t>
  </si>
  <si>
    <t>∆ ∆ FM del año 2025 = ∆ FM del año 2025 - ∆ FM del año 2024</t>
  </si>
  <si>
    <t>∆ ∆ FM del año 2025 = 128.063 - 125.548</t>
  </si>
  <si>
    <t>DI (2022) = INV (2022) + ∆ FM del año 2022</t>
  </si>
  <si>
    <t>DI (2022) = 1.200.000 + 40.000</t>
  </si>
  <si>
    <t>El importe que debe figurar en este concepto es el que expresa la diferencia, en términos de caja, entre las dos situaciones comparadas (en nuestro caso, afrontar el proyecto frente a no hacerlo). Dado que el proyecto exige la compra de unas instalaciones, debe considerarse el precio de adquisición de las mismas; a lo anterior hay que añadir la inversión que el proyecto exige realizar en almacén (stock de seguridad).</t>
  </si>
  <si>
    <t>∆VR (2025) (AF) = VE (2025) x (1 + f inmovilizados)^3 - t  (Tipo IS) x [VE (2025) x (1 + f inmovilizados)^3 - INV (2022) x (1 - Vida útil / AM (años))]</t>
  </si>
  <si>
    <t>∆VR (2025) (AF) = 400.000 x (1 + 0,05)^3 - 0,3 x [400.000 x (1 + 0,05)^3 - 1.200.000 x (1 - 3 / 10)]</t>
  </si>
  <si>
    <t>El proyecto permitirá al final de su vida útil liquidar las instalaciones adquiridas en el momento inicial. Dado que el enunciado proporciona el precio de venta expresado en moneda constante, debe incorporarse el efecto de la inflación; y el cálculo debe considerar también el efecto fiscal de la operación (cuyo tratamiento realizamos de manera simplificada, suponiendo que la plusvalía tributa, sin que pueda considerarse el efecto de la inflación en las amortizaciones practicadas).</t>
  </si>
  <si>
    <t>∆VR (2025) (FM) = ∆ FM del año 2025</t>
  </si>
  <si>
    <t>∆VR (2025) (FM) = 128.063</t>
  </si>
  <si>
    <t>Al final de la vida útil del proyecto (en realidad, a lo largo de los meses siguientes) se recuperará lo invertido en fondo de maniobra a lo largo de la misma. En principio, y siempre que supongamos que todos los componentes de dicho fondo de maniobra se liquidan a valor en libros (es decir, si entendemos que se paga todo lo que se debe y se cobra todo lo pendiente de cobro; y que las existencias se liquidan a precio de coste) no se producirá ningún efecto fiscal. Por la propia forma de cálculo, la suma de las inversiones realizadas coincidirá con el saldo que en este epígrafe aporta el proyecto en el último año.</t>
  </si>
  <si>
    <t>∆VR (2025) = ∆VR (2025) (AF) + ∆VR (2025) (FM)</t>
  </si>
  <si>
    <t>∆VR (2025) = 576.135 + 128.063</t>
  </si>
  <si>
    <t>En este epígrafe recogemos la suma de los valores obtenidos en la liquidación de activo fijo y fondo de maniobra al final de la vida del proyecto.</t>
  </si>
  <si>
    <t>Ki = Intereses x (1 - t  (Tipo IS)) / FALP (mercado)</t>
  </si>
  <si>
    <t>Ki = 500.000 x (1 - 0,3) / 10.000.000</t>
  </si>
  <si>
    <t>El coste de los fondos ajenos a largo plazo debe considerar el efecto fiscal correspondiente, ya que los intereses constituyen un gasto deducible de la base imponible del impuesto sobre sociedades, y tal efecto no se ha considerado en los cálculos conducentes al perfil de fondos (en los que se considera como base imponible el beneficio antes de intereses e impuestos, en aras de una conveniente separación entre las decisiones de inversión y financiación).</t>
  </si>
  <si>
    <t>Ke = Dividendo / FP (mercado) + g</t>
  </si>
  <si>
    <t>Ke = 250.000 / 5.000.000 + 0,04</t>
  </si>
  <si>
    <t>El coste de los fondos propios se calcula en este caso aplicando la lógica del conocido como modelo de Gordon-Shapiro. Se trata de la rentabilidad que, ex-ante (o a priori), esperan obtener los accionistas por poner su dinero a disposición del negocio. En el modelo aludido, el accionista puede obtener dicha rentabilidad por la vía del dividendo o por la de la plusvalía, justificándose ésta última por la capacidad que la empresa tenga de hacer crecer el dividendo en el futuro.</t>
  </si>
  <si>
    <t>K0 = [Ki x FALP (mercado) + Ke x FP (mercado)] / [FALP (mercado) + FP (mercado)]</t>
  </si>
  <si>
    <t>K0 = (0,035 x 10.000.000 + 0,09 x 5.000.000) / (10.000.000 + 5.000.000)</t>
  </si>
  <si>
    <t>El coste medio ponderado del pasivo (al que es también habitual referirse como WACC, Weighted Average Cost of Capital) se calcula a partir de la rentabilidad exigida por los fondos con los que se financia la empresa (ajenos y propios), y de las proporciones que ambos presentan en el pasivo de la empresa (y que se suponen constantes). Desde una perspectiva de largo plazo (que es con la que hemos calculado el perfil de fondos), y suponiendo que sólo los fondos a largo plazo tienen coste explícito, los cálculos deben considerar sólo los "capitales permanentes". Y el resultado es lo que pedimos como mínimo a los proyectos a estudiar: solo las inversiones que rindan esa tasa (o más) permitirán devolver y retribuir adecuadamente a los fondos empleados.</t>
  </si>
  <si>
    <t>TINV del año 2022</t>
  </si>
  <si>
    <t>TINV del año 2022 = - DI (2022)</t>
  </si>
  <si>
    <t>TINV del año 2022 = -1.240.000</t>
  </si>
  <si>
    <t>TINV del año 2023</t>
  </si>
  <si>
    <t>TINV del año 2023 = ∆ GFO del año 2023 - ∆ ∆ FM del año 2023</t>
  </si>
  <si>
    <t>TINV del año 2023 = 180.480 - 83.083</t>
  </si>
  <si>
    <t>TINV del año 2024</t>
  </si>
  <si>
    <t>TINV del año 2024 = ∆ GFO del año 2024 - ∆ ∆ FM del año 2024</t>
  </si>
  <si>
    <t>TINV del año 2024 = 184.781 - 2.465</t>
  </si>
  <si>
    <t>TINV del año 2025</t>
  </si>
  <si>
    <t>TINV del año 2025 = ∆ GFO del año 2025 - ∆ ∆ FM del año 2025 + ∆VR (2025)</t>
  </si>
  <si>
    <t>TINV del año 2025 = 189.182 - 2.514 + 704.198</t>
  </si>
  <si>
    <t>VAN = TINV del año 2022 + TINV del año 2023 / (1 + K0) + TINV del año 2024 / (1 + K0)^2 + TINV del año 2025 / (1 + K0)^3</t>
  </si>
  <si>
    <t>VAN = -1.240.000 + 97.397 / 1,053 + 182.316 / 1,053^2 + 890.865 / 1,053^3 = -220.934</t>
  </si>
  <si>
    <t>El Valor Actualizado Neto (VAN) es una medida (la mejor) de la contribución del proyecto estudiado al objetivo financiero de la empresa (crear valor). Compara, en valor actual, "lo que el proyecto da con lo que el proyecto pide". Dicho de otro modo, el VAN expresa la comparación entre lo que el proyecto "vale" y lo que "cuesta", por lo que la diferencia coincide (en mercados perfectos y eficientes) con el valor creado por la decisión estudiada. En el cálculo de lo que vale el proyecto se utiliza como tasa de descuento el coste medio ponderado, que debe entenderse como la rentabilidad que puede obtenerse a los fondos en el mercado en la mejor alternativa posible (de riesgo similar).</t>
  </si>
  <si>
    <t>TRI: -TINV del año 2022 = TINV del año 2023 / (1+TRI) + TINV del año 2024 / (1+TRI)^2 + TINV del año 2025 / (1+TRI)^3    =&gt; TRI</t>
  </si>
  <si>
    <t>TRI: 1.240.000 = 97.397 / (1+TRI) + 182.316 / (1+TRI)^2 + 890.865 / (1+TRI)^3    =&gt; TRI = -2,13%</t>
  </si>
  <si>
    <t>Cuando calculamos la TRI lo que hacemos es responder a la pregunta "¿Qué rentabilidad debería haber en el mercado para que el proyecto fuera indiferente (entendiendo por tal lo que es tan bueno como la mejor alternativa perdida)?". Así, la interpretación del resultado obtenido es inmediata: la TRI nos indica cuánto rinde el proyecto; y la consecuencia que se deriva es que debe aceptarse todo proyecto que rinda más que lo que debe (información recogida en el coste medio ponderado del pasivo).</t>
  </si>
  <si>
    <t>Planteamiento general: variabilidad a la decisión e inflación</t>
  </si>
  <si>
    <t>¿Por qué es importante en este caso incorporar el efecto de la inflación en el análisis (y no trabajar directamente con moneda constante descontada al tipo real)?</t>
  </si>
  <si>
    <t>¿Por qué debe tenerse en cuenta en ∆C la variación de existencias?</t>
  </si>
  <si>
    <t>¿Por qué hay cambios en Existencias si el número de unidades físicas se mantiene a lo largo de toda la vida útil del proyecto?</t>
  </si>
  <si>
    <t>En el análisis del interés de un proyecto de inversión es fundamental aplicar la lógica de la 'incrementalidad' o 'variabilidad a la decisión'. De lo que se trata en último término es de calcular 'la tesorería de más o de menos que al final de cada año presentará la empresa si afronta el proyecto con respecto a la que tendría sin él'. Así, todas las cifras involucradas en el análisis resultan de comparar las dos situaciones: afrontar el proyecto frente a no hacerlo, por lo que solo figurarán las ventas (y los costes) 'de más' que se consiguen al afrontar el proyecto; y la misma lógica aplica a los componentes del fondo de maniobra (los saldos que deben considerarse son solo 'los que cambian' como consecuencia del citado proyecto).</t>
  </si>
  <si>
    <t>¿Por qué la cifra de ∆Proveedores no puede calcularse a partir de ∆C?</t>
  </si>
  <si>
    <t>En el análisis del interés de un proyecto de inversión es fundamental aplicar la lógica de la 'incrementalidad' o 'variabilidad a la decisión'. En el proceso debe calcularse el impacto que el proyecto tendrá en los beneficios de la empresa, lo que permita estimar los impuestos de más o de menos que habrá que pagar si se decide acometerlo; y para calcular el beneficio se comparan las ventas con el consumo necesario (compras menos variación de existencias), por lo que la cifra relevante para obtener el saldo pendiente de pago a final de año no es el consumo, sino las Compras (que es la cifra que expresa nuestra relación con los proveedores).</t>
  </si>
  <si>
    <t>¿Por qué el IVA solo aparece en el cálculo de los saldos de Clientes y Proveedores y no afecta a los datos relacionados con la compra y venta de inmovilizados?</t>
  </si>
  <si>
    <t>El IVA provoca efectos en tesorería: debe incluirse en las facturas emitidas a clientes, y lo mismo ocurre en las que recibimos de nuestros proveedores; pero los importes 'repercutidos' (cobrados de más a clientes) deben ingresarse en Hacienda, descontando previamente los 'soportados' (pagados de más a proveedores). Dado que los importes correspondientes a este impuesto se suponen liquidados a final de año, el único efecto que presenta el impuesto en tesorería es el que se deriva de los importes pendientes de cobro y pago a final de cada año: es cierto que la compra de inmovilizado supone un pago superior al reflejado en el desembolso inicial, pero el importe correspondiente se supone recuperado en el propio momento cero (liquidación trimestral de IVA; suponiendo implícitamente que el momento cero es el último día del año anterior); y lo mismo ocurre con la venta de inmovilizado al final de la vida del proyecto.</t>
  </si>
  <si>
    <t>¿Qué impacto tienen en el análisis las políticas de valoración (de almacenes y de inmovilizado)?</t>
  </si>
  <si>
    <t>El único impacto que dichas políticas provocan en tesorería es el fiscal. Efectivamente, la amortización (que es la expresión de la política de valoración de inmovilizados) se resta en el cálculo del BAII, pero se suma después en el paso de BAIdI a GFO (con lo que en ausencia de impuestos su consideración no tendría ningún efecto en el análisis); y la política de valoración de almacenes influye en el cálculo del BAII (supuesto existencias finales mayores que las iniciales, la diferencia se resta de las Compras para determinar el consumo, lo que supone implícitamente sumar dicho importe de cara al BAII), pero la cifra considerada vuelve a aparecer, con signo cambiado, en la corrección por fondo de maniobra que se realiza al pasar de GFO a TINV, por lo que nuevamente vemos que el único efecto que tiene su consideración es el fiscal.</t>
  </si>
  <si>
    <t>∆ V del año 2023 = 320.000 x (1 + 0,01)^1</t>
  </si>
  <si>
    <t>∆ V del año 2024 = 320.000 x (1 + 0,01)^2</t>
  </si>
  <si>
    <t>∆ V del año 2025 = 320.000 x (1 + 0,01)^3</t>
  </si>
  <si>
    <t>∆ C del año 2023 = 180.000 x (1 + 0,02)^1 - (36.720 - 36.000)</t>
  </si>
  <si>
    <t>∆ C del año 2024 = 180.000 x (1 + 0,02)^2 - (37.454 - 36.720)</t>
  </si>
  <si>
    <t>∆ C del año 2025 = 180.000 x (1 + 0,02)^3 - (38.203 - 37.454)</t>
  </si>
  <si>
    <t>∆ AM del año 2023 = 400.000 / 10</t>
  </si>
  <si>
    <t>∆ AM del año 2024 = 400.000 / 10</t>
  </si>
  <si>
    <t>∆ AM del año 2025 = 400.000 / 10</t>
  </si>
  <si>
    <t>∆ BAII del año 2023 = 323.200 - 182.880 - 40.000</t>
  </si>
  <si>
    <t>∆ BAII del año 2024 = 326.432 - 186.538 - 40.000</t>
  </si>
  <si>
    <t>∆ BAII del año 2025 = 329.696 - 190.268 - 40.000</t>
  </si>
  <si>
    <t>∆ Imp del año 2023 = 0,25 x 100.320</t>
  </si>
  <si>
    <t>∆ Imp del año 2024 = 0,25 x 99.894</t>
  </si>
  <si>
    <t>∆ Imp del año 2025 = 0,25 x 99.428</t>
  </si>
  <si>
    <t>∆ BAIdI del año 2023 = 100.320 - 25.080</t>
  </si>
  <si>
    <t>∆ BAIdI del año 2024 = 99.894 - 24.974</t>
  </si>
  <si>
    <t>∆ BAIdI del año 2025 = 99.428 - 24.857</t>
  </si>
  <si>
    <t>∆ GFO del año 2023 = 75.240 + 40.000</t>
  </si>
  <si>
    <t>∆ GFO del año 2024 = 74.921 + 40.000</t>
  </si>
  <si>
    <t>∆ GFO del año 2025 = 74.571 + 40.000</t>
  </si>
  <si>
    <t>∆ Existencias del año 2022 = 36.000</t>
  </si>
  <si>
    <t>∆ Existencias del año 2023 = 36.000 x (1 + 0,02)</t>
  </si>
  <si>
    <t>∆ Existencias del año 2024 = 36.720 x (1 + 0,02)</t>
  </si>
  <si>
    <t>∆ Existencias del año 2025 = 37.454 x (1 + 0,02)</t>
  </si>
  <si>
    <t>∆ Clientes del año 2023 = 323.200 x (1 + 0,21) / 360 x 60</t>
  </si>
  <si>
    <t>∆ Clientes del año 2024 = 326.432 x (1 + 0,21) / 360 x 60</t>
  </si>
  <si>
    <t>∆ Clientes del año 2025 = 329.696 x (1 + 0,21) / 360 x 60</t>
  </si>
  <si>
    <t>∆ Proveedores del año 2023 = 180.000 x (1 + 0,02)^1 x (1 + 0,21) / 360 x 60</t>
  </si>
  <si>
    <t>∆ Proveedores del año 2024 = 180.000 x (1 + 0,02)^2 x (1 + 0,21) / 360 x 60</t>
  </si>
  <si>
    <t>∆ Proveedores del año 2025 = 180.000 x (1 + 0,02)^3 x (1 + 0,21) / 360 x 60</t>
  </si>
  <si>
    <t>∆ FM del año 2022 = 36.000 + 0 - 0</t>
  </si>
  <si>
    <t>∆ FM del año 2023 = 36.720 + 65.179 - 37.026</t>
  </si>
  <si>
    <t>∆ FM del año 2024 = 37.454 + 65.830 - 37.767</t>
  </si>
  <si>
    <t>∆ FM del año 2025 = 38.203 + 66.489 - 38.522</t>
  </si>
  <si>
    <t>∆ ∆ FM del año 2022 = 36.000</t>
  </si>
  <si>
    <t>∆ ∆ FM del año 2023 = 64.873 - 36.000</t>
  </si>
  <si>
    <t>∆ ∆ FM del año 2024 = 65.518 - 64.873</t>
  </si>
  <si>
    <t>∆ ∆ FM del año 2025 = 66.170 - 65.518</t>
  </si>
  <si>
    <t>DI (2022) = 400.000 + 36.000</t>
  </si>
  <si>
    <t>∆VR (2025) (AF) = 100.000 x (1 + 0,03)^3 - 0,25 x [100.000 x (1 + 0,03)^3 - 400.000 x (1 - 3 / 10)]</t>
  </si>
  <si>
    <t>∆VR (2025) (FM) = 66.170</t>
  </si>
  <si>
    <t>∆VR (2025) = 151.955 + 66.170</t>
  </si>
  <si>
    <t>Ki = 300.000 x (1 - 0,25) / 5.000.000</t>
  </si>
  <si>
    <t>Ke = 450.000 / 7.500.000 + 0,025</t>
  </si>
  <si>
    <t>K0 = (0,045 x 5.000.000 + 0,085 x 7.500.000) / (5.000.000 + 7.500.000)</t>
  </si>
  <si>
    <t>TINV del año 2022 = -436.000</t>
  </si>
  <si>
    <t>TINV del año 2023 = 115.240 - 28.873</t>
  </si>
  <si>
    <t>TINV del año 2024 = 114.921 - 646</t>
  </si>
  <si>
    <t>TINV del año 2025 = 114.571 - 652 + 218.125</t>
  </si>
  <si>
    <t>VAN = -436.000 + 86.367 / 1,069 + 114.275 / 1,069^2 + 332.044 / 1,069^3 = 16.600</t>
  </si>
  <si>
    <t>TRI: 436.000 = 86.367 / (1+TRI) + 114.275 / (1+TRI)^2 + 332.044 / (1+TRI)^3    =&gt; TRI = 8,57%</t>
  </si>
  <si>
    <t>∆ V del año 2023 = 150.000 x (1 + 0,03)^1</t>
  </si>
  <si>
    <t>∆ V del año 2024 = 150.000 x (1 + 0,03)^2</t>
  </si>
  <si>
    <t>∆ V del año 2025 = 150.000 x (1 + 0,03)^3</t>
  </si>
  <si>
    <t>∆ C del año 2023 = 120.000 x (1 + 0,02)^1 - (12.240 - 12.000)</t>
  </si>
  <si>
    <t>∆ C del año 2024 = 120.000 x (1 + 0,02)^2 - (12.485 - 12.240)</t>
  </si>
  <si>
    <t>∆ C del año 2025 = 120.000 x (1 + 0,02)^3 - (12.734 - 12.485)</t>
  </si>
  <si>
    <t>∆ AM del año 2023 = 300.000 / 8</t>
  </si>
  <si>
    <t>∆ AM del año 2024 = 300.000 / 8</t>
  </si>
  <si>
    <t>∆ AM del año 2025 = 300.000 / 8</t>
  </si>
  <si>
    <t>∆ BAII del año 2023 = 154.500 - 122.160 - 37.500</t>
  </si>
  <si>
    <t>∆ BAII del año 2024 = 159.135 - 124.603 - 37.500</t>
  </si>
  <si>
    <t>∆ BAII del año 2025 = 163.909 - 127.095 - 37.500</t>
  </si>
  <si>
    <t>∆ Imp del año 2023 = 0,3 x (-5.160)</t>
  </si>
  <si>
    <t>∆ Imp del año 2024 = 0,3 x (-2.968)</t>
  </si>
  <si>
    <t>∆ Imp del año 2025 = 0,3 x (-686)</t>
  </si>
  <si>
    <t>∆ BAIdI del año 2023 = -5.160 - (-1.548)</t>
  </si>
  <si>
    <t>∆ BAIdI del año 2024 = -2.968 - (-890)</t>
  </si>
  <si>
    <t>∆ BAIdI del año 2025 = -686 - (-206)</t>
  </si>
  <si>
    <t>∆ GFO del año 2023 = -3.612 + 37.500</t>
  </si>
  <si>
    <t>∆ GFO del año 2024 = -2.078 + 37.500</t>
  </si>
  <si>
    <t>∆ GFO del año 2025 = -480 + 37.500</t>
  </si>
  <si>
    <t>∆ Existencias del año 2022 = 12.000</t>
  </si>
  <si>
    <t>∆ Existencias del año 2023 = 12.000 x (1 + 0,02)</t>
  </si>
  <si>
    <t>∆ Existencias del año 2024 = 12.240 x (1 + 0,02)</t>
  </si>
  <si>
    <t>∆ Existencias del año 2025 = 12.485 x (1 + 0,02)</t>
  </si>
  <si>
    <t>∆ Clientes del año 2023 = 154.500 x (1 + 0,21) / 360 x 90</t>
  </si>
  <si>
    <t>∆ Clientes del año 2024 = 159.135 x (1 + 0,21) / 360 x 90</t>
  </si>
  <si>
    <t>∆ Clientes del año 2025 = 163.909 x (1 + 0,21) / 360 x 90</t>
  </si>
  <si>
    <t>∆ Proveedores del año 2023 = 120.000 x (1 + 0,02)^1 x (1 + 0,21) / 360 x 90</t>
  </si>
  <si>
    <t>∆ Proveedores del año 2024 = 120.000 x (1 + 0,02)^2 x (1 + 0,21) / 360 x 90</t>
  </si>
  <si>
    <t>∆ Proveedores del año 2025 = 120.000 x (1 + 0,02)^3 x (1 + 0,21) / 360 x 90</t>
  </si>
  <si>
    <t>∆ FM del año 2022 = 12.000 + 0 - 0</t>
  </si>
  <si>
    <t>∆ FM del año 2023 = 12.240 + 46.736 - 37.026</t>
  </si>
  <si>
    <t>∆ FM del año 2024 = 12.485 + 48.138 - 37.767</t>
  </si>
  <si>
    <t>∆ FM del año 2025 = 12.734 + 49.582 - 38.522</t>
  </si>
  <si>
    <t>∆ ∆ FM del año 2022 = 12.000</t>
  </si>
  <si>
    <t>∆ ∆ FM del año 2023 = 21.950 - 12.000</t>
  </si>
  <si>
    <t>∆ ∆ FM del año 2024 = 22.857 - 21.950</t>
  </si>
  <si>
    <t>∆ ∆ FM del año 2025 = 23.795 - 22.857</t>
  </si>
  <si>
    <t>DI (2022) = 300.000 + 12.000</t>
  </si>
  <si>
    <t>∆VR (2025) (AF) = 60.000 x (1 + 0,04)^3 - 0,3 x [60.000 x (1 + 0,04)^3 - 300.000 x (1 - 3 / 8)]</t>
  </si>
  <si>
    <t>∆VR (2025) (FM) = 23.795</t>
  </si>
  <si>
    <t>∆VR (2025) = 103.494 + 23.795</t>
  </si>
  <si>
    <t>Ki = 480.000 x (1 - 0,3) / 6.000.000</t>
  </si>
  <si>
    <t>Ke = 600.000 / 6.000.000 + 0,02</t>
  </si>
  <si>
    <t>K0 = (0,056 x 6.000.000 + 0,12 x 6.000.000) / (6.000.000 + 6.000.000)</t>
  </si>
  <si>
    <t>TINV del año 2022 = -312.000</t>
  </si>
  <si>
    <t>TINV del año 2023 = 33.888 - 9.950</t>
  </si>
  <si>
    <t>TINV del año 2024 = 35.422 - 906</t>
  </si>
  <si>
    <t>TINV del año 2025 = 37.020 - 939 + 127.289</t>
  </si>
  <si>
    <t>VAN = -312.000 + 23.938 / 1,088 + 34.516 / 1,088^2 + 163.371 / 1,088^3 = -133.991</t>
  </si>
  <si>
    <t>TRI: 312.000 = 23.938 / (1+TRI) + 34.516 / (1+TRI)^2 + 163.371 / (1+TRI)^3    =&gt; TRI = -12,05%</t>
  </si>
  <si>
    <t>∆ V del año 2023 = 170.000 x (1 + 0,05)^1</t>
  </si>
  <si>
    <t>∆ V del año 2024 = 170.000 x (1 + 0,05)^2</t>
  </si>
  <si>
    <t>∆ V del año 2025 = 170.000 x (1 + 0,05)^3</t>
  </si>
  <si>
    <t>∆ C del año 2023 = 75.000 x (1 + 0,01)^1 - (7.575 - 7.500)</t>
  </si>
  <si>
    <t>∆ C del año 2024 = 75.000 x (1 + 0,01)^2 - (7.651 - 7.575)</t>
  </si>
  <si>
    <t>∆ C del año 2025 = 75.000 x (1 + 0,01)^3 - (7.727 - 7.651)</t>
  </si>
  <si>
    <t>∆ AM del año 2023 = 250.000 / 10</t>
  </si>
  <si>
    <t>∆ AM del año 2024 = 250.000 / 10</t>
  </si>
  <si>
    <t>∆ AM del año 2025 = 250.000 / 10</t>
  </si>
  <si>
    <t>∆ BAII del año 2023 = 178.500 - 75.675 - 25.000</t>
  </si>
  <si>
    <t>∆ BAII del año 2024 = 187.425 - 76.432 - 25.000</t>
  </si>
  <si>
    <t>∆ BAII del año 2025 = 196.796 - 77.196 - 25.000</t>
  </si>
  <si>
    <t>∆ Imp del año 2023 = 0,3 x 77.825</t>
  </si>
  <si>
    <t>∆ Imp del año 2024 = 0,3 x 85.993</t>
  </si>
  <si>
    <t>∆ Imp del año 2025 = 0,3 x 94.600</t>
  </si>
  <si>
    <t>∆ BAIdI del año 2023 = 77.825 - 23.348</t>
  </si>
  <si>
    <t>∆ BAIdI del año 2024 = 85.993 - 25.798</t>
  </si>
  <si>
    <t>∆ BAIdI del año 2025 = 94.600 - 28.380</t>
  </si>
  <si>
    <t>∆ GFO del año 2023 = 54.478 + 25.000</t>
  </si>
  <si>
    <t>∆ GFO del año 2024 = 60.195 + 25.000</t>
  </si>
  <si>
    <t>∆ GFO del año 2025 = 66.220 + 25.000</t>
  </si>
  <si>
    <t>∆ Existencias del año 2022 = 7.500</t>
  </si>
  <si>
    <t>∆ Existencias del año 2023 = 7.500 x (1 + 0,01)</t>
  </si>
  <si>
    <t>∆ Existencias del año 2024 = 7.575 x (1 + 0,01)</t>
  </si>
  <si>
    <t>∆ Existencias del año 2025 = 7.651 x (1 + 0,01)</t>
  </si>
  <si>
    <t>∆ Clientes del año 2023 = 178.500 x (1 + 0,21) / 360 x 30</t>
  </si>
  <si>
    <t>∆ Clientes del año 2024 = 187.425 x (1 + 0,21) / 360 x 30</t>
  </si>
  <si>
    <t>∆ Clientes del año 2025 = 196.796 x (1 + 0,21) / 360 x 30</t>
  </si>
  <si>
    <t>∆ Proveedores del año 2023 = 75.000 x (1 + 0,01)^1 x (1 + 0,21) / 360 x 60</t>
  </si>
  <si>
    <t>∆ Proveedores del año 2024 = 75.000 x (1 + 0,01)^2 x (1 + 0,21) / 360 x 60</t>
  </si>
  <si>
    <t>∆ Proveedores del año 2025 = 75.000 x (1 + 0,01)^3 x (1 + 0,21) / 360 x 60</t>
  </si>
  <si>
    <t>∆ FM del año 2022 = 7.500 + 0 - 0</t>
  </si>
  <si>
    <t>∆ FM del año 2023 = 7.575 + 17.999 - 15.276</t>
  </si>
  <si>
    <t>∆ FM del año 2024 = 7.651 + 18.899 - 15.429</t>
  </si>
  <si>
    <t>∆ FM del año 2025 = 7.727 + 19.844 - 15.583</t>
  </si>
  <si>
    <t>∆ ∆ FM del año 2022 = 7.500</t>
  </si>
  <si>
    <t>∆ ∆ FM del año 2023 = 10.298 - 7.500</t>
  </si>
  <si>
    <t>∆ ∆ FM del año 2024 = 11.120 - 10.298</t>
  </si>
  <si>
    <t>∆ ∆ FM del año 2025 = 11.988 - 11.120</t>
  </si>
  <si>
    <t>DI (2022) = 250.000 + 7.500</t>
  </si>
  <si>
    <t>∆VR (2025) (AF) = 25.000 x (1 + 0,05)^3 - 0,3 x [25.000 x (1 + 0,05)^3 - 250.000 x (1 - 3 / 10)]</t>
  </si>
  <si>
    <t>∆VR (2025) (FM) = 11.988</t>
  </si>
  <si>
    <t>∆VR (2025) = 72.758 + 11.988</t>
  </si>
  <si>
    <t>Ki = 250.000 x (1 - 0,3) / 5.000.000</t>
  </si>
  <si>
    <t>Ke = 350.000 / 5.000.000 + 0,03</t>
  </si>
  <si>
    <t>K0 = (0,035 x 5.000.000 + 0,1 x 5.000.000) / (5.000.000 + 5.000.000)</t>
  </si>
  <si>
    <t>TINV del año 2022 = -257.500</t>
  </si>
  <si>
    <t>TINV del año 2023 = 79.478 - 2.798</t>
  </si>
  <si>
    <t>TINV del año 2024 = 85.195 - 823</t>
  </si>
  <si>
    <t>TINV del año 2025 = 91.220 - 867 + 84.746</t>
  </si>
  <si>
    <t>VAN = -257.500 + 76.680 / 1,068 + 84.372 / 1,068^2 + 175.099 / 1,068^3 = 32.311</t>
  </si>
  <si>
    <t>TRI: 257.500 = 76.680 / (1+TRI) + 84.372 / (1+TRI)^2 + 175.099 / (1+TRI)^3    =&gt; TRI = 12,56%</t>
  </si>
  <si>
    <t>∆ V del año 2023 = 70.000 x (1 + 0,04)^1</t>
  </si>
  <si>
    <t>∆ V del año 2024 = 70.000 x (1 + 0,04)^2</t>
  </si>
  <si>
    <t>∆ V del año 2025 = 70.000 x (1 + 0,04)^3</t>
  </si>
  <si>
    <t>∆ C del año 2023 = 40.000 x (1 + 0,04)^1 - (2.080 - 2.000)</t>
  </si>
  <si>
    <t>∆ C del año 2024 = 40.000 x (1 + 0,04)^2 - (2.163 - 2.080)</t>
  </si>
  <si>
    <t>∆ C del año 2025 = 40.000 x (1 + 0,04)^3 - (2.250 - 2.163)</t>
  </si>
  <si>
    <t>∆ AM del año 2023 = 200.000 / 5</t>
  </si>
  <si>
    <t>∆ AM del año 2024 = 200.000 / 5</t>
  </si>
  <si>
    <t>∆ AM del año 2025 = 200.000 / 5</t>
  </si>
  <si>
    <t>∆ BAII del año 2023 = 72.800 - 41.520 - 40.000</t>
  </si>
  <si>
    <t>∆ BAII del año 2024 = 75.712 - 43.181 - 40.000</t>
  </si>
  <si>
    <t>∆ BAII del año 2025 = 78.740 - 44.908 - 40.000</t>
  </si>
  <si>
    <t>∆ Imp del año 2023 = 0,3 x (-8.720)</t>
  </si>
  <si>
    <t>∆ Imp del año 2024 = 0,3 x (-7.469)</t>
  </si>
  <si>
    <t>∆ Imp del año 2025 = 0,3 x (-6.168)</t>
  </si>
  <si>
    <t>∆ BAIdI del año 2023 = -8.720 - (-2.616)</t>
  </si>
  <si>
    <t>∆ BAIdI del año 2024 = -7.469 - (-2.241)</t>
  </si>
  <si>
    <t>∆ BAIdI del año 2025 = -6.168 - (-1.850)</t>
  </si>
  <si>
    <t>∆ GFO del año 2023 = -6.104 + 40.000</t>
  </si>
  <si>
    <t>∆ GFO del año 2024 = -5.228 + 40.000</t>
  </si>
  <si>
    <t>∆ GFO del año 2025 = -4.317 + 40.000</t>
  </si>
  <si>
    <t>∆ Existencias del año 2022 = 2.000</t>
  </si>
  <si>
    <t>∆ Existencias del año 2023 = 2.000 x (1 + 0,04)</t>
  </si>
  <si>
    <t>∆ Existencias del año 2024 = 2.080 x (1 + 0,04)</t>
  </si>
  <si>
    <t>∆ Existencias del año 2025 = 2.163 x (1 + 0,04)</t>
  </si>
  <si>
    <t>∆ Clientes del año 2023 = 72.800 x (1 + 0,21) / 360 x 30</t>
  </si>
  <si>
    <t>∆ Clientes del año 2024 = 75.712 x (1 + 0,21) / 360 x 30</t>
  </si>
  <si>
    <t>∆ Clientes del año 2025 = 78.740 x (1 + 0,21) / 360 x 30</t>
  </si>
  <si>
    <t>∆ Proveedores del año 2023 = 40.000 x (1 + 0,04)^1 x (1 + 0,21) / 360 x 90</t>
  </si>
  <si>
    <t>∆ Proveedores del año 2024 = 40.000 x (1 + 0,04)^2 x (1 + 0,21) / 360 x 90</t>
  </si>
  <si>
    <t>∆ Proveedores del año 2025 = 40.000 x (1 + 0,04)^3 x (1 + 0,21) / 360 x 90</t>
  </si>
  <si>
    <t>∆ FM del año 2022 = 2.000 + 0 - 0</t>
  </si>
  <si>
    <t>∆ FM del año 2023 = 2.080 + 7.341 - 12.584</t>
  </si>
  <si>
    <t>∆ FM del año 2024 = 2.163 + 7.634 - 13.087</t>
  </si>
  <si>
    <t>∆ FM del año 2025 = 2.250 + 7.940 - 13.611</t>
  </si>
  <si>
    <t>∆ ∆ FM del año 2022 = 2.000</t>
  </si>
  <si>
    <t>∆ ∆ FM del año 2023 = -3.163 - 2.000</t>
  </si>
  <si>
    <t>∆ ∆ FM del año 2024 = -3.290 - (-3.163)</t>
  </si>
  <si>
    <t>∆ ∆ FM del año 2025 = -3.421 - (-3.290)</t>
  </si>
  <si>
    <t>DI (2022) = 200.000 + 2.000</t>
  </si>
  <si>
    <t>∆VR (2025) (AF) = 160.000 x (1 + 0,04)^3 - 0,3 x [160.000 x (1 + 0,04)^3 - 200.000 x (1 - 3 / 5)]</t>
  </si>
  <si>
    <t>∆VR (2025) (FM) = -3.421</t>
  </si>
  <si>
    <t>∆VR (2025) = 149.985 + (-3.421)</t>
  </si>
  <si>
    <t>Ki = 600.000 x (1 - 0,3) / 10.000.000</t>
  </si>
  <si>
    <t>Ke = 320.000 / 4.000.000 + 0,01</t>
  </si>
  <si>
    <t>K0 = (0,042 x 10.000.000 + 0,09 x 4.000.000) / (10.000.000 + 4.000.000)</t>
  </si>
  <si>
    <t>TINV del año 2022 = -202.000</t>
  </si>
  <si>
    <t>TINV del año 2023 = 33.896 - (-5.163)</t>
  </si>
  <si>
    <t>TINV del año 2024 = 34.772 - (-127)</t>
  </si>
  <si>
    <t>TINV del año 2025 = 35.683 - (-132) + 146.563</t>
  </si>
  <si>
    <t>VAN = -202.000 + 39.059 / 1,056 + 34.898 / 1,056^2 + 182.378 / 1,056^3 = 21.310</t>
  </si>
  <si>
    <t>TRI: 202.000 = 39.059 / (1+TRI) + 34.898 / (1+TRI)^2 + 182.378 / (1+TRI)^3    =&gt; TRI = 9,86%</t>
  </si>
  <si>
    <t>∆ V del año 2023 = 100.000 x (1 + 0,01)^1</t>
  </si>
  <si>
    <t>∆ V del año 2024 = 100.000 x (1 + 0,01)^2</t>
  </si>
  <si>
    <t>∆ V del año 2025 = 100.000 x (1 + 0,01)^3</t>
  </si>
  <si>
    <t>∆ C del año 2023 = 80.000 x (1 + 0,05)^1 - (8.400 - 8.000)</t>
  </si>
  <si>
    <t>∆ C del año 2024 = 80.000 x (1 + 0,05)^2 - (8.820 - 8.400)</t>
  </si>
  <si>
    <t>∆ C del año 2025 = 80.000 x (1 + 0,05)^3 - (9.261 - 8.820)</t>
  </si>
  <si>
    <t>∆ AM del año 2023 = 100.000 / 10</t>
  </si>
  <si>
    <t>∆ AM del año 2024 = 100.000 / 10</t>
  </si>
  <si>
    <t>∆ AM del año 2025 = 100.000 / 10</t>
  </si>
  <si>
    <t>∆ BAII del año 2023 = 101.000 - 83.600 - 10.000</t>
  </si>
  <si>
    <t>∆ BAII del año 2024 = 102.010 - 87.780 - 10.000</t>
  </si>
  <si>
    <t>∆ BAII del año 2025 = 103.030 - 92.169 - 10.000</t>
  </si>
  <si>
    <t>∆ Imp del año 2023 = 0,3 x 7.400</t>
  </si>
  <si>
    <t>∆ Imp del año 2024 = 0,3 x 4.230</t>
  </si>
  <si>
    <t>∆ Imp del año 2025 = 0,3 x 861</t>
  </si>
  <si>
    <t>∆ BAIdI del año 2023 = 7.400 - 2.220</t>
  </si>
  <si>
    <t>∆ BAIdI del año 2024 = 4.230 - 1.269</t>
  </si>
  <si>
    <t>∆ BAIdI del año 2025 = 861 - 258</t>
  </si>
  <si>
    <t>∆ GFO del año 2023 = 5.180 + 10.000</t>
  </si>
  <si>
    <t>∆ GFO del año 2024 = 2.961 + 10.000</t>
  </si>
  <si>
    <t>∆ GFO del año 2025 = 603 + 10.000</t>
  </si>
  <si>
    <t>∆ Existencias del año 2022 = 8.000</t>
  </si>
  <si>
    <t>∆ Existencias del año 2023 = 8.000 x (1 + 0,05)</t>
  </si>
  <si>
    <t>∆ Existencias del año 2024 = 8.400 x (1 + 0,05)</t>
  </si>
  <si>
    <t>∆ Existencias del año 2025 = 8.820 x (1 + 0,05)</t>
  </si>
  <si>
    <t>∆ Clientes del año 2023 = 101.000 x (1 + 0,21) / 360 x 60</t>
  </si>
  <si>
    <t>∆ Clientes del año 2024 = 102.010 x (1 + 0,21) / 360 x 60</t>
  </si>
  <si>
    <t>∆ Clientes del año 2025 = 103.030 x (1 + 0,21) / 360 x 60</t>
  </si>
  <si>
    <t>∆ Proveedores del año 2023 = 80.000 x (1 + 0,05)^1 x (1 + 0,21) / 360 x 30</t>
  </si>
  <si>
    <t>∆ Proveedores del año 2024 = 80.000 x (1 + 0,05)^2 x (1 + 0,21) / 360 x 30</t>
  </si>
  <si>
    <t>∆ Proveedores del año 2025 = 80.000 x (1 + 0,05)^3 x (1 + 0,21) / 360 x 30</t>
  </si>
  <si>
    <t>∆ FM del año 2022 = 8.000 + 0 - 0</t>
  </si>
  <si>
    <t>∆ FM del año 2023 = 8.400 + 20.368 - 8.470</t>
  </si>
  <si>
    <t>∆ FM del año 2024 = 8.820 + 20.572 - 8.894</t>
  </si>
  <si>
    <t>∆ FM del año 2025 = 9.261 + 20.778 - 9.338</t>
  </si>
  <si>
    <t>∆ ∆ FM del año 2022 = 8.000</t>
  </si>
  <si>
    <t>∆ ∆ FM del año 2023 = 20.298 - 8.000</t>
  </si>
  <si>
    <t>∆ ∆ FM del año 2024 = 20.499 - 20.298</t>
  </si>
  <si>
    <t>∆ ∆ FM del año 2025 = 20.701 - 20.499</t>
  </si>
  <si>
    <t>DI (2022) = 100.000 + 8.000</t>
  </si>
  <si>
    <t>∆VR (2025) (AF) = 20.000 x (1 + 0,03)^3 - 0,3 x [20.000 x (1 + 0,03)^3 - 100.000 x (1 - 3 / 10)]</t>
  </si>
  <si>
    <t>∆VR (2025) (FM) = 20.701</t>
  </si>
  <si>
    <t>∆VR (2025) = 36.298 + 20.701</t>
  </si>
  <si>
    <t>Ki = 120.000 x (1 - 0,3) / 2.000.000</t>
  </si>
  <si>
    <t>Ke = 240.000 / 4.000.000 + 0,03</t>
  </si>
  <si>
    <t>K0 = (0,042 x 2.000.000 + 0,09 x 4.000.000) / (2.000.000 + 4.000.000)</t>
  </si>
  <si>
    <t>TINV del año 2022 = -108.000</t>
  </si>
  <si>
    <t>TINV del año 2023 = 15.180 - 12.298</t>
  </si>
  <si>
    <t>TINV del año 2024 = 12.961 - 200</t>
  </si>
  <si>
    <t>TINV del año 2025 = 10.603 - 202 + 56.999</t>
  </si>
  <si>
    <t>VAN = -108.000 + 2.882 / 1,074 + 12.761 / 1,074^2 + 67.399 / 1,074^3 = -39.848</t>
  </si>
  <si>
    <t>TRI: 108.000 = 2.882 / (1+TRI) + 12.761 / (1+TRI)^2 + 67.399 / (1+TRI)^3    =&gt; TRI = -9,00%</t>
  </si>
  <si>
    <t>Sin inflación</t>
  </si>
  <si>
    <t>corrientes=constantes</t>
  </si>
  <si>
    <t>V</t>
  </si>
  <si>
    <t>AM</t>
  </si>
  <si>
    <t>BAII</t>
  </si>
  <si>
    <t>Imp</t>
  </si>
  <si>
    <t>BAIdI</t>
  </si>
  <si>
    <r>
      <t xml:space="preserve">GF' - </t>
    </r>
    <r>
      <rPr>
        <b/>
        <sz val="10"/>
        <color indexed="10"/>
        <rFont val="Symbol"/>
        <family val="1"/>
        <charset val="2"/>
      </rPr>
      <t>D</t>
    </r>
    <r>
      <rPr>
        <b/>
        <sz val="10"/>
        <color indexed="10"/>
        <rFont val="Arial"/>
        <family val="2"/>
      </rPr>
      <t>FM</t>
    </r>
  </si>
  <si>
    <t>Cobros y pagos</t>
  </si>
  <si>
    <t>días</t>
  </si>
  <si>
    <t>f</t>
  </si>
  <si>
    <t>Clientes</t>
  </si>
  <si>
    <t>Proveedores</t>
  </si>
  <si>
    <t>FM</t>
  </si>
  <si>
    <t>Inc FM</t>
  </si>
  <si>
    <t>r</t>
  </si>
  <si>
    <t>k</t>
  </si>
  <si>
    <t>Con inflación</t>
  </si>
  <si>
    <t>corrientes</t>
  </si>
  <si>
    <t>constantes</t>
  </si>
  <si>
    <r>
      <t>CONCLUSIÓN:</t>
    </r>
    <r>
      <rPr>
        <b/>
        <sz val="10"/>
        <color indexed="12"/>
        <rFont val="Arial"/>
        <family val="2"/>
      </rPr>
      <t xml:space="preserve"> La no consideración de la inflación tiende a sobrevalorar el interés del proyecto</t>
    </r>
  </si>
  <si>
    <t>cuando la amortización se realiza sobre precios históricos.</t>
  </si>
  <si>
    <t>V-C=GF'</t>
  </si>
  <si>
    <t>GF</t>
  </si>
  <si>
    <t>cuando hay inversiones positivas en fondo de maniobra</t>
  </si>
  <si>
    <t>La información que se presenta a continuación está tomada del libro "Nuevos casos prácticos de Inversión y Financiación", de Javier Santibáñez y Fernando Gómez-Bezares, Desclée de Brouwer, Bilbao, 2014, 3ª edición.</t>
  </si>
  <si>
    <t>INVERSIÓN EN CONDICIONES DE CERTEZA</t>
  </si>
  <si>
    <t>●</t>
  </si>
  <si>
    <t>Obtención del perfil de fondos asociado al proyecto</t>
  </si>
  <si>
    <t>El primer paso a realizar en el análisis de un proyecto de inversión, tanto en ambiente de certeza como de riesgo, es la construcción de su perfil de fondos:</t>
  </si>
  <si>
    <t>Este perfil tiene tres características fundamentales:</t>
  </si>
  <si>
    <t>-</t>
  </si>
  <si>
    <t>Es un perfil de tesorería. Es decir, trata de medir el impacto que el proyecto tiene en la tesorería de la empresa (y no en su beneficio o en otros aspectos).</t>
  </si>
  <si>
    <t>Es un perfil incremental. En él sólo aparecen los elementos que varían con la decisión analizada. Es el resultado de comparar la tesorería de la empresa "con el proyecto" frente a la que tendría "sin el proyecto".</t>
  </si>
  <si>
    <t>No tiene en cuenta cómo va a financiarse el proyecto. Es decir, muestra lo que el proyecto pide y lo que da, no quién pone los fondos o los retira.</t>
  </si>
  <si>
    <t>En realidad, de lo que se trata es de calcular la tesorería de inversión (incremental) asociada al proyecto, es decir, lo mismo que obteníamos en el estado de fuentes y empleos de fondos, pero referido en este caso a un proyecto concreto, y a lo largo de su vida completa.</t>
  </si>
  <si>
    <t>La metodología, por tanto, es la misma que la que proponíamos entonces:</t>
  </si>
  <si>
    <r>
      <t>TINV</t>
    </r>
    <r>
      <rPr>
        <b/>
        <vertAlign val="subscript"/>
        <sz val="11"/>
        <color indexed="8"/>
        <rFont val="Calibri"/>
        <family val="2"/>
      </rPr>
      <t>i</t>
    </r>
    <r>
      <rPr>
        <b/>
        <sz val="11"/>
        <color indexed="8"/>
        <rFont val="Calibri"/>
        <family val="2"/>
      </rPr>
      <t xml:space="preserve"> = GFO</t>
    </r>
    <r>
      <rPr>
        <b/>
        <vertAlign val="subscript"/>
        <sz val="11"/>
        <color indexed="8"/>
        <rFont val="Calibri"/>
        <family val="2"/>
      </rPr>
      <t>i</t>
    </r>
    <r>
      <rPr>
        <b/>
        <sz val="11"/>
        <color indexed="8"/>
        <rFont val="Calibri"/>
        <family val="2"/>
      </rPr>
      <t xml:space="preserve"> + GFE</t>
    </r>
    <r>
      <rPr>
        <b/>
        <vertAlign val="subscript"/>
        <sz val="11"/>
        <color indexed="8"/>
        <rFont val="Calibri"/>
        <family val="2"/>
      </rPr>
      <t>i</t>
    </r>
    <r>
      <rPr>
        <b/>
        <sz val="11"/>
        <color indexed="8"/>
        <rFont val="Calibri"/>
        <family val="2"/>
      </rPr>
      <t xml:space="preserve"> - ∆ FM</t>
    </r>
    <r>
      <rPr>
        <b/>
        <vertAlign val="subscript"/>
        <sz val="11"/>
        <color indexed="8"/>
        <rFont val="Calibri"/>
        <family val="2"/>
      </rPr>
      <t>i</t>
    </r>
    <r>
      <rPr>
        <b/>
        <sz val="11"/>
        <color indexed="8"/>
        <rFont val="Calibri"/>
        <family val="2"/>
      </rPr>
      <t xml:space="preserve"> - INV</t>
    </r>
    <r>
      <rPr>
        <b/>
        <vertAlign val="subscript"/>
        <sz val="11"/>
        <color indexed="8"/>
        <rFont val="Calibri"/>
        <family val="2"/>
      </rPr>
      <t>i</t>
    </r>
  </si>
  <si>
    <t>donde:</t>
  </si>
  <si>
    <r>
      <t>TINV</t>
    </r>
    <r>
      <rPr>
        <vertAlign val="subscript"/>
        <sz val="11"/>
        <color indexed="8"/>
        <rFont val="Calibri"/>
        <family val="2"/>
      </rPr>
      <t>i</t>
    </r>
  </si>
  <si>
    <t>Tesorería de inversión (impacto en caja del proyecto) correspondiente al año i</t>
  </si>
  <si>
    <r>
      <t>GFO</t>
    </r>
    <r>
      <rPr>
        <vertAlign val="subscript"/>
        <sz val="11"/>
        <color indexed="8"/>
        <rFont val="Calibri"/>
        <family val="2"/>
      </rPr>
      <t>i</t>
    </r>
  </si>
  <si>
    <t>Generación de fondos operativa del año i</t>
  </si>
  <si>
    <r>
      <t>GFE</t>
    </r>
    <r>
      <rPr>
        <vertAlign val="subscript"/>
        <sz val="11"/>
        <color indexed="8"/>
        <rFont val="Calibri"/>
        <family val="2"/>
      </rPr>
      <t>i</t>
    </r>
  </si>
  <si>
    <t>Generación de fondos extraordinaria del año i</t>
  </si>
  <si>
    <r>
      <t>∆ FM</t>
    </r>
    <r>
      <rPr>
        <vertAlign val="subscript"/>
        <sz val="11"/>
        <color indexed="8"/>
        <rFont val="Calibri"/>
        <family val="2"/>
      </rPr>
      <t>i</t>
    </r>
  </si>
  <si>
    <t>Incremento de fondo de maniobra (inversión necesaria por este concepto) correspondiente al año i</t>
  </si>
  <si>
    <r>
      <t>INV</t>
    </r>
    <r>
      <rPr>
        <vertAlign val="subscript"/>
        <sz val="11"/>
        <color indexed="8"/>
        <rFont val="Calibri"/>
        <family val="2"/>
      </rPr>
      <t>i</t>
    </r>
  </si>
  <si>
    <t>Inversión en activo fijo exigida por el proyecto en el año i</t>
  </si>
  <si>
    <t>La única matización a realizar a lo anterior consiste en que todos los términos deberían incorporar el símbolo "∆" de incremento, ya que se trata de calcular la aportación del proyecto a la empresa en cada uno de los conceptos indicados.</t>
  </si>
  <si>
    <t>Aunque conceptualmente, y tal como hemos dicho, lo que vamos a hacer es calcular la tesorería de inversión asociada al proyecto, la nomenclatura que utilizaremos en este contexto varía muy ligeramente con respecto a la definida cuando hablábamos del estado de fuentes y empleos de fondos. Así, llamaremos DI (desembolso inicial) -o incluso ∆DI- a la inversión a realizar en el momento inicial. Normalmente, este concepto coincidirá con la inversión en activo fijo (INV), aunque puede también incluir en ocasiones inversiones en circulantes (normalmente existencias). En el caso de proyectos de sustitución, debe considerarse también la liquidación de las instalaciones a sustituir:</t>
  </si>
  <si>
    <t>∆ DI = Compra instal. nuevas - Liquidación instal. viejas + Inversión en FM</t>
  </si>
  <si>
    <r>
      <t>Llamaremos generación de fondos incremental del año "i" (∆ GF</t>
    </r>
    <r>
      <rPr>
        <vertAlign val="subscript"/>
        <sz val="11"/>
        <color indexed="8"/>
        <rFont val="Calibri"/>
        <family val="2"/>
      </rPr>
      <t>i</t>
    </r>
    <r>
      <rPr>
        <sz val="11"/>
        <rFont val="Calibri"/>
        <family val="2"/>
      </rPr>
      <t>) a la tesorería de inversión asociada al proyecto en cada uno de los años de su vida (excluido el momento inicial y sin considerar el valor residual del proyecto al final de su vida útil, que calcularemos aparte). Utilizaremos ∆ GF'</t>
    </r>
    <r>
      <rPr>
        <vertAlign val="subscript"/>
        <sz val="11"/>
        <color indexed="8"/>
        <rFont val="Calibri"/>
        <family val="2"/>
      </rPr>
      <t>i</t>
    </r>
    <r>
      <rPr>
        <sz val="11"/>
        <rFont val="Calibri"/>
        <family val="2"/>
      </rPr>
      <t xml:space="preserve"> para referirnos al impacto en caja sin tener en cuenta las inversiones en fondo de maniobra exigidas por el proyecto (es lo que en el contexto del estado de fuentes y empleos de fondos llamábamos GFO):</t>
    </r>
  </si>
  <si>
    <r>
      <t>∆ GF'</t>
    </r>
    <r>
      <rPr>
        <b/>
        <vertAlign val="subscript"/>
        <sz val="11"/>
        <color indexed="8"/>
        <rFont val="Calibri"/>
        <family val="2"/>
      </rPr>
      <t>i</t>
    </r>
    <r>
      <rPr>
        <b/>
        <sz val="11"/>
        <color indexed="8"/>
        <rFont val="Calibri"/>
        <family val="2"/>
      </rPr>
      <t xml:space="preserve"> = ∆ BAIdI</t>
    </r>
    <r>
      <rPr>
        <b/>
        <vertAlign val="subscript"/>
        <sz val="11"/>
        <color indexed="8"/>
        <rFont val="Calibri"/>
        <family val="2"/>
      </rPr>
      <t>i</t>
    </r>
    <r>
      <rPr>
        <b/>
        <sz val="11"/>
        <color indexed="8"/>
        <rFont val="Calibri"/>
        <family val="2"/>
      </rPr>
      <t xml:space="preserve"> + ∆ AM</t>
    </r>
    <r>
      <rPr>
        <b/>
        <vertAlign val="subscript"/>
        <sz val="11"/>
        <color indexed="8"/>
        <rFont val="Calibri"/>
        <family val="2"/>
      </rPr>
      <t>i</t>
    </r>
    <r>
      <rPr>
        <b/>
        <sz val="11"/>
        <color indexed="8"/>
        <rFont val="Calibri"/>
        <family val="2"/>
      </rPr>
      <t xml:space="preserve"> = ∆ BAII</t>
    </r>
    <r>
      <rPr>
        <b/>
        <vertAlign val="subscript"/>
        <sz val="11"/>
        <color indexed="8"/>
        <rFont val="Calibri"/>
        <family val="2"/>
      </rPr>
      <t>i</t>
    </r>
    <r>
      <rPr>
        <b/>
        <sz val="11"/>
        <color indexed="8"/>
        <rFont val="Calibri"/>
        <family val="2"/>
      </rPr>
      <t xml:space="preserve"> ·(1-t) + ∆ AM</t>
    </r>
    <r>
      <rPr>
        <b/>
        <vertAlign val="subscript"/>
        <sz val="11"/>
        <color indexed="8"/>
        <rFont val="Calibri"/>
        <family val="2"/>
      </rPr>
      <t>i</t>
    </r>
    <r>
      <rPr>
        <b/>
        <sz val="11"/>
        <color indexed="8"/>
        <rFont val="Calibri"/>
        <family val="2"/>
      </rPr>
      <t xml:space="preserve"> = (∆ V</t>
    </r>
    <r>
      <rPr>
        <b/>
        <vertAlign val="subscript"/>
        <sz val="11"/>
        <color indexed="8"/>
        <rFont val="Calibri"/>
        <family val="2"/>
      </rPr>
      <t>i</t>
    </r>
    <r>
      <rPr>
        <b/>
        <sz val="11"/>
        <color indexed="8"/>
        <rFont val="Calibri"/>
        <family val="2"/>
      </rPr>
      <t xml:space="preserve"> - ∆ C</t>
    </r>
    <r>
      <rPr>
        <b/>
        <vertAlign val="subscript"/>
        <sz val="11"/>
        <color indexed="8"/>
        <rFont val="Calibri"/>
        <family val="2"/>
      </rPr>
      <t>i</t>
    </r>
    <r>
      <rPr>
        <b/>
        <sz val="11"/>
        <color indexed="8"/>
        <rFont val="Calibri"/>
        <family val="2"/>
      </rPr>
      <t xml:space="preserve"> - ∆ AM</t>
    </r>
    <r>
      <rPr>
        <b/>
        <vertAlign val="subscript"/>
        <sz val="11"/>
        <color indexed="8"/>
        <rFont val="Calibri"/>
        <family val="2"/>
      </rPr>
      <t>i</t>
    </r>
    <r>
      <rPr>
        <b/>
        <sz val="11"/>
        <color indexed="8"/>
        <rFont val="Calibri"/>
        <family val="2"/>
      </rPr>
      <t>)·(1-t) + ∆ AM</t>
    </r>
    <r>
      <rPr>
        <b/>
        <vertAlign val="subscript"/>
        <sz val="11"/>
        <color indexed="8"/>
        <rFont val="Calibri"/>
        <family val="2"/>
      </rPr>
      <t>i</t>
    </r>
  </si>
  <si>
    <r>
      <t>∆ V</t>
    </r>
    <r>
      <rPr>
        <vertAlign val="subscript"/>
        <sz val="11"/>
        <color indexed="8"/>
        <rFont val="Calibri"/>
        <family val="2"/>
      </rPr>
      <t>i</t>
    </r>
  </si>
  <si>
    <t>Incremento de ventas (típicas) del año i provocado por el proyecto</t>
  </si>
  <si>
    <r>
      <t>∆ C</t>
    </r>
    <r>
      <rPr>
        <vertAlign val="subscript"/>
        <sz val="11"/>
        <color indexed="8"/>
        <rFont val="Calibri"/>
        <family val="2"/>
      </rPr>
      <t>i</t>
    </r>
  </si>
  <si>
    <t>Aumento de costes operativos con desembolso provocado por el proyecto en el año i</t>
  </si>
  <si>
    <r>
      <t>∆ AM</t>
    </r>
    <r>
      <rPr>
        <vertAlign val="subscript"/>
        <sz val="11"/>
        <color indexed="8"/>
        <rFont val="Calibri"/>
        <family val="2"/>
      </rPr>
      <t>i</t>
    </r>
  </si>
  <si>
    <t>Amortización incremental de activos asociada al proyecto en el año i (incluye variación en otros costes sin desembolso -reconocimiento de deterioros-)</t>
  </si>
  <si>
    <r>
      <t>∆ BAII</t>
    </r>
    <r>
      <rPr>
        <vertAlign val="subscript"/>
        <sz val="11"/>
        <color indexed="8"/>
        <rFont val="Calibri"/>
        <family val="2"/>
      </rPr>
      <t>i</t>
    </r>
  </si>
  <si>
    <t>Beneficio antes de intereses e impuestos del año i asociado al proyecto</t>
  </si>
  <si>
    <r>
      <t>∆ BAIdI</t>
    </r>
    <r>
      <rPr>
        <vertAlign val="subscript"/>
        <sz val="11"/>
        <color indexed="8"/>
        <rFont val="Calibri"/>
        <family val="2"/>
      </rPr>
      <t>i</t>
    </r>
  </si>
  <si>
    <t>Beneficio antes de intereses y después de impuestos del año i asociado al proyecto</t>
  </si>
  <si>
    <t>Tipo impositivo (impuesto de sociedades) que afecta a la compañía (que suponemos constante a lo largo de la vida del proyecto)</t>
  </si>
  <si>
    <t>Y calcularemos separadamente el impacto que el proyecto tiene en el fondo de maniobra de la empresa. Para ello, debe calcularse en primer lugar el "saldo" de fondo de maniobra que el proyecto aporta a la compañía (prescindiremos en este punto del símbolo "∆" para evitar su acumulación), para posteriormente obtener la inversión anual a realizar (por diferencia entre el saldo del año y el del año anterior):</t>
  </si>
  <si>
    <r>
      <t>∆ FM</t>
    </r>
    <r>
      <rPr>
        <b/>
        <vertAlign val="subscript"/>
        <sz val="11"/>
        <color indexed="8"/>
        <rFont val="Calibri"/>
        <family val="2"/>
      </rPr>
      <t>i</t>
    </r>
    <r>
      <rPr>
        <b/>
        <sz val="11"/>
        <color indexed="8"/>
        <rFont val="Calibri"/>
        <family val="2"/>
      </rPr>
      <t xml:space="preserve"> = FM</t>
    </r>
    <r>
      <rPr>
        <b/>
        <vertAlign val="subscript"/>
        <sz val="11"/>
        <color indexed="8"/>
        <rFont val="Calibri"/>
        <family val="2"/>
      </rPr>
      <t>i</t>
    </r>
    <r>
      <rPr>
        <b/>
        <sz val="11"/>
        <color indexed="8"/>
        <rFont val="Calibri"/>
        <family val="2"/>
      </rPr>
      <t xml:space="preserve"> - FM</t>
    </r>
    <r>
      <rPr>
        <b/>
        <vertAlign val="subscript"/>
        <sz val="11"/>
        <color indexed="8"/>
        <rFont val="Calibri"/>
        <family val="2"/>
      </rPr>
      <t>i-1</t>
    </r>
  </si>
  <si>
    <r>
      <t>FM</t>
    </r>
    <r>
      <rPr>
        <vertAlign val="subscript"/>
        <sz val="11"/>
        <color indexed="8"/>
        <rFont val="Calibri"/>
        <family val="2"/>
      </rPr>
      <t>i</t>
    </r>
  </si>
  <si>
    <t>Saldo de fondo de maniobra (diferencia entre los saldos de activo y pasivo circulantes) aportado por el proyecto a la empresa en el año i</t>
  </si>
  <si>
    <t>Inversión en fondo de maniobra exigida por el proyecto en el año i</t>
  </si>
  <si>
    <r>
      <t>Una vez calculados ∆ GF'</t>
    </r>
    <r>
      <rPr>
        <vertAlign val="subscript"/>
        <sz val="11"/>
        <color indexed="8"/>
        <rFont val="Calibri"/>
        <family val="2"/>
      </rPr>
      <t>i</t>
    </r>
    <r>
      <rPr>
        <sz val="11"/>
        <rFont val="Calibri"/>
        <family val="2"/>
      </rPr>
      <t xml:space="preserve"> y ∆ FM</t>
    </r>
    <r>
      <rPr>
        <vertAlign val="subscript"/>
        <sz val="11"/>
        <color indexed="8"/>
        <rFont val="Calibri"/>
        <family val="2"/>
      </rPr>
      <t>i</t>
    </r>
    <r>
      <rPr>
        <sz val="11"/>
        <rFont val="Calibri"/>
        <family val="2"/>
      </rPr>
      <t xml:space="preserve"> podemos obtener la generación de fondos incremental (impacto en caja) del año correspondiente:</t>
    </r>
  </si>
  <si>
    <r>
      <t>∆ GF</t>
    </r>
    <r>
      <rPr>
        <b/>
        <vertAlign val="subscript"/>
        <sz val="11"/>
        <color indexed="8"/>
        <rFont val="Calibri"/>
        <family val="2"/>
      </rPr>
      <t>i</t>
    </r>
    <r>
      <rPr>
        <b/>
        <sz val="11"/>
        <color indexed="8"/>
        <rFont val="Calibri"/>
        <family val="2"/>
      </rPr>
      <t xml:space="preserve"> = ∆ GF'</t>
    </r>
    <r>
      <rPr>
        <b/>
        <vertAlign val="subscript"/>
        <sz val="11"/>
        <color indexed="8"/>
        <rFont val="Calibri"/>
        <family val="2"/>
      </rPr>
      <t>i</t>
    </r>
    <r>
      <rPr>
        <b/>
        <sz val="11"/>
        <color indexed="8"/>
        <rFont val="Calibri"/>
        <family val="2"/>
      </rPr>
      <t xml:space="preserve"> - ∆ FM</t>
    </r>
    <r>
      <rPr>
        <b/>
        <vertAlign val="subscript"/>
        <sz val="11"/>
        <color indexed="8"/>
        <rFont val="Calibri"/>
        <family val="2"/>
      </rPr>
      <t>i</t>
    </r>
  </si>
  <si>
    <t>Todo lo hasta aquí comentado se recoge en los ejercicios y casos relativos al análisis de proyectos de inversión en los cuadros correspondientes:</t>
  </si>
  <si>
    <r>
      <rPr>
        <b/>
        <sz val="11"/>
        <color indexed="8"/>
        <rFont val="Calibri"/>
        <family val="2"/>
      </rPr>
      <t>∆ V</t>
    </r>
  </si>
  <si>
    <t>∆ CV</t>
  </si>
  <si>
    <t>∆ CF</t>
  </si>
  <si>
    <t>i</t>
  </si>
  <si>
    <t>∆ GF'</t>
  </si>
  <si>
    <t>∆ GF</t>
  </si>
  <si>
    <t>En el cuadro anterior se ha supuesto existencia de costes variables (CV) y fijos (CF) incrementales asociados al proyecto. También se ha supuesto que la obtención de los saldos de fondo de maniobra es sencilla, lo que ocurrirá normalmente cuando dicho importe venga referenciado a la facturación provocada por el proyecto. En el caso de que sea necesario calcular cada una de las partidas de fondo de maniobra, la justificación de sus cifras se presenta en el cuadro correspondiente. A modo de ejemplo:</t>
  </si>
  <si>
    <t>Acreedores</t>
  </si>
  <si>
    <t>donde las partidas de clientes, existencias, proveedores y acreedores se refieren a los saldos que el proyecto aporta a la empresa; y FM, saldo de fondo de maniobra aportado por el proyecto, se obtiene como diferencia entre los saldos de activo y pasivo circulantes (en nuestro caso, Clientes + Existencias - Proveedores - Acreedores).</t>
  </si>
  <si>
    <t>Otra particularidad a reseñar es la que se produce cuando la información de los costes que ofrece el enunciado se refiere a las cantidades fabricadas (o compradas, en el caso de que la empresa no realice ninguna transformación en los productos), y no a las vendidas. En tal caso, es necesario realizar una corrección previa al cálculo del BAII, quedando el cuadro de la siguiente forma:</t>
  </si>
  <si>
    <t>∆ CV (fabr.)</t>
  </si>
  <si>
    <t>∆ CF (fabr.)</t>
  </si>
  <si>
    <t>donde ∆ Existencias (la variación experimentada con respecto al año anterior) se suma de cara al BAII (se resta de los costes, al recoger la parte de los mismos que no ha sido tal, sino inversión en existencias).</t>
  </si>
  <si>
    <r>
      <t>Finalmente, y en lo que se refiere al último año de vida útil del proyecto, debe calcularse el valor residual incremental asociado al mismo (∆ VR</t>
    </r>
    <r>
      <rPr>
        <vertAlign val="subscript"/>
        <sz val="11"/>
        <color indexed="8"/>
        <rFont val="Calibri"/>
        <family val="2"/>
      </rPr>
      <t>n</t>
    </r>
    <r>
      <rPr>
        <sz val="11"/>
        <rFont val="Calibri"/>
        <family val="2"/>
      </rPr>
      <t>). Nos referimos al impacto en caja que provocará la liquidación de todos los activos que quedaran asociados al proyecto al final de su vida útil. Básicamente, este concepto estará compuesto por lo que se obtiene por la liquidación del activo fijo (lo que en el contexto del estado de fuentes y empleos de fondos llamábamos GFE) y lo que reporta la liquidación del fondo de maniobra (éste último, normalmente, a su valor en libros). En el caso de proyectos de sustitución, dicho valor residual se obtendría de la siguiente forma:</t>
    </r>
  </si>
  <si>
    <r>
      <t>∆ VR</t>
    </r>
    <r>
      <rPr>
        <b/>
        <vertAlign val="subscript"/>
        <sz val="11"/>
        <color indexed="8"/>
        <rFont val="Calibri"/>
        <family val="2"/>
      </rPr>
      <t>n</t>
    </r>
    <r>
      <rPr>
        <b/>
        <sz val="11"/>
        <color indexed="8"/>
        <rFont val="Calibri"/>
        <family val="2"/>
      </rPr>
      <t xml:space="preserve"> = Venta instal. nuevas - Venta instal. viejas + Recuperación del FM</t>
    </r>
  </si>
  <si>
    <t>Un apunte fiscal: tal como indicábamos en el apartado correspondiente a los estados de fuentes y empleos de fondos, supondremos que los resultados extraordinarios obtenidos en la liquidación de activos fijos tributan normalmente, lo que no siempre es así. Lo que pretendemos es llamar la atención sobre el hecho de que los efectos fiscales deben ser considerados (respetando la legislación vigente en cada momento), sin complicar los ejercicios y casos que realicemos desde el punto de vista fiscal.</t>
  </si>
  <si>
    <t>La metodología descrita en este punto nos permite disponer del perfil de fondos incremental asociado al proyecto:</t>
  </si>
  <si>
    <t>Análisis del interés del proyecto de inversión</t>
  </si>
  <si>
    <t>Una vez calculado el perfil de fondos del proyecto, es decir, el impacto que éste tendrá en la tesorería de la empresa a lo largo de su vida útil, el siguiente paso consiste en analizar el interés de afrontarlo. Básicamente, de lo que se trata es de ver si los flujos de fondos positivos "compensan" suficientemente por los desembolsos exigidos.</t>
  </si>
  <si>
    <t>Los criterios que tenemos para ello son los siguientes:</t>
  </si>
  <si>
    <t>Pay-back o periodo de recuperación. Consiste en calcular el tiempo que tardamos en recuperar la inversión realizada. Dados los importantes problemas teóricos que tiene (no consideración adecuada del valor del dinero en el tiempo, ni tampoco de lo que ocurre una vez recuperada la inversión, entre otros), normalmente no lo utilizaremos como criterio de decisión.</t>
  </si>
  <si>
    <t>Valor actualizado neto (VAN). Consiste en comparar, en valor actual, lo que el proyecto pide y lo que da. Para ello, tenemos que actualizar los flujos de fondos asociados al proyecto, lo que se hace utilizando siempre el coste de oportunidad (la rentabilidad de la mejor alternativa a la que se renuncia al afrontar el proyecto: en ambiente de certeza, el tipo de interés sin riesgo o rendimiento de la renta fija del Estado), que llamaremos k:</t>
  </si>
  <si>
    <t xml:space="preserve"> </t>
  </si>
  <si>
    <r>
      <t>donde ahora, y en lo sucesivo, suponemos que GF</t>
    </r>
    <r>
      <rPr>
        <vertAlign val="subscript"/>
        <sz val="11"/>
        <color indexed="8"/>
        <rFont val="Calibri"/>
        <family val="2"/>
      </rPr>
      <t>n</t>
    </r>
    <r>
      <rPr>
        <sz val="11"/>
        <rFont val="Calibri"/>
        <family val="2"/>
      </rPr>
      <t xml:space="preserve"> incluye el valor residual; y tal como puede verse, VA es el valor actual de los flujos de fondos asociados al proyecto (sin considerar el desembolso inicial). El criterio de actuación es sencillo: se aceptarán los proyectos con VAN positivo, es decir, aquellos en los que el valor actual de los flujos positivos sea superior al de los flujos negativos (son los proyectos que "crean valor", ya que dan más de lo que piden -en valor actual-); y a la hora de jerarquizar proyectos, se elegirán aquellos que reporten un VAN mayor.</t>
    </r>
  </si>
  <si>
    <t>Tasa de rentabilidad interna (TRI). Es la tasa para la que el VAN se hace cero, e indica el rendimiento del proyecto. En realidad, es la rentabilidad que el proyecto garantiza a los fondos que quedan invertidos "dentro del proyecto" al final de cada año.</t>
  </si>
  <si>
    <t>Serán interesantes los proyectos de inversión que rindan más que el coste de oportunidad (la k que definíamos anteriormente), siendo rechazados en caso contrario. Y a la hora de jerarquizar proyectos, éstos serán tanto más interesantes cuanto mayor sea su TRI.</t>
  </si>
  <si>
    <t>El VAN presenta una serie de ventajas que hacen de él un criterio superior a la TRI: supone un tipo de reinversión más lógico para las generaciones de fondos que salen del proyecto (el VAN supone reinversión al tipo "k", mientras que la TRI supone reinversión a la propia TRI); es coherente con el objetivo financiero de la empresa; no tiene problemas de inconsistencia; no necesita que los proyectos tengan idéntico desembolso para que sean comparables; el VAN es aditivo. Es por ello que normalmente presentaremos el VAN para analizar el interés de los proyectos de inversión, si bien la TRI es también un buen criterio de análisis en condiciones generales.</t>
  </si>
  <si>
    <t>Indice de rentabilidad (IR). Pone en forma de cociente lo que el VAN pone en forma de diferencia:</t>
  </si>
  <si>
    <t>Proyectos interesantes son aquellos que tienen un IR mayor que uno (son los que tienen un VAN positivo, y por tanto, crean valor), siendo rechazables en caso contrario (IR menor que uno). El criterio es interesante para jerarquizar proyectos cuando hay limitaciones de fondos, siempre que los proyectos sean divisibles y la limitación de fondos se refiera sólo a un momento de tiempo (en caso contrario conviene acudir a técnicas de programación matemática).</t>
  </si>
  <si>
    <t>Consideración de la inflación</t>
  </si>
  <si>
    <t>En entornos de inflación, debemos distinguir entre euros constantes y corrientes, y entre tipos de interés reales y nominales. Lo que observamos en la realidad son los euros corrientes y los tipos nominales, mientras que los euros constantes y los tipos reales son una abstracción mental que construimos para medir las cantidades monetarias o los tipos de interés en términos de poderes adquisitivos, referidos siempre a un año que se toma como referencia (año base). Así, llamaremos:</t>
  </si>
  <si>
    <t>Tipo de interés nominal</t>
  </si>
  <si>
    <t>Tipo de interés real</t>
  </si>
  <si>
    <t>Tipo de inflación general de la economía (medido con un índice suficientemente representativo, como el IPC)</t>
  </si>
  <si>
    <t>Partiendo de lo anterior, el efecto Fisher nos permite relacionar, a la vez, el tipo de interés nominal con el tipo real, y los euros corrientes con los euros constantes:</t>
  </si>
  <si>
    <t>(1+k) = (1+r) · (1+f)</t>
  </si>
  <si>
    <t>La interpretación de lo anterior es sencilla: si disponemos de un euro hoy, y lo ponemos a un tipo de interés nominal anual "k", al cabo de un año tendremos 1+k euros corrientes. Si queremos conocer el "valor adquisitivo" asociado a dicha cantidad en términos de euros de hoy, es decir, lo que podríamos comprar hoy con 1+k euros corrientes de dentro de un año, tendremos que eliminar el efecto de la inflación dividiendo dicha cantidad por 1+f. Con ello, tendremos el valor en euros constantes de hoy (año base) asociado a 1+k euros corrientes de dentro de un año: si dicha cantidad es superior a 1, ello significará que hemos ganado poder adquisitivo (rentabilidad real positiva, r&gt;0), y viceversa.</t>
  </si>
  <si>
    <t>A partir de lo anterior, la regla de oro en el tratamiento de la inflación es sencilla: generaciones de fondos expresadas en euros corrientes se conjugan con tipos nominales, mientras que los flujos definidos en euros constantes lo hacen con tipos reales.</t>
  </si>
  <si>
    <t>Hay tres razones que hacen (o pueden hacer) que la consideración del efecto de la inflación en la decisión de inversión no sea indiferente:</t>
  </si>
  <si>
    <t>Existencia de tipos de inflación diferentes para los distintos elementos de la generación de fondos, o distintos del tipo de inflación general de la economía.</t>
  </si>
  <si>
    <t>Menor valor en euros constantes de los escudos fiscales reportados por partidas de coste en las que no cabe considerar el efecto de la inflación (amortización, principalmente).</t>
  </si>
  <si>
    <t>Bloqueo de cantidades en fondo de maniobra provocado exclusivamente por la inflación (y que no aparecerían en el análisis si se prescinde de la misma).</t>
  </si>
  <si>
    <r>
      <t>Considerando lo anteriormente expuesto, lo aconsejable en la mayoría de los casos es realizar los cálculos del perfil de fondos en euros corrientes, descontando después los flujos de fondos al tipo de interés nominal. Si las cifras de partida están definidas en euros constantes del año base (el momento cero), y supuesto conocidos los tipos de inflación que afectan a las distintas partidas (f</t>
    </r>
    <r>
      <rPr>
        <vertAlign val="subscript"/>
        <sz val="11"/>
        <color indexed="8"/>
        <rFont val="Calibri"/>
        <family val="2"/>
      </rPr>
      <t>V</t>
    </r>
    <r>
      <rPr>
        <sz val="11"/>
        <rFont val="Calibri"/>
        <family val="2"/>
      </rPr>
      <t>, f</t>
    </r>
    <r>
      <rPr>
        <vertAlign val="subscript"/>
        <sz val="11"/>
        <color indexed="8"/>
        <rFont val="Calibri"/>
        <family val="2"/>
      </rPr>
      <t>C</t>
    </r>
    <r>
      <rPr>
        <sz val="11"/>
        <rFont val="Calibri"/>
        <family val="2"/>
      </rPr>
      <t>, f</t>
    </r>
    <r>
      <rPr>
        <vertAlign val="subscript"/>
        <sz val="11"/>
        <color indexed="8"/>
        <rFont val="Calibri"/>
        <family val="2"/>
      </rPr>
      <t>VE</t>
    </r>
    <r>
      <rPr>
        <sz val="11"/>
        <rFont val="Calibri"/>
        <family val="2"/>
      </rPr>
      <t>, que aquí supondremos constantes en el tiempo), el primer paso a realizar consiste en incorporar dicha inflación en las partidas afectadas:</t>
    </r>
  </si>
  <si>
    <r>
      <t>V</t>
    </r>
    <r>
      <rPr>
        <b/>
        <vertAlign val="subscript"/>
        <sz val="11"/>
        <color indexed="8"/>
        <rFont val="Calibri"/>
        <family val="2"/>
      </rPr>
      <t>i</t>
    </r>
    <r>
      <rPr>
        <b/>
        <sz val="11"/>
        <color indexed="8"/>
        <rFont val="Calibri"/>
        <family val="2"/>
      </rPr>
      <t xml:space="preserve"> (corrientes) = V</t>
    </r>
    <r>
      <rPr>
        <b/>
        <vertAlign val="subscript"/>
        <sz val="11"/>
        <color indexed="8"/>
        <rFont val="Calibri"/>
        <family val="2"/>
      </rPr>
      <t>i</t>
    </r>
    <r>
      <rPr>
        <b/>
        <sz val="11"/>
        <color indexed="8"/>
        <rFont val="Calibri"/>
        <family val="2"/>
      </rPr>
      <t xml:space="preserve"> (constantes) · (1 + f</t>
    </r>
    <r>
      <rPr>
        <b/>
        <vertAlign val="subscript"/>
        <sz val="11"/>
        <color indexed="8"/>
        <rFont val="Calibri"/>
        <family val="2"/>
      </rPr>
      <t>V</t>
    </r>
    <r>
      <rPr>
        <b/>
        <sz val="11"/>
        <color indexed="8"/>
        <rFont val="Calibri"/>
        <family val="2"/>
      </rPr>
      <t>)</t>
    </r>
    <r>
      <rPr>
        <b/>
        <vertAlign val="superscript"/>
        <sz val="11"/>
        <color indexed="8"/>
        <rFont val="Calibri"/>
        <family val="2"/>
      </rPr>
      <t>i</t>
    </r>
  </si>
  <si>
    <r>
      <t>C</t>
    </r>
    <r>
      <rPr>
        <b/>
        <vertAlign val="subscript"/>
        <sz val="11"/>
        <color indexed="8"/>
        <rFont val="Calibri"/>
        <family val="2"/>
      </rPr>
      <t>i</t>
    </r>
    <r>
      <rPr>
        <b/>
        <sz val="11"/>
        <color indexed="8"/>
        <rFont val="Calibri"/>
        <family val="2"/>
      </rPr>
      <t xml:space="preserve"> (corrientes) = C</t>
    </r>
    <r>
      <rPr>
        <b/>
        <vertAlign val="subscript"/>
        <sz val="11"/>
        <color indexed="8"/>
        <rFont val="Calibri"/>
        <family val="2"/>
      </rPr>
      <t>i</t>
    </r>
    <r>
      <rPr>
        <b/>
        <sz val="11"/>
        <color indexed="8"/>
        <rFont val="Calibri"/>
        <family val="2"/>
      </rPr>
      <t xml:space="preserve"> (constantes) · (1 + f</t>
    </r>
    <r>
      <rPr>
        <b/>
        <vertAlign val="subscript"/>
        <sz val="11"/>
        <color indexed="8"/>
        <rFont val="Calibri"/>
        <family val="2"/>
      </rPr>
      <t>C</t>
    </r>
    <r>
      <rPr>
        <b/>
        <sz val="11"/>
        <color indexed="8"/>
        <rFont val="Calibri"/>
        <family val="2"/>
      </rPr>
      <t>)</t>
    </r>
    <r>
      <rPr>
        <b/>
        <vertAlign val="superscript"/>
        <sz val="11"/>
        <color indexed="8"/>
        <rFont val="Calibri"/>
        <family val="2"/>
      </rPr>
      <t>i</t>
    </r>
  </si>
  <si>
    <r>
      <t>AM</t>
    </r>
    <r>
      <rPr>
        <b/>
        <vertAlign val="subscript"/>
        <sz val="11"/>
        <color indexed="8"/>
        <rFont val="Calibri"/>
        <family val="2"/>
      </rPr>
      <t>i</t>
    </r>
    <r>
      <rPr>
        <b/>
        <sz val="11"/>
        <color indexed="8"/>
        <rFont val="Calibri"/>
        <family val="2"/>
      </rPr>
      <t xml:space="preserve"> (corrientes) = AM</t>
    </r>
    <r>
      <rPr>
        <b/>
        <vertAlign val="subscript"/>
        <sz val="11"/>
        <color indexed="8"/>
        <rFont val="Calibri"/>
        <family val="2"/>
      </rPr>
      <t>i</t>
    </r>
    <r>
      <rPr>
        <b/>
        <sz val="11"/>
        <color indexed="8"/>
        <rFont val="Calibri"/>
        <family val="2"/>
      </rPr>
      <t xml:space="preserve"> (constantes)</t>
    </r>
  </si>
  <si>
    <r>
      <t>VE</t>
    </r>
    <r>
      <rPr>
        <b/>
        <vertAlign val="subscript"/>
        <sz val="11"/>
        <color indexed="8"/>
        <rFont val="Calibri"/>
        <family val="2"/>
      </rPr>
      <t>i</t>
    </r>
    <r>
      <rPr>
        <b/>
        <sz val="11"/>
        <color indexed="8"/>
        <rFont val="Calibri"/>
        <family val="2"/>
      </rPr>
      <t xml:space="preserve"> (corrientes) = VE</t>
    </r>
    <r>
      <rPr>
        <b/>
        <vertAlign val="subscript"/>
        <sz val="11"/>
        <color indexed="8"/>
        <rFont val="Calibri"/>
        <family val="2"/>
      </rPr>
      <t>i</t>
    </r>
    <r>
      <rPr>
        <b/>
        <sz val="11"/>
        <color indexed="8"/>
        <rFont val="Calibri"/>
        <family val="2"/>
      </rPr>
      <t xml:space="preserve"> (constantes) · (1 + f</t>
    </r>
    <r>
      <rPr>
        <b/>
        <vertAlign val="subscript"/>
        <sz val="11"/>
        <color indexed="8"/>
        <rFont val="Calibri"/>
        <family val="2"/>
      </rPr>
      <t>VE</t>
    </r>
    <r>
      <rPr>
        <b/>
        <sz val="11"/>
        <color indexed="8"/>
        <rFont val="Calibri"/>
        <family val="2"/>
      </rPr>
      <t>)</t>
    </r>
    <r>
      <rPr>
        <b/>
        <vertAlign val="superscript"/>
        <sz val="11"/>
        <color indexed="8"/>
        <rFont val="Calibri"/>
        <family val="2"/>
      </rPr>
      <t>i</t>
    </r>
  </si>
  <si>
    <r>
      <t>VL</t>
    </r>
    <r>
      <rPr>
        <b/>
        <vertAlign val="subscript"/>
        <sz val="11"/>
        <color indexed="8"/>
        <rFont val="Calibri"/>
        <family val="2"/>
      </rPr>
      <t>i</t>
    </r>
    <r>
      <rPr>
        <b/>
        <sz val="11"/>
        <color indexed="8"/>
        <rFont val="Calibri"/>
        <family val="2"/>
      </rPr>
      <t xml:space="preserve"> (corrientes) = VL</t>
    </r>
    <r>
      <rPr>
        <b/>
        <vertAlign val="subscript"/>
        <sz val="11"/>
        <color indexed="8"/>
        <rFont val="Calibri"/>
        <family val="2"/>
      </rPr>
      <t>i</t>
    </r>
    <r>
      <rPr>
        <b/>
        <sz val="11"/>
        <color indexed="8"/>
        <rFont val="Calibri"/>
        <family val="2"/>
      </rPr>
      <t xml:space="preserve"> (constantes)</t>
    </r>
  </si>
  <si>
    <t>NOTA: Una vez más, estamos introduciendo simplificaciones de orden fiscal, ya que en ocasiones se permite incorporar el efecto de la inflación en el valor en libros (VL) que se resta de las ventas extraordinarias (VE) para determinar el resultado extraordinario (RE), lo que influye en los impuestos a pagar por los resultados de la operación.</t>
  </si>
  <si>
    <t>Una vez definidas las cifras en euros corrientes, la metodología a aplicar para la obtención del perfil de fondos y el análisis del interés del proyecto sería la definida anteriormente en este mismo apartado, teniendo cuidado en definir el tipo k (coste de oportunidad de la inversión) en términos nominales.</t>
  </si>
  <si>
    <t>Más información:</t>
  </si>
  <si>
    <t>GÓMEZ-BEZARES, F. (2012): Elementos de Finanzas Corporativas, Desclée de Brouwer, Bilbao. Capítulo 5.</t>
  </si>
  <si>
    <t>Y también en:</t>
  </si>
  <si>
    <t>GÓMEZ-BEZARES, F., J.A. MADARIAGA y J. SANTIBÁÑEZ (1995): “VAN vs TRI: algunos ejemplos prácticos”, Harvard-Deusto Finanzas &amp; Contabilidad, 7, Septiembre-Octubre, págs. 48-58. Puede verse una versión revisada y actualizada en GÓMEZ-BEZARES, F., J.A. MADARIAGA, J. SANTIBÁÑEZ y A. APRAIZ (2013): Finanzas de empresa (Selección de lecturas), Sociedad para la Promoción y Reconversión Industrial, SPRI, Bilbao, págs. 191-211 (disponible para su descarga de manera gratuita en www.eumed.net).</t>
  </si>
  <si>
    <t>GÓMEZ-BEZARES, F., J.A. MADARIAGA y J. SANTIBÁÑEZ (1996): “El efecto de la inflación en el análisis de las inversiones”, Harvard-Deusto Finanzas &amp; Contabilidad, 11, Mayo-Junio, págs. 47-56. Puede verse una versión revisada y actualizada en GÓMEZ-BEZARES, F., J.A. MADARIAGA, J. SANTIBÁÑEZ y A. APRAIZ (2013): Finanzas de empresa (Selección de lecturas), Sociedad para la Promoción y Reconversión Industrial, SPRI, Bilbao, págs. 213-230 (disponible para su descarga de manera gratuita en www.eumed.net).</t>
  </si>
  <si>
    <t>GÓMEZ-BEZARES, F., J.A. MADARIAGA y J. SANTIBÁÑEZ (2000): “Algunas relaciones interesantes entre inversión y financiación”, Harvard-Deusto Finanzas &amp; Contabilidad, 37, Septiembre-Octubre, págs. 48-59. Puede verse también en GÓMEZ-BEZARES, F., J.A. MADARIAGA, J. SANTIBÁÑEZ y A. APRAIZ (2013): Finanzas de empresa (Selección de lecturas), Sociedad para la Promoción y Reconversión Industrial, SPRI, Bilbao, págs. 365-385 (disponible para su descarga de manera gratuita en www.eumed.net).</t>
  </si>
  <si>
    <t>GÓMEZ-BEZARES, F. y J. SANTIBÁÑEZ (1996): “Finanzas para el bienestar”, Boletín de Estudios Económicos, nº 159, Diciembre, págs. 451-472. Puede verse una versión revisada y actualizada en GÓMEZ-BEZARES, F., J.A. MADARIAGA, J. SANTIBÁÑEZ y A. APRAIZ (2013): Finanzas de empresa (Selección de lecturas), Sociedad para la Promoción y Reconversión Industrial, SPRI, Bilbao, págs. 171-189 (disponible para su descarga de manera gratuita en www.eumed.net).</t>
  </si>
  <si>
    <t>GÓMEZ-BEZARES, F. y J. SANTIBÁÑEZ (1997): “Cálculo y gestión del valor de la empresa”, Boletín de Estudios Económicos, nº 162, Diciembre, págs. 429-457. Puede verse también en GÓMEZ-BEZARES, F., J.A. MADARIAGA, J. SANTIBÁÑEZ y A. APRAIZ (2013): Finanzas de empresa (Selección de lecturas), Sociedad para la Promoción y Reconversión Industrial, SPRI, Bilbao, págs. 237-260 (disponible para su descarga de manera gratuita en www.eumed.net).</t>
  </si>
  <si>
    <t>Entorno de inflación</t>
  </si>
  <si>
    <t>Tipo de inflación general (IPC o similar)  =  f</t>
  </si>
  <si>
    <t>Lo que existe en el mundo real</t>
  </si>
  <si>
    <t>Fabricación o construcción mental: poder adquisitivo</t>
  </si>
  <si>
    <t>Moneda corriente</t>
  </si>
  <si>
    <t>Moneda constante</t>
  </si>
  <si>
    <t>Tipo de interés nominal  =  k</t>
  </si>
  <si>
    <t>Tipo de interés real  =  r</t>
  </si>
  <si>
    <t>Ley de Fisher</t>
  </si>
  <si>
    <t>(1+k) = (1+r) x (1+f)</t>
  </si>
  <si>
    <t>(1+r) = (1+k) / (1+f)</t>
  </si>
  <si>
    <t xml:space="preserve">k = </t>
  </si>
  <si>
    <t xml:space="preserve">VAN = </t>
  </si>
  <si>
    <t>Moneda corriente (incluye inflación)</t>
  </si>
  <si>
    <t>k (nominal)</t>
  </si>
  <si>
    <t xml:space="preserve">f = </t>
  </si>
  <si>
    <t xml:space="preserve">r = </t>
  </si>
  <si>
    <t>Moneda constante (poderes adquisitivos)</t>
  </si>
  <si>
    <t>r (real)</t>
  </si>
  <si>
    <t>PUEDE SER INTERESANTE LEER ANTES…</t>
  </si>
  <si>
    <t>Otras lecturas recomendadas:</t>
  </si>
  <si>
    <t>corr=cons
GF' - ΔFM</t>
  </si>
  <si>
    <t>http://www.eumed.net/libros-gratis/2013a/1290/inflacion.html</t>
  </si>
  <si>
    <t xml:space="preserve">  </t>
  </si>
  <si>
    <t>GF'</t>
  </si>
  <si>
    <t>Introduce un número entero entre</t>
  </si>
  <si>
    <t>ΔFM</t>
  </si>
  <si>
    <t>1 y 10 para trabajar con distintos</t>
  </si>
  <si>
    <t>casos predefinidos</t>
  </si>
  <si>
    <t xml:space="preserve">V </t>
  </si>
  <si>
    <t xml:space="preserve">C </t>
  </si>
  <si>
    <t xml:space="preserve">AM </t>
  </si>
  <si>
    <t xml:space="preserve">t </t>
  </si>
  <si>
    <t xml:space="preserve">Plazo cobro V </t>
  </si>
  <si>
    <t xml:space="preserve">Plazo pago C </t>
  </si>
  <si>
    <t>corrientes
GF' - ΔFM</t>
  </si>
  <si>
    <t>constantes
GF' - ΔFM</t>
  </si>
  <si>
    <t xml:space="preserve">f (V) </t>
  </si>
  <si>
    <t xml:space="preserve">f (C) </t>
  </si>
  <si>
    <t xml:space="preserve">f (general) </t>
  </si>
  <si>
    <t xml:space="preserve">r </t>
  </si>
  <si>
    <t xml:space="preserve">k </t>
  </si>
  <si>
    <t>¿Completado?</t>
  </si>
  <si>
    <t>Inflación idéntica para los diferentes conceptos, no hay amortizaciones, no hay impuestos y el proyecto no exige inversiones en fondo de maniobra</t>
  </si>
  <si>
    <t>Inflación distinta para los diferentes conceptos, no hay amortizaciones, no hay impuestos y el proyecto no exige inversiones en fondo de maniobra</t>
  </si>
  <si>
    <t xml:space="preserve">¿Por qué la inflación es indiferente en este caso? </t>
  </si>
  <si>
    <t>Porque concurren todas las circunstancias necesarias para ello: la inflación afecta por igual a todos los conceptos; no hay amortizaciones (y/o la empresa no tributa por sus beneficios), por lo que no se produce una pérdida de valor adquisitivo en los escudos fiscales asociados a las mismas; y el proyecto no exige inversiones en fondo de maniobra. En estas condiciones, la inflación no provoca ningún efecto en el interés del proyecto.</t>
  </si>
  <si>
    <t xml:space="preserve">¿Por qué la inflación no es indiferente en este caso (en concreto, tiene un efecto beneficioso, por lo que su no consideración tendería a infravalorar el interés del proyecto)? </t>
  </si>
  <si>
    <t>Por las razones que se apuntan a la derecha.</t>
  </si>
  <si>
    <t>Descripción general del caso planteado: la inflación no incide por igual en todos los conceptos (afecta más a las ventas que a los costes; siendo algún tipo distinto de la inflación general); la inversión no exige cambios en el fondo de maniobra; y el proyecto no provoca ningún efecto en las amortizaciones de inmovilizados. Así pues, una es la razón que hace que la consideración o no de la inflación en el análisis no sea en este caso indiferente:  la existencia de tipos de inflación diferentes, que hace que su efecto pueda ser beneficioso o perjudicial.</t>
  </si>
  <si>
    <t xml:space="preserve">¿Por qué la inflación no es indiferente en este caso (en concreto, tiene un efecto perjudicial, por lo que su no consideración tendería a sobrevalorar el interés del proyecto)? </t>
  </si>
  <si>
    <t>Descripción general del caso planteado: la inflación no incide por igual en todos los conceptos (afecta por igual a las ventas que a los costes; siendo algún tipo distinto de la inflación general); la inversión no exige cambios en el fondo de maniobra; y el proyecto provoca incrementos en las amortizaciones de inmovilizado. Así pues, dos son las razones que hacen que la consideración o no de la inflación en el análisis no sea en este caso indiferente:  la existencia de tipos de inflación diferentes, que hace que su efecto pueda ser beneficioso o perjudicial; y dado que el proyecto tiene impacto en las amortizaciones de la empresa, y que ésta está sujeta a tributación, prescindir de la inflación no tiene en cuenta el distinto valor 'en términos reales' asociado a los escudos fiscales de dicha amortización.</t>
  </si>
  <si>
    <t>Descripción general del caso planteado: la inflación es idéntica para todos los conceptos; la inversión no exige cambios en el fondo de maniobra; y el proyecto provoca incrementos en las amortizaciones de inmovilizado. Así pues, una es la razón que hace que la consideración o no de la inflación en el análisis no sea en este caso indiferente: dado que el proyecto tiene impacto en las amortizaciones de la empresa, y que ésta está sujeta a tributación, prescindir de la inflación no tiene en cuenta el distinto valor 'en términos reales' asociado a los escudos fiscales de dicha amortización.</t>
  </si>
  <si>
    <t>Descripción general del caso planteado: la inflación es idéntica para todos los conceptos; la inversión exige aumentos en fondo de maniobra; y el proyecto no provoca ningún efecto en las amortizaciones de inmovilizados. Así pues, una es la razón que hace que la consideración o no de la inflación en el análisis no sea en este caso indiferente: al tener el proyecto impacto en el fondo de maniobra, la no consideración de la inflación impediría tener en cuenta los efectos adicionales que ésta provoca en el mismo.</t>
  </si>
  <si>
    <t>Descripción general del caso planteado: la inflación es idéntica para todos los conceptos; la inversión acarrea disminuciones en fondo de maniobra; y el proyecto no provoca ningún efecto en las amortizaciones de inmovilizados. Así pues, una es la razón que hace que la consideración o no de la inflación en el análisis no sea en este caso indiferente: al tener el proyecto impacto en el fondo de maniobra, la no consideración de la inflación impediría tener en cuenta los efectos adicionales que ésta provoca en el mismo.</t>
  </si>
  <si>
    <t>Descripción general del caso planteado: la inflación es idéntica para todos los conceptos; la inversión exige aumentos en fondo de maniobra; y el proyecto provoca incrementos en las amortizaciones de inmovilizado. Así pues, dos son las razones que hacen que la consideración o no de la inflación en el análisis no sea en este caso indiferente: al tener el proyecto impacto en el fondo de maniobra, la no consideración de la inflación impediría tener en cuenta los efectos adicionales que ésta provoca en el mismo; y dado que el proyecto tiene impacto en las amortizaciones de la empresa, y que ésta está sujeta a tributación, prescindir de la inflación no tiene en cuenta el distinto valor 'en términos reales' asociado a los escudos fiscales de dicha amortización.</t>
  </si>
  <si>
    <t>Descripción general del caso planteado: la inflación es idéntica para todos los conceptos; la inversión no exige cambios en el fondo de maniobra; y el proyecto conlleva reducciones en las amortizaciones de inmovilizado. Así pues, una es la razón que hace que la consideración o no de la inflación en el análisis no sea en este caso indiferente: dado que el proyecto tiene impacto en las amortizaciones de la empresa, y que ésta está sujeta a tributación, prescindir de la inflación no tiene en cuenta el distinto valor 'en términos reales' asociado a los escudos fiscales de dicha amortización.</t>
  </si>
  <si>
    <t>Descripción general del caso planteado: la inflación no incide por igual en todos los conceptos (afecta más a las ventas que a los costes; siendo algún tipo distinto de la inflación general); la inversión exige aumentos en fondo de maniobra; y el proyecto provoca incrementos en las amortizaciones de inmovilizado. Así pues, tres son las razones que hacen que la consideración o no de la inflación en el análisis no sea en este caso indiferente:  la existencia de tipos de inflación diferentes, que hace que su efecto pueda ser beneficioso o perjudicial; al tener el proyecto impacto en el fondo de maniobra, la no consideración de la inflación impediría tener en cuenta los efectos adicionales que ésta provoca en el mismo; y dado que el proyecto tiene impacto en las amortizaciones de la empresa, y que ésta está sujeta a tributación, prescindir de la inflación no tiene en cuenta el distinto valor 'en términos reales' asociado a los escudos fiscales de dicha amortización.</t>
  </si>
  <si>
    <t>Los ventas y costes operativos con desembolso anuales incrementales se han estimado en 100 y 50, respectivamente.</t>
  </si>
  <si>
    <t>El proyecto no tiene ningún impacto en las amortizaciones de inmovilizado.</t>
  </si>
  <si>
    <t>Las ventas y costes se cobran y pagan al contado.</t>
  </si>
  <si>
    <t>La empresa no está sujeta al impuesto sobre sociedades.</t>
  </si>
  <si>
    <t>Todos los datos presentados están expresados en moneda constante. La inflación general de la economía se ha estimado en un 10% acumulativo anual, y afectará de idéntica manera a ventas y costes con desembolso.</t>
  </si>
  <si>
    <t>La vida útil del proyecto es de 3 años, al término de los cuales se liquidará el fondo de maniobra a su valor en libros (el valor residual incremental del inmovilizado se considera nulo). El rendimiento real exigido a las inversiones es del 10%.</t>
  </si>
  <si>
    <t>Hay que decir finalmente que la legislación vigente no permite incorporar el efecto de la inflación en las amortizaciones de inmovilizado (es decir, se amortiza sobre valores históricos, y no de reposición).</t>
  </si>
  <si>
    <t>Todos los datos presentados están expresados en moneda constante. Los tipos de inflación acumulativa anual que afectan a ventas y costes son del 20% y 10%, respectivamente. En lo que se refiere al tipo de inflación general anual, éste se ha estimado en un 10%.</t>
  </si>
  <si>
    <t>Aunque el desembolso inicial es nulo, la sustitución provocaría un incremento en la amortización de inmovilizados anual por un importe de 20.</t>
  </si>
  <si>
    <t>El tipo impositivo (impuesto de sociedades) es del 30% y la empresa en su conjunto genera abundantes beneficios que serían en cualquier caso superiores a cualquier pérdida provocada por el proyecto en cuestión.</t>
  </si>
  <si>
    <t>Todos los datos presentados están expresados en moneda constante. La inflación afecta de igual manera a ventas y costes con desembolso (5% acumulativo anual). En lo que se refiere al tipo de inflación general anual, éste se ha estimado en un 10%.</t>
  </si>
  <si>
    <t>Aunque el desembolso inicial es nulo, la sustitución provocaría un incremento en la amortización de inmovilizados anual por un importe de 10.</t>
  </si>
  <si>
    <t>Las ventas se cobran a 90 días, mientras que los costes se pagan al contado.</t>
  </si>
  <si>
    <t>Las ventas se cobran al contado, mientras que los costes se pagan a 90 días.</t>
  </si>
  <si>
    <t>Las ventas se cobran a 90 días, plazo que coincide con el de pago de los costes.</t>
  </si>
  <si>
    <t>Aunque el desembolso inicial es nulo, la sustitución provocaría un incremento en la amortización de inmovilizados anual por un importe de -20.</t>
  </si>
  <si>
    <t>Todos los datos presentados están expresados en moneda constante. Los tipos de inflación acumulativa anual que afectan a ventas y costes son del 20% y 0%, respectivamente. En lo que se refiere al tipo de inflación general anual, éste se ha estimado en un 10%.</t>
  </si>
  <si>
    <t>CASO PRÁCTICO ORIGINAL DE FERNANDO GÓMEZ-BEZARES
Tomado del libro "Elementos de Finanzas Corporativas", Desclée de Brouwer, Bilbao, 2012
(y adaptado a la situación actual).</t>
  </si>
  <si>
    <t>La empresa «DISVISA» (Distribuidora Vizcaína, S.A.) se dedica a la distribución de chicles, caramelos, frutos secos y similares, dentro de una línea que podemos denominar de «pequeña alimentación». Su forma normal de trabajo consiste en contactar con autoventistas que compran la mercancía y la reparten con un determinado margen. Este sistema ha dado hasta ahora buenos resultados, con interesantes beneficios; tiene como ventaja principal el que los autoventistas no dependen laboralmente de DISVISA y, como inconveniente más acentuado, el que no existe contacto directo entre la distribuidora y los minoristas.</t>
  </si>
  <si>
    <t>En diciembre del año 2022, Luis García Garrigosa, director gerente de DISVISA, se planteó la posibilidad de establecer una línea de atención directa a los minoristas, utilizando personal propio de DISVISA. Tomás Goicoechea, que era el encargado de la gestión comercial, acogió la idea con agrado, pero también indicó lo inoportuno de ponerla en marcha en la zona de atención tradicional de DISVISA, pues entrarían en competencia con los autoventistas, que en ese momento eran sus únicos clientes. DISVISA tenía en estas fechas un almacén central con sus oficinas en Leioa (municipio cercano a Bilbao) y almacenes de depósito en San Sebastián y Vitoria, con lo que puede presumirse que sus autoventistas cubrían todo el País Vasco.</t>
  </si>
  <si>
    <t>En diciembre de 1986, Luis García Garrigosa, director gerente de DISVISA, se planteó la posibilidad de establecer una línea de atención directa a los minoristas, utilizando personal propio de DISVISA. Tomás Goicoechea, que era el encargado de la gestión comercial, acogió la idea con agrado, pero también indicó lo inoportuno de ponerla en marcha en la zona de atención tradicional de DISVISA, pues entrarían en competencia con los autoventistas, que en ese momento eran sus únicos clientes. DISVISA tenía en estas fechas un almacén central con sus oficinas en Leioa (municipio cercano a Bilbao) y almacenes de depósito en San Sebastián y Vitoria, con lo que puede presumirse que sus autoventistas cubrían todo el País Vasco.</t>
  </si>
  <si>
    <t>Sin embargo, Goicoechea hizo una contrapropuesta al director gerente: sería interesante ampliar el radio de acción de DISVISA, para lo que se le ocurría comprar o alquilar un almacén en Logroño. Desde allí podrían experimentar su sistema de atención directa. García Garrigosa le pidió que le valorara con datos la propuesta; así, tenemos en el cuadro que se ofrece a continuación las previsiones de ventas en euros.</t>
  </si>
  <si>
    <t>Sin embargo, Goicoechea hizo una contrapropuesta al director gerente: sería interesante ampliar el radio de acción de DISVISA, para lo que se le ocurría comprar o alquilar un almacén en Logroño. Desde allí podrían experimentar su sistema de atención directa. García Garrigosa le pidió que le valorara con datos la propuesta; así, tenemos en la figura 5–5–1 las previsiones de ventas en millones de pesetas.</t>
  </si>
  <si>
    <t>Años</t>
  </si>
  <si>
    <t>Estos datos están expresados en euros constantes del año 2022, previéndose una inflación anual del 5% para el período considerado. Se han estudiado sólo cinco años, pues DISVISA no desea plantearse inversiones a más largo plazo.</t>
  </si>
  <si>
    <t>Estos datos están en pesetas constantes de 1986, previéndose una inflación anual del 7% para el período considerado. Se han estudiado sólo cinco años, pues DISVISA no desea plantearse inversiones a más largo plazo.</t>
  </si>
  <si>
    <t>El almacén, de pequeñas dimensiones dadas sus necesidades, tenía un coste de 250.000 euros, incluyendo todas las instalaciones necesarias; pudiendo venderse en el año 2027 por 200.000. El alquiler se contrataría para los cinco años por 3.000 euros al mes.</t>
  </si>
  <si>
    <t>El almacén, de pequeñas dimensiones dadas sus necesidades, costaba en 1986 cinco millones, incluyendo todas las instalaciones necesarias; pudiendo venderse en 1991 por cuatro. El alquiler se contrataría para los cinco años por 60.000 pesetas al mes.</t>
  </si>
  <si>
    <t>La gestión en Logroño estaría en manos de una sola persona, Juan López. Este, que en ese momento era ya empleado de DISVISA, le costaba a la empresa 62.500 euros al año, considerando su sueldo, seguros sociales, etc.; trabajaba en el almacén de Vitoria, pero se podía prescindir de él. Luis García Garrigosa había decidido mantenerlo en nómina, pues mientras la empresa diera beneficios, y los daba, no pensaba despedir a ningún empleado, pero cabía la posibilidad de encargarlo de la gestión en Logroño con un mayor sueldo, costándole en total a la empresa 87.500. A esto último habría que añadir otros 25.000 euros de gastos (entre los que se incluye el kilometraje de una furgoneta propiedad del señor López). Evidentemente todos estos costes subirían según el incremento de precios.</t>
  </si>
  <si>
    <t>La gestión en Logroño estaría en manos de una sola persona, Juan López. Este, que en ese momento era ya empleado de DISVISA, le costaba a la empresa dos millones y medio al año, considerando su sueldo, seguros sociales, etc.; trabajaba en el almacén de Vitoria, pero se podía prescindir de él. Luis García Garrigosa había decidido mantenerlo en nómina, pues mientras la empresa diera beneficios, y los daba, no pensaba despedir a ningún empleado, pero cabía la posibilidad de encargarlo de la gestión en Logroño con un mayor sueldo, costándole en total a la empresa tres millones y medio. A esto último habría que añadir otro millón de pesetas de gastos (entre los que se incluye el kilometraje de una furgoneta propiedad del señor López). Evidentemente todos estos costes subirían según el incremento de precios.</t>
  </si>
  <si>
    <t>Para el caso de atención directa, Goicoechea ha añadido los siguientes datos: DISVISA comprará a diferentes proveedores, cargando un 20% sobre el precio de compra (luego comprará por 100 y venderá por 120) y financiará a sus clientes, que le pagarán, como media, al mes de haber comprado.</t>
  </si>
  <si>
    <t>Otra posibilidad consistía en contactar para Logroño con varios autoventistas, similares al resto de los que trabajan con DISVISA. Pero con algunas características particulares: recogerían el género en el almacén de Vitoria y pagarían al contado, con lo que DISVISA no haría ninguna inversión; podrían llegar a vender productos de DISVISA (pues también llevan de otros) por un valor aproximado al 50% de las ventas esperadas para Juan López, y DISVISA sacaría limpio un 5% sobre sus precios de coste.</t>
  </si>
  <si>
    <t>Para evaluar las distintas posibilidades se sabe también que el impuesto de sociedades es del 28% y que DISVISA descuenta sus generaciones de fondos al 6% real. En cuanto a las amortizaciones de inmovilizado, puede suponerse una amortización máxima del 10% del precio de adquisición.</t>
  </si>
  <si>
    <t>Para evaluar las distintas posibilidades se sabe también que el impuesto de sociedades es del 35% y que DISVISA descuenta sus generaciones de fondos al 10% real.</t>
  </si>
  <si>
    <t>Planteamiento general</t>
  </si>
  <si>
    <t>Variabilidad a la decisión</t>
  </si>
  <si>
    <t>Moneda corriente con tipo de interés nominal vs Moneda constante con tipo de interés real</t>
  </si>
  <si>
    <t>Perfil de fondos en moneda corriente; tipo de interés nominal.</t>
  </si>
  <si>
    <t>Perfil de fondos en moneda constante (sin considerar la inflación); tipo de interés real.</t>
  </si>
  <si>
    <t>En cada caso, deben considerarse sólo los elementos que cambian entre cada par de situaciones a comparar. Veamos algunos ejemplos.
- Las ventas asociadas a la alternativa "Compra almacén" y "Alquiler almacén" son idénticas, por lo que son incrementales si comparamos cualquiera de ellas con respecto a no afrontar el proyecto, pero no deben considerarse si comparamos las dos alternativas entre sí.
- Los costes asociados al desplazamiento del empleado a Logroño son idénticos en las alternativas "Compra almacén" y "Alquiler almacén"; por lo que deben considerarse al comparar cualquiera de ellas con respecto a "No afrontar el proyecto" o "Autoventistas", pero no si comparamos "Compra frente a Alquiler".
- El coste del alquiler del almacén es incremental en cualquier comparación, ya que sólo tendría lugar en dicha alternativa.
- La inversión en inmovilizado es incremental en cualquier comparación, ya que sólo habría que realizarla en la alternativa "Compra Almacén"; y lo mismo ocurre con las amortizaciones de dicho inmovilizado.
- La inversión en fondo de maniobra es idéntica en las alternativas "Compra almacén" y "Alquiler almacén", por lo que no debe considerarse en la comparación entre ambas, pero sí en la comparación de cualquiera de ellas con una tercera.</t>
  </si>
  <si>
    <t>Finalmente, hay que decir que el planteamiento sólo sería correcto si incluimos todos los efectos de la inflación: para ello podemos confeccionar los perfiles de fondos en moneda corriente (incorporando a los elementos definidos en moneda constante y afectados por la inflación el efecto de la misma -ventas y costes de desplazar al empleado a Logroño-) y utilizando el tipo de interés nominal en el cálculo del VAN; o realizando el proceso descrito en lo relativo al cálculo del perfil de fondos, y "deflactando" (eliminando el efecto de la inflación, con lo que queda definido en moneda constante) y descontando después los flujos resultantes al tipo de interés real.
Las razones por las que cometeríamos errores si no procedemos de la manera descrita (es decir, si confeccionáramos el perfil de fondos en moneda constante directamente, prescindiendo del efecto de la inflación y descontáramos los flujos de fondos resultantes al tipo de interés real) son las siguientes:
- Los ahorros fiscales asociados a la amortización aparecerían sobrevalorados (dada la imposibilidad de incorporar el efecto de la inflación
   en dicha amortización).
- No se pondrían de manifiesto las inversiones en fondo de maniobra exigidas únicamente por el efecto de la inflación.
Lógicamente, y a la vista de los datos que concurren en el caso, hay una excepción a lo anterior: la comparación entre las alternativas "Autoventistas" y "No hacer nada", ya que dicha alternativa no exige inversión en inmovilizado (por lo que no provoca efectos incrementales en la amortización de inmovilizados) y supone cobro al contado (por lo que no tiene tampoco efectos en el fondo de maniobra); y dado que la inflación afecta por igual a todas las variables implicadas, no se comete error alguno si se prescinde de ella en el análisis.</t>
  </si>
  <si>
    <t>RESUMEN DE INFORMACIÓN RELEVANTE</t>
  </si>
  <si>
    <t>MONEDA CORRIENTE: Compra frente a no afrontar</t>
  </si>
  <si>
    <t>COMPRA ALMACÉN</t>
  </si>
  <si>
    <t>COMPRA Y ALQUILER</t>
  </si>
  <si>
    <t>∆Ventas</t>
  </si>
  <si>
    <t>∆Costes</t>
  </si>
  <si>
    <t>∆(V-C)</t>
  </si>
  <si>
    <t>∆Impto</t>
  </si>
  <si>
    <t>∆GF’</t>
  </si>
  <si>
    <t>∆Circul.</t>
  </si>
  <si>
    <t>∆∆Circul.</t>
  </si>
  <si>
    <t>∆GF</t>
  </si>
  <si>
    <t>∆TINV</t>
  </si>
  <si>
    <t>INV(2022)</t>
  </si>
  <si>
    <t>Ventas (const)</t>
  </si>
  <si>
    <t>VE(2027)</t>
  </si>
  <si>
    <t>AM(años)</t>
  </si>
  <si>
    <t>DATOS COMUNES</t>
  </si>
  <si>
    <t>Hoy</t>
  </si>
  <si>
    <t>DI</t>
  </si>
  <si>
    <t>K nominal</t>
  </si>
  <si>
    <t xml:space="preserve">Introduzca nº celdilla sobre la que desea explicación (de 1 a 75) </t>
  </si>
  <si>
    <t>r real</t>
  </si>
  <si>
    <t>ALQUILER ALMACÉN</t>
  </si>
  <si>
    <t>∆C(pers anual const)</t>
  </si>
  <si>
    <r>
      <rPr>
        <b/>
        <sz val="11"/>
        <color theme="1"/>
        <rFont val="Calibri"/>
        <family val="2"/>
      </rPr>
      <t>∆</t>
    </r>
    <r>
      <rPr>
        <b/>
        <sz val="11"/>
        <color theme="1"/>
        <rFont val="Calibri"/>
        <family val="2"/>
        <scheme val="minor"/>
      </rPr>
      <t>VR AF</t>
    </r>
  </si>
  <si>
    <t>Margen s/coste</t>
  </si>
  <si>
    <t>∆VR FM</t>
  </si>
  <si>
    <t xml:space="preserve">Marque con 'x' si desea corregir </t>
  </si>
  <si>
    <t>∆C(alquil mens)</t>
  </si>
  <si>
    <t>CobroV(días)</t>
  </si>
  <si>
    <t>n</t>
  </si>
  <si>
    <t>∆VR</t>
  </si>
  <si>
    <t>AUTOVENTISTAS</t>
  </si>
  <si>
    <t>MONEDA CORRIENTE: Alquiler frente a no afrontar</t>
  </si>
  <si>
    <t xml:space="preserve">∆Ventas </t>
  </si>
  <si>
    <t>AM(i)</t>
  </si>
  <si>
    <t>Cobro V(días)</t>
  </si>
  <si>
    <t xml:space="preserve">Introduzca nº celdilla sobre la que desea explicación (de 76 a 142) </t>
  </si>
  <si>
    <t>MONEDA CORRIENTE: Autoventistas frente a no afrontar</t>
  </si>
  <si>
    <t xml:space="preserve">Introduzca nº celdilla sobre la que desea explicación (de 143 a 209) </t>
  </si>
  <si>
    <t>∆Ventas(2023)</t>
  </si>
  <si>
    <t>2.000.000x(1+0,05)^1</t>
  </si>
  <si>
    <t>Ventas (const)x[1+f]^1</t>
  </si>
  <si>
    <t>∆Ventas(2024)</t>
  </si>
  <si>
    <t>2.500.000x(1+0,05)^2</t>
  </si>
  <si>
    <t>Ventas (const)x[1+f]^2</t>
  </si>
  <si>
    <t>∆Ventas(2025)</t>
  </si>
  <si>
    <t>3.000.000x(1+0,05)^3</t>
  </si>
  <si>
    <t>Ventas (const)x[1+f]^3</t>
  </si>
  <si>
    <t>∆Ventas(2026)</t>
  </si>
  <si>
    <t>3.000.000x(1+0,05)^4</t>
  </si>
  <si>
    <t>Ventas (const)x[1+f]^4</t>
  </si>
  <si>
    <t>∆Ventas(2027)</t>
  </si>
  <si>
    <t>3.000.000x(1+0,05)^5</t>
  </si>
  <si>
    <t>Ventas (const)x[1+f]^5</t>
  </si>
  <si>
    <t>∆Costes(2023)</t>
  </si>
  <si>
    <t>2.100.000/(1+0,2)+50.000x(1+0,05)^1</t>
  </si>
  <si>
    <t>∆Ventas(2023)/(1+Margen s/coste)+∆C(pers anual const)x[1+f]^1</t>
  </si>
  <si>
    <t>∆Costes(2024)</t>
  </si>
  <si>
    <t>2.756.250/(1+0,2)+50.000x(1+0,05)^2</t>
  </si>
  <si>
    <t>∆Ventas(2024)/(1+Margen s/coste)+∆C(pers anual const)x[1+f]^2</t>
  </si>
  <si>
    <t>∆Costes(2025)</t>
  </si>
  <si>
    <t>3.472.875/(1+0,2)+50.000x(1+0,05)^3</t>
  </si>
  <si>
    <t>∆Ventas(2025)/(1+Margen s/coste)+∆C(pers anual const)x[1+f]^3</t>
  </si>
  <si>
    <t>∆Costes(2026)</t>
  </si>
  <si>
    <t>3.646.519/(1+0,2)+50.000x(1+0,05)^4</t>
  </si>
  <si>
    <t>∆Ventas(2026)/(1+Margen s/coste)+∆C(pers anual const)x[1+f]^4</t>
  </si>
  <si>
    <t>∆Costes(2027)</t>
  </si>
  <si>
    <t>3.828.845/(1+0,2)+50.000x(1+0,05)^5</t>
  </si>
  <si>
    <t>∆Ventas(2027)/(1+Margen s/coste)+∆C(pers anual const)x[1+f]^5</t>
  </si>
  <si>
    <t>∆(V-C)(2023)</t>
  </si>
  <si>
    <t>2.100.000-1.802.500</t>
  </si>
  <si>
    <t>∆Ventas(2023)-∆Costes(2023)</t>
  </si>
  <si>
    <t>∆(V-C)(2024)</t>
  </si>
  <si>
    <t>2.756.250-2.352.000</t>
  </si>
  <si>
    <t>∆Ventas(2024)-∆Costes(2024)</t>
  </si>
  <si>
    <t>∆(V-C)(2025)</t>
  </si>
  <si>
    <t>3.472.875-2.951.944</t>
  </si>
  <si>
    <t>∆Ventas(2025)-∆Costes(2025)</t>
  </si>
  <si>
    <t>∆(V-C)(2026)</t>
  </si>
  <si>
    <t>3.646.519-3.099.541</t>
  </si>
  <si>
    <t>∆Ventas(2026)-∆Costes(2026)</t>
  </si>
  <si>
    <t>∆(V-C)(2027)</t>
  </si>
  <si>
    <t>3.828.845-3.254.518</t>
  </si>
  <si>
    <t>∆Ventas(2027)-∆Costes(2027)</t>
  </si>
  <si>
    <t>∆AM(2023)</t>
  </si>
  <si>
    <t>250.000/10</t>
  </si>
  <si>
    <t>INV(2022)/AM(años)</t>
  </si>
  <si>
    <t>∆AM(2024)</t>
  </si>
  <si>
    <t>∆AM(2025)</t>
  </si>
  <si>
    <t>∆AM(2026)</t>
  </si>
  <si>
    <t>∆AM(2027)</t>
  </si>
  <si>
    <t>∆BAII(2023)</t>
  </si>
  <si>
    <t>297.500-25.000</t>
  </si>
  <si>
    <t>∆(V-C)(2023)-∆AM(2023)</t>
  </si>
  <si>
    <t>∆BAII(2024)</t>
  </si>
  <si>
    <t>404.250-25.000</t>
  </si>
  <si>
    <t>∆(V-C)(2024)-∆AM(2024)</t>
  </si>
  <si>
    <t>∆BAII(2025)</t>
  </si>
  <si>
    <t>520.931-25.000</t>
  </si>
  <si>
    <t>∆(V-C)(2025)-∆AM(2025)</t>
  </si>
  <si>
    <t>∆BAII(2026)</t>
  </si>
  <si>
    <t>546.978-25.000</t>
  </si>
  <si>
    <t>∆(V-C)(2026)-∆AM(2026)</t>
  </si>
  <si>
    <t>∆BAII(2027)</t>
  </si>
  <si>
    <t>574.327-25.000</t>
  </si>
  <si>
    <t>∆(V-C)(2027)-∆AM(2027)</t>
  </si>
  <si>
    <t>∆Impto(2023)</t>
  </si>
  <si>
    <t>0,28x272.500</t>
  </si>
  <si>
    <t>tx∆BAII(2023)</t>
  </si>
  <si>
    <t>∆Impto(2024)</t>
  </si>
  <si>
    <t>0,28x379.250</t>
  </si>
  <si>
    <t>tx∆BAII(2024)</t>
  </si>
  <si>
    <t>∆Impto(2025)</t>
  </si>
  <si>
    <t>0,28x495.931</t>
  </si>
  <si>
    <t>tx∆BAII(2025)</t>
  </si>
  <si>
    <t>∆Impto(2026)</t>
  </si>
  <si>
    <t>0,28x521.978</t>
  </si>
  <si>
    <t>tx∆BAII(2026)</t>
  </si>
  <si>
    <t>∆Impto(2027)</t>
  </si>
  <si>
    <t>0,28x549.327</t>
  </si>
  <si>
    <t>tx∆BAII(2027)</t>
  </si>
  <si>
    <t>∆BAIdI(2023)</t>
  </si>
  <si>
    <t>272.500-76.300</t>
  </si>
  <si>
    <t>∆BAII(2023)-∆Impto(2023)</t>
  </si>
  <si>
    <t>∆BAIdI(2024)</t>
  </si>
  <si>
    <t>379.250-106.190</t>
  </si>
  <si>
    <t>∆BAII(2024)-∆Impto(2024)</t>
  </si>
  <si>
    <t>∆BAIdI(2025)</t>
  </si>
  <si>
    <t>495.931-138.861</t>
  </si>
  <si>
    <t>∆BAII(2025)-∆Impto(2025)</t>
  </si>
  <si>
    <t>∆BAIdI(2026)</t>
  </si>
  <si>
    <t>521.978-146.154</t>
  </si>
  <si>
    <t>∆BAII(2026)-∆Impto(2026)</t>
  </si>
  <si>
    <t>∆BAIdI(2027)</t>
  </si>
  <si>
    <t>549.327-153.811</t>
  </si>
  <si>
    <t>∆BAII(2027)-∆Impto(2027)</t>
  </si>
  <si>
    <t>∆GF’(2023)</t>
  </si>
  <si>
    <t>196.200+25.000</t>
  </si>
  <si>
    <t>∆BAIdI(2023)+∆AM(2023)</t>
  </si>
  <si>
    <t>∆GF’(2024)</t>
  </si>
  <si>
    <t>273.060+25.000</t>
  </si>
  <si>
    <t>∆BAIdI(2024)+∆AM(2024)</t>
  </si>
  <si>
    <t>∆GF’(2025)</t>
  </si>
  <si>
    <t>357.071+25.000</t>
  </si>
  <si>
    <t>∆BAIdI(2025)+∆AM(2025)</t>
  </si>
  <si>
    <t>∆GF’(2026)</t>
  </si>
  <si>
    <t>375.824+25.000</t>
  </si>
  <si>
    <t>∆BAIdI(2026)+∆AM(2026)</t>
  </si>
  <si>
    <t>∆GF’(2027)</t>
  </si>
  <si>
    <t>395.515+25.000</t>
  </si>
  <si>
    <t>∆BAIdI(2027)+∆AM(2027)</t>
  </si>
  <si>
    <t>∆Circul.(2023)</t>
  </si>
  <si>
    <t>2.100.000/360x30</t>
  </si>
  <si>
    <t>∆Ventas(2023)/360xCobroV(días)</t>
  </si>
  <si>
    <t>∆Circul.(2024)</t>
  </si>
  <si>
    <t>2.756.250/360x30</t>
  </si>
  <si>
    <t>∆Ventas(2024)/360xCobroV(días)</t>
  </si>
  <si>
    <t>∆Circul.(2025)</t>
  </si>
  <si>
    <t>3.472.875/360x30</t>
  </si>
  <si>
    <t>∆Ventas(2025)/360xCobroV(días)</t>
  </si>
  <si>
    <t>∆Circul.(2026)</t>
  </si>
  <si>
    <t>3.646.519/360x30</t>
  </si>
  <si>
    <t>∆Ventas(2026)/360xCobroV(días)</t>
  </si>
  <si>
    <t>∆Circul.(2027)</t>
  </si>
  <si>
    <t>3.828.845/360x30</t>
  </si>
  <si>
    <t>∆Ventas(2027)/360xCobroV(días)</t>
  </si>
  <si>
    <t>∆∆Circul.(2023)</t>
  </si>
  <si>
    <t>175.000-0</t>
  </si>
  <si>
    <t>∆∆Circul.(2024)</t>
  </si>
  <si>
    <t>229.688-175.000</t>
  </si>
  <si>
    <t>∆Circul.(2024)-∆Circul.(2023)</t>
  </si>
  <si>
    <t>∆∆Circul.(2025)</t>
  </si>
  <si>
    <t>289.406-229.688</t>
  </si>
  <si>
    <t>∆Circul.(2025)-∆Circul.(2024)</t>
  </si>
  <si>
    <t>∆∆Circul.(2026)</t>
  </si>
  <si>
    <t>303.877-289.406</t>
  </si>
  <si>
    <t>∆Circul.(2026)-∆Circul.(2025)</t>
  </si>
  <si>
    <t>∆∆Circul.(2027)</t>
  </si>
  <si>
    <t>319.070-303.877</t>
  </si>
  <si>
    <t>∆Circul.(2027)-∆Circul.(2026)</t>
  </si>
  <si>
    <t>∆GF(2023)</t>
  </si>
  <si>
    <t>221.200-175.000</t>
  </si>
  <si>
    <t>∆GF’(2023)-∆∆Circul.(2023)</t>
  </si>
  <si>
    <t>∆GF(2024)</t>
  </si>
  <si>
    <t>298.060-54.688</t>
  </si>
  <si>
    <t>∆GF’(2024)-∆∆Circul.(2024)</t>
  </si>
  <si>
    <t>∆GF(2025)</t>
  </si>
  <si>
    <t>382.071-59.719</t>
  </si>
  <si>
    <t>∆GF’(2025)-∆∆Circul.(2025)</t>
  </si>
  <si>
    <t>∆GF(2026)</t>
  </si>
  <si>
    <t>400.824-14.470</t>
  </si>
  <si>
    <t>∆GF’(2026)-∆∆Circul.(2026)</t>
  </si>
  <si>
    <t>∆GF(2027)</t>
  </si>
  <si>
    <t>420.515-15.194</t>
  </si>
  <si>
    <t>∆GF’(2027)-∆∆Circul.(2027)</t>
  </si>
  <si>
    <t>∆TINV(2022)</t>
  </si>
  <si>
    <t>-250.000</t>
  </si>
  <si>
    <t>-DI(2022)</t>
  </si>
  <si>
    <t>∆TINV(2023)</t>
  </si>
  <si>
    <t>46.200</t>
  </si>
  <si>
    <t>∆TINV(2024)</t>
  </si>
  <si>
    <t>243.373</t>
  </si>
  <si>
    <t>∆TINV(2025)</t>
  </si>
  <si>
    <t>322.352</t>
  </si>
  <si>
    <t>∆TINV(2026)</t>
  </si>
  <si>
    <t>386.354</t>
  </si>
  <si>
    <t>∆TINV(2027)</t>
  </si>
  <si>
    <t>405.321+498.070</t>
  </si>
  <si>
    <t>∆GF(2027)+∆VR(2027)</t>
  </si>
  <si>
    <t>DI(2022)</t>
  </si>
  <si>
    <t>∆VR AF(2027)</t>
  </si>
  <si>
    <t>200.000-0,28x(200.000-(250.000x(1-5/10)))</t>
  </si>
  <si>
    <t>VE(2027)-tx(VE(2027)-(INV(2022)x(1-n/AM(años))))</t>
  </si>
  <si>
    <t>∆VR FM(2027)</t>
  </si>
  <si>
    <t>319.070</t>
  </si>
  <si>
    <t>∆VR(2027)</t>
  </si>
  <si>
    <t>179.000+319.070</t>
  </si>
  <si>
    <t>∆VR AF(2027)+∆VR FM(2027)</t>
  </si>
  <si>
    <t>(1+0,06)x(1+0,05)-1</t>
  </si>
  <si>
    <t>(1+r)x(1+f)-1</t>
  </si>
  <si>
    <t>-250.000+46.200/(1+0,113)^1+…+903.392/(1+0,113)^5</t>
  </si>
  <si>
    <t>∆TINV(2022)+∆TINV(2023)/(1+K nominal)^1+…+∆TINV(2027)/(1+K nominal)^5</t>
  </si>
  <si>
    <t>-250.000/(1+0,05)^0</t>
  </si>
  <si>
    <t>∆TINV(2022) (corrientes)/(1+f)^0</t>
  </si>
  <si>
    <t>46.200/(1+0,05)^1</t>
  </si>
  <si>
    <t>∆TINV(2023) (corrientes)/(1+f)^1</t>
  </si>
  <si>
    <t>243.373/(1+0,05)^2</t>
  </si>
  <si>
    <t>∆TINV(2024) (corrientes)/(1+f)^2</t>
  </si>
  <si>
    <t>322.352/(1+0,05)^3</t>
  </si>
  <si>
    <t>∆TINV(2025) (corrientes)/(1+f)^3</t>
  </si>
  <si>
    <t>386.354/(1+0,05)^4</t>
  </si>
  <si>
    <t>∆TINV(2026) (corrientes)/(1+f)^4</t>
  </si>
  <si>
    <t>903.392/(1+0,05)^5</t>
  </si>
  <si>
    <t>∆TINV(2027) (corrientes)/(1+f)^5</t>
  </si>
  <si>
    <t>-250.000+44.000/(1+0,06)+…+707.831/(1+0,06)^5</t>
  </si>
  <si>
    <t>∆TINV(2022)+∆TINV(2023)/(1+r real)+…+∆TINV(2027)/(1+r real)^5</t>
  </si>
  <si>
    <t>2.100.000/(1+0,2)+50.000x(1+0,05)^1+3.000x12</t>
  </si>
  <si>
    <t>∆Ventas(2023)/(1+Margen s/coste)+∆C(pers anual const)x[1+f]^1+∆C(alquil mens)x12</t>
  </si>
  <si>
    <t>2.756.250/(1+0,2)+50.000x(1+0,05)^2+3.000x12</t>
  </si>
  <si>
    <t>∆Ventas(2024)/(1+Margen s/coste)+∆C(pers anual const)x[1+f]^2+∆C(alquil mens)x12</t>
  </si>
  <si>
    <t>3.472.875/(1+0,2)+50.000x(1+0,05)^3+3.000x12</t>
  </si>
  <si>
    <t>∆Ventas(2025)/(1+Margen s/coste)+∆C(pers anual const)x[1+f]^3+∆C(alquil mens)x12</t>
  </si>
  <si>
    <t>3.646.519/(1+0,2)+50.000x(1+0,05)^4+3.000x12</t>
  </si>
  <si>
    <t>∆Ventas(2026)/(1+Margen s/coste)+∆C(pers anual const)x[1+f]^4+∆C(alquil mens)x12</t>
  </si>
  <si>
    <t>3.828.845/(1+0,2)+50.000x(1+0,05)^5+3.000x12</t>
  </si>
  <si>
    <t>∆Ventas(2027)/(1+Margen s/coste)+∆C(pers anual const)x[1+f]^5+∆C(alquil mens)x12</t>
  </si>
  <si>
    <t>2.100.000-1.838.500</t>
  </si>
  <si>
    <t>2.756.250-2.388.000</t>
  </si>
  <si>
    <t>3.472.875-2.987.944</t>
  </si>
  <si>
    <t>3.646.519-3.135.541</t>
  </si>
  <si>
    <t>3.828.845-3.290.518</t>
  </si>
  <si>
    <t>0 (no hay inversiones en inmovilizado)</t>
  </si>
  <si>
    <t>261.500-0</t>
  </si>
  <si>
    <t>368.250-0</t>
  </si>
  <si>
    <t>484.931-0</t>
  </si>
  <si>
    <t>510.978-0</t>
  </si>
  <si>
    <t>538.327-0</t>
  </si>
  <si>
    <t>0,28x261.500</t>
  </si>
  <si>
    <t>0,28x368.250</t>
  </si>
  <si>
    <t>0,28x484.931</t>
  </si>
  <si>
    <t>0,28x510.978</t>
  </si>
  <si>
    <t>0,28x538.327</t>
  </si>
  <si>
    <t>261.500-73.220</t>
  </si>
  <si>
    <t>368.250-103.110</t>
  </si>
  <si>
    <t>484.931-135.781</t>
  </si>
  <si>
    <t>510.978-143.074</t>
  </si>
  <si>
    <t>538.327-150.731</t>
  </si>
  <si>
    <t>188.280+0</t>
  </si>
  <si>
    <t>265.140+0</t>
  </si>
  <si>
    <t>349.151+0</t>
  </si>
  <si>
    <t>367.904+0</t>
  </si>
  <si>
    <t>387.595+0</t>
  </si>
  <si>
    <t>188.280-175.000</t>
  </si>
  <si>
    <t>265.140-54.688</t>
  </si>
  <si>
    <t>349.151-59.719</t>
  </si>
  <si>
    <t>367.904-14.470</t>
  </si>
  <si>
    <t>387.595-15.194</t>
  </si>
  <si>
    <t>13.280</t>
  </si>
  <si>
    <t>210.453</t>
  </si>
  <si>
    <t>289.432</t>
  </si>
  <si>
    <t>353.434</t>
  </si>
  <si>
    <t>372.401+319.070</t>
  </si>
  <si>
    <t>0+319.070</t>
  </si>
  <si>
    <t>0+13.280/(1+0,113)^1+…+691.472/(1+0,113)^5</t>
  </si>
  <si>
    <t>0,5x2.000.000/(1+0,2)*(1+0,05)*(1+0,05)^1</t>
  </si>
  <si>
    <t>0,5xVentas (const)/(1+Margen s/coste [compra o alquiler])x(1+Margen s/coste[autoventistas])x(1+f)^1</t>
  </si>
  <si>
    <t>0,5x2.500.000/(1+0,2)*(1+0,05)*(1+0,05)^2</t>
  </si>
  <si>
    <t>0,5xVentas (const)/(1+Margen s/coste [compra o alquiler])x(1+Margen s/coste[autoventistas])x(1+f)^2</t>
  </si>
  <si>
    <t>0,5x3.000.000/(1+0,2)*(1+0,05)*(1+0,05)^3</t>
  </si>
  <si>
    <t>0,5xVentas (const)/(1+Margen s/coste [compra o alquiler])x(1+Margen s/coste[autoventistas])x(1+f)^3</t>
  </si>
  <si>
    <t>0,5x3.000.000/(1+0,2)*(1+0,05)*(1+0,05)^4</t>
  </si>
  <si>
    <t>0,5xVentas (const)/(1+Margen s/coste [compra o alquiler])x(1+Margen s/coste[autoventistas])x(1+f)^4</t>
  </si>
  <si>
    <t>0,5x3.000.000/(1+0,2)*(1+0,05)*(1+0,05)^5</t>
  </si>
  <si>
    <t>0,5xVentas (const)/(1+Margen s/coste [compra o alquiler])x(1+Margen s/coste[autoventistas])x(1+f)^5</t>
  </si>
  <si>
    <t>918.750/(1+0,05)</t>
  </si>
  <si>
    <t>∆Ventas(2023) [autoventistas]/(1+Margen s/coste [autoventistas])</t>
  </si>
  <si>
    <t>1.205.859/(1+0,05)</t>
  </si>
  <si>
    <t>∆Ventas(2024) [autoventistas]/(1+Margen s/coste [autoventistas])</t>
  </si>
  <si>
    <t>1.519.383/(1+0,05)</t>
  </si>
  <si>
    <t>∆Ventas(2025) [autoventistas]/(1+Margen s/coste [autoventistas])</t>
  </si>
  <si>
    <t>1.595.352/(1+0,05)</t>
  </si>
  <si>
    <t>∆Ventas(2026) [autoventistas]/(1+Margen s/coste [autoventistas])</t>
  </si>
  <si>
    <t>1.675.120/(1+0,05)</t>
  </si>
  <si>
    <t>∆Ventas(2027) [autoventistas]/(1+Margen s/coste [autoventistas])</t>
  </si>
  <si>
    <t>918.750-875.000</t>
  </si>
  <si>
    <t>1.205.859-1.148.438</t>
  </si>
  <si>
    <t>1.519.383-1.447.031</t>
  </si>
  <si>
    <t>1.595.352-1.519.383</t>
  </si>
  <si>
    <t>1.675.120-1.595.352</t>
  </si>
  <si>
    <t>0 (no hay inversión en inmovilizado)</t>
  </si>
  <si>
    <t>43.750-0</t>
  </si>
  <si>
    <t>57.422-0</t>
  </si>
  <si>
    <t>72.352-0</t>
  </si>
  <si>
    <t>75.969-0</t>
  </si>
  <si>
    <t>79.768-0</t>
  </si>
  <si>
    <t>0,28x43.750</t>
  </si>
  <si>
    <t>0,28x57.422</t>
  </si>
  <si>
    <t>0,28x72.352</t>
  </si>
  <si>
    <t>0,28x75.969</t>
  </si>
  <si>
    <t>0,28x79.768</t>
  </si>
  <si>
    <t>43.750-12.250</t>
  </si>
  <si>
    <t>57.422-16.078</t>
  </si>
  <si>
    <t>72.352-20.258</t>
  </si>
  <si>
    <t>75.969-21.271</t>
  </si>
  <si>
    <t>79.768-22.335</t>
  </si>
  <si>
    <t>31.500+0</t>
  </si>
  <si>
    <t>41.344+0</t>
  </si>
  <si>
    <t>52.093+0</t>
  </si>
  <si>
    <t>54.698+0</t>
  </si>
  <si>
    <t>57.433+0</t>
  </si>
  <si>
    <t>A los autoventistas se les cobra al contado</t>
  </si>
  <si>
    <t>0-0</t>
  </si>
  <si>
    <t>Cobro al contado (no hay inversiones en FM)</t>
  </si>
  <si>
    <t>31.500-0</t>
  </si>
  <si>
    <t>41.344-0</t>
  </si>
  <si>
    <t>52.093-0</t>
  </si>
  <si>
    <t>54.698-0</t>
  </si>
  <si>
    <t>57.433-0</t>
  </si>
  <si>
    <t>31.500</t>
  </si>
  <si>
    <t>41.344</t>
  </si>
  <si>
    <t>52.093</t>
  </si>
  <si>
    <t>54.698</t>
  </si>
  <si>
    <t>No es necesario invertir en el momento cero</t>
  </si>
  <si>
    <t>El proyecto no exige inversiones en AF</t>
  </si>
  <si>
    <t>El proyecto no exige inversiones en FM</t>
  </si>
  <si>
    <t>0+0</t>
  </si>
  <si>
    <t>El proyecto no exige inversiones en AF ni en FM</t>
  </si>
  <si>
    <t>0+31.500/(1+0,113)^1+…+57.433/(1+0,113)^5</t>
  </si>
  <si>
    <t>∆VR AF</t>
  </si>
  <si>
    <t>¿desactivar?</t>
  </si>
  <si>
    <t>0 (Las ventas son las mismas en los casos de compra o alquiler)</t>
  </si>
  <si>
    <t>3000x12</t>
  </si>
  <si>
    <t>∆C(alquil mens)x12</t>
  </si>
  <si>
    <t>0-36.000</t>
  </si>
  <si>
    <t>0-250.000/10</t>
  </si>
  <si>
    <t>0-INV(2022)/AM(años)</t>
  </si>
  <si>
    <t>-36.000-(-25.000)</t>
  </si>
  <si>
    <t>0,28x(-11.000)</t>
  </si>
  <si>
    <t>-11.000-(-3.080)</t>
  </si>
  <si>
    <t>-7.920+(-25.000)</t>
  </si>
  <si>
    <t>0/360x30</t>
  </si>
  <si>
    <t>-32.920-0</t>
  </si>
  <si>
    <t>-32.920</t>
  </si>
  <si>
    <t>-32.920+(-179.000)</t>
  </si>
  <si>
    <t>-INV(2022)</t>
  </si>
  <si>
    <t>-[200.000-0,28x(200.000-(250.000x(1-5/10)))]</t>
  </si>
  <si>
    <t>-[VE(2027)-tx(VE(2027)-(INV(2022)x(1-n/AM(años))))]</t>
  </si>
  <si>
    <t>-179.000+0</t>
  </si>
  <si>
    <t>250.000-32.920/(1+0,113)^1+…-211.920/(1+0,113)^5</t>
  </si>
  <si>
    <t>[0,5x2.000.000/(1+0,2)x(1+0,05)-2.000.000]x(1+0,05)^1</t>
  </si>
  <si>
    <t>[0,5xVentas (const)/(1+Margen s/coste[compra y alquiler])x(1+Margen s/coste [autoventistas])-Ventas (const)]x(1+f)^1</t>
  </si>
  <si>
    <t>[0,5x2.500.000/(1+0,2)x(1+0,05)-2.500.000]x(1+0,05)^2</t>
  </si>
  <si>
    <t>[0,5xVentas (const)/(1+Margen s/coste[compra y alquiler])x(1+Margen s/coste [autoventistas])-Ventas (const)]x(1+f)^2</t>
  </si>
  <si>
    <t>[0,5x3.000.000/(1+0,2)x(1+0,05)-3.000.000]x(1+0,05)^3</t>
  </si>
  <si>
    <t>[0,5xVentas (const)/(1+Margen s/coste[compra y alquiler])x(1+Margen s/coste [autoventistas])-Ventas (const)]x(1+f)^3</t>
  </si>
  <si>
    <t>[0,5x3.000.000/(1+0,2)x(1+0,05)-3.000.000]x(1+0,05)^4</t>
  </si>
  <si>
    <t>[0,5xVentas (const)/(1+Margen s/coste[compra y alquiler])x(1+Margen s/coste [autoventistas])-Ventas (const)]x(1+f)^4</t>
  </si>
  <si>
    <t>[0,5x3.000.000/(1+0,2)x(1+0,05)-3.000.000]x(1+0,05)^5</t>
  </si>
  <si>
    <t>[0,5xVentas (const)/(1+Margen s/coste[compra y alquiler])x(1+Margen s/coste [autoventistas])-Ventas (const)]x(1+f)^5</t>
  </si>
  <si>
    <t>[0,5x2.000.000/(1+0,2)-2.000.000/(1+0,2)-50.000]x(1+0,05)^1-3.000x12</t>
  </si>
  <si>
    <t>[0,5xVentas (const)/(1+Margen s/coste)-Ventas (const)/(1+Margen s/coste)-∆C(pers anual const)]x(1+f)^1-∆C(alquil mens)x12</t>
  </si>
  <si>
    <t>[0,5x2.500.000/(1+0,2)-2.500.000/(1+0,2)-50.000]x(1+0,05)^2-3.000x12</t>
  </si>
  <si>
    <t>[0,5xVentas (const)/(1+Margen s/coste)-Ventas (const)/(1+Margen s/coste)-∆C(pers anual const)]x(1+f)^2-∆C(alquil mens)x12</t>
  </si>
  <si>
    <t>[0,5x3.000.000/(1+0,2)-3.000.000/(1+0,2)-50.000]x(1+0,05)^3-3.000x12</t>
  </si>
  <si>
    <t>[0,5xVentas (const)/(1+Margen s/coste)-Ventas (const)/(1+Margen s/coste)-∆C(pers anual const)]x(1+f)^3-∆C(alquil mens)x12</t>
  </si>
  <si>
    <t>[0,5x3.000.000/(1+0,2)-3.000.000/(1+0,2)-50.000]x(1+0,05)^4-3.000x12</t>
  </si>
  <si>
    <t>[0,5xVentas (const)/(1+Margen s/coste)-Ventas (const)/(1+Margen s/coste)-∆C(pers anual const)]x(1+f)^4-∆C(alquil mens)x12</t>
  </si>
  <si>
    <t>[0,5x3.000.000/(1+0,2)-3.000.000/(1+0,2)-50.000]x(1+0,05)^5-3.000x12</t>
  </si>
  <si>
    <t>[0,5xVentas (const)/(1+Margen s/coste)-Ventas (const)/(1+Margen s/coste)-∆C(pers anual const)]x(1+f)^5-∆C(alquil mens)x12</t>
  </si>
  <si>
    <t>-1.181.250-(-963.500)</t>
  </si>
  <si>
    <t>-1.550.391-(-1.239.563)</t>
  </si>
  <si>
    <t>-1.953.492-(-1.540.913)</t>
  </si>
  <si>
    <t>-2.051.167-(-1.616.158)</t>
  </si>
  <si>
    <t>-2.153.725-(-1.695.166)</t>
  </si>
  <si>
    <t>-217.750-0</t>
  </si>
  <si>
    <t>-310.828-0</t>
  </si>
  <si>
    <t>-412.580-0</t>
  </si>
  <si>
    <t>-435.009-0</t>
  </si>
  <si>
    <t>-458.559-0</t>
  </si>
  <si>
    <t>0,28x(-217.750)</t>
  </si>
  <si>
    <t>0,28x(-310.828)</t>
  </si>
  <si>
    <t>0,28x(-412.580)</t>
  </si>
  <si>
    <t>0,28x(-435.009)</t>
  </si>
  <si>
    <t>0,28x(-458.559)</t>
  </si>
  <si>
    <t>-217.750-(-60.970)</t>
  </si>
  <si>
    <t>-310.828-(-87.032)</t>
  </si>
  <si>
    <t>-412.580-(-115.522)</t>
  </si>
  <si>
    <t>-435.009-(-121.802)</t>
  </si>
  <si>
    <t>-458.559-(-128.397)</t>
  </si>
  <si>
    <t>-156.780+0</t>
  </si>
  <si>
    <t>-223.796+0</t>
  </si>
  <si>
    <t>-297.057+0</t>
  </si>
  <si>
    <t>-313.206+0</t>
  </si>
  <si>
    <t>-330.163+0</t>
  </si>
  <si>
    <t>0-2.000.000x(1+0,05)^1/360x30</t>
  </si>
  <si>
    <t>0-Ventas (const)x(1+f)^1/360xCobroV(días)</t>
  </si>
  <si>
    <t>0-2.500.000x(1+0,05)^2/360x30</t>
  </si>
  <si>
    <t>0-Ventas (const)x(1+f)^2/360xCobroV(días)</t>
  </si>
  <si>
    <t>0-3.000.000x(1+0,05)^3/360x30</t>
  </si>
  <si>
    <t>0-Ventas (const)x(1+f)^3/360xCobroV(días)</t>
  </si>
  <si>
    <t>0-3.000.000x(1+0,05)^4/360x30</t>
  </si>
  <si>
    <t>0-Ventas (const)x(1+f)^4/360xCobroV(días)</t>
  </si>
  <si>
    <t>0-3.000.000x(1+0,05)^5/360x30</t>
  </si>
  <si>
    <t>0-Ventas (const)x(1+f)^5/360xCobroV(días)</t>
  </si>
  <si>
    <t>-175.000-0</t>
  </si>
  <si>
    <t>-229.688-(-175.000)</t>
  </si>
  <si>
    <t>-289.406-(-229.688)</t>
  </si>
  <si>
    <t>-303.877-(-289.406)</t>
  </si>
  <si>
    <t>-319.070-(-303.877)</t>
  </si>
  <si>
    <t>-156.780-(-175.000)</t>
  </si>
  <si>
    <t>-223.796-(-54.688)</t>
  </si>
  <si>
    <t>-297.057-(-59.719)</t>
  </si>
  <si>
    <t>-313.206-(-14.470)</t>
  </si>
  <si>
    <t>-330.163-(-15.194)</t>
  </si>
  <si>
    <t>18.220</t>
  </si>
  <si>
    <t>-169.109</t>
  </si>
  <si>
    <t>-237.339</t>
  </si>
  <si>
    <t>-298.736</t>
  </si>
  <si>
    <t>-314.969+(-319.070)</t>
  </si>
  <si>
    <t>-319.070</t>
  </si>
  <si>
    <t>0+(-319.070)</t>
  </si>
  <si>
    <t>0+18.220/(1+0,113)^1+…-634.039/(1+0,113)^5</t>
  </si>
  <si>
    <t>MONEDA CORRIENTE: Alquiler frente a Compra</t>
  </si>
  <si>
    <t>MONEDA CORRIENTE: Autoventistas frente a Alquiler</t>
  </si>
  <si>
    <t>MONEDA CORRIENTE (incorporando el efecto de la inflación en el cálculo del perfil de fondos): Compra frente a no afrontar</t>
  </si>
  <si>
    <t>MONEDA CONSTANTE (prescindiendo del efecto de la inflación en el cálculo del perfil de fondos): Compra frente a no afrontar</t>
  </si>
  <si>
    <t>La no consideración de la inflación sobrevalora el interés del proyecto</t>
  </si>
  <si>
    <t>El VAN obtenido (1.068.959) es mayor que el correcto (1.002.475)</t>
  </si>
  <si>
    <t>MONEDA CORRIENTE (incorporando el efecto de la inflación en el cálculo del perfil de fondos): Alquiler frente a no afrontar</t>
  </si>
  <si>
    <t>MONEDA CONSTANTE (prescindiendo del efecto de la inflación en el cálculo del perfil de fondos): Alquiler frente a no afrontar</t>
  </si>
  <si>
    <t>El VAN obtenido (1.060.634) es mayor que el correcto (1.026.915)</t>
  </si>
  <si>
    <t>MONEDA CORRIENTE (incorporando el efecto de la inflación en el cálculo del perfil de fondos): Autoventistas frente a no afrontar</t>
  </si>
  <si>
    <t>MONEDA CONSTANTE (prescindiendo del efecto de la inflación en el cálculo del perfil de fondos): Autoventistas frente a no afrontar</t>
  </si>
  <si>
    <t>La no consideración de la inflación es indiferente para el interés del proyecto</t>
  </si>
  <si>
    <t>El VAN obtenido (168.730) es idéntico en ambos casos</t>
  </si>
  <si>
    <t>CÁLCULO DEL COSTE DE LOS FONDOS</t>
  </si>
  <si>
    <t>Al igual que en el análisis de los proyectos de inversión, el estudio del interés de una fuente de financiación parte de la confección del perfil de fondos correspondiente, en el que se recogen las entradas y salidas provocadas por el proyecto en la tesorería de la empresa a lo largo de su vida útil.</t>
  </si>
  <si>
    <t>Nos centraremos aquí, por coherencia con el enfoque dado en el análisis de las inversiones, en las fuentes de financiación a largo plazo.</t>
  </si>
  <si>
    <t>El coste de los fondos ajenos a largo plazo</t>
  </si>
  <si>
    <t>La obtención del perfil asociado a los fondos ajenos a largo plazo se realiza de manera totalmente coherente con lo que recogíamos en el apartado correspondiente a la confección de los estados de fuentes y empleos de fondos. Recordaremos brevemente la metodología propuesta:</t>
  </si>
  <si>
    <r>
      <t>TFALP</t>
    </r>
    <r>
      <rPr>
        <b/>
        <vertAlign val="subscript"/>
        <sz val="11"/>
        <color indexed="8"/>
        <rFont val="Calibri"/>
        <family val="2"/>
      </rPr>
      <t>i</t>
    </r>
    <r>
      <rPr>
        <b/>
        <sz val="11"/>
        <color indexed="8"/>
        <rFont val="Calibri"/>
        <family val="2"/>
      </rPr>
      <t xml:space="preserve"> = EFALP</t>
    </r>
    <r>
      <rPr>
        <b/>
        <vertAlign val="subscript"/>
        <sz val="11"/>
        <color indexed="8"/>
        <rFont val="Calibri"/>
        <family val="2"/>
      </rPr>
      <t>i</t>
    </r>
    <r>
      <rPr>
        <b/>
        <sz val="11"/>
        <color indexed="8"/>
        <rFont val="Calibri"/>
        <family val="2"/>
      </rPr>
      <t xml:space="preserve"> - AFALP</t>
    </r>
    <r>
      <rPr>
        <b/>
        <vertAlign val="subscript"/>
        <sz val="11"/>
        <color indexed="8"/>
        <rFont val="Calibri"/>
        <family val="2"/>
      </rPr>
      <t>i</t>
    </r>
    <r>
      <rPr>
        <b/>
        <sz val="11"/>
        <color indexed="8"/>
        <rFont val="Calibri"/>
        <family val="2"/>
      </rPr>
      <t xml:space="preserve"> - I</t>
    </r>
    <r>
      <rPr>
        <b/>
        <vertAlign val="subscript"/>
        <sz val="11"/>
        <color indexed="8"/>
        <rFont val="Calibri"/>
        <family val="2"/>
      </rPr>
      <t>i</t>
    </r>
    <r>
      <rPr>
        <b/>
        <sz val="11"/>
        <color indexed="8"/>
        <rFont val="Calibri"/>
        <family val="2"/>
      </rPr>
      <t xml:space="preserve"> · (1-t)</t>
    </r>
  </si>
  <si>
    <r>
      <t>TFALP</t>
    </r>
    <r>
      <rPr>
        <vertAlign val="subscript"/>
        <sz val="11"/>
        <color indexed="8"/>
        <rFont val="Calibri"/>
        <family val="2"/>
      </rPr>
      <t>i</t>
    </r>
  </si>
  <si>
    <t>Tesorería de fondos ajenos a largo plazo (impacto en caja del proyecto de financiación ajena analizado) en el año i</t>
  </si>
  <si>
    <r>
      <t>EFALP</t>
    </r>
    <r>
      <rPr>
        <vertAlign val="subscript"/>
        <sz val="11"/>
        <color indexed="8"/>
        <rFont val="Calibri"/>
        <family val="2"/>
      </rPr>
      <t>i</t>
    </r>
  </si>
  <si>
    <t>Emisiones de fondos ajenos a largo plazo (entrada de fondos motivada por la fuente de financiación ajena analizada) en el año i</t>
  </si>
  <si>
    <r>
      <t>AFALP</t>
    </r>
    <r>
      <rPr>
        <vertAlign val="subscript"/>
        <sz val="11"/>
        <color indexed="8"/>
        <rFont val="Calibri"/>
        <family val="2"/>
      </rPr>
      <t>i</t>
    </r>
  </si>
  <si>
    <t>Amortizaciones de fondos ajenos a largo plazo (devoluciones de principal) asociadas al proyecto en el año i</t>
  </si>
  <si>
    <r>
      <t>I</t>
    </r>
    <r>
      <rPr>
        <vertAlign val="subscript"/>
        <sz val="11"/>
        <color indexed="8"/>
        <rFont val="Calibri"/>
        <family val="2"/>
      </rPr>
      <t>i</t>
    </r>
    <r>
      <rPr>
        <sz val="11"/>
        <color theme="1"/>
        <rFont val="Calibri"/>
        <family val="2"/>
        <scheme val="minor"/>
      </rPr>
      <t xml:space="preserve"> · (1-t)</t>
    </r>
  </si>
  <si>
    <t>Intereses netos de impuestos asociados a la fuente de financiación ajena analizada en el año i</t>
  </si>
  <si>
    <t>El perfil de fondos, por lo tanto, sería el siguiente:</t>
  </si>
  <si>
    <r>
      <t>Y de lo que se trataría ahora es de determinar el coste asociado a la fuente correspondiente. La forma de hacerlo es calculando la tasa de rentabilidad interna (TRI) del proyecto, es decir, el tipo de interés que iguala el valor actual de las entradas de fondos con el de las salidas. En el caso de los fondos ajenos, llamaremos k</t>
    </r>
    <r>
      <rPr>
        <vertAlign val="subscript"/>
        <sz val="11"/>
        <color indexed="8"/>
        <rFont val="Calibri"/>
        <family val="2"/>
      </rPr>
      <t>i</t>
    </r>
    <r>
      <rPr>
        <sz val="11"/>
        <color theme="1"/>
        <rFont val="Calibri"/>
        <family val="2"/>
        <scheme val="minor"/>
      </rPr>
      <t xml:space="preserve"> a dicha tasa de coste:</t>
    </r>
  </si>
  <si>
    <t>Una simplificación bastante habitual de lo anterior, que sería válida desde un punto de vista teórico si suponemos que los efectos fiscales se producen al mismo ritmo que los pagos de intereses (además de no existir otras fuentes de rentabilidad  -primas, etc.-  ni de coste -comisiones-), sería la siguiente:</t>
  </si>
  <si>
    <r>
      <t>k</t>
    </r>
    <r>
      <rPr>
        <b/>
        <vertAlign val="subscript"/>
        <sz val="11"/>
        <color indexed="8"/>
        <rFont val="Calibri"/>
        <family val="2"/>
      </rPr>
      <t>i</t>
    </r>
    <r>
      <rPr>
        <b/>
        <sz val="11"/>
        <color indexed="8"/>
        <rFont val="Calibri"/>
        <family val="2"/>
      </rPr>
      <t xml:space="preserve"> = i · (1-t)</t>
    </r>
  </si>
  <si>
    <t>donde i representa el coste de la financiación ajena (a largo plazo) sin considerar ningún aspecto fiscal. Si suponemos, además, renovación permanente (y en las mismas condiciones) de la deuda, tenemos que:</t>
  </si>
  <si>
    <t>El coste de los fondos propios</t>
  </si>
  <si>
    <t>La metodología para el cálculo del coste de los fondos propios pasa nuevamente por la obtención previa del perfil de fondos asociado al proyecto de financiación (propia en este caso). Así, habría que calcular el impacto que la relación con los accionistas tiene en la tesorería de la empresa, de manera totalmente coherente con lo propuesto cuando se presentaba la metodología para la construcción del estado de fuentes y empleos de fondos. Así:</t>
  </si>
  <si>
    <r>
      <t>TFP</t>
    </r>
    <r>
      <rPr>
        <b/>
        <vertAlign val="subscript"/>
        <sz val="11"/>
        <color indexed="8"/>
        <rFont val="Calibri"/>
        <family val="2"/>
      </rPr>
      <t>i</t>
    </r>
    <r>
      <rPr>
        <b/>
        <sz val="11"/>
        <color indexed="8"/>
        <rFont val="Calibri"/>
        <family val="2"/>
      </rPr>
      <t xml:space="preserve"> = ECS</t>
    </r>
    <r>
      <rPr>
        <b/>
        <vertAlign val="subscript"/>
        <sz val="11"/>
        <color indexed="8"/>
        <rFont val="Calibri"/>
        <family val="2"/>
      </rPr>
      <t>i</t>
    </r>
    <r>
      <rPr>
        <b/>
        <sz val="11"/>
        <color indexed="8"/>
        <rFont val="Calibri"/>
        <family val="2"/>
      </rPr>
      <t xml:space="preserve"> - ACS</t>
    </r>
    <r>
      <rPr>
        <b/>
        <vertAlign val="subscript"/>
        <sz val="11"/>
        <color indexed="8"/>
        <rFont val="Calibri"/>
        <family val="2"/>
      </rPr>
      <t>i</t>
    </r>
    <r>
      <rPr>
        <b/>
        <sz val="11"/>
        <color indexed="8"/>
        <rFont val="Calibri"/>
        <family val="2"/>
      </rPr>
      <t xml:space="preserve"> - D</t>
    </r>
    <r>
      <rPr>
        <b/>
        <vertAlign val="subscript"/>
        <sz val="11"/>
        <color indexed="8"/>
        <rFont val="Calibri"/>
        <family val="2"/>
      </rPr>
      <t>i</t>
    </r>
  </si>
  <si>
    <r>
      <t>TFP</t>
    </r>
    <r>
      <rPr>
        <vertAlign val="subscript"/>
        <sz val="11"/>
        <color indexed="8"/>
        <rFont val="Calibri"/>
        <family val="2"/>
      </rPr>
      <t>i</t>
    </r>
  </si>
  <si>
    <t>Tesorería de fondos propios del año i</t>
  </si>
  <si>
    <r>
      <t>ECS</t>
    </r>
    <r>
      <rPr>
        <vertAlign val="subscript"/>
        <sz val="11"/>
        <color indexed="8"/>
        <rFont val="Calibri"/>
        <family val="2"/>
      </rPr>
      <t>i</t>
    </r>
  </si>
  <si>
    <t>Emisiones de capital social correspondientes al año i</t>
  </si>
  <si>
    <r>
      <t>ACS</t>
    </r>
    <r>
      <rPr>
        <vertAlign val="subscript"/>
        <sz val="11"/>
        <color indexed="8"/>
        <rFont val="Calibri"/>
        <family val="2"/>
      </rPr>
      <t>i</t>
    </r>
  </si>
  <si>
    <t>Amortizaciones (reducciones) de capital social del año i</t>
  </si>
  <si>
    <r>
      <t>D</t>
    </r>
    <r>
      <rPr>
        <vertAlign val="subscript"/>
        <sz val="11"/>
        <color indexed="8"/>
        <rFont val="Calibri"/>
        <family val="2"/>
      </rPr>
      <t>i</t>
    </r>
  </si>
  <si>
    <t>Dividendos pagados en el año i</t>
  </si>
  <si>
    <t>Todo lo cual da lugar al perfil de fondos correspondiente:</t>
  </si>
  <si>
    <r>
      <t>Y de lo que se trataría nuevamente es de calcular la tasa que iguala en valor actual las entradas y salidas de fondos, a la que llamaremos k</t>
    </r>
    <r>
      <rPr>
        <vertAlign val="subscript"/>
        <sz val="11"/>
        <color indexed="8"/>
        <rFont val="Calibri"/>
        <family val="2"/>
      </rPr>
      <t>e</t>
    </r>
    <r>
      <rPr>
        <sz val="11"/>
        <color theme="1"/>
        <rFont val="Calibri"/>
        <family val="2"/>
        <scheme val="minor"/>
      </rPr>
      <t>:</t>
    </r>
  </si>
  <si>
    <t>Un primer problema que nos encontramos aquí es que normalmente las empresas nacen con un objeto social indefinido en el tiempo, lo que significa que el perfil se prolongaría teóricamente hasta el infinito. Un segundo problema importante es el hecho de que, a diferencia de las fuentes de fondos ajenos, en el caso de los fondos propios no hay obligación contractual por parte de la empresa de devolver los fondos a un determinado ritmo, ni de pagar la rentabilidad esperada por el accionista. Ello obliga a realizar simplificaciones sobre el comportamiento esperado por los accionistas con respecto a los dividendos, que permitan, supuesto conocido el valor de mercado de la empresa (más fácil cuando cotiza en bolsa), deducir la rentabilidad exigida por los accionistas para poner su dinero a disposición de la misma.</t>
  </si>
  <si>
    <t>Una posibilidad es aplicar el modelo de Gordon-Shapiro, que supone que el dividendo crece a una tasa constante "g" todos los años:</t>
  </si>
  <si>
    <r>
      <t>donde p</t>
    </r>
    <r>
      <rPr>
        <vertAlign val="subscript"/>
        <sz val="11"/>
        <color indexed="8"/>
        <rFont val="Calibri"/>
        <family val="2"/>
      </rPr>
      <t>0</t>
    </r>
    <r>
      <rPr>
        <sz val="11"/>
        <color theme="1"/>
        <rFont val="Calibri"/>
        <family val="2"/>
        <scheme val="minor"/>
      </rPr>
      <t xml:space="preserve"> es el valor actual de mercado de las acciones de la empresa; y la hipótesis de dividendo constante sería un caso particular del modelo presentado (g=0).</t>
    </r>
  </si>
  <si>
    <r>
      <t>Otra posibilidad para el cálculo del coste de los fondos propios (y de cualquier fuente de fondos en general) sería la utilización del Capital Asset Pricing Model (CAPM). Según este modelo, el único riesgo relevante y que debe ser retribuido es el sistemático (el que no puede eliminarse por diversificación); y propone una medida de dicho riesgo sistemático, la beta (</t>
    </r>
    <r>
      <rPr>
        <sz val="11"/>
        <color indexed="8"/>
        <rFont val="Calibri"/>
        <family val="2"/>
      </rPr>
      <t>β</t>
    </r>
    <r>
      <rPr>
        <sz val="11"/>
        <color theme="1"/>
        <rFont val="Calibri"/>
        <family val="2"/>
        <scheme val="minor"/>
      </rPr>
      <t>). De esta manera, la rentabilidad que exigiría el proveedor de fondos correspondiente (el accionista en nuestro caso) tendría que ver con el riesgo sistemático que asume, según la siguiente fórmula:</t>
    </r>
  </si>
  <si>
    <r>
      <t>k</t>
    </r>
    <r>
      <rPr>
        <b/>
        <vertAlign val="subscript"/>
        <sz val="11"/>
        <color indexed="8"/>
        <rFont val="Calibri"/>
        <family val="2"/>
      </rPr>
      <t>e</t>
    </r>
    <r>
      <rPr>
        <b/>
        <sz val="11"/>
        <color indexed="8"/>
        <rFont val="Calibri"/>
        <family val="2"/>
      </rPr>
      <t xml:space="preserve"> = r</t>
    </r>
    <r>
      <rPr>
        <b/>
        <vertAlign val="subscript"/>
        <sz val="11"/>
        <color indexed="8"/>
        <rFont val="Calibri"/>
        <family val="2"/>
      </rPr>
      <t>0</t>
    </r>
    <r>
      <rPr>
        <b/>
        <sz val="11"/>
        <color indexed="8"/>
        <rFont val="Calibri"/>
        <family val="2"/>
      </rPr>
      <t xml:space="preserve"> + [E(R</t>
    </r>
    <r>
      <rPr>
        <b/>
        <vertAlign val="subscript"/>
        <sz val="11"/>
        <color indexed="8"/>
        <rFont val="Calibri"/>
        <family val="2"/>
      </rPr>
      <t>m</t>
    </r>
    <r>
      <rPr>
        <b/>
        <sz val="11"/>
        <color indexed="8"/>
        <rFont val="Calibri"/>
        <family val="2"/>
      </rPr>
      <t>) - r</t>
    </r>
    <r>
      <rPr>
        <b/>
        <vertAlign val="subscript"/>
        <sz val="11"/>
        <color indexed="8"/>
        <rFont val="Calibri"/>
        <family val="2"/>
      </rPr>
      <t>0</t>
    </r>
    <r>
      <rPr>
        <b/>
        <sz val="11"/>
        <color indexed="8"/>
        <rFont val="Calibri"/>
        <family val="2"/>
      </rPr>
      <t xml:space="preserve">] ·  </t>
    </r>
    <r>
      <rPr>
        <b/>
        <sz val="11"/>
        <color indexed="8"/>
        <rFont val="Calibri"/>
        <family val="2"/>
      </rPr>
      <t>β</t>
    </r>
  </si>
  <si>
    <r>
      <t>donde r</t>
    </r>
    <r>
      <rPr>
        <vertAlign val="subscript"/>
        <sz val="11"/>
        <color indexed="8"/>
        <rFont val="Calibri"/>
        <family val="2"/>
      </rPr>
      <t>0</t>
    </r>
    <r>
      <rPr>
        <sz val="11"/>
        <color theme="1"/>
        <rFont val="Calibri"/>
        <family val="2"/>
        <scheme val="minor"/>
      </rPr>
      <t xml:space="preserve"> es el tipo de interés sin riesgo; E(R</t>
    </r>
    <r>
      <rPr>
        <vertAlign val="subscript"/>
        <sz val="11"/>
        <color indexed="8"/>
        <rFont val="Calibri"/>
        <family val="2"/>
      </rPr>
      <t>m</t>
    </r>
    <r>
      <rPr>
        <sz val="11"/>
        <color theme="1"/>
        <rFont val="Calibri"/>
        <family val="2"/>
        <scheme val="minor"/>
      </rPr>
      <t xml:space="preserve">) es la rentabilidad esperada del mercado; y  </t>
    </r>
    <r>
      <rPr>
        <sz val="11"/>
        <color indexed="8"/>
        <rFont val="Calibri"/>
        <family val="2"/>
      </rPr>
      <t>β</t>
    </r>
    <r>
      <rPr>
        <sz val="11"/>
        <color theme="1"/>
        <rFont val="Calibri"/>
        <family val="2"/>
        <scheme val="minor"/>
      </rPr>
      <t xml:space="preserve"> es la cantidad de riesgo sistemático soportado. Como puede verse, la fórmula propuesta no es sino un caso particular de ajuste del tipo de descuento, en el que la prima de riesgo se calcula multiplicando la beta de la inversión por el premio que el mercado ofrece por unidad de riesgo sistemático.</t>
    </r>
  </si>
  <si>
    <t>El coste medio ponderado</t>
  </si>
  <si>
    <r>
      <t>Una vez obtenidos los costes de fondos propios (k</t>
    </r>
    <r>
      <rPr>
        <vertAlign val="subscript"/>
        <sz val="11"/>
        <color indexed="8"/>
        <rFont val="Calibri"/>
        <family val="2"/>
      </rPr>
      <t>e</t>
    </r>
    <r>
      <rPr>
        <sz val="11"/>
        <color theme="1"/>
        <rFont val="Calibri"/>
        <family val="2"/>
        <scheme val="minor"/>
      </rPr>
      <t>) y ajenos (k</t>
    </r>
    <r>
      <rPr>
        <vertAlign val="subscript"/>
        <sz val="11"/>
        <color indexed="8"/>
        <rFont val="Calibri"/>
        <family val="2"/>
      </rPr>
      <t>i</t>
    </r>
    <r>
      <rPr>
        <sz val="11"/>
        <color theme="1"/>
        <rFont val="Calibri"/>
        <family val="2"/>
        <scheme val="minor"/>
      </rPr>
      <t>), el siguiente paso es calcular el coste medio del pasivo (k</t>
    </r>
    <r>
      <rPr>
        <vertAlign val="subscript"/>
        <sz val="11"/>
        <color indexed="8"/>
        <rFont val="Calibri"/>
        <family val="2"/>
      </rPr>
      <t>0</t>
    </r>
    <r>
      <rPr>
        <sz val="11"/>
        <color theme="1"/>
        <rFont val="Calibri"/>
        <family val="2"/>
        <scheme val="minor"/>
      </rPr>
      <t>), ponderando cada uno de ellos por los pesos que tienen en el pasivo de la empresa:</t>
    </r>
  </si>
  <si>
    <t>donde en este caso, FP y FALP serían los valores de mercado de fondos propios y ajenos a largo plazo, respectivamente.</t>
  </si>
  <si>
    <r>
      <t>El tipo k</t>
    </r>
    <r>
      <rPr>
        <vertAlign val="subscript"/>
        <sz val="11"/>
        <color indexed="8"/>
        <rFont val="Calibri"/>
        <family val="2"/>
      </rPr>
      <t>0</t>
    </r>
    <r>
      <rPr>
        <sz val="11"/>
        <color theme="1"/>
        <rFont val="Calibri"/>
        <family val="2"/>
        <scheme val="minor"/>
      </rPr>
      <t xml:space="preserve"> es el que normalmente se utiliza para el cálculo del VAN, o como tasa de referencia para la TRI, en el análisis de los proyectos de inversión. Dado que dicho tipo está primado (es el resultado de ponderar los costes de fondos propios y ajenos, que son diferentes precisamente -prescindiendo de efectos fiscales- por el distinto riesgo que los dos tipos de proveedores de fondos corren al poner su dinero a disposición de la empresa), utilizarlo supone aplicar uno de los criterios de tratamiento del riesgo propuestos en el apartado correspondiente: el ajuste del tipo de descuento. Dicho de otro modo, el tipo k</t>
    </r>
    <r>
      <rPr>
        <vertAlign val="subscript"/>
        <sz val="11"/>
        <color indexed="8"/>
        <rFont val="Calibri"/>
        <family val="2"/>
      </rPr>
      <t>0</t>
    </r>
    <r>
      <rPr>
        <sz val="11"/>
        <color theme="1"/>
        <rFont val="Calibri"/>
        <family val="2"/>
        <scheme val="minor"/>
      </rPr>
      <t xml:space="preserve"> en este contexto se corresponde con el tipo R en el del análisis del riesgo, y por tanto, las generaciones de fondos que se descuentan a dicho tipo deben entenderse como esperadas.</t>
    </r>
  </si>
  <si>
    <t>GÓMEZ-BEZARES, F. (2012): Elementos de Finanzas Corporativas, Desclée de Brouwer, Bilbao. Capítulo 7 (y también, para algunos aspectos relacionados con el tratamiento del riesgo, Capítulo 6).</t>
  </si>
  <si>
    <t>GÓMEZ-BEZARES, F., J.A. MADARIAGA y J. SANTIBÁÑEZ (2001): “La decisión de inversión en entornos de riesgo”, Estudios Empresariales, 107, Tercer Cuatrimestre, págs. 22-37. Puede verse también en GÓMEZ-BEZARES, F., J.A. MADARIAGA, J. SANTIBÁÑEZ y A. APRAIZ (2013): Finanzas de empresa (Selección de lecturas), Sociedad para la Promoción y Reconversión Industrial, SPRI, Bilbao, págs. 281-306 (disponible para su descarga de manera gratuita en www.eumed.net).</t>
  </si>
  <si>
    <t>¡ATENCIÓN! Sitúa el cursor aquí</t>
  </si>
  <si>
    <t xml:space="preserve">Indica el número de problema con el que deseas trabajar </t>
  </si>
  <si>
    <t>∆GFO-∆∆FM</t>
  </si>
  <si>
    <t>∆Existencias</t>
  </si>
  <si>
    <t>Cálculo del desembolso inicial</t>
  </si>
  <si>
    <t>Cálculo del valor residual</t>
  </si>
  <si>
    <t xml:space="preserve">Marca con 'x' si deseas corregir </t>
  </si>
  <si>
    <t xml:space="preserve">Indica nº celdilla sobre la que deseas explicación </t>
  </si>
  <si>
    <t>Explicaciones adicionales</t>
  </si>
  <si>
    <t>COINCIDENCIAS DEBERÍA HABER</t>
  </si>
  <si>
    <t>Número coincidencias</t>
  </si>
  <si>
    <t>Planteamiento 1: Continuación frente a abandono</t>
  </si>
  <si>
    <t>Continuación frente a abandono</t>
  </si>
  <si>
    <t>La empresa X comercializa en la actualidad un producto que está planteando abandonar. Dicha decisión no provocaría ningún</t>
  </si>
  <si>
    <t>V(i)</t>
  </si>
  <si>
    <t>efecto en el resto de actividad de la empresa, simplemente se perderían las ventas asociadas al mismo (y lógicamente, se</t>
  </si>
  <si>
    <t>Instalación actual</t>
  </si>
  <si>
    <t>C(i)</t>
  </si>
  <si>
    <t>ahorrarían los costes correspondientes, así como las inversiones en circulantes).</t>
  </si>
  <si>
    <t>VL(0)</t>
  </si>
  <si>
    <t>Cobro V (días)</t>
  </si>
  <si>
    <t>Las ventas anuales del producto en cuestión son de 300.000 euros, que exigen unos costes operativos anuales con desembolso</t>
  </si>
  <si>
    <t>VE(0)</t>
  </si>
  <si>
    <t>Pago C (días)</t>
  </si>
  <si>
    <t>de 240.000. Las ventas se cobran a 90 días, mientras que los costes se pagan a 60. Además, la comercialización del producto exige</t>
  </si>
  <si>
    <t>Existencias (días s/C)</t>
  </si>
  <si>
    <t>mantener un almacén equivalente a 30 días de actividad (calculados sobre la cifra de costes operativos con desembolso). Las</t>
  </si>
  <si>
    <t>VE(4)</t>
  </si>
  <si>
    <t>inversiones en almacén se realizan a comienzo de año y deben considerarse pagadas al contado.</t>
  </si>
  <si>
    <t>Coste fondos</t>
  </si>
  <si>
    <t>Tipo impositivo</t>
  </si>
  <si>
    <t>La instalación en cuestión presenta hoy un valor en libros de 200.000 euros, y podría venderse por 40.000. Caso de continuar con</t>
  </si>
  <si>
    <t>la actividad, se amortizaría al mismo ritmo que hasta ahora, 20.000 euros anuales, y podría venderse dentro de cuatro años por</t>
  </si>
  <si>
    <t>10.000. Hay que decir que el producto desaparecería con toda seguridad en el plazo indicado (cuatro años).</t>
  </si>
  <si>
    <t>La compañía está sujeta al impuesto de sociedades (30%), y deben integrarse en la base imponible todas las plusvalías y</t>
  </si>
  <si>
    <t>minusvalías independientemente de su naturaleza. La empresa viene generando abundantes beneficios que esperan mantenerse</t>
  </si>
  <si>
    <t>en el futuro con independencia de la decisión que ahora se analiza.</t>
  </si>
  <si>
    <t>Venta instalación (0)</t>
  </si>
  <si>
    <t>Recuperación FM (4)</t>
  </si>
  <si>
    <t>La rentabilidad que se exige a las inversiones es de un 10%.</t>
  </si>
  <si>
    <t>Recuperación FM (0)</t>
  </si>
  <si>
    <t>Venta instalación (4)</t>
  </si>
  <si>
    <t>Indique cuál es el momento óptimo para abandonar la actividad (ahora o dentro de cuatro años).</t>
  </si>
  <si>
    <t>Valor residual incremental</t>
  </si>
  <si>
    <t>Descripción</t>
  </si>
  <si>
    <t>Explicación numérica</t>
  </si>
  <si>
    <t>Explicación texto</t>
  </si>
  <si>
    <t>=40.000-0,30x(40.000-200.000)</t>
  </si>
  <si>
    <t>=VE(0)-Tipo impositivox[VE(0)-VL(0)]</t>
  </si>
  <si>
    <t>=(240.000/360x30)+(300.000/360x90)-(240.000/360x60)</t>
  </si>
  <si>
    <t>=[C(i)/360xExistencias (días s/C)]+[V(i)/360xCobro V (días)]-[C(i)/360xPago C (días)]</t>
  </si>
  <si>
    <t>=88.000+55.000</t>
  </si>
  <si>
    <t>=Venta instalación (0)+Recuperación FM (0)</t>
  </si>
  <si>
    <t>∆V(1)</t>
  </si>
  <si>
    <t>=300.000</t>
  </si>
  <si>
    <t>=V(i)</t>
  </si>
  <si>
    <t>∆V(2)</t>
  </si>
  <si>
    <t>∆V(3)</t>
  </si>
  <si>
    <t>∆V(4)</t>
  </si>
  <si>
    <t>∆C(1)</t>
  </si>
  <si>
    <t>=240.000</t>
  </si>
  <si>
    <t>=C(i)</t>
  </si>
  <si>
    <t>∆C(2)</t>
  </si>
  <si>
    <t>∆C(3)</t>
  </si>
  <si>
    <t>∆C(4)</t>
  </si>
  <si>
    <t>∆AM(1)</t>
  </si>
  <si>
    <t>=20.000</t>
  </si>
  <si>
    <t>=AM(i)</t>
  </si>
  <si>
    <t>∆AM(2)</t>
  </si>
  <si>
    <t>∆AM(3)</t>
  </si>
  <si>
    <t>∆AM(4)</t>
  </si>
  <si>
    <t>∆BAII(1)</t>
  </si>
  <si>
    <t>=300.000-240.000-20.000</t>
  </si>
  <si>
    <t>=∆V(1)-∆C(1)-∆AM(1)</t>
  </si>
  <si>
    <t>∆BAII(2)</t>
  </si>
  <si>
    <t>=∆V(2)-∆C(2)-∆AM(2)</t>
  </si>
  <si>
    <t>∆BAII(3)</t>
  </si>
  <si>
    <t>=∆V(3)-∆C(3)-∆AM(3)</t>
  </si>
  <si>
    <t>∆BAII(4)</t>
  </si>
  <si>
    <t>=∆V(4)-∆C(4)-∆AM(4)</t>
  </si>
  <si>
    <t>∆Imp(1)</t>
  </si>
  <si>
    <t>=0,30x40.000</t>
  </si>
  <si>
    <t>=Tipo impositivox∆BAII(1)</t>
  </si>
  <si>
    <t>∆Imp(2)</t>
  </si>
  <si>
    <t>=Tipo impositivox∆BAII(2)</t>
  </si>
  <si>
    <t>∆Imp(3)</t>
  </si>
  <si>
    <t>=Tipo impositivox∆BAII(3)</t>
  </si>
  <si>
    <t>∆Imp(4)</t>
  </si>
  <si>
    <t>=Tipo impositivox∆BAII(4)</t>
  </si>
  <si>
    <t>∆BAIdI(1)</t>
  </si>
  <si>
    <t>=40.000-12.000</t>
  </si>
  <si>
    <t>=∆BAII(1)-∆Imp(1)</t>
  </si>
  <si>
    <t>∆BAIdI(2)</t>
  </si>
  <si>
    <t>=∆BAII(2)-∆Imp(2)</t>
  </si>
  <si>
    <t>∆BAIdI(3)</t>
  </si>
  <si>
    <t>=∆BAII(3)-∆Imp(3)</t>
  </si>
  <si>
    <t>∆BAIdI(4)</t>
  </si>
  <si>
    <t>=∆BAII(4)-∆Imp(4)</t>
  </si>
  <si>
    <t>∆GFO(1)</t>
  </si>
  <si>
    <t>=28.000+20.000</t>
  </si>
  <si>
    <t>=∆BAIdI(1)+∆AM(1)</t>
  </si>
  <si>
    <t>∆GFO(2)</t>
  </si>
  <si>
    <t>=∆BAIdI(2)+∆AM(2)</t>
  </si>
  <si>
    <t>∆GFO(3)</t>
  </si>
  <si>
    <t>=∆BAIdI(3)+∆AM(3)</t>
  </si>
  <si>
    <t>∆GFO(4)</t>
  </si>
  <si>
    <t>=∆BAIdI(4)+∆AM(4)</t>
  </si>
  <si>
    <t>∆Existencias(0)</t>
  </si>
  <si>
    <t>=240.000/360x30</t>
  </si>
  <si>
    <t>=C(1)/360xExistencias (días s/C)</t>
  </si>
  <si>
    <t>∆Existencias(1)</t>
  </si>
  <si>
    <t>=∆C(2)/360xExistencias (días s/C)</t>
  </si>
  <si>
    <t>∆Existencias(2)</t>
  </si>
  <si>
    <t>=∆C(3)/360xExistencias (días s/C)</t>
  </si>
  <si>
    <t>∆Existencias(3)</t>
  </si>
  <si>
    <t>=∆C(4)/360xExistencias (días s/C)</t>
  </si>
  <si>
    <t>∆Existencias(4)</t>
  </si>
  <si>
    <t>∆Clientes(0)</t>
  </si>
  <si>
    <t>=300.000/360x90</t>
  </si>
  <si>
    <t>=V(i)/360xCobro V (días)</t>
  </si>
  <si>
    <t>∆Clientes(1)</t>
  </si>
  <si>
    <t>=∆V(1)/360xCobro V (días)</t>
  </si>
  <si>
    <t>∆Clientes(2)</t>
  </si>
  <si>
    <t>=∆V(2)/360xCobro V (días)</t>
  </si>
  <si>
    <t>∆Clientes(3)</t>
  </si>
  <si>
    <t>=∆V(3)/360xCobro V (días)</t>
  </si>
  <si>
    <t>∆Clientes(4)</t>
  </si>
  <si>
    <t>=∆V(4)/360xCobro V (días)</t>
  </si>
  <si>
    <t>∆Proveedores(0)</t>
  </si>
  <si>
    <t>=240.000/360x60</t>
  </si>
  <si>
    <t>=C(i)/360xPago C (días)</t>
  </si>
  <si>
    <t>∆Proveedores(1)</t>
  </si>
  <si>
    <t>=∆C(1)/360xPago C (días)</t>
  </si>
  <si>
    <t>∆Proveedores(2)</t>
  </si>
  <si>
    <t>=∆C(2)/360xPago C (días)</t>
  </si>
  <si>
    <t>∆Proveedores(3)</t>
  </si>
  <si>
    <t>=∆C(3)/360xPago C (días)</t>
  </si>
  <si>
    <t>∆Proveedores(4)</t>
  </si>
  <si>
    <t>=∆C(4)/360xPago C (días)</t>
  </si>
  <si>
    <t>∆FM(0)</t>
  </si>
  <si>
    <t>=20.000+75.000-40.000</t>
  </si>
  <si>
    <t>=∆Existencias(0)+∆Clientes(0)-∆Proveedores(0)</t>
  </si>
  <si>
    <t>∆FM(1)</t>
  </si>
  <si>
    <t>=∆Existencias(1)+∆Clientes(1)-∆Proveedores(1)</t>
  </si>
  <si>
    <t>∆FM(2)</t>
  </si>
  <si>
    <t>=∆Existencias(2)+∆Clientes(2)-∆Proveedores(2)</t>
  </si>
  <si>
    <t>∆FM(3)</t>
  </si>
  <si>
    <t>=∆Existencias(3)+∆Clientes(3)-∆Proveedores(3)</t>
  </si>
  <si>
    <t>∆FM(4)</t>
  </si>
  <si>
    <t>=∆Existencias(4)+∆Clientes(4)-∆Proveedores(4)</t>
  </si>
  <si>
    <t>∆∆FM(0)</t>
  </si>
  <si>
    <t>=55.000</t>
  </si>
  <si>
    <t>=∆FM(0)</t>
  </si>
  <si>
    <t>∆∆FM(1)</t>
  </si>
  <si>
    <t>=55.000-55.000</t>
  </si>
  <si>
    <t>=∆FM(1)-∆FM(0)</t>
  </si>
  <si>
    <t>∆∆FM(2)</t>
  </si>
  <si>
    <t>=∆FM(2)-∆FM(1)</t>
  </si>
  <si>
    <t>∆∆FM(3)</t>
  </si>
  <si>
    <t>=∆FM(3)-∆FM(2)</t>
  </si>
  <si>
    <t>∆∆FM(4)</t>
  </si>
  <si>
    <t>=∆FM(4)-∆FM(3)</t>
  </si>
  <si>
    <t>[∆GFO-∆∆FM](1)</t>
  </si>
  <si>
    <t>=48.000-0</t>
  </si>
  <si>
    <t>=∆GFO(1)-∆∆FM(1)</t>
  </si>
  <si>
    <t>[∆GFO-∆∆FM](2)</t>
  </si>
  <si>
    <t>=∆GFO(2)-∆∆FM(2)</t>
  </si>
  <si>
    <t>[∆GFO-∆∆FM](3)</t>
  </si>
  <si>
    <t>=∆GFO(3)-∆∆FM(3)</t>
  </si>
  <si>
    <t>[∆GFO-∆∆FM](4)</t>
  </si>
  <si>
    <t>=∆GFO(4)-∆∆FM(4)</t>
  </si>
  <si>
    <t>=∆FM(4)</t>
  </si>
  <si>
    <t>=10.000-0,30x{10.000-200.000x[1-4/(200.000/20.000)]}</t>
  </si>
  <si>
    <t>=VE(4)-Tipo impositivox{VE(4)-VL(0)x[1-4/(VL(0)/AM(i))]}</t>
  </si>
  <si>
    <t>=55.000+43.000</t>
  </si>
  <si>
    <t>=Recuperación FM (4)+Venta instalación (4)</t>
  </si>
  <si>
    <t>TINV(0)</t>
  </si>
  <si>
    <t>=-143.000</t>
  </si>
  <si>
    <t>=-Desembolso inicial</t>
  </si>
  <si>
    <t>TINV(1)</t>
  </si>
  <si>
    <t>=48.000</t>
  </si>
  <si>
    <t>=[∆GFO-∆∆FM](1)</t>
  </si>
  <si>
    <t>TINV(2)</t>
  </si>
  <si>
    <t>=[∆GFO-∆∆FM](2)</t>
  </si>
  <si>
    <t>TINV(3)</t>
  </si>
  <si>
    <t>=[∆GFO-∆∆FM](3)</t>
  </si>
  <si>
    <t>TINV(4)</t>
  </si>
  <si>
    <t>=48.000+98.000</t>
  </si>
  <si>
    <t>=[∆GFO-∆∆FM](4)+Valor residual incremental</t>
  </si>
  <si>
    <t>K</t>
  </si>
  <si>
    <t>=10%</t>
  </si>
  <si>
    <t>=K</t>
  </si>
  <si>
    <t>=-143.000+48.000/1,10^1+48.000/1,10^2+48.000/1,10^3+146.000/1,10^4</t>
  </si>
  <si>
    <t>=TINV(0)+TINV(1)/(1+K)^1+TINV(2)/(1+K)^2+TINV(3)/(1+K)^3+TINV(4)/(1+K)^4</t>
  </si>
  <si>
    <t>0=-143.000+48.000/(1+TRI)^1+48.000/(1+TRI)^2+48.000/(1+TRI)^3+146.000/(1+TRI)^4    →    despejar TRI</t>
  </si>
  <si>
    <t>0=TINV(0)+TINV(1)/(1+TRI)^1+TINV(2)/(1+TRI)^2+TINV(3)/(1+TRI)^3+TINV(4)/(1+TRI)^4    →    despejar TRI</t>
  </si>
  <si>
    <t>De lo que se trata en este caso es de comparar el valor actual de los flujos asociados a una actividad que viene desarrollándose con el dinero que podría obtenerse si se liquidaran los activos correspondientes. Dicho de otro modo, percibir los flujos de caja asociados a la actividad exige renunciar al importe que puede conseguirse por la venta de las instalaciones y la recuperación del fondo de maniobra. Así pues, el importe asociado a la liquidación actúa como "desembolso inicial" del proyecto "continuar con la actividad", resultando ser incrementales todos los datos relativos a ventas, costes, amortizaciones, etc.</t>
  </si>
  <si>
    <t>Dado que las situaciones a comparar son "continuar con la fabricación y venta del producto frente a abandonar", el desembolso inicial viene dado por el importe al que hay que renunciar para seguir percibiendo los flujos de caja asociados a la actividad. Efectivamente, en el momento cero "tendríamos menos dinero si continuamos con respecto al que tendríamos si abandonamos", y es precisamente esa diferencia la que se calcula cuando confeccionamos el perfil de fondos incremental del proyecto. Así pues, el desembolso se obtiene sumando los importes correspondientes a la venta de la instalación y a la recuperación de la inversión en fondo de maniobra.</t>
  </si>
  <si>
    <t>En este caso el importe correspondiente a este epígrafe es sencillo de calcular: de continuar con la actividad amortizaremos el inmovilizado correspondiente, que en el caso de abandonar se vendería en el momento cero y por tanto no podría amortizarse.</t>
  </si>
  <si>
    <t>Dado que se nos indica que las dotaciones de almacén deben realizarse a comienzo de año, y que el saldo correspondiente mantiene siempre una proporcionalidad con la cifra de costes operativos con desembolso, siempre que el proyecto estudiado provoque un efecto en los mencionados costes, habrá también un efecto incremental en el saldo de existencias. Debe recordarse que el impacto en caja de los circulantes se calcula en dos pasos: "saldo de clientes, existencias y proveedores que aporta el proyecto" (importes que figuran en los conceptos correspondientes sólo si se afronta el proyecto); y comparación del saldo de cada año con respecto al del anterior.</t>
  </si>
  <si>
    <t>Dado que en este caso se trata de estudiar si es mejor "continuar" o "abandonar", el valor residual incremental viene dado por los importes que se obtendrían por la liquidación del inmovilizado y la recuperación del fondo de maniobra al final del proyecto, y que no se percibirían lógicamente si se optara por abandonar la actividad en el momento inicial.</t>
  </si>
  <si>
    <t>La decisión final sería continuar con la actividad hasta el final del cuarto año, ya que esta opción crea valor por un importe de 76.089 euros con respecto a la alternativa de abandono. Visto desde otra perspectiva, la rentabilidad que aporta la decisión de continuar frente al abandono de la actividad (28,36%) es superior al coste de los fondos (10,00%).</t>
  </si>
  <si>
    <t>Planteamiento 2: Reparación frente a abandono</t>
  </si>
  <si>
    <t>Reparación frente a abandono</t>
  </si>
  <si>
    <t>La empresa X comercializa en la actualidad un producto que procesa con una instalación que acaba de averiarse. El producto se</t>
  </si>
  <si>
    <t>Importe reparación</t>
  </si>
  <si>
    <t>encuentra ya en una fase madura y la necesidad de acometer la reparación plantea la posibilidad de abandonar su</t>
  </si>
  <si>
    <t>¿Mejora (M) o Coste (C)?</t>
  </si>
  <si>
    <t>comercialización. La decisión de abandono no provocaría ningún efecto en el resto de actividad de la empresa, simplemente se</t>
  </si>
  <si>
    <t>perderían las ventas asociadas al mismo (y lógicamente, se ahorrarían los costes correspondientes, así como las inversiones en</t>
  </si>
  <si>
    <t>VL(0) sin reparar</t>
  </si>
  <si>
    <t>circulantes).</t>
  </si>
  <si>
    <t>VE(0) sin reparar</t>
  </si>
  <si>
    <t>AM(i) sin reparar</t>
  </si>
  <si>
    <t>VE(4) reparada</t>
  </si>
  <si>
    <t>La instalación en cuestión presenta hoy un valor en libros de 200.000 euros, y podría venderse (sin reparar) por 40.000. Acometer la</t>
  </si>
  <si>
    <t>reparación supondría incurrir en un desembolso de 50.000 euros, que tendrían la consideración de mejora, por lo que se</t>
  </si>
  <si>
    <t>incorporarían al valor en libros actual, que venía amortizándose a razón de 20.000 euros anuales. Una vez reparada, podría</t>
  </si>
  <si>
    <t>venderse dentro de cuatro años por 100.000 euros. Hay que decir que el producto desaparecería con toda seguridad en el plazo</t>
  </si>
  <si>
    <t>indicado (cuatro años).</t>
  </si>
  <si>
    <t>Reparación (0)</t>
  </si>
  <si>
    <t>La rentabilidad que se exige a las inversiones el de un 10%.</t>
  </si>
  <si>
    <t>Estudie cuál es la mejor opción: reparar y continuar con la comercialización durante cuatro años o abandonar hoy la actividad.</t>
  </si>
  <si>
    <t>=50.000</t>
  </si>
  <si>
    <t>=Importe reparación</t>
  </si>
  <si>
    <t>=VE(0) sin reparar-Tipo impositivox[VE(0) sin reparar-VL(0) sin reparar]</t>
  </si>
  <si>
    <t>=[240.000/360x30]+[300.000/360x90]-[240.000/360x60]</t>
  </si>
  <si>
    <t>=50.000+88.000+55.000</t>
  </si>
  <si>
    <t>=Reparación (0)+Venta instalación (0)+Recuperación FM (0)</t>
  </si>
  <si>
    <t>=20.000+50.000/(200.000/20.000)</t>
  </si>
  <si>
    <t>=AM(i) sin reparar+Importe reparación/[VL(0) sin reparar/AM(i) sin reparar]</t>
  </si>
  <si>
    <t>=300.000-240.000-25.000</t>
  </si>
  <si>
    <t>=0,30x35.000</t>
  </si>
  <si>
    <t>=35.000-10.500</t>
  </si>
  <si>
    <t>=24.500+25.000</t>
  </si>
  <si>
    <t>=49.500-0</t>
  </si>
  <si>
    <t>=100.000-0,30x{100.000-(200.000+50.000)x[1-4/(200.000/20.000)]}</t>
  </si>
  <si>
    <t>=VE(4) reparada-Tipo impositivox{VE(4) reparada-[VL(0) sin reparar+Importe reparación]x[1-4/(VL(0) sin reparar/AM(i) sin reparar)]}</t>
  </si>
  <si>
    <t>=55.000+115.000</t>
  </si>
  <si>
    <t>=-193.000</t>
  </si>
  <si>
    <t>=49.500</t>
  </si>
  <si>
    <t>=49.500+170.000</t>
  </si>
  <si>
    <t>=-193.000+49.500/1,10^1+49.500/1,10^2+49.500/1,10^3+219.500/1,10^4</t>
  </si>
  <si>
    <t>0=-193.000+49.500/(1+TRI)^1+49.500/(1+TRI)^2+49.500/(1+TRI)^3+219.500/(1+TRI)^4    →    despejar TRI</t>
  </si>
  <si>
    <t>En este caso las alternativas a comparar son: reparar la instalación averiada (lo que exige incurrir en un desembolso inicial; y también lleva aparejada lógicamente la renuncia a venderla en las condiciones en las se encuentra en la actualidad y a recuperar hoy el fondo de maniobra) o abandonar la actividad (lo que permitiría ahorrar el coste de la reparación y obtener el importe que corresponda por la liquidación del inmovilizado y el fondo de maniobra; pero obligaría a renunciar a los flujos asociados a la mencionada actividad). Por lo tanto, el procedimiento a aplicar consiste en comparar el valor actual de los flujos asociados a la instalación reparada con el coste de la reparación al que se añade el importe que podría obtenerse hoy por la liquidación de la citada instalación y del fondo de maniobra.</t>
  </si>
  <si>
    <t>Dado que las situaciones a comparar son "reparar la instalación y continuar con la fabricación y venta del producto frente a abandonar", el desembolso inicial viene dado por tres importes diferentes (que constituyen "el dinero de menos que tenemos en una situación frente a la otra"): el coste de la reparación (que tiene efectos en las amortizaciones incrementales en el caso de que se considere una mejora), el dinero que podría obtenerse por la venta de la instalación, y el asociado a la recuperación del fondo de maniobra (importes estos dos últimos que en el caso de continuar con la actividad se trasladarían al final del proyecto).</t>
  </si>
  <si>
    <t>Si se decidiera abandonar, se vendería la instalación actual, por lo que la amortización futura sería lógicamente nula. En el caso de afrontar la reparación, podría amortizarse su valor en libros; y este valor en libros se vería incrementado en el caso de que la reparación pueda considerarse como una mejora, mientras que si se ésta se considerase como gasto, el efecto fiscal íntegro se produciría en el momento cero.</t>
  </si>
  <si>
    <t>Dado que en este caso se trata de estudiar si es mejor "continuar (con reparación)" o "abandonar", el valor residual incremental viene dado por los importes que se obtendrían por la liquidación del inmovilizado y la recuperación del fondo de maniobra al final del proyecto, y que no se percibirían lógicamente si se optara por abandonar la actividad en el momento inicial.</t>
  </si>
  <si>
    <t>La decisión óptima consiste en reparar la instalación y continuar con la actividad hasta el final del cuarto año, ya que esta opción crea valor por un importe de 80.021 euros con respecto a la alternativa de abandono. Visto desde otra perspectiva, la rentabilidad asociada a la reparación (23,54%) es superior al coste de los fondos (10,00%).</t>
  </si>
  <si>
    <t>Planteamiento 3: Elección entre dos alternativas de inversión (Estrategia 'B' frente a Estrategia 'A')</t>
  </si>
  <si>
    <t>Elección entre dos alternativas ('B' frente a 'A')</t>
  </si>
  <si>
    <t>La empresa X se plantea la posibilidad de empezar a comercializar un nuevo producto que completaría la gama actual que ofrece</t>
  </si>
  <si>
    <t>Alternativa A</t>
  </si>
  <si>
    <t>Datos comunes</t>
  </si>
  <si>
    <t>a sus clientes. Las ventas anuales se han estimado en 300.000 euros, con unos costes operativos con desembolso incrementales</t>
  </si>
  <si>
    <t>de 240.000 (anuales también). Las ventas se cobran a 90 días, mientras que los costes se pagan a 60.</t>
  </si>
  <si>
    <t>INV(0) 'A'</t>
  </si>
  <si>
    <t>AM(i) 'A'</t>
  </si>
  <si>
    <t>Para acometer el proyecto habría que realizar una inversión inicial para la que caben dos alternativas distintas, que identificaremos</t>
  </si>
  <si>
    <t>VE(4) 'A'</t>
  </si>
  <si>
    <t>como 'A' y 'B'. La alternativa 'A' exigiría comprar inmovilizado por valor de 200.000 euros, que se amortizarían a un ritmo de 20.000</t>
  </si>
  <si>
    <t>Existencias 'A' (días s/C)</t>
  </si>
  <si>
    <t>anuales y podría venderse dentro de cuatro años por 100.000. Además, exigiría mantener un almacén equivalente a 60 días de</t>
  </si>
  <si>
    <t>actividad.</t>
  </si>
  <si>
    <t>Alternativa B</t>
  </si>
  <si>
    <t>Por su parte, la alternativa 'B' requeriría una inversión algo mayor en inmovilizado, 250.000 euros, que se amortizarían a razón de</t>
  </si>
  <si>
    <t>25.000 al año y podría liquidarse al término de los cuatro años por 170.000. Exigiría un menor nivel de existencias, bastaría con una</t>
  </si>
  <si>
    <t>INV(0) 'B'</t>
  </si>
  <si>
    <t>inversión equivalente a 30 días de actividad.</t>
  </si>
  <si>
    <t>AM(i) 'B'</t>
  </si>
  <si>
    <t>VE(4) 'B'</t>
  </si>
  <si>
    <t>En los dos casos, la inversión en inventarios se calcula tomando como referencia la cifra de costes operativos con desembolso</t>
  </si>
  <si>
    <t>Existencias 'B' (días s/C)</t>
  </si>
  <si>
    <t>anuales; y debe entenderse que los almacenes se dotan a comienzo de año con pago al contado.</t>
  </si>
  <si>
    <t>Otros datos comunes a las dos alternativas son los siguientes: el tipo impositivo que soporta la empresa (impuesto sobre</t>
  </si>
  <si>
    <t>Inversión existencias (0)</t>
  </si>
  <si>
    <t>sociedades) es de un 30% (empresa en beneficios) y la rentabilidad exigida a las inversiones es del 10%.</t>
  </si>
  <si>
    <t>Inversión AF (0)</t>
  </si>
  <si>
    <t>Venta instalación 'A' (4)</t>
  </si>
  <si>
    <t>Venta instalación 'B' (4)</t>
  </si>
  <si>
    <t>Analice cuál de las dos alternativas ('A' o 'B') es la más adecuado, teniendo en cuenta que en cuatro años desaparecerán todos</t>
  </si>
  <si>
    <t>los efectos de la inversión.</t>
  </si>
  <si>
    <t>=240.000/360x(30-60)</t>
  </si>
  <si>
    <t>=C(i)/360x[Existencias 'B' (días s/C)-Existencias 'A' (días s/C)]</t>
  </si>
  <si>
    <t>=250.000-200.000</t>
  </si>
  <si>
    <t>=INV(0) 'B'-INV(0) 'A'</t>
  </si>
  <si>
    <t>=-20.000+50.000</t>
  </si>
  <si>
    <t>=Inversión existencias (0)+Inversión AF (0)</t>
  </si>
  <si>
    <t>=0</t>
  </si>
  <si>
    <t>=Idénticas ventas en ambas alternativas)</t>
  </si>
  <si>
    <t>=Idénticos costes en ambas alternativas)</t>
  </si>
  <si>
    <t>=25.000-20.000</t>
  </si>
  <si>
    <t>=AM(i) 'B'-AM(i) 'A'</t>
  </si>
  <si>
    <t>=0-0-5.000</t>
  </si>
  <si>
    <t>=0,30x(-5.000)</t>
  </si>
  <si>
    <t>=-5.000-(-1.500)</t>
  </si>
  <si>
    <t>=-3.500+5.000</t>
  </si>
  <si>
    <t>=C(1)/360x[Existencias 'B' (días s/C)-Existencias 'A' (días s/C)]</t>
  </si>
  <si>
    <t>=∆C(2)/360x[Existencias 'B' (días s/C)-Existencias 'A' (días s/C)]</t>
  </si>
  <si>
    <t>=∆C(3)/360x[Existencias 'B' (días s/C)-Existencias 'A' (días s/C)]</t>
  </si>
  <si>
    <t>=∆C(4)/360x[Existencias 'B' (días s/C)-Existencias 'A' (días s/C)]</t>
  </si>
  <si>
    <t>=0/360x90</t>
  </si>
  <si>
    <t>=0/360x60</t>
  </si>
  <si>
    <t>=∆C(i)/360xPago C (días)</t>
  </si>
  <si>
    <t>=-20.000+0-0</t>
  </si>
  <si>
    <t>=-20.000</t>
  </si>
  <si>
    <t>=-20.000-(-20.000)</t>
  </si>
  <si>
    <t>=1.500-0</t>
  </si>
  <si>
    <t>=100.000-0,30x[100.000-(200.000-4x20.000)]</t>
  </si>
  <si>
    <t>=VE(4) 'A'-Tipo impositivox[VE(4) 'A'-(INV(0) 'A'-4xAM(i) 'A')]</t>
  </si>
  <si>
    <t>=170.000-0,30x[170.000-(250.000-4x25.000)]</t>
  </si>
  <si>
    <t>=VE(4) 'B'-Tipo impositivox[VE(4) 'B'-(INV(0) 'B'-4xAM(i) 'B')]</t>
  </si>
  <si>
    <t>=-20.000+164.000-106.000</t>
  </si>
  <si>
    <t>=Recuperación FM (4)+Venta instalación 'B' (4)-Venta instalación 'A' (4)</t>
  </si>
  <si>
    <t>=-30.000</t>
  </si>
  <si>
    <t>=1.500</t>
  </si>
  <si>
    <t>=1.500+38.000</t>
  </si>
  <si>
    <t>=-30.000+1.500/1,10^1+1.500/1,10^2+1.500/1,10^3+39.500/1,10^4</t>
  </si>
  <si>
    <t>0=-30.000+1.500/(1+TRI)^1+1.500/(1+TRI)^2+1.500/(1+TRI)^3+39.500/(1+TRI)^4    →    despejar TRI</t>
  </si>
  <si>
    <t>Cuando lo que se comparan son dos formas posibles de realizar un proyecto, el desembolso inicial es en principio sencillo de calcular: se obtiene simplemente como diferencia entre los importes que exige invertir cada una de las dos alternativas. En este caso, no sólo se producen importes diferenciales en el activo fijo, sino que la elección de una u otra estrategias provoca efectos también en el importe a mantener en inventarios.</t>
  </si>
  <si>
    <t>Cuando se comparan "dos formas distintas de hacer lo mismo", el cálculo de la amortización es extraordinariamente sencillo, y viene dado por la simple resta de los importes asociados a las dos instalaciones comparadas.</t>
  </si>
  <si>
    <t>Dado que en este caso se trata de comparar cuál de dos posibles formas de hacer las mismas cosas es más adecuada, el valor residual viene dado por la comparación entre los importes que se obtendrían por la liquidación de las dos instalaciones, a lo que hay que añadir el valor incremental correspondiente a la recuperación del fondo de maniobra.</t>
  </si>
  <si>
    <t>Dado que se ha estudiado la comparación 'B' frente a 'A', la decisión óptima sería optar por la primera ('B'), ya que esta opción crea valor por un importe de 709 euros con respecto a la alternativa. Visto desde otra perspectiva, la rentabilidad que aporta esta opción (10,69%) es superior al coste de los fondos (10,00%).</t>
  </si>
  <si>
    <t>Planteamiento 4: Estudio de una decisión de sustitución (nueva instalación frente a vieja)</t>
  </si>
  <si>
    <t>Sustitución (nueva frente a vieja)</t>
  </si>
  <si>
    <t>La compañía X se plantea la posibilidad de sustituir una instalación con la que fabrica uno de sus productos por otra nueva. Se sabe</t>
  </si>
  <si>
    <t>Instalación nueva</t>
  </si>
  <si>
    <t>que el producto dejará de comercializarse en un plazo de cuatro años, por lo que éste debe ser el horizonte considerado en el</t>
  </si>
  <si>
    <t>análisis.</t>
  </si>
  <si>
    <t>INV(0) nueva</t>
  </si>
  <si>
    <t>AM(i) nueva</t>
  </si>
  <si>
    <t>La instalación actual tiene un valor en libros de 50.000 euros, que se amortizarían a razón de 12.500 anuales. Puede venderse hoy</t>
  </si>
  <si>
    <t>VE(4) nueva</t>
  </si>
  <si>
    <t>por 10.000 euros, teniendo un valor nulo de recuperación dentro de cuatro años. Las ventas anuales actuales son de 150.000 euros,</t>
  </si>
  <si>
    <t>con unos costes operativos con desembolso de 120.000. El almacén que se considera adecuado es el equivalente a 30 días de</t>
  </si>
  <si>
    <t>V(i) nueva</t>
  </si>
  <si>
    <t>C(i) nueva</t>
  </si>
  <si>
    <t>Exist (días s/C) nueva</t>
  </si>
  <si>
    <t>La nueva instalación costaría 200.000 euros, que se amortizarían a un ritmo de 20.000 anuales, y podría venderse dentro de cuatro</t>
  </si>
  <si>
    <t>años por 100.000. Permitiría aumentar las ventas hasta los 300.000 euros anuales, con unos costes operativos con desembolso que</t>
  </si>
  <si>
    <t>se han estimado en 240.000. Permitiría además trabajar con un nivel inferior de stock de seguridad, el equivalente a sólo 15 días</t>
  </si>
  <si>
    <t>Instalación vieja</t>
  </si>
  <si>
    <t>de actividad.</t>
  </si>
  <si>
    <t>VL(0) vieja</t>
  </si>
  <si>
    <t>Algunos datos comunes a las dos alternativas son los siguientes: Las ventas se cobran a 90 días, y los costes se pagan a 60. Los</t>
  </si>
  <si>
    <t>VE(0) vieja</t>
  </si>
  <si>
    <t>almacenes se dotan a comienzo de año (con pago al contado) y se calculan tomando como referencia los costes anuales</t>
  </si>
  <si>
    <t>AM(i) vieja</t>
  </si>
  <si>
    <t>operativos con desembolso. El tipo impositivo (impuesto de sociedades) es del 30% (la empresa obtiene abundantes beneficios)</t>
  </si>
  <si>
    <t>VE(4) vieja</t>
  </si>
  <si>
    <t>Existencias (0) nueva</t>
  </si>
  <si>
    <t>y se exige a las inversiones un rendimiento mínimo del 10%.</t>
  </si>
  <si>
    <t>Compra instal nueva</t>
  </si>
  <si>
    <t>Venta instal nueva (4)</t>
  </si>
  <si>
    <t>V(i) vieja</t>
  </si>
  <si>
    <t>Existencias (0) vieja</t>
  </si>
  <si>
    <t>Venta instal vieja (4)</t>
  </si>
  <si>
    <t>Analice cuál es la decisión correcta: continuar trabajando con la instalación actual o sustituirla por la nueva.</t>
  </si>
  <si>
    <t>C(i) vieja</t>
  </si>
  <si>
    <t>Venta instal vieja (0)</t>
  </si>
  <si>
    <t>Exist (días s/C) vieja</t>
  </si>
  <si>
    <t>=240.000/360x15</t>
  </si>
  <si>
    <t>=C(i) nueva/360xExist (días s/C) nueva</t>
  </si>
  <si>
    <t>=200.000</t>
  </si>
  <si>
    <t>=INV(0) nueva</t>
  </si>
  <si>
    <t>=120.000/360x30</t>
  </si>
  <si>
    <t>=C(i) vieja/360xExist (días s/C) vieja</t>
  </si>
  <si>
    <t>=10.000-0,30x[10.000-50.000]</t>
  </si>
  <si>
    <t>=VE(0) vieja-Tipo impositivox[VE(0) vieja-VL(0) vieja]</t>
  </si>
  <si>
    <t>=[10.000+200.000]-[10.000+22.000]</t>
  </si>
  <si>
    <t>=[Existencias (0) nueva+Compra instal nueva]-[Existencias (0) vieja+Venta instal vieja (0)]</t>
  </si>
  <si>
    <t>=300.000-150.000</t>
  </si>
  <si>
    <t>=V(i) nueva-V(i) vieja</t>
  </si>
  <si>
    <t>=240.000-120.000</t>
  </si>
  <si>
    <t>=C(i) nueva-C(i) vieja</t>
  </si>
  <si>
    <t>=20.000-12.500</t>
  </si>
  <si>
    <t>=AM(i) nueva-AM(i) vieja</t>
  </si>
  <si>
    <t>=150.000-120.000-7.500</t>
  </si>
  <si>
    <t>=0,30x22.500</t>
  </si>
  <si>
    <t>=22.500-6.750</t>
  </si>
  <si>
    <t>=15.750+7.500</t>
  </si>
  <si>
    <t>=240.000/360x15-120.000/360x30</t>
  </si>
  <si>
    <t>=[C(1) nueva/360xExist (días s/C) nueva]-[C(1) vieja/360xExist (días s/C) vieja]</t>
  </si>
  <si>
    <t>=[∆C(2) nueva/360xExist (días s/C) nueva]-[∆C(2) vieja/360xExist (días s/C) vieja]</t>
  </si>
  <si>
    <t>=[∆C(3) nueva/360xExist (días s/C) nueva]-[∆C(3) vieja/360xExist (días s/C) vieja]</t>
  </si>
  <si>
    <t>=[∆C(4) nueva/360xExist (días s/C) nueva]-[∆C(4) vieja/360xExist (días s/C) vieja]</t>
  </si>
  <si>
    <t>=0 (no hay impacto en ventas en el momento 0)</t>
  </si>
  <si>
    <t>=150.000/360x90</t>
  </si>
  <si>
    <t>=0 (no hay impacto en costes en el momento 0)</t>
  </si>
  <si>
    <t>=120.000/360x60</t>
  </si>
  <si>
    <t>=0+0-0</t>
  </si>
  <si>
    <t>=0+37.500-20.000</t>
  </si>
  <si>
    <t>=17.500-0</t>
  </si>
  <si>
    <t>=17.500-17.500</t>
  </si>
  <si>
    <t>=23.250-17.500</t>
  </si>
  <si>
    <t>=23.250-0</t>
  </si>
  <si>
    <t>=17.500</t>
  </si>
  <si>
    <t>=VE(4) nueva-Tipo impositivox[VE(4) nueva-(INV(0) nueva-4xAM(i) nueva)]</t>
  </si>
  <si>
    <t>=0-0,30x[0-(50.000-4x12.500)]</t>
  </si>
  <si>
    <t>=VE(4) vieja-Tipo impositivox[VE(4) vieja-(VL(0) vieja-4xAM(i) vieja)]</t>
  </si>
  <si>
    <t>=17.500+106.000-0</t>
  </si>
  <si>
    <t>=Recuperación FM (4)+Venta instal nueva (4)-Venta instal vieja (4)</t>
  </si>
  <si>
    <t>=-178.000</t>
  </si>
  <si>
    <t>=5.750</t>
  </si>
  <si>
    <t>=23.250</t>
  </si>
  <si>
    <t>=23.250+123.500</t>
  </si>
  <si>
    <t>=-178.000+5.750/1,10^1+23.250/1,10^2+23.250/1,10^3+146.750/1,10^4</t>
  </si>
  <si>
    <t>0=-178.000+5.750/(1+TRI)^1+23.250/(1+TRI)^2+23.250/(1+TRI)^3+146.750/(1+TRI)^4    →    despejar TRI</t>
  </si>
  <si>
    <t>En este caso se trata de discriminar si es mejor continuar con la instalación actual o cambiarla por una nueva. La decisión de sustitución obligaría a incurrir en un desembolso inicial, pero permitiría vender la instalación vieja y desinvertir en almacenes. La decisión aportaría unas ventas y costes operativos adicionales con respecto a la situación actual, lo que provocaría a su vez efectos en circulantes (clientes y proveedores), así como en las amortizaciones (que deberán restarse, ya que 'o se amortiza la nueva o se amortiza la vieja') y en el valor residual.</t>
  </si>
  <si>
    <t>Cuando analizamos una inversión de sustitución debemos comparar, en cada momento, "cuánto dinero de más o de menos tenemos con la nueva inversión con respecto al que tendríamos con la actual". Así, el desembolso inicial vendría dado por el importe a invertir para adquirir la nueva instalación, a lo que habría que restar el que puede obtenerse por la liquidación de la actual; además, en este caso, la sustitución provoca también un efecto adicional en ventas y costes con desembolso, lo que afecta a su vez al saldo necesario en existencias, que al ajustarse a comienzo de año, obliga a considerar también el efecto correspondiente en el desembolso inicial.</t>
  </si>
  <si>
    <t>Dado que en este caso comparamos la conveniencia de sustituir la instalación actual por otra nueva, el valor residual incremental viene dado por la diferencia entre los importes que podrían obtenerse al final de la vida útil del proyecto por la venta de los inmovilizados asociados a ambas alternativas, a lo que hay que añadir el importe del fondo de maniobra incremental.</t>
  </si>
  <si>
    <t>La decisión óptima sería continuar con la instalación actual, ya que esta opción crea valor por un importe de 35.858 euros con respecto a la alternativa de sustitución. Visto desde otra perspectiva, la rentabilidad que reportaría la sustitución (3,19%) es inferior al coste de los fondos (10,00%).</t>
  </si>
  <si>
    <t>Planteamiento 5: Estudio de una decisión de sustitución (nueva instalación frente a reparación de la instalación actual)</t>
  </si>
  <si>
    <t>Sustitución frente a reparación</t>
  </si>
  <si>
    <t>La compañía X se plantea la posibilidad de sustituir una instalación con la que fabrica uno de sus productos y que se ha averiado</t>
  </si>
  <si>
    <t>recientemente. Se sabe que el producto dejará de comercializarse en un plazo de cuatro años, por lo que éste debe ser el</t>
  </si>
  <si>
    <t>horizonte considerado en el análisis.</t>
  </si>
  <si>
    <t>(sin reparar) por 10.000 euros, teniendo un valor nulo de recuperación dentro de cuatro años (supuesta reparación). Las ventas</t>
  </si>
  <si>
    <t>anuales actuales son de 150.000 euros, con unos costes operativos (anuales) de 120.000. La reparación exigiría el pago de 50.000</t>
  </si>
  <si>
    <t>euros, que deben considerarse como mejora y que se amortizarían al mismo ritmo que el valor en libros actual.</t>
  </si>
  <si>
    <t>años por 100.000. Permitiría realizar unas ventas anuales de 300.000 euros, con unos costes operativos con desembolso que se</t>
  </si>
  <si>
    <t>han estimado en 240.000.</t>
  </si>
  <si>
    <t>Algunos datos comunes a las dos alternativas son los siguientes: Las ventas se cobran a 90 días, y los costes se pagan a 60. Es</t>
  </si>
  <si>
    <t>necesario mantener un stock de seguridad equivalente a 30 días de actividad; los almacenes se dotan a comienzo de año (con</t>
  </si>
  <si>
    <t>pago al contado) y se calculan tomando como referencia los costes anuales operativos con desembolso. El tipo impositivo</t>
  </si>
  <si>
    <t>(impuesto de sociedades) es del 30% (la empresa obtiene abundantes beneficios) y se exige a las inversiones un rendimiento</t>
  </si>
  <si>
    <t>Inv existencias (0) nueva</t>
  </si>
  <si>
    <t>mínimo del 10%.</t>
  </si>
  <si>
    <t>Venta instal vieja</t>
  </si>
  <si>
    <t>Analice cuál es la decisión correcta: reparar la instalación actual y seguir trabajando con ella o sustituirla por la nueva.</t>
  </si>
  <si>
    <t>Reparación</t>
  </si>
  <si>
    <t>=[240.000-120.000]/360x30</t>
  </si>
  <si>
    <t>=[C(i) nueva-C(i) vieja]/360xExistencias (días s/C)</t>
  </si>
  <si>
    <t>=10.000+200.000-22.000-50.000</t>
  </si>
  <si>
    <t>=Inv existencias (0) nueva+Compra instal nueva-Venta instal vieja-Reparación</t>
  </si>
  <si>
    <t>=20.000-[12.500+50.000/(50.000/12.500)]</t>
  </si>
  <si>
    <t>=AM(i) nueva-[AM(i) vieja+Importe reparación/(VL(0) vieja/AM(i) vieja)]</t>
  </si>
  <si>
    <t>=150.000-120.000-(-5.000)</t>
  </si>
  <si>
    <t>=24.500+(-5.000)</t>
  </si>
  <si>
    <t>=[C(1) nueva-C(1) vieja]/360xExistencias (días s/C)</t>
  </si>
  <si>
    <t>=[∆C(2) nueva-∆C(2) vieja]/360xExistencias (días s/C)</t>
  </si>
  <si>
    <t>=[∆C(3) nueva-∆C(3) vieja]/360xExistencias (días s/C)</t>
  </si>
  <si>
    <t>=[∆C(4) nueva-∆C(4) vieja]/360xExistencias (días s/C)</t>
  </si>
  <si>
    <t>=0 (no hay impacto en las ventas del momento cero)</t>
  </si>
  <si>
    <t>=0 (no hay impacto en los costes del momento cero)</t>
  </si>
  <si>
    <t>=10.000+0-0</t>
  </si>
  <si>
    <t>=10.000+37.500-20.000</t>
  </si>
  <si>
    <t>=10.000</t>
  </si>
  <si>
    <t>=27.500-10.000</t>
  </si>
  <si>
    <t>=27.500-27.500</t>
  </si>
  <si>
    <t>=19.500-17.500</t>
  </si>
  <si>
    <t>=19.500-0</t>
  </si>
  <si>
    <t>=27.500</t>
  </si>
  <si>
    <t>=100.000-0,30x(100.000-(200.000-4x20.000))</t>
  </si>
  <si>
    <t>=0-0,30x{0-([50.000+50.000]x(1-4/(50.000/12.500)))}</t>
  </si>
  <si>
    <t>=VE(4) vieja-Tipo impositivox{VE(4) vieja-([VL(0) vieja+Importe reparación]x(1-4/(VL(0) vieja/AM(i) vieja)))}</t>
  </si>
  <si>
    <t>=27.500+106.000-0</t>
  </si>
  <si>
    <t>=-138.000</t>
  </si>
  <si>
    <t>=2.000</t>
  </si>
  <si>
    <t>=19.500</t>
  </si>
  <si>
    <t>=19.500+133.500</t>
  </si>
  <si>
    <t>=-138.000+2.000/1,10^1+19.500/1,10^2+19.500/1,10^3+153.000/1,10^4</t>
  </si>
  <si>
    <t>0=-138.000+2.000/(1+TRI)^1+19.500/(1+TRI)^2+19.500/(1+TRI)^3+153.000/(1+TRI)^4    →    despejar TRI</t>
  </si>
  <si>
    <t>En este caso se trata de comparar si es mejor reparar una instalación averiada o sustituirla por una nueva (no se pone en cuestión el hecho de que va a seguir comercializándose el producto que se fabrica con ella). La sustitución aporta unas ventas y costes incrementales (que provocan también efectos diferenciales en circulantes -clientes, existencias y proveedores-); pero exigiría realizar una inversión por un importe superior al coste de la reparación. En lo que concierne a la reparación, sus efectos en la amortización son distintos según se considere mejora (se amortizaría) o gasto (el efecto fiscal se produciría en el momento de realizarla).</t>
  </si>
  <si>
    <t>La decisión de sustitución obligaría en el momento cero a comprar una nueva instalación; pero permitiría ahorrar el coste de la reparación (que tendría efectos distintos en las amortizaciones dependiendo de que se trate de una mejora o no) y permitiría también vender la instalación actual en las condiciones en las que se encuentra. Además, en nuestro caso, la nueva instalación obliga a invertir en el almacén, al producirse un aumento de la actividad, que debe sumarse también al desembolso inicial.</t>
  </si>
  <si>
    <t>En este caso comparamos si conviene continuar con la instalación actual (que exige una reparación, al haberse averiado) o sustituirla por otra nueva. Como en cualquier proyecto de sustitución, la amortización incremental vendría dada por la comparación entre los importes asociados a la nueva instalación y la actual (reparada). Así pues, la única dificultad añadida con respecto a una "sustitución sin reparación" viene dada por la consideración o no de la reparación como mejora: en caso afirmativo, el importe correspondiente debería añadirse al valor en libros a amortizar en el futuro.</t>
  </si>
  <si>
    <t>Dado que en este caso comparamos la conveniencia de sustituir la instalación actual (que requeriría una reparación) por otra nueva, el valor residual incremental viene dado por la diferencia entre los importes que podrían obtenerse al final de la vida útil del proyecto por la venta de los inmovilizados asociados a ambas alternativas, a lo que hay que añadir el importe del fondo de maniobra incremental.</t>
  </si>
  <si>
    <t>La decisión óptima sería reparar y continuar con la instalación actual, ya que esta opción crea valor por un importe de 914 euros con respecto a la alternativa de sustitución. Visto desde otra perspectiva, la rentabilidad que aportaría la sustitución (9,80%) es inferior al coste de los fondos (10,00%).</t>
  </si>
  <si>
    <t>Planteamiento 6: inversión que exige compra de instalación y renuncia a la venta de otra</t>
  </si>
  <si>
    <t>Inversión + renuncia a venta instalación complementaria</t>
  </si>
  <si>
    <t>de 240.000 (anuales también). Las ventas se cobran a 90 días, mientras que los costes se pagan a 60. Además, sería necesario</t>
  </si>
  <si>
    <r>
      <rPr>
        <sz val="11"/>
        <color theme="0"/>
        <rFont val="Calibri"/>
        <family val="2"/>
      </rPr>
      <t>Δ</t>
    </r>
    <r>
      <rPr>
        <sz val="11"/>
        <color theme="0"/>
        <rFont val="Calibri"/>
        <family val="2"/>
        <scheme val="minor"/>
      </rPr>
      <t>V(i)</t>
    </r>
  </si>
  <si>
    <t>mantener un almacén equivalente a 30 días de actividad (la inversión en inventarios se calcula tomando como referencia la</t>
  </si>
  <si>
    <t>ΔC(i)</t>
  </si>
  <si>
    <t>cifra de costes operativos con desembolso anuales; y debe entenderse que los almacenes se dotan a comienzo de año con pago</t>
  </si>
  <si>
    <t>al contado).</t>
  </si>
  <si>
    <t>Para acometer el proyecto habría que realizar una inversión inicial de 200.000 euros, que se amortizarían a un ritmo de 20.000</t>
  </si>
  <si>
    <t>anuales y podría venderse dentro de cuatro años por 100.000. Además, habría que renunciar a la venta de otra instalación con la</t>
  </si>
  <si>
    <t>que cuenta la empresa y que actualmente no tiene ninguna utilidad. Si no se afrontara el proyecto se procedería a su venta por</t>
  </si>
  <si>
    <t>un importe de 10.000 euros; caso de acometer el proyecto, el valor el libros actual (50.000) se amortizaría a razón de 12.500 euros</t>
  </si>
  <si>
    <t>anuales, siendo nulo su valor de venta al término de los cuatro años.</t>
  </si>
  <si>
    <t>El tipo impositivo que soporta la empresa (impuesto sobre sociedades) es de un 30% (empresa en beneficios) y la rentabilidad</t>
  </si>
  <si>
    <t>exigida a las inversiones es del 10%.</t>
  </si>
  <si>
    <t>Analice el interés del proyecto propuesto.</t>
  </si>
  <si>
    <t>Existencias (0)</t>
  </si>
  <si>
    <t>=ΔC(i)/360xExistencias (días s/C)</t>
  </si>
  <si>
    <t>=20.000+200.000+22.000</t>
  </si>
  <si>
    <t>=Existencias (0) nueva+Compra instal nueva+Venta instal vieja</t>
  </si>
  <si>
    <t>=ΔV(i)</t>
  </si>
  <si>
    <t>=ΔC(i)</t>
  </si>
  <si>
    <t>=20.000+12.500</t>
  </si>
  <si>
    <t>=AM(i) nueva+AM(i) vieja</t>
  </si>
  <si>
    <t>=300.000-240.000-32.500</t>
  </si>
  <si>
    <t>=0,30x27.500</t>
  </si>
  <si>
    <t>=27.500-8.250</t>
  </si>
  <si>
    <t>=19.250+32.500</t>
  </si>
  <si>
    <t>=ΔC(1)/360xExistencias (días s/C)</t>
  </si>
  <si>
    <t>=0 (no hay impacto en ventas en el momento cero)</t>
  </si>
  <si>
    <t>=0 (no hay impacto en costes en el momento cero)</t>
  </si>
  <si>
    <t>=20.000+0-0</t>
  </si>
  <si>
    <t>=55.000-20.000</t>
  </si>
  <si>
    <t>=51.750-35.000</t>
  </si>
  <si>
    <t>=51.750-0</t>
  </si>
  <si>
    <t>=55.000+106.000+0</t>
  </si>
  <si>
    <t>=Recuperación FM (4)+Venta instal nueva (4)+Venta instal vieja (4)</t>
  </si>
  <si>
    <t>=-242.000</t>
  </si>
  <si>
    <t>=16.750</t>
  </si>
  <si>
    <t>=51.750</t>
  </si>
  <si>
    <t>=51.750+161.000</t>
  </si>
  <si>
    <t>=-242.000+16.750/1,10^1+51.750/1,10^2+51.750/1,10^3+212.750/1,10^4</t>
  </si>
  <si>
    <t>0=-242.000+16.750/(1+TRI)^1+51.750/(1+TRI)^2+51.750/(1+TRI)^3+212.750/(1+TRI)^4    →    despejar TRI</t>
  </si>
  <si>
    <t>Se trata en este caso de analizar el interés de un proyecto que exigiría comprar una instalación nueva y posponer la venta de otra. El proyecto supondría conseguir unas ventas y costes incrementales (que provocarían también efectos en circulantes -existencias, clientes y proveedores-); además, tendría también efectos en el desembolso inicial, valor residual y la amortización de inmovilizados: en todos los casos, deben sumarse los importes correspondientes a la nueva instalación y a la actual, ya que las dos situaciones a comparar son "utilizar las dos instalaciones" frente a "no tener ninguna".</t>
  </si>
  <si>
    <t>Dado que en este caso acometer el proyecto exige comprar una instalación nueva y dejar de vender otra que tenemos, el desembolso viene dado por la suma de los importes correspondientes (el coste de la nueva; y lo que podría obtenerse por la venta de la actual), a lo que habría que sumar el efecto adicional provocado en existencias (el proyecto exige mantener un stock de seguridad que debe dotarse a comienzo de año).</t>
  </si>
  <si>
    <t>Dado que el proyecto exige "comprar una instalación nueva y renunciar a la venta de otra vieja", la amortización incremental viene dada por la suma de los importes correspondientes a ambas.</t>
  </si>
  <si>
    <t>Dado que en este caso el proyecto exige comprar una nueva instalación y postponer la venta de otra de la que se dispone, el valor residual incremental se calcula sumando los importes correspondientes a la liquidación de ambas al final de la vida del proyecto; a lo que hay que añadir la recuperación del fondo de maniobra, también incremental.</t>
  </si>
  <si>
    <t>La decisión óptima sería afrontar el proyecto, ya que esta opción crea valor por un importe de 188 euros con respecto a la alternativa de rechazarlo. Visto desde otra perspectiva, la rentabilidad del proyecto (10,03%) es superior al coste de los fondos (10,00%).</t>
  </si>
  <si>
    <t>Planteamiento 7: inversión en intangibles (aplicación informática) que permite reducir stocks</t>
  </si>
  <si>
    <t>Inversión para reducir almacenes</t>
  </si>
  <si>
    <t>La empresa X se plantea la posibilidad de contratar con una empresa especializada el desarrollo de una aplicación informática</t>
  </si>
  <si>
    <t>Inversión en intangibles</t>
  </si>
  <si>
    <t>que permitiría mejorar los procesos actuales y reducir el nivel de stocks de seguridad que debe mantener.</t>
  </si>
  <si>
    <t>INV(0)</t>
  </si>
  <si>
    <t>La inversión necesaria sería de 30.000 euros, que se pagarían al contado y se amortizarían a razón de 6.000 euros anuales, no</t>
  </si>
  <si>
    <t>teniendo ningún valor de recuperación. Permitiría reducir el stock desde su valor actual, el equivalente a 60 días de actividad, a</t>
  </si>
  <si>
    <t>sólo 30.</t>
  </si>
  <si>
    <t>Exist nueva (días s/C)</t>
  </si>
  <si>
    <t>Las ventas anuales ascienden a 1.800.000, con unos costes operativos con desembolso de 1.440.000. Los plazos de cobro y pago</t>
  </si>
  <si>
    <t>de ventas y costes operativos con desembolso son de 90 y 60 días, respectivamente. Los stocks deben estar dotados a comienzo</t>
  </si>
  <si>
    <t>Situación actual</t>
  </si>
  <si>
    <t>de año, se pagan al contado y se calculan tomando como referencia los costes operativos con desembolso anuales.</t>
  </si>
  <si>
    <t>Exist actual (días s/C)</t>
  </si>
  <si>
    <t>El tipo impositivo (impuesto sobre sociedades) es del 30% (empresa en beneficios) y la compañía exige una rentabilidad mínima</t>
  </si>
  <si>
    <t>a sus inversiones del 10% anual.</t>
  </si>
  <si>
    <t>Analice el interés de la inversión.</t>
  </si>
  <si>
    <t>Venta aplicación (4)</t>
  </si>
  <si>
    <t>=1.440.000/360x[30-60]</t>
  </si>
  <si>
    <t>=C(i)/360x[Exist nueva (días s/C)-Exist actual (días s/C)]</t>
  </si>
  <si>
    <t>=30.000</t>
  </si>
  <si>
    <t>=INV(0)</t>
  </si>
  <si>
    <t>=-120.000+30.000</t>
  </si>
  <si>
    <t>=0 (el proyecto no afecta a las ventas de la empresa)</t>
  </si>
  <si>
    <t>=0 (el proyecto no afecta a los costes de la empresa)</t>
  </si>
  <si>
    <t>=6.000</t>
  </si>
  <si>
    <t>=0-0-6.000</t>
  </si>
  <si>
    <t>=0,30x(-6.000)</t>
  </si>
  <si>
    <t>=-6.000-(-1.800)</t>
  </si>
  <si>
    <t>=-4.200+6.000</t>
  </si>
  <si>
    <t>=C(1)/360x[Exist nueva (días s/C)-Exist actual (días s/C)]</t>
  </si>
  <si>
    <t>=∆C(2)/360x[Exist nueva (días s/C)-Exist actual (días s/C)]</t>
  </si>
  <si>
    <t>=∆C(3)/360x[Exist nueva (días s/C)-Exist actual (días s/C)]</t>
  </si>
  <si>
    <t>=∆C(4)/360x[Exist nueva (días s/C)-Exist actual (días s/C)]</t>
  </si>
  <si>
    <t>=-120.000+0-0</t>
  </si>
  <si>
    <t>=-120.000</t>
  </si>
  <si>
    <t>=-120.000-(-120.000)</t>
  </si>
  <si>
    <t>=1.800-0</t>
  </si>
  <si>
    <t>=0-0,30x[0-(30.000-4x6.000)]</t>
  </si>
  <si>
    <t>=VE(4)-Tipo impositivox[VE(4)-(INV(0)-4xAM(i))]</t>
  </si>
  <si>
    <t>=-120.000+1.800</t>
  </si>
  <si>
    <t>=Recuperación FM (4)+Venta aplicación (4)</t>
  </si>
  <si>
    <t>=90.000</t>
  </si>
  <si>
    <t>=1.800</t>
  </si>
  <si>
    <t>=1.800+(-118.200)</t>
  </si>
  <si>
    <t>=90.000+1.800/1,10^1+1.800/1,10^2+1.800/1,10^3+(-116.400)/1,10^4</t>
  </si>
  <si>
    <t>0=90.000+1.800/(1+TRI)^1+1.800/(1+TRI)^2+1.800/(1+TRI)^3+(-116.400)/(1+TRI)^4    →    despejar TRI</t>
  </si>
  <si>
    <t>El proyecto que se analiza aquí consiste en contratar con una empresa especializada el desarrollo de una aplicación informática que permitiría mejorar los procesos, lo que provocaría un único efecto: la posibilidad de reducir el inventario actual. Las ventas y costes se mantendrían constantes (así como los saldos en cuentas pendientes de cobro y pago), por lo que los únicos efectos incrementales vienen dados por: el desembolso que supone la compra de la aplicación (y las amortizaciones correspondientes) y la recuperación de una parte de la inversión en inventarios (que se produciría antes con la aplicación con respecto al momento en que se recuperaría sin ella).</t>
  </si>
  <si>
    <t>Como en cualquier análisis de inversión, el perfil de fondos representa la diferencia que en tesorería se produce entre las dos situaciones posibles ("empresa con el proyecto" frente a "empresa sin él"). En nuestro caso, y en lo que se refiere al momento cero, el proyecto exigiría incurrir en un desembolso (el asociado a la compra de la aplicación), pero ello permitiría recuperar en el propio momento una parte de la inversión que debe mantenerse en almacén.</t>
  </si>
  <si>
    <t>Dado que en este caso el interés del proyecto viene dado fundamentalmente por la posibilidad de recuperar una parte importante de la inversión en almacenes exigida por la actividad, el valor residual viene dado por el importe que pueda obtenerse por la liquidación del inmovilizado intangible correspondiente (la aplicación informática; incluyendo lógicamente los efectos fiscales) y la recuperación (en este caso con valor negativo) de la inversión en fondo de maniobra.</t>
  </si>
  <si>
    <t>La decisión óptima sería afrontar el proyecto, ya que esta opción crea valor por un importe de 14.974 euros con respecto a la alternativa de rechazarlo. Visto desde otra perspectiva, la rentabilidad del proyecto (5,24%) es inferior al coste de los fondos (10,00%; lo que puede resultar curioso, pero no lo es, ya que el comportamiento del proyecto tal como está planteado es el propio de una financiación, por lo que es interesante si TRI&lt;K).</t>
  </si>
  <si>
    <t>Desembolso inicial. Dado que las situaciones a comparar son "continuar con la fabricación y venta del producto frente a abandonar", el desembolso inicial viene dado por el importe al que hay que renunciar para seguir percibiendo los flujos de caja asociados a la actividad. Efectivamente, en el momento cero "tendríamos menos dinero si continuamos con respecto al que tendríamos si abandonamos", y es precisamente esa diferencia la que se calcula cuando confeccionamos el perfil de fondos incremental del proyecto. Así pues, el desembolso se obtiene sumando los importes correspondientes a la venta de la instalación y a la recuperación de la inversión en fondo de maniobra.</t>
  </si>
  <si>
    <t>Amortización de inmovilizados. En este caso el importe correspondiente a este epígrafe es sencillo de calcular: de continuar con la actividad amortizaremos el inmovilizado correspondiente, que en el caso de abandonar se vendería en el momento cero y por tanto no podría amortizarse.</t>
  </si>
  <si>
    <t>Existencias. Dado que se nos indica que las dotaciones de almacén deben realizarse a comienzo de año, y que el saldo correspondiente mantiene siempre una proporcionalidad con la cifra de costes operativos con desembolso, siempre que el proyecto estudiado provoque un efecto en los mencionados costes, habrá también un efecto incremental en el saldo de existencias. Debe recordarse que el impacto en caja de los circulantes se calcula en dos pasos: "saldo de clientes, existencias y proveedores que aporta el proyecto" (importes que figuran en los conceptos correspondientes sólo si se afronta el proyecto); y comparación del saldo de cada año con respecto al del anterior.</t>
  </si>
  <si>
    <t>Valor residual. Dado que en este caso se trata de estudiar si es mejor "continuar" o "abandonar", el valor residual incremental viene dado por los importes que se obtendrían por la liquidación del inmovilizado y la recuperación del fondo de maniobra al final del proyecto, y que no se percibirían lógicamente si se optara por abandonar la actividad en el momento inicial.</t>
  </si>
  <si>
    <t>Desembolso inicial. Dado que las situaciones a comparar son "reparar la instalación y continuar con la fabricación y venta del producto frente a abandonar", el desembolso inicial viene dado por tres importes diferentes (que constituyen "el dinero de menos que tenemos en una situación frente a la otra"): el coste de la reparación (que tiene efectos en las amortizaciones incrementales en el caso de que se considere una mejora), el dinero que podría obtenerse por la venta de la instalación, y el asociado a la recuperación del fondo de maniobra (importes estos dos últimos que en el caso de continuar con la actividad se trasladarían al final del proyecto).</t>
  </si>
  <si>
    <t>Amortización de inmovilizados. Si se decidiera abandonar, se vendería la instalación actual, por lo que la amortización futura sería lógicamente nula. En el caso de afrontar la reparación, podría amortizarse su valor en libros; y este valor en libros se vería incrementado en el caso de que la reparación pueda considerarse como una mejora, mientras que si se ésta se considerase como gasto, el efecto fiscal íntegro se produciría en el momento cero.</t>
  </si>
  <si>
    <t>Valor residual. Dado que en este caso se trata de estudiar si es mejor "continuar (con reparación)" o "abandonar", el valor residual incremental viene dado por los importes que se obtendrían por la liquidación del inmovilizado y la recuperación del fondo de maniobra al final del proyecto, y que no se percibirían lógicamente si se optara por abandonar la actividad en el momento inicial.</t>
  </si>
  <si>
    <t>Desembolso inicial. Cuando lo que se comparan son dos formas posibles de realizar un proyecto, el desembolso inicial es en principio sencillo de calcular: se obtiene simplemente como diferencia entre los importes que exige invertir cada una de las dos alternativas. En este caso, no sólo se producen importes diferenciales en el activo fijo, sino que la elección de una u otra estrategias provoca efectos también en el importe a mantener en inventarios.</t>
  </si>
  <si>
    <t>Amortización de inmovilizados. Cuando se comparan "dos formas distintas de hacer lo mismo", el cálculo de la amortización es extraordinariamente sencillo, y viene dado por la simple resta de los importes asociados a las dos instalaciones comparadas.</t>
  </si>
  <si>
    <t>Valor residual. Dado que en este caso se trata de comparar cuál de dos posibles formas de hacer las mismas cosas es más adecuada, el valor residual viene dado por la comparación entre los importes que se obtendrían por la liquidación de las dos instalaciones, a lo que hay que añadir el valor incremental correspondiente a la recuperación del fondo de maniobra.</t>
  </si>
  <si>
    <t>Desembolso inicial. Cuando analizamos una inversión de sustitución debemos comparar, en cada momento, "cuánto dinero de más o de menos tenemos con la nueva inversión con respecto al que tendríamos con la actual". Así, el desembolso inicial vendría dado por el importe a invertir para adquirir la nueva instalación, a lo que habría que restar el que puede obtenerse por la liquidación de la actual; además, en este caso, la sustitución provoca también un efecto adicional en ventas y costes con desembolso, lo que afecta a su vez al saldo necesario en existencias, que al ajustarse a comienzo de año, obliga a considerar también el efecto correspondiente en el desembolso inicial.</t>
  </si>
  <si>
    <t>Valor residual. Dado que en este caso comparamos la conveniencia de sustituir la instalación actual por otra nueva, el valor residual incremental viene dado por la diferencia entre los importes que podrían obtenerse al final de la vida útil del proyecto por la venta de los inmovilizados asociados a ambas alternativas, a lo que hay que añadir el importe del fondo de maniobra incremental.</t>
  </si>
  <si>
    <t>Desembolso inicial. La decisión de sustitución obligaría en el momento cero a comprar una nueva instalación; pero permitiría ahorrar el coste de la reparación (que tendría efectos distintos en las amortizaciones dependiendo de que se trate de una mejora o no) y permitiría también vender la instalación actual en las condiciones en las que se encuentra. Además, en nuestro caso, la nueva instalación obliga a invertir en el almacén, al producirse un aumento de la actividad, que debe sumarse también al desembolso inicial.</t>
  </si>
  <si>
    <t>Amortización de inmovilizados. En este caso comparamos si conviene continuar con la instalación actual (que exige una reparación, al haberse averiado) o sustituirla por otra nueva. Como en cualquier proyecto de sustitución, la amortización incremental vendría dada por la comparación entre los importes asociados a la nueva instalación y la actual (reparada). Así pues, la única dificultad añadida con respecto a una "sustitución sin reparación" viene dada por la consideración o no de la reparación como mejora: en caso afirmativo, el importe correspondiente debería añadirse al valor en libros a amortizar en el futuro.</t>
  </si>
  <si>
    <t>Valor residual. Dado que en este caso comparamos la conveniencia de sustituir la instalación actual (que requeriría una reparación) por otra nueva, el valor residual incremental viene dado por la diferencia entre los importes que podrían obtenerse al final de la vida útil del proyecto por la venta de los inmovilizados asociados a ambas alternativas, a lo que hay que añadir el importe del fondo de maniobra incremental.</t>
  </si>
  <si>
    <t>Desembolso inicial. Dado que en este caso acometer el proyecto exige comprar una instalación nueva y dejar de vender otra que tenemos, el desembolso viene dado por la suma de los importes correspondientes (el coste de la nueva; y lo que podría obtenerse por la venta de la actual), a lo que habría que sumar el efecto adicional provocado en existencias (el proyecto exige mantener un stock de seguridad que debe dotarse a comienzo de año).</t>
  </si>
  <si>
    <t>Amortización de inmovilizados. Dado que el proyecto exige "comprar una instalación nueva y renunciar a la venta de otra vieja", la amortización incremental viene dada por la suma de los importes correspondientes a ambas.</t>
  </si>
  <si>
    <t>Valor residual. Dado que en este caso el proyecto exige comprar una nueva instalación y postponer la venta de otra de la que se dispone, el valor residual incremental se calcula sumando los importes correspondientes a la liquidación de ambas al final de la vida del proyecto; a lo que hay que añadir la recuperación del fondo de maniobra, también incremental.</t>
  </si>
  <si>
    <t>Desembolso inicial. Como en cualquier análisis de inversión, el perfil de fondos representa la diferencia que en tesorería se produce entre las dos situaciones posibles ("empresa con el proyecto" frente a "empresa sin él"). En nuestro caso, y en lo que se refiere al momento cero, el proyecto exigiría incurrir en un desembolso (el asociado a la compra de la aplicación), pero ello permitiría recuperar en el propio momento una parte de la inversión que debe mantenerse en almacén.</t>
  </si>
  <si>
    <t>Valor residual. Dado que en este caso el interés del proyecto viene dado fundamentalmente por la posibilidad de recuperar una parte importante de la inversión en almacenes exigida por la actividad, el valor residual viene dado por el importe que pueda obtenerse por la liquidación del inmovilizado intangible correspondiente (la aplicación informática; incluyendo lógicamente los efectos fiscales) y la recuperación (en este caso con valor negativo) de la inversión en fondo de maniobra.</t>
  </si>
  <si>
    <t>Se plantea el interés de un proyecto de inversión en condiciones de certeza y entorno inflacionario. Se trata de un proyecto de sustitución de unas instalaciones viejas por otras nuevas, y a efectos de simplificación, supondremos que el desembolso inicial es nulo (el dinero que hay que invertir se compensa exactamente con el que se obtiene por la liquidación de las instalaciones a sustituir).</t>
  </si>
  <si>
    <t>Inflación distinta para los diferentes conceptos, hay amortizaciones, hay impuestos y el proyecto no exige inversiones en fondo de maniobra</t>
  </si>
  <si>
    <t>Inflación idéntica para los diferentes conceptos, hay amortizaciones, no hay impuestos y el proyecto no exige inversiones en fondo de maniobra</t>
  </si>
  <si>
    <t>Inflación idéntica para los diferentes conceptos, hay amortizaciones, hay impuestos y el proyecto no exige inversiones en fondo de maniobra</t>
  </si>
  <si>
    <t>Inflación idéntica para los diferentes conceptos, no hay amortizaciones, no hay impuestos y el proyecto exige inversiones en fondo de maniobra</t>
  </si>
  <si>
    <t>Inflación idéntica para los diferentes conceptos, hay amortizaciones, hay impuestos y el proyecto exige inversiones en fondo de maniobra</t>
  </si>
  <si>
    <t>Inflación distinta para los diferentes conceptos, hay amortizaciones, hay impuestos y el proyecto exige inversiones en fondo de maniobra</t>
  </si>
  <si>
    <t>Este concepto indica el impacto incremental provocado por el proyecto en la tesorería de la empresa (sin tener en cuenta ningún aspecto relacionado con la forma de financiarlo, información ésta última que se recoge en el tipo de descuento aplicable), y coincide con la generación de fondos incremental (ΔGFO-ΔΔFM) en los años en los que sólo ocurren operaciones recurrentes. En nuestro caso, sólo hay dos momentos en los que aparece alguna operación no recurrente: el momento "cero", en el que el impacto en caja viene dado por lo que se llama el "desembolso inicial"; y el momento "tres", en el que hay que añadir al flujo ordinario el correspondiente a la liquidación del inmovilizado y del fondo de maniobra.</t>
  </si>
  <si>
    <t>El proyecto propuesto permitiría aumentar las ventas de mercaderías de la compañía (con el correspondiente impacto en el coste de aprovisionamiento); y ello exige la compra de una nueva instalación, así como una inversión adicional en almacenes. La información original está definida en moneda constante, salvo la relativa al cálculo del coste de los fondos. Para estudiar su viabilidad debe calcularse el impacto incremental que el proyecto tendría en la tesorería de la empresa sin considerar ningún aspecto relacionado con la financiación; y debe incorporarse el efecto de la inflación en el análisis, ya que se dan todos los elementos que hacen que su no consideración provoque errores: distintos tipos para los diferentes conceptos involucrados, existencia de amortizaciones e impacto del proyecto en el fondo de maniobra de la compañía.</t>
  </si>
  <si>
    <t>Para analizar el interés de un proyecto de inversión debe calcularse el impacto que éste tiene en la tesorería de la empresa; y uno de los elementos que pueden verse afectados es el apartado fiscal. En este caso, y aunque la inversión en existencias se mantiene constante en unidades físicas a lo largo de toda la vida útil del proyecto, la existencia de inflación combinada con el criterio de valoración utilizado (FIFO) hace que el consumo de cada año que debe considerarse en el cálculo del beneficio no coincida con las compras anuales: la lógica FIFO hace que las existencias finales sean idénticas en unidades físicas, pero se 'renuevan' (salen antes las primeras que entraron; se 'quedan' las últimas), por lo que el consumo es algo menor que el importe que figura en la partida de Compras. La distorsión que desde el punto de vista de tesorería se introduce (se pagan las Compras) se corrige después a través de la resta de las inversiones en fondo de maniobra (con lo que lo único que queda en términos netos es el impacto en impuestos).</t>
  </si>
  <si>
    <t>El proyecto propuesto obliga a invertir en almacén en el momento inicial. Si bien es cierto que el número de unidades físicas se mantiene durante toda la vida útil de dicho proyecto, la existencia de inflación combinada con el criterio de valoración empleado provocan que el saldo en euros cambie de año en año. En la confección del perfil de fondos debe corregirse la cifra calculada a partir del beneficio con las inversiones en fondo de maniobra, ya que el primero exige aplicar criterios como el devengo o la correlación de ingresos y gastos que permitan estimar adecuadamente el impacto fiscal; y las inversiones en fondo de maniobra se calculan en dos pasos: estimando primero los cambios que en los saldos de las diferentes partidas provoca el proyecto, para comparar después los saldos aportados cada año con relación al anterior. Así, y en lo que se refiere a las Existencias, la columna debe reflejar la diferencia entre el saldo que al final de cada año presentará la cuenta en presencia del proyecto frente al que tendría sin él.</t>
  </si>
  <si>
    <t>En el caso estudiado concurren todos los elementos que exigen incorporar el efecto de la inflación en el análisis: en primer lugar, la mencionada inflación afecta de manera diferente a los elementos involucrados; pero incluso si los tipos de inflación fueran idénticos, trabajar directamente con moneda constante descontada al tipo de interés real provocaría errores: por un lado, porque los escudos fiscales asociados a la amortización pierden valor en términos de poder adquisitivo en contextos de inflación; y por otro, porque la inflación va a obligar a incurrir en inversiones adicionales en fondo de maniobra cuyo efecto no se pondría de manifiesto si no consideráramos aquella en el análisis.</t>
  </si>
  <si>
    <t>© Javier Santibáñez Grúber</t>
  </si>
  <si>
    <t>¿VISIBLE?</t>
  </si>
  <si>
    <t>Nº pantallas</t>
  </si>
  <si>
    <t>Resumen (1)</t>
  </si>
  <si>
    <t>Resumen (2)</t>
  </si>
  <si>
    <t>Resumen (3)</t>
  </si>
  <si>
    <t>Resumen 4)</t>
  </si>
  <si>
    <t>Info pestañas</t>
  </si>
  <si>
    <t>Consultas</t>
  </si>
  <si>
    <t xml:space="preserve">
Como puede verse, en esta pestaña se proporciona información relativa a aspectos generales relacionados con la Excel o con alguna de las pestañas que componen la misma.
En la parte superior izquierda el usuario puede ver los códigos asociados a las disintas consultas posibles, para lo que basta con situar el cursor sobre las celdillas correspondientes. Una vez decidida la consulta, debe introducirse el código en la celdilla F2. Una vez introducida de manera correcta la información solicitada, la Hoja proporciona la información pedida. En ocasiones, la explicación necesita más de un "pantallazo": el usuario puede ir "hojeando" el comentario de que se trate mediante la introducción del número de pantallazo deseado (celdilla M2, que se activa cuando resulta necesario).</t>
  </si>
  <si>
    <t>Presentación general</t>
  </si>
  <si>
    <t xml:space="preserve">
La Hoja que aquí se presenta pretende ser de utilidad en el proceso de adquisición de conocimientos y competencias relacionadas con el análisis de viabilidad de proyectos de inversión, y más concretamente, en entornos de certeza.
Como es sabido, la certeza es un ambiente “imaginado”, en el que se supone que toda la información relevante que afecta al proyecto a estudiar es conocida con seguridad. Aunque se trata de una simplificación de la realidad, la reflexión en estas condiciones es extraordinariamente útil por varias razones:
- En primer lugar, porque hay una serie de ideas fundamentales, no discutidas actualmente dentro de la Academia, que conviene tener claras (en este sentido, hay que decir que no hay discusión a día de hoy en la Teoría Financiera con respecto a la forma en que debe estudiarse el interés de una propuesta de inversión si suponemos que la información relevante es conocida con seguridad; en otras palabras, desde un punto de vista teórico, el análisis de la decisión de inversión en condiciones de certeza es un problema resuelto).
- En segundo lugar, porque desde un vista práctico (real) en muchas ocasiones comenzamos analizando el interés de un proyecto a partir de la información más “creíble” o “razonable” y luego estudiamos cómo cambia la solución alcanzada al hacerlo el comportamiento de las distintas variables de partida, aplicando técnicas de “Análisis de sensitividad” (que consisten en estudiar el comportamiento de la/s variable/s resultado ante cambios en solo una de las variables de partida) o de “Simulación” (que permiten estudiar las distribuciones de probabilidad de las variables resultado al cambiar, simultáneamente, todas las variables de partida).</t>
  </si>
  <si>
    <t xml:space="preserve">
Así, el análisis de una propuesta de inversión exige la estimación de tres elementos fundamentales:
- El llamado “perfil de fondos”, que explicita el impacto que el proyecto tiene en la tesorería de la empresa, en términos incrementales (es decir, “el dinero que la compañía tendrá en cada momento de más o de menos al afrontarlo con respecto al que tendría si no lo hiciera”) y sin tener en cuenta cómo va a financiarse (es decir, el perfil de fondos responde a la pregunta “cuánto pide y cuánto libera el proyecto”, no “quién pone y quién se lleva el dinero correspondiente”).
- La rentabilidad que debe exigirse al proyecto: es lo que se conoce habitualmente como “coste de los fondos” (o, con sus siglas en inglés, el WACC, Weighted Average Cost of Capital). Este concepto resulta de estimar el coste de la financiación ajena (neto de impuestos, ya que el efecto fiscal asociado al pago de intereses no se tiene en cuenta en el cálculo del perfil de fondos, en nuestro intento de aislar “lo que tiene que ver con el activo de lo que tiene que ver con el pasivo”; este dato resulta normalmente fácil de calcular, ya que el coste de la financiación ajena viene definido por contrato), el coste de la financiación propia (entendido como rentabilidad esperada por los accionistas cuando ponen su dinero a disposición de la empresa; resulta mucho más complejo de estimar, en la medida en que no hay una obligación contractual por parte de la empresa de retribuir de una determinada forma a los socios de la misma; en esta Hoja utilizaremos normalmente una metodología sencilla, el conocido como modelo Gordon-Shapiro) y las proporciones que la compañía decida dar a los fondos propios y ajenos (es lo que identificamos con el término “estructura financiera”).
- A partir de la información anterior, se obtienen las medidas de performance, que tratan de dilucidar el interés del proyecto. En el contexto de esta Hoja utilizaremos siempre el Valor Actualizado Neto (VAN), que resulta ser, desde un punto de vista teórico, la mejor medida posible, ya que indica el valor que crea el proyecto (siendo el objetivo financiero de la empresa precisamente este: la creación de valor, matizada eso sí, por la necesidad de que la empresa sea socialmente responsable y sostenible) y, en ocasiones, se calcularán también otras medidas interesantes como la Tasa de Rentabilidad Interna (TRI o TIR), el Índice de Rentabilidad (IR) o el Pay-back.</t>
  </si>
  <si>
    <t xml:space="preserve">
Las pestañas concretas que desarrollan todo lo anterior pueden en el contexto de esta Hoja englobarse dentro de cinco grandes “apartados” o “áreas”:
- Lo que hemos identificado como “Inversión en certeza básico sin inflación”. El usuario tendrá la posibilidad de trabajar en esta área con hasta seis casos prácticos distintos, idénticos en lo que se refiere a la estructura general, con diferencias en el comportamiento de las variables implicadas (ventas, costes, plazos de cobro y pago, etc.).
- El área que hemos denominado como “Reflexión general relativa al impacto de la inflación en el análisis de las inversiones”. Aquí se mostrarán los aspectos teóricos fundamentales relativos al tema, y se estudiarán diversas situaciones simplificadas para ver las consecuencias de la inflación desde un punto de vista eminentemente práctico.
- Lo que hemos identificado como “Inversión en certeza básico con inflación”. El usuario tendrá la posibilidad de trabajar en esta área con hasta seis casos prácticos distintos, idénticos en lo que se refiere a la estructura general, con diferencias en el comportamiento de las variables implicadas (ventas, costes, tipos de inflación aplicables, plazos de cobro y pago, etc.).
- El estudio de un caso real de introducción en un nuevo mercado, que podría realizarse mediante tres posibles estrategias distintas (entre las que habría que elegir, supuesto interés del proyecto estudiado), siempre en ambiente de certeza y en este caso, en entorno inflacionario.
- El área que hemos identificado como “Profundización en el análisis del concepto de variabilidad a la decisión”, en el que el usuario podrá trabajar con hasta siete supuestos distintos, y que ponen el énfasis en la importancia de desarrollar automatismos a la hora de analizar el interés de las propuestas de inversión, y que están relacionados con la detección de “lo que cambia al afrontar el proyecto”.</t>
  </si>
  <si>
    <t>Originalidad y conexión con la realidad de los casos planteados y herramientas utilizadas</t>
  </si>
  <si>
    <t>Elementos generales de la interfaz entre usuario y aplicación</t>
  </si>
  <si>
    <t xml:space="preserve">
En lo que se refiere al “interfaz” entre la aplicación y el usuario cabe señalar algunas pautas generales. Con carácter general, el citado usuario encontrará en esta Hoja tres tipos de pestaña diferentes:
- Pestañas “Enunciado”. En ellas la Hoja ofrece el enunciado de un caso práctico a resolver, sobre la base de la parametrización realizada inicialmente por éste (y que se comentará con algún mayor detalle más adelante).
- Pestañas de “autoevaluación”. En ellas la Hoja ofrece un resumen de la información relevante recogida en el enunciado y una plantilla que el usuario debe rellenar.
- Pestañas de solución. En ellas la Hoja ofrece un resumen de la información relevante recogida en el enunciado, así como la solución comentada y explicada de la plantilla propuesta en las pestañas de autoevaluación.
A las anteriores se añaden otras pestañas de más difícil clasificación (en algunas se plantean preguntas cortas o tests de tipo “multiple choice” relacionadas con un caso a resolver; o reflexiones teóricas sobre la base de un caso práctico en las que lo que se pretende es discutir aspectos teóricos, como la superioridad del VAN frente a cualquier otro criterio de decisión en este contexto, desde un punto de vista eminentemente práctico). 
En lo que respecta al modo general de uso, el usuario deberá rellenar las celdillas recuadradas y coloreadas en azul turquesa que aparecen en las plantillas propuestas. Son accesibles (aunque no modificables) las celdillas que resumen el enunciado y que se encuentran normalmente a la izquierda de las plantillas a resolver (en caso de hacerlo, la pestaña completa se desactiva hasta que el usuario deshaga la operación). Se activan globos de ayuda al situar el cursor sobre diferentes celdillas (entre otras, las que definen los contenidos a rellenar ); y se detecta como error (lanzando el mensaje correspondiente) el intento de rellenar las celdillas solicitadas con contenidos distintos de números.
El usuario puede en todo momento solicitar la corrección de los cálculos realizados, así como una explicación (en formato de texto o numérica) de cualquiera de las celdillas implicadas. Cuando se solicita la corrección, la Hoja ofrece un resumen relativo al porcentaje de aciertos obtenido, y resalta en color verde las celdillas acertadas y en rojo las erróneas, indicando en este último caso los valores correctos. En algunas de las pestañas de autoevaluación, la Hoja trata de discriminar los errores “de concepto” y los “errores derivados” (estos últimos se referirían a celdillas cuyo resultado es erróneo, pero debido a que toman información de celdillas que presentan algún error, siendo la operación realizada correcta).
Además, el servicio de ayuda comentado se completa en ocasiones remitiendo al usuario a libros o artículos que pueden facilitar la comprensión de los aspectos teóricos implicados.</t>
  </si>
  <si>
    <t>Otros aspectos relacionados con la información de partida y algunas simplificaciones</t>
  </si>
  <si>
    <t xml:space="preserve">
Un comentario relativo a los aspectos fiscales. Dado que tienen un impacto en los Estados Financieros de la empresa (tanto en la cuenta de resultados, en lo que se refiere al impuesto sobre beneficios, como en balance, en lo tocante a la gestión de impuestos como el IVA, el propio IS o incluso el IRPF, a través de las retenciones practicadas a distintos agentes), sería absurdo no considerarlos en la Hoja; aunque, a los efectos de simplificación, se tratan siempre de manera sencilla. Así:
- Con carácter general, se ha prescindido del efecto del IVA en el análisis del interés de las inversiones (en la medida en que, al tratarse de inversiones a largo plazo, los flujos de caja se calcularán con carácter anual, y el error cometido al prescindir de un impuesto que en realidad soporta el consumidor final es pequeño).
- En lo relativo al Impuesto sobre beneficios, se considera siempre que los resultados obtenidos por la liquidación de cualquier inmovilizado se integran normalmente en la base imponible (aunque el tratamiento real de este tipo de operaciones suele resultar algo más complejo).
A continuación, se presenta la descripción en detalle de cada una de las pestañas que conforman la Hoja. Las explicaciones son en muchos casos reiterativas, la intención es la de que este documento pueda utilizarse también como una suerte de “Guía de usuario” en la que puedan resolverse dudas sencillas de uso sin que sea necesaria la lectura del documento completo. </t>
  </si>
  <si>
    <t>Instrucciones de uso</t>
  </si>
  <si>
    <t xml:space="preserve">
En esta pestaña se dan indicaciones generales con relación a los temas que van a trabajarse en la Hoja, así como la forma aconsejada de uso de la misma en el proceso de aprendizaje. El resto de pestañas no se activarán hasta que el usuario haya leído las instrucciones citadas y haya rellenado la celdilla correspondiente (hasta entonces, todas las demás pestañas aparecen desactivadas -en blanco-).
Se presentan los distintos tipos de pestaña que encontrará el usuario (Enunciado del caso concreto; pestañas de “autoevaluación”, en las que el usuario encontrará siempre un resumen de la información relevante extraída del enunciado y una plantilla a rellenar; pestañas de “solución”, en las que puede consultarse la solución completa al caso planteado, con la posibilidad de solicitar la explicación de la misma en formato texto o numérico; y otras pestañas).
Se dan también las pautas generales para rellenar la información solicitada y algunos consejos en lo que se refiere al modo de utilización de la Excel, que pretenden orientar al usuario en lo que tiene que ver con los procesos que pueden realizarse dentro del contexto de la Hoja y otros que deberían desarrollarse fuera de él.</t>
  </si>
  <si>
    <t>Rutinas perfil fondos</t>
  </si>
  <si>
    <t xml:space="preserve">
En esta pestaña el usuario encontrará un resumen de las “rutinas” o “mecánicas” más importantes que se utilizan en el análisis de viabilidad de un proyecto de inversión en condiciones de certeza.
En concreto, se presentan los elementos fundamentales que permiten confeccionar el perfil de fondos de un proyecto de inversión, es decir, se define la metodología aplicable en el cálculo del impacto en tesorería que, en términos incrementales, provocará el proyecto en cuestión. A continuación, se presentan los principales criterios que ofrece la teoría financiera para realizar el análisis del interés del proyecto (VAN, TRI, IR y pay-back). Y finalmente, se estudia cómo habría que considerar el efecto de la inflación en todo el análisis.
Así mismo, el usuario encontrará referencias a otros trabajos (libros o artículos) en los que ampliar lo que en esta pestaña se presenta.</t>
  </si>
  <si>
    <t>Rutinas coste fondos</t>
  </si>
  <si>
    <t xml:space="preserve">
En esta pestaña el usuario encontrará un resumen de las “rutinas” o “mecánicas” más importantes que se utilizan en el cálculo del coste de los fondos.
En concreto, se presentan los elementos fundamentales a tener en cuenta a la hora de calcular el coste de los fondos propios, los fondos ajenos y el coste medio ponderado, con referencia explícita a la conveniencia de utilizar valores de mercado siempre que ello sea posible.
Así mismo, el usuario encontrará referencias a otros trabajos (libros o artículos) en los que ampliar lo que en esta pestaña se presenta.</t>
  </si>
  <si>
    <t>Enunciado (sin infla)</t>
  </si>
  <si>
    <t xml:space="preserve">
En esta pestaña el usuario podrá trabajar en el análisis de un proyecto de inversión de sustitución, con impacto en fondo de maniobra (clientes y proveedores), en condiciones de certeza y supuesto un entorno sin inflación.
De lo que se trata es de que confeccione el perfil de fondos incremental que permita ver qué es lo que el proyecto aporta en términos de tesorería; que calcule el coste de los fondos aplicable (a partir de la estimación del coste de los fondos ajenos y propios, complementados con las proporciones que ambos mantienen en el pasivo de la empresa); y que aplique las principales medidas del interés del mismo (VAN y TRI; en la solución propuesta, el análisis se completa con otras medidas -IR y Pay-back-).
El usuario deberá comenzar parametrizando una información sencillísima, en la que se define el ejercicio con el que se trabajará en las pestañas posteriores dentro de esta área, indicando el supuesto concreto con el que se desea trabajar (definido por un número entero entre 1 y 6; modificable en todo momento por el usuario).
Una vez rellenada la información descrita, se activa el enunciado correspondiente, que el usuario debe leer detenidamente antes de pasar a las pestañas siguientes.</t>
  </si>
  <si>
    <t>Autoeval-sol básico (sin infla)</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</si>
  <si>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La Excel muestra un resumen de la información relevante del enunciado elegido (que puede encontrarse en la pestaña “Enunciado (sin infla)”) y una plantilla que el usuario debe rellenar. El objetivo consiste en confeccionar el perfil de fondos del proyecto, que muestra su impacto en términos incrementales sobre la tesorería de la empresa; el segundo paso consistiría en estimar la rentabilidad a exigir al proyecto (el coste de los fondos); para aplicar a los resultados obtenidos en los dos pasos anteriores los principales criterios de análisis (VAN y TRI) que permitan determinar la conveniencia de afrontarlo o no.
El usuario deberá rellenar las celdillas recuadradas y coloreadas en azul turquesa. Son accesibles (aunque no modificables) las celdillas que resumen el enunciado del caso y que se encuentran a la izquierda de la mencionada plantilla (en caso de hacerlo, la pestaña completa se desactiva hasta que el usuario deshaga la operación). Se activan globos de ayuda al situar el cursor sobre las celdillas que definen los contenidos a rellenar; y se detecta como error (lanzando el mensaje correspondiente) el intento de rellenar las celdillas solicitadas con contenidos distintos de números.
En todo momento, el usuario puede solicitar la corrección de los cálculos realizados introduciendo una “x” en la celdilla destinada al efecto (L17). El mencionado usuario podrá comprobar la puntuación alcanzada, así como la indicación de qué celdillas son correctas (en color verde) y cuáles equivocadas (marcadas en rojo). Además, puede solicitarse la explicación (numérica o en formato de texto) de cualquiera de las cifras correctas (para lo que deberán rellenarse las celdillas L21 y L23; todas las cifras que aparecen en la plantilla tienen asociado un código que se activa situando el cursor sobre la celdilla correspondiente), así como una explicación más concreta de cualquiera de los errores cometidos y un listado completo de ellos, junto con los valores correctos y una posible explicación de los mismos. La Excel identifica los errores que resultan más habituales o que tienen alguna explicación “lógica”, y proporciona una información adicional que permita corregirlos. Además, permite discriminar si se trata de errores “de concepto” o “derivados” (es decir, cálculos acertados pero que se realizan sobre resultados anteriores que tienen algún error).
Si lo desea, el usuario puede siempre consultar la solución completa en la pestaña correspondiente (“Solución correcta (sin infla)”), en la que podrá solicitar también la explicación (numérica o en formato de texto) relativa a cualquiera de los resultados presentados.</t>
  </si>
  <si>
    <t>Autoeval-sol avanza (sin infla)</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</si>
  <si>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La Excel muestra un resumen de la información relevante del enunciado elegido (que puede encontrarse en la pestaña “Enunciado (sin infla)”) y una plantilla que el usuario debe rellenar. El objetivo consiste en confeccionar el perfil de fondos del proyecto, que muestra su impacto en términos incrementales sobre la tesorería de la empresa; el segundo paso consistiría en estimar la rentabilidad a exigir al proyecto (el coste de los fondos); para aplicar a los resultados obtenidos en los dos pasos anteriores los principales criterios de análisis (VAN y TRI) que permitan determinar la conveniencia de afrontarlo o no.
El usuario deberá rellenar las celdillas recuadradas y coloreadas en azul turquesa. Son accesibles (aunque no modificables) las celdillas que resumen el enunciado del caso y que se encuentran a la izquierda de la mencionada plantilla (en caso de hacerlo, la pestaña completa se desactiva hasta que el usuario deshaga la operación). Se activan globos de ayuda al situar el cursor sobre las celdillas que definen los contenidos a rellenar; y se detecta como error (lanzando el mensaje correspondiente) el intento de rellenar las celdillas solicitadas con contenidos distintos de números.
En todo momento, el usuario puede solicitar la corrección de los cálculos realizados introduciendo una “x” en la celdilla destinada al efecto (L17). El mencionado usuario podrá comprobar la puntuación alcanzada, así como la indicación de qué celdillas son correctas (en color verde) y cuáles equivocadas (marcadas en rojo). Además, puede solicitarse la explicación (numérica o en formato de texto) de cualquiera de las cifras correctas (para lo que deberán rellenarse las celdillas L21 y L23; todas las cifras que aparecen en la plantilla tienen asociado un código que se activa situando el cursor sobre la celdilla correspondiente), así como una explicación más concreta de cualquiera de los errores cometidos y un listado completo de ellos, junto con los valores correctos y una posible explicación de los mismos. La Excel identifica los errores que resultan más habituales o que tienen alguna explicación “lógica”, y proporciona una información adicional que permita corregirlos. Además, permite discriminar si se trata de errores “de concepto” o “derivados” (es decir, cálculos acertados pero que se realizan sobre resultados anteriores que tienen algún error).</t>
  </si>
  <si>
    <t xml:space="preserve">
Si lo desea, el usuario puede siempre consultar la solución completa en la pestaña correspondiente (“Solución correcta (sin infla)”), en la que podrá solicitar también la explicación (numérica o en formato de texto) relativa a cualquiera de los resultados presentados.
Adicionalmente a lo anterior, la pestaña actual (nivel avanzado) ofrece la posibilidad de entrar en el proceso de análisis de sensitividad con relación al interés del proyecto de inversión, reflexionando sobre el impacto que provocarían cambios en diferentes variables implicadas.
La Hoja plantea diecinueve cambios posibles que afectan a variables relevantes en el interés del proyecto, desde los plazos de amortización, pasando por los plazos de cobro y pago o incluso el número de años de vida útil del proyecto. De lo que se trata es de que el usuario reflexione sobre el impacto positivo o negativo de cada uno de los cambios propuestos y sea capaz de estimar la variación en el Valor actualizado neto que suponen sin necesidad de volver a resolver el caso completo. Como siempre, el usuario puede solicitar la corrección de sus respuestas y obtener un feed-back relativo a cualquiera de las celdillas implicadas.</t>
  </si>
  <si>
    <t>Solución correcta (sin infla)</t>
  </si>
  <si>
    <t xml:space="preserve">
En esta pestaña puede consultarse la solución completa al caso planteado de análisis de la viabilidad de un proyecto de inversión en condiciones de certeza y ausencia de inflación (de manera más específica, se trata de una sustitución de inmovilizados con impacto en fondo de maniobra -cobros y pagos aplazados, que provocan cambios en cuentas de clientes y proveedores-) y solicitarse la explicación (en formato texto o numérica) de cualquiera de las celdillas implicadas.</t>
  </si>
  <si>
    <t>Sensitividad (sin infla)</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</si>
  <si>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Sobre la base de la solución al enunciado elegido en la pestaña “Enunciado (sin infla)”, en la presente el usuario puede definir los cambios que desea introducir en el comportamiento inicialmente definido de las principales variables implicadas y comprobar cuál es el efecto que dichos cambios tienen en el interés del proyecto estudiado. El análisis propuesto permite discernir cuáles son las variables a las que el interés del proyecto resulta ser especialmente sensible y que por tanto convendría vigilar de manera especial; también permite delimitar cuáles son los valores críticos que determinadas variables, como los plazos de pago concedidos a clientes, pueden tomar sin que ello suponga que el proyecto deje de ser interesante, dando una herramienta útil al gestor en los procesos de negociación correspondientes.
La Hoja muestra los valores asociados al planteamiento original y los resultantes de considerar los cambios propuestos (que pueden introducirse de manera acumulativa).</t>
  </si>
  <si>
    <t>Preguntas cortas (sin infla)</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</si>
  <si>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La Excel muestra un resumen de la información relevante del enunciado elegido (que puede encontrarse en la pestaña “Enunciado (sin infla)”) y una plantilla que el usuario debe rellenar. En este caso, la Hoja plantea un total de 26 preguntas concretas relacionadas con el proceso de análisis del interés del proyecto propuesto en sus distintas fases: confección del perfil de fondos, cálculo del coste de los fondos y aplicación de las medidas de interés correspondientes.
El usuario deberá rellenar las celdillas recuadradas y coloreadas en azul turquesa. Son accesibles (aunque no modificables) las celdillas que resumen el enunciado del caso y que se encuentran a la izquierda de la mencionada plantilla (en caso de hacerlo, la pestaña completa se desactiva hasta que el usuario deshaga la operación).
En todo momento, el usuario puede solicitar la corrección de los cálculos realizados introduciendo una “x” en la celdilla destinada al efecto (N30). El mencionado usuario podrá comprobar qué celdillas son correctas (en color verde) y cuáles equivocadas (marcadas en rojo; con indicación, en este caso, del valor correcto). Además, puede solicitarse la explicación (numérica y en formato de texto) de cualquiera de las cifras correctas (para lo que deberá rellenarse la celdilla H32).
Si lo desea, el usuario puede siempre consultar la solución completa al caso en la pestaña correspondiente (“Solución correcta (sin infla)”), en la que podrá solicitar también la explicación (numérica o en formato de texto) relativa a cualquiera de los resultados presentados.</t>
  </si>
  <si>
    <t>Test (sin infla)</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</si>
  <si>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Sobre la base del caso seleccionado por el usuario en la pestaña “Enunciado (sin infla)”, la Hoja plantea un total de 20 preguntas concretas relacionadas con el proceso de análisis del interés del proyecto propuesto en sus distintas fases: confección del perfil de fondos, cálculo del coste de los fondos y aplicación de las medidas de interés correspondientes.
Se trata del clásico test tipo “multiple choice”, en el que se plantean cuatro posibles respuestas a cada una de las preguntas planteadas, y de las que sólo una es correcta. El usuario puede solicitar la corrección “de una en una” (en cuyo caso, cada vez que responde a una pregunta obtiene el feed-back correspondiente –que incluye la identificación como acertada o no de la respuesta y un comentario adicional-) o esperar a haber contestado todas las preguntas para obtener dicho feed-back (en cuyo caso debe responder a todas ellas, incluidas aquellas sobre las que pueda albergar alguna duda). En ambos casos el usuario puede obtener un resumen de los resultados obtenidos, incluyendo la calificación alcanzada sobre 10 puntos (los aciertos conceden puntos positivos, mientras que los errores restan 1/3 de la puntuación asignada a la pregunta).
La Hoja detecta, además, posibles errores en la resolución del test (utilización de un símbolo distinto de ‘x’ a la hora de responder a las preguntas planteadas; y/o respuesta múltiple a una pregunta –es decir, selección de más de una opción como correcta-).</t>
  </si>
  <si>
    <t>Discusión criterios</t>
  </si>
  <si>
    <t xml:space="preserve">
En esta pestaña el usuario puede practicar los procesos de análisis del interés de un proyecto de inversión en condiciones de certeza y ausencia de inflación; de manera más específica, se estudia aquí un proyecto de sustitución de inmovilizados, con impacto en fondo de maniobra (cobros y pagos aplazados, que provocan cambios en cuentas de clientes y proveedores).
Sobre la base del caso seleccionado por el usuario en la pestaña “Enunciado (sin infla)”, la Hoja plantea una conversación centrada fundamentalmente en las ventajas que el Valor actualizado neto (VAN) presenta frente a otro de los criterios clásicos en el análisis del interés de proyectos de inversión, como es la Tasa de rentabilidad interna (TRI). El usuario debe ir contestando a las preguntas que se le van planteando, lo que conduce a la corrección de las mismas y a los comentarios correspondientes. En caso de error, la conversación no continúa hasta que el usuario modifique las celdillas equivocadas.
Tal como se indica en la Introducción de este documento, el usuario deberá rellenar las celdillas recuadradas y coloreadas en azul turquesa. Son accesibles (aunque no modificables) las celdillas necesarias para responder a las preguntas planteadas, en ocasiones resultado de las respuestas del propio usuario a cuestiones anteriores (en caso de hacerlo, la pestaña completa se desactiva hasta que el usuario deshaga la operación.</t>
  </si>
  <si>
    <t>Conceptos generales inflación</t>
  </si>
  <si>
    <t xml:space="preserve">
En este área, el usuario puede estudiar el efecto que tiene la inflación en el análisis del interés de un proyecto de inversión en condiciones de certeza. Se supone por tanto que el efecto que dicha inflación tiene sobre cualquier variable implicada es conocido con seguridad.
La intención de las pestañas que conforman esta área es la de preparar al usuario para que disponga de los recursos necesarios para abordar la resolución de los casos que se proponen en áreas posteriores.
Se trata de una pestaña simplicísima en la que de manera esquemática se presentan los conceptos fundamentales relacionados con el contexto de inflación (moneda constante y moneda corriente; tipos de interés nominales y reales), así como la “regla” que relaciona todos los conceptos apuntados. Finalmente, se ofrece un ejemplo sencillo en el que puede verse cómo “eliminar” el efecto de la inflación en el análisis de un proyecto para realizar la reflexión en términos de poderes adquisitivos.</t>
  </si>
  <si>
    <t>Ej sencillo inflación en AM</t>
  </si>
  <si>
    <t xml:space="preserve">
En este área, el usuario puede estudiar el efecto que tiene la inflación en el análisis del interés de un proyecto de inversión en condiciones de certeza. Se supone por tanto que el efecto que dicha inflación tiene sobre cualquier variable implicada es conocido con seguridad.
La intención de las pestañas que conforman esta área es la de preparar al usuario para que disponga de los recursos necesarios para abordar la resolución de los casos que se proponen en áreas posteriores.
En esta pestaña, parametrizable por el usuario, se propone una reflexión sencilla sobre una de las razones que hacen que, incluso cuando pudiera parecer que la consideración o no de la inflación es irrelevante (por ejemplo, cuando cabe suponer que afectará de igual manera a las variables implicadas), la no consideración de dicha inflación podría llevar a cometer errores importantes en el análisis de los proyectos de inversión (como sobrevalorar o infravalorar su interés).
El objetivo concreto de esta pestaña es el de poner de manifiesto de una manera clara y separada de cualquier otra consideración el efecto “pérdida de poder adquisitivo de los escudos fiscales de la amortización en un contexto de inflación”. Así, el usuario debe definir el comportamiento deseado de las variables fundamentales en el análisis de un proyecto de inversión extraordinariamente sencillo, rellenando para ello las celdillas correspondientes (que se muestran, como es habitual, recuadradas y coloreadas en azul turquesa).
Una vez rellenadas convenientemente dichas celdillas (la Hoja detecta errores básicos, como la introducción de texto en celdillas numéricas), la propia Hoja muestra la solución al caso planteado, en la que se pone de manifiesto el error que se cometería si se decidiera no considerar el efecto de la inflación.</t>
  </si>
  <si>
    <t>Ej sencillo inflación en FM</t>
  </si>
  <si>
    <t xml:space="preserve">
En este área, el usuario puede estudiar el efecto que tiene la inflación en el análisis del interés de un proyecto de inversión en condiciones de certeza. Se supone por tanto que el efecto que dicha inflación tiene sobre cualquier variable implicada es conocido con seguridad.
La intención de las pestañas que conforman esta área es la de preparar al usuario para que disponga de los recursos necesarios para abordar la resolución de los casos que se proponen en áreas posteriores.
En esta pestaña, parametrizable por el usuario, se propone una reflexión sencilla sobre una de las razones que hacen que, incluso cuando pudiera parecer que la consideración o no de la inflación es irrelevante (por ejemplo, cuando cabe suponer que afectará de igual manera a las variables implicadas), la no consideración de dicha inflación podría llevar a cometer errores importantes en el análisis de los proyectos de inversión (como sobrevalorar o infravalorar su interés).
El objetivo concreto de esta pestaña es el de poner de manifiesto de una manera clara y separada de cualquier otra consideración el efecto “bloqueo adicional de recursos en fondo de maniobra provocado por la inflación”. Así, el usuario debe definir el comportamiento deseado de las variables fundamentales en el análisis de un proyecto de inversión extraordinariamente sencillo, rellenando para ello las celdillas correspondientes (que se muestran, como es habitual, recuadradas y coloreadas en azul turquesa).
Una vez rellenadas convenientemente dichas celdillas (la Hoja detecta errores básicos, como la introducción de texto en celdillas numéricas), la propia Hoja muestra la solución al caso planteado, en la que se pone de manifiesto el error que se cometería si se decidiera no considerar el efecto de la inflación.</t>
  </si>
  <si>
    <t>Efectos de la inflación</t>
  </si>
  <si>
    <t xml:space="preserve">
En este área, el usuario puede estudiar el efecto que tiene la inflación en el análisis del interés de un proyecto de inversión en condiciones de certeza. Se supone por tanto que el efecto que dicha inflación tiene sobre cualquier variable implicada es conocido con seguridad.
La intención de las pestañas que conforman esta área es la de preparar al usuario para que disponga de los recursos necesarios para abordar la resolución de los casos que se proponen en áreas posteriores.
El objetivo de esta pestaña es el de poner de manifiesto, a través de diez ejemplos sencillos, las razones que obligan normalmente a incluir el efecto de la inflación en el análisis del interés de proyectos de inversión: la primera y más obvia, el hecho de que podría afectar de manera distinta a las diferentes variables implicadas; y las otras dos, algo menos evidentes, los efectos que dicha inflación provoca en el valor en términos de poder adquisitivo asociado a los escudos fiscales que genera la amortización y el bloqueo adicional de recursos que obliga a realizar en fondo de maniobra; razones todas ellas que podrían provocar una sobrevaloración o infravaloración del proyecto en cuestión si se prescinde de su consideración en el análisis.
El usuario encontrará referencias a trabajos relacionados con el tema que pueden ayudarle a comprender mejor los aspectos teóricos involucrados, situando el cursor sobre la celdilla correspondiente, así como consultar las instrucciones generales de uso relacionadas con la presente pestaña. A continuación, puede ir analizando cada uno de los 10 supuestos sencillos planteados introduciendo el código deseado, lo que activa la respuesta correspondiente.</t>
  </si>
  <si>
    <t>Enunciado (con infla) básico</t>
  </si>
  <si>
    <t xml:space="preserve">
En esta pestaña el usuario podrá trabajar en el análisis de un proyecto de inversión con impacto en fondo de maniobra (existencias, clientes y proveedores), en condiciones de certeza y supuesto un entorno inflacionario. De lo que se trata es de que confeccione el perfil de fondos incremental que permita ver qué es lo que el proyecto aporta en términos de tesorería (lógicamente, en moneda corriente, de manera que puedan manifestarse en el análisis todos los posibles efectos de la inflación); que calcule el coste de los fondos aplicable (a partir de la estimación del coste de los fondos ajenos y propios, complementados con las proporciones que ambos mantienen en el pasivo de la empresa; todo ello en términos nominales, de manera que el tipo resultante sea coherente con el perfil de fondos descrito anteriormente); y aplique las principales medidas del interés del mismo (VAN y TRI).
El usuario deberá comenzar parametrizando una información sencillísima, en la que se define el ejercicio con el que se trabajará en las pestañas posteriores dentro de esta área, indicando el supuesto concreto con el que se desea trabajar (definido por un número entero entre 1 y 6; modificable en todo momento por el usuario).
Una vez rellenada la información descrita, se activa el enunciado correspondiente, que el usuario debe leer detenidamente antes de pasar a las pestañas siguientes.</t>
  </si>
  <si>
    <t>Autoeval-sol (con infla) básico</t>
  </si>
  <si>
    <t xml:space="preserve">
En esta pestaña el usuario puede practicar los procesos de análisis del interés de un proyecto de inversión en condiciones de certeza y en un entorno inflacionario; de manera más específica, se estudia aquí un proyecto de inversión con impacto en fondo de maniobra (cobros y pagos aplazados, que provocan cambios en cuentas de clientes y proveedores; e inversiones en existencias).
La Excel muestra un resumen de la información relevante del enunciado elegido (que puede encontrarse en la pestaña “Enunciado (con infla) básico”) y una plantilla que el usuario debe rellenar. El objetivo consiste en confeccionar el perfil de fondos del proyecto, que muestra su impacto en términos incrementales sobre la tesorería de la empresa (incluyendo en este caso el efecto de la inflación; es decir, definiendo el mencionado perfil de fondos en moneda corriente); el segundo paso consistiría en estimar la rentabilidad a exigir al proyecto (el coste de los fondos; en términos nominales, de modo que sea coherente con el perfil de fondos descrito); para aplicar a los resultados obtenidos en los dos pasos anteriores las principales medidas de performance (VAN y TRI) que permitan determinar la conveniencia de afrontarlo o no.
El usuario deberá rellenar las celdillas recuadradas y coloreadas en azul turquesa. Son accesibles (aunque no modificables) las celdillas que resumen el enunciado del caso y que se encuentran a la izquierda de la mencionada plantilla (en caso de hacerlo, la pestaña completa se desactiva hasta que el usuario deshaga la operación). Se activan globos de ayuda al situar el cursor sobre las celdillas que definen los contenidos a rellenar; y se detecta como error (lanzando el mensaje correspondiente) el intento de rellenar las celdillas solicitadas con contenidos distintos de números.</t>
  </si>
  <si>
    <t xml:space="preserve">
En todo momento, el usuario puede solicitar la corrección de los cálculos realizados introduciendo una “x” en la celdilla destinada al efecto (N21). El mencionado usuario podrá comprobar qué celdillas son correctas (en color verde) y cuáles equivocadas (marcadas en rojo). Además, puede solicitarse la explicación (numérica y en formato de texto) de cualquiera de las cifras correctas (para lo que deberá rellenar la celdilla N24; todas las cifras que aparecen en la plantilla tienen asociado un código que se activa situando el cursor sobre la celdilla correspondiente), así como una explicación adicional que ayuda a comprender mejor los cálculos propuestos.
La Excel permite discriminar, en su caso, si se trata de errores “de concepto” o “derivados” (es decir, cálculos acertados pero que se realizan sobre resultados anteriores que contienen algún error). También pueden consultarse algunos temas más generales relacionados con la resolución del caso (introduciendo el código de consulta correspondiente en la celdilla N42; los códigos correspondientes a las preguntas consideradas pueden verse situando el cursor sobre la celdilla M42) y comprobar la calificación obtenida en la resolución del caso.
Si lo desea, el usuario puede siempre consultar la solución completa en la pestaña correspondiente (“Solución (con infla) básico”), en la que podrá solicitar también la explicación (numérica y en formato de texto) relativa a cualquiera de los resultados presentados.</t>
  </si>
  <si>
    <t>Solución (con infla) básico</t>
  </si>
  <si>
    <t xml:space="preserve">
En esta pestaña puede consultarse la solución completa al caso planteado de análisis de la viabilidad de un proyecto de inversión en condiciones de certeza y entorno inflacionario (de manera más específica, se trata de un proyecto con impacto en fondo de maniobra -cobros y pagos aplazados, que provocan cambios en cuentas de clientes y proveedores, así como inversiones en existencias-) y solicitarse la explicación (en formato texto y numérica) de cualquiera de las celdillas implicadas También pueden consultarse aspectos más generales relacionados con la resolución del caso.</t>
  </si>
  <si>
    <t>Enunciado DISVISA</t>
  </si>
  <si>
    <t xml:space="preserve">
El caso práctico que se presenta ahora pretende ser de utilidad en la adquisición de competencias relacionadas con el análisis del interés de propuestas de inversión en entornos de certeza e inflación. Además, permite trabajar también a un nivel sencillo la competencia relacionada con la “variabilidad a la decisión”, que consiste en la detección de los elementos que distinguen dos alternativas entre las que es preciso elegir una de ellas (y sobre la que se profundiza mucho más en el área siguiente).
Sobre la base de un caso práctico original de Fernando Gómez-Bezares, publicado en “Elementos de Finanzas Corporativas”, Desclée de Brouwer, 2012, el caso de la Empresa DISVISA recoge una situación real en la que una empresa dedicada a la distribución de productos de alimentación se plantea la posibilidad de ampliar su actividad en un nuevo mercado. En el momento en que se analiza el proyecto, realiza su función sin contacto directo con el cliente final, a través de una red de comisionistas (autoventistas, dueños de sus propios medios de transporte) y se plantea iniciar la actividad en el nuevo mercado de tres posibles maneras distintas entre las que habría que elegir:
- Comprando un almacén en la nueva zona de influencia. Ello permitiría mantener un contacto directo con los clientes y exigiría la inversión inicial correspondiente.
- Alquilando un almacén en la nueva zona de trabajo. Coincidiría en todo con la alternativa de “Compra del almacén”, salvo en lo relativo a la gestión del inmovilizado: en este caso, se evitaría la inversión inicial (que por tanto no habría que amortizar ni podría liquidarse al término del proyecto), pero a cambio habría que pagar todos los años el alquiler correspondiente.
- Trabajando con autoventistas. En ese caso, las ventas se reducirían con respecto a las dos alternativas anteriores, produciéndose también efectos incrementales distintos en costes y en el fondo de maniobra.</t>
  </si>
  <si>
    <t xml:space="preserve">
Como es conocido y se ha indicado en la presentación de algunas pestañas anteriores, la viabilidad de un proyecto de inversión debe analizarse a partir de la estimación de dos elementos:
- El impacto que el proyecto provocará en la tesorería de la empresa. Esto se calcula confeccionando el perfil de fondos, que para proyectos de largo plazo (como es el caso) supone estimar dichos impactos con una periodicidad anual. Además, debe recordarse también que el perfil de fondos debe calcularse “con total independencia de cómo vaya a financiarse el proyecto” (debe calcularse la tesorería que el proyecto “pide” o “libera” en cada momento del tiempo; es lo que en inglés se llama “free cash-flows”); y que el cálculo correcto de dicho perfil exige razonar siempre en términos incrementales (lo que calculamos es “la tesorería de más o de menos que la empresa tendrá en cada momento como consecuencia de afrontar el proyecto”).
- La rentabilidad a exigir al proyecto. Este dato se asocia normalmente a lo que llamamos WACC (que son las siglas en inglés del concepto “Weighted Average Cost of Capital), es decir, el coste medio ponderado del capital. Se calcula a partir de la exigencia de rentabilidad de los aportantes de fondos (ajenos y propios) y de los pesos que los dos tipos de fondos tengan sobre el total.
En el caso que nos ocupa, el coste medio del capital es un dato que proporciona el propio planteamiento del mismo; aunque la existencia de inflación va a exigir también algunas decisiones por parte del usuario con relación a este tema.
Como se ha indicado antes, los conceptos fundamentales que se trabajan en el caso (más allá de la aplicación de la técnica habitual en el cálculo de los flujos de caja) son dos: el tratamiento de la inflación (supuesto conocida, ya que se asume ambiente de certeza; lo que significa que no se pone en duda el comportamiento definido para las distintas variables en el enunciado del caso); y el concepto de “variabilidad a la decisión”, que obliga a tener en cuenta en cada caso “todo y solo lo que cambia con la decisión estudiada”.</t>
  </si>
  <si>
    <t xml:space="preserve">
Así, la estructura general de esta parte de la Hoja es la siguiente (pestañas que conforman el citado área):
- Pestaña 1: “Enunciado DISVISA”. En esta pestaña se describe la situación a estudiar y se proporciona la información relativa a las tres alternativas con las que cabe afrontar el proyecto de comercializar los productos de la empresa en una zona geográfica nueva.
- Pestaña 2: “Planteamiento general DISVISA”. De manera esquemática, se indican las “situaciones posibles”, la información que resulta común y distinta en cada una de ellas con relación a las demás y dos formas alternativas para afrontar el análisis de la inversión. Dado que hay cuatro situaciones posibles (no afrontar; afrontar con compra; afrontar con alquiler; afrontar con autoventistas), el análisis del proyecto exige la confección de tres perfiles de fondos posibles que muestren las diferencias entre las mencionadas situaciones, lo que puede hacerse de dos maneras distintas, fundamentalmente.
- Pestaña 3: “Reflexión general DISVISA”. Puede entenderse como una ampliación de la anterior, una explicación detallada del esquema presentado en la pestaña anterior, a la que el propio usuario debería haber llegado tras la lectura del enunciado.
- Pestaña 4: “Autoeval-sol DISVISA”. En esta pestaña se ofrece un resumen de la información relevante facilitada por el enunciado y la plantilla que el usuario debe rellenar. La plantilla consta de tres partes diferenciadas, en las que el usuario debe confeccionar tres perfiles de fondos (cada uno de ellos “incrementales con respecto a la alternativa de no afrontar el proyecto”), así como calcular la medida más importante del interés de los proyectos de inversión (el Valor Actualizado Neto, VAN; que exige también decidir el tipo de descuento aplicable, que debe ser coherente con la forma en que se estiman los perfiles de fondos). En los tres casos la plantilla “obliga” a calcular el perfil de fondos en moneda corriente, aunque en el primero de ellos puede comprobarse que el resultado obtenido sería el mismo si se elimina (de manera correcta) el efecto de la inflación en el análisis (es decir, si se convierte el perfil de fondos definido inicialmente en moneda corriente en moneda constante, utilizando en este caso como tipo de descuento el tipo real).</t>
  </si>
  <si>
    <t xml:space="preserve">
- Pestaña 5: “Solución correcta DISVISA”. En esta pestaña el usuario puede consultar la solución correcta coherente con la pestaña de Autoevaluación anterior.
- Pestaña 6: “Autoeval-sol alternat DISVISA”. En esta pestaña el usuario debe confeccionar los tres perfiles de fondos necesarios para discriminar cuál de las cuatro situaciones posibles es la mejor, pero jugando de manera distinta con el concepto de variabilidad a la decisión. En concreto, y a diferencia de las dos pestañas anteriores, no se compara cada una de las situaciones posibles con respecto a “no afrontar el proyecto”, sino que, en cada caso, se va comparando la nueva alternativa con la mejor de las anteriores. El usuario podrá comprobar cómo en este caso la decisión será idéntica a la obtenida en la aproximación anterior, aunque las cifras intermedias no coincidan.
- Pestaña 7: “Solución alternativa DISVISA”. En esta pestaña el usuario podrá consultar la solución correcta a la plantilla presentada en la anterior.
- Pestaña 8: “Inflac vs No inflación DISVISA”. En esta pestaña el usuario podrá comprobar el impacto que la no consideración de la inflación provoca en los distintos perfiles estudiados y en el resultado final, haciéndole consciente de los errores que podrían cometerse si se decide prescindir de la inflación.</t>
  </si>
  <si>
    <t>Planteamiento general DISVISA</t>
  </si>
  <si>
    <t xml:space="preserve">
En esta pestaña, y de manera esquemática, se indican las “situaciones posibles”, la información que resulta común y distinta en cada una de ellas con relación a las demás y dos formas alternativas para afrontar el análisis de la inversión (todo ello con relación al caso planteado en la pestaña "Enunciado DISVISA")..
Dado que hay cuatro situaciones posibles (no afrontar; afrontar con compra; afrontar con alquiler; afrontar con autoventistas), el análisis del proyecto exige la confección de tres perfiles de fondos posibles que muestren las diferencias entre las mencionadas situaciones, lo que puede hacerse de dos maneras distintas, fundamentalmente: comparando cada una de ellas con respecto a la opción "No afrontar el proyecto"; o realizando en cada momento las comparaciones con la mejor de las alternativas anteriores.</t>
  </si>
  <si>
    <t>Reflexión general DISVISA</t>
  </si>
  <si>
    <t xml:space="preserve">
Esta pestaña puede entenderse como una ampliación de la anterior, una explicación detallada del esquema presentado en la pestaña anterior, a la que el propio usuario debería haber llegado tras la lectura del enunciado.</t>
  </si>
  <si>
    <t>Autoeval-sol DISVISA</t>
  </si>
  <si>
    <t xml:space="preserve">
En esta pestaña se ofrece un resumen de la información relevante facilitada por el enunciado (pestaña "Enunciado DISVISA") y la plantilla que el usuario debe rellenar.
La plantilla consta de tres partes diferenciadas, en las que el usuario debe confeccionar tres perfiles de fondos (cada uno de ellos “incrementales con respecto a la alternativa de no afrontar el proyecto”), así como calcular la medida más importante del interés de los proyectos de inversión (el Valor Actualizado Neto, VAN; que exige también decidir el tipo de descuento aplicable, que debe ser coherente con la forma en que se estiman los perfiles de fondos). En los tres casos la plantilla “obliga” a calcular el perfil de fondos en moneda corriente, aunque en el primero de ellos puede comprobarse que el resultado obtenido sería el mismo si se elimina (de manera correcta) el efecto de la inflación en el análisis (es decir, si se convierte el perfil de fondos definido inicialmente en moneda corriente en moneda constante, utilizando en este caso como tipo de descuento el tipo real).
Como siempre en las pestañas de “Autoevaluación”, es el usuario el que debe resolver el supuesto planteado. Para ello, la pestaña ofrece siempre un resumen de la información relevante (al objeto de un más fácil acceso, las celdillas correspondientes están desprotegidas, aunque no son modificables) y la plantilla de resolución a rellenar (celdillas coloreadas en azul turquesa y recuadradas). La Excel detecta posibles valores absurdos (texto en lugar de números) y ofrece “globos” explicativos del elemento solicitado que se activan al situar el cursor sobre las celdillas correspondientes.
Una vez rellenada la información solicitada (y siempre supuesto que no haya información absurda detectada por la Excel, fundamentalmente que no hay celdillas rellenados con texto), el usuario puede solicitar la “corrección del caso”: la Excel indicará las celdillas correctas (que aparecerán en verde) y las que resultan ser erróneas (que se muestran en rojo).
Además, el usuario puede solicitar la explicación (numérica y en formato texto) relativa a cualquiera de las cifras que componen la plantilla de resolución: para ello, deberá introducir el código de la celdilla en la que está interesado (que puede conocer simplemente situando el cursor sobre la celdilla deseada, lo que activa un globo informativo con el código asignado a la misma)</t>
  </si>
  <si>
    <t>Solución correcta DISVISA</t>
  </si>
  <si>
    <t xml:space="preserve">
En esta pestaña el usuario puede consultar la solución correcta coherente con la pestaña de Autoevaluación anterior ("Autoeval-sol DISVISA").
Como siempre en las pestañas denominadas “Solución”, el usuario puede consultar la solución a lo planteado en la pestaña de “Autoevaluación" correspondiente, pudiendo también solicitar la explicación numérica y en forma de texto de cualquiera de las cifras implicadas; para ello, deberá introducir el código de la celdilla en la que está interesado (que puede conocer simplemente situando el cursor sobre la celdilla deseada, lo que activa un globo informativo con el código asignado a la misma).</t>
  </si>
  <si>
    <t>Autoeval-sol alternat DISVISA</t>
  </si>
  <si>
    <t xml:space="preserve">
En esta pestaña el usuario debe confeccionar los tres perfiles de fondos necesarios para discriminar cuál de las cuatro situaciones posibles es la mejor, pero jugando de manera distinta con el concepto de variabilidad a la decisión. En concreto, y a diferencia de las dos pestañas anteriores, no se compara cada una de las situaciones posibles con respecto a “no afrontar el proyecto”, sino que, en cada caso, se va comparando la nueva alternativa con la mejor de las anteriores. El usuario podrá comprobar cómo en este caso la decisión será idéntica a la obtenida en la aproximación anterior, aunque las cifras intermedias no coincidan.
Como siempre en las pestañas de “Autoevaluación”, es el usuario el que debe resolver el supuesto planteado. Para ello, la pestaña ofrece siempre un resumen de la información relevante (al objeto de un más fácil acceso, las celdillas correspondientes están desprotegidas, aunque no son modificables) y la plantilla de resolución a rellenar (celdillas coloreadas en azul turquesa y recuadradas). La Excel detecta posibles valores absurdos (texto en lugar de números) y ofrece “globos” explicativos del elemento solicitado que se activan al situar el cursor sobre las celdillas correspondientes.
Una vez rellenada la información solicitada (y siempre supuesto que no haya información absurda detectada por la Excel, fundamentalmente que no hay celdillas rellenados con texto), el usuario puede solicitar la “corrección del caso”: la Excel indicará las celdillas correctas (que aparecerán en verde) y las que resultan ser erróneas (que se muestran en rojo).
Además, el usuario puede solicitar la explicación (numérica y en formato texto) relativa a cualquiera de las cifras que componen la plantilla de resolución: para ello, deberá introducir el código de la celdilla en la que está interesado (que puede conocer simplemente situando el cursor sobre la celdilla deseada, lo que activa un globo informativo con el código asignado a la misma)</t>
  </si>
  <si>
    <t>Solución alternativa DISVISA</t>
  </si>
  <si>
    <t xml:space="preserve">
En esta pestaña el usuario podrá consultar la solución correcta a la plantilla presentada en la anterior ("Autoeval-sol alternat DISVISA").
Como siempre en las pestañas denominadas “Solución”, el usuario puede consultar la solución a lo planteado en la pestaña de “Autoevaluación" correspondiente, pudiendo también solicitar la explicación numérica y en forma de texto de cualquiera de las cifras implicadas; para ello, deberá introducir el código de la celdilla en la que está interesado (que puede conocer simplemente situando el cursor sobre la celdilla deseada, lo que activa un globo informativo con el código asignado a la misma).</t>
  </si>
  <si>
    <t>Inflac vs No inflación DISVISA</t>
  </si>
  <si>
    <t xml:space="preserve">
En esta pestaña el usuario podrá comprobar el impacto que la no consideración de la inflación provoca en los distintos perfiles estudiados y en el resultado final, haciéndole consciente de los errores que podrían cometerse si se decide prescindir de la inflación (todo ello con relación al caso planteado en la pestaña "Enunciado DISVISA").</t>
  </si>
  <si>
    <t>Incrementalidad Autoeval-sol</t>
  </si>
  <si>
    <t xml:space="preserve">
Los casos prácticos que se presentan en las dos pestañas que componen esta parte de la Hoja pretenden ser de utilidad en la adquisición de competencias relacionadas con el análisis del interés de propuestas de inversión, y más concretamente, en lo que tiene que ver con un concepto fundamental en Teoría de la decisión: el de “incrementalidad”, “marginalidad” o “variabilidad a la decisión”.
A la hora de analizar si es mejor una alternativa “A” o una alternativa “B” entre las que es necesario elegir, lo relevante es considerar “lo que es distinto en ambas alternativas”; lo que resulte ser común puede ser interesante o relevante desde multitud de puntos de vista, pero no a la hora de discriminar cuál de las dos es más adecuada. Esta idea que parece obvia a primera vista (lo que me ayuda a detectar la mejor de dos posibles elecciones es lo que cambia al elegir una frente a la otra) presenta una mayor dificultad de lo que parece al aplicarla en el mundo real. En mi experiencia de más de treinta años en cursos de formación ejecutiva (tanto en programas abiertos, como en los llamados “In Company”) he constatado que la mayoría de los problemas que encuentran los alumnos que se enfrentan a este tipo de decisiones están en muchas ocasiones relacionados con el tema aludido: es de la máxima importancia, pues, tener claro cuáles son las situaciones a comparar y las implicaciones de optar por u otro camino, para de esta manera poder calcular las diferencias que, en términos de caja, se producen entre ellas.
Partiendo de una base de conocimiento suficiente (fundamentalmente relacionada con la habilidad para calcular los llamados “perfiles de fondos” de los proyectos de inversión, que reflejan los impactos que estos provocan en la tesorería de la empresa a lo largo de su vida útil y que se han trabajado en pestañas anteriores), en este caso práctico se presentan siete situaciones diferentes (con datos muy similares y tomados de una realidad suficientemente simplificada) que permiten trabajar la competencia relacionada con la detección de las diferencias, siempre en términos de impactos en caja y con el signo adecuado, que se producen al comparar las dos situaciones implícitas en cada supuesto. En todos los casos se trata de “decisiones de inversión”, y las diferencias radican en la definición de las mencionadas situaciones a comparar:
- Planteamiento 1: Continuación frente a abandono. De lo que se trata en este caso es de comparar el valor actual de los flujos asociados a una actividad, que viene desarrollándose en el pasado, con el dinero que podría obtenerse si se liquidaran los activos correspondientes. Dicho de otro modo, percibir los flujos de caja futuros asociados a la actividad exige renunciar al importe que puede conseguirse hoy por la venta de las instalaciones y la recuperación del fondo de maniobra. Así pues, el importe asociado a la liquidación actúa como “desembolso inicial” del proyecto “continuar con la actividad”, resultando ser incrementales todos los datos relativos a ventas, costes, amortizaciones, fondo de maniobra, etc.</t>
  </si>
  <si>
    <t xml:space="preserve">
- Planteamiento 2: Reparación frente a abandono. En este caso las alternativas a comparar son: reparar una instalación averiada (lo que exige incurrir en un desembolso inicial; y también lleva aparejada lógicamente la renuncia a venderla en las condiciones en las se encuentra en la actualidad, así como a recuperar hoy el fondo de maniobra) o abandonar la actividad (lo que permitiría ahorrar el coste de la reparación y obtener el importe que corresponda por la liquidación del inmovilizado y el fondo de maniobra; pero obligaría a renunciar a los flujos asociados a la mencionada actividad). Por lo tanto, el procedimiento a aplicar consiste en comparar el valor actual de los flujos asociados a la instalación reparada con el coste de la reparación al que se añade el importe que podría obtenerse hoy por la liquidación de la citada instalación y del fondo de maniobra.
- Planteamiento 3: Elección entre dos alternativas de inversión (Estrategia “B” frente a Estrategia “A”). Se trata en este caso de elegir cuál de dos formas posibles de afrontar un proyecto es más interesante. Hay una serie de datos comunes a ambas alternativas (ventas y costes con desembolso, así como los saldos de clientes y proveedores), mientras que otros son específicos de cada una de las dos estrategias (el desembolso a realizar, tanto en inmovilizado como en inventarios; lo que en cascada provoca también efectos diferentes en amortizaciones y valor residual). Así pues, y como se trata de elegir una alternativa o la otra, deben restarse los valores asociados a ambas (la Excel está parametrizada pensando en lo que aporta “B” a “A”).
- Planteamiento 4: Estudio de una decisión de sustitución (nueva instalación frente a vieja). En este caso se trata de discriminar si es mejor continuar con la instalación actual o cambiarla por una nueva a la hora de realizar la actividad ordinaria de la empresa. La decisión de sustitución obligaría a incurrir en un desembolso inicial, pero permitiría vender la instalación vieja y desinvertir en almacenes. La mencionada decisión aportaría lógicamente unas ventas y costes operativos adicionales con respecto a la situación actual, lo que provocaría a su vez efectos en circulantes (clientes y proveedores), así como en las amortizaciones (que deberán restarse, ya que “o se amortiza la nueva o se amortiza la vieja”) y en el valor residual.
- Planteamiento 5: Estudio de una decisión de sustitución (nueva instalación frente a reparación de la instalación actual). En este caso se trata de comparar si es mejor reparar una instalación averiada o sustituirla por una nueva (no se pone en cuestión el hecho de que va a seguir comercializándose el producto que se fabrica con ella). La sustitución aporta unas ventas y costes incrementales (que provocan también efectos diferenciales en circulantes -clientes, existencias y proveedores-); pero exigiría realizar una inversión por un importe superior al coste de la reparación. En lo que concierne a la reparación, sus efectos en la amortización son distintos según se considere mejora (se amortizaría) o gasto (el efecto fiscal se produciría en el momento de realizarla). En la Excel se le da el tratamiento de una mejora.</t>
  </si>
  <si>
    <t xml:space="preserve">
- Planteamiento 6: inversión que exige compra de instalación y renuncia a la venta de otra. Se trata en este caso de analizar el interés de un proyecto que exigiría comprar una instalación nueva y posponer la venta de otra que posee la empresa y actualmente no utiliza. El proyecto supondría conseguir unas ventas y costes incrementales (que provocarían también efectos en circulantes -existencias, clientes y proveedores-); además, tendría también efectos en el desembolso inicial, valor residual y la amortización de inmovilizados: en todos los casos, deben sumarse los importes correspondientes a la nueva instalación y a la “infrautilizada”, ya que las dos situaciones a comparar son, en este caso, “utilizar las dos instalaciones” frente a “no tener ninguna”.
- Planteamiento 7: inversión en intangibles (aplicación informática) que permite reducir stocks. El proyecto que se analiza aquí consiste en contratar con una empresa especializada el desarrollo de una aplicación informática que permitiría mejorar los procesos, lo que provocaría un único efecto: la posibilidad de reducir el inventario actual. Las ventas y costes se mantendrían constantes (así como los saldos en cuentas pendientes de cobro y pago), por lo que los únicos efectos incrementales vienen dados por: el desembolso que supone la compra de la aplicación (y las amortizaciones correspondientes) y la recuperación de una parte de la inversión en inventarios (que se produciría antes con la aplicación con respecto al momento en que se recuperaría sin ella).
El usuario decide en un primer paso el caso con el que desea trabajar (en la celdilla a rellenar para expresar este deseo se activa un globo que indica los valores posibles –número entero comprendido entre 1 y 7- y la definición del caso). Una vez elegido el problema con el que trabajar, la Excel genera “el enunciado”.
Después de leer el planteamiento, el usuario puede consultar el resumen de la información relevante que genera la propia Excel, y proceder al relleno de los datos solicitados en la plantilla correspondiente (suministrada también por la Hoja de cálculo).
Las celdillas que recogen el resumen del enunciado se encuentran desprotegidas para una mayor comodidad a la hora de hacer referencia a las mismas en los cálculos a realizar en la plantilla a rellenar, pero no pueden modificarse por el usuario (en el caso de hacerlo, la pestaña completa se desactiva: todas las celdillas aparecen en blanco y se muestra el mensaje “No puede modificarse ese dato. Deshaga operación (Ctrl-Z) para seguir trabajando”. La hoja no se activará de nuevo hasta que no se haya procedido a deshacer la operación anterior).</t>
  </si>
  <si>
    <t xml:space="preserve">
La Excel detecta la introducción de valores absurdos en el relleno de la plantilla (por ejemplo, introducción de texto en celdillas que solo admiten datos numéricos). Y no puede solicitarse la corrección de los cálculos realizados hasta que se corrijan los posibles errores detectados.
Una vez resuelto el caso práctico, y siempre supuesto que no se han introducido en la plantilla de resolución valores absurdos (texto en lugar de números; etc.), el usuario puede solicitar su corrección introduciendo una “x” en la celdilla correspondiente. La Excel indicará cuáles son las celdillas cuyo contenido es correcto y cuáles no (se tiñen de verde las celdillas acertadas y aparecen en rojo las que presentan datos equivocados).
Además, se activan dos celdillas adicionales que permiten al usuario solicitar la explicación correcta (numérica y en formato de texto) de cualquier valor de la plantilla (para identificar el código de la celdilla de la que se desea información basta con situar el cursor sobre la misma y se activa un comentario con el código asignado -que debe introducirse en la celdilla correspondiente-); y solicitar una información adicional relacionada con algún aspecto concreto de la solución sobre la que se tenga interés (1. Planteamiento general; 2. Desembolso inicial; 3. Amortización de inmovilizados; 4. Existencias; 5. Valor residual; 6. Decisión final).
Una vez concluido el proceso de estudio de un caso concreto (lectura y resolución, petición de la corrección correspondiente, consulta y resolución de posibles dudas), el usuario puede repetir el proceso con cualquiera de los planteamientos alternativos. Antes de solicitar el enunciado y plantilla para el nuevo caso, es aconsejable borrar todos los contenidos relacionados con el anterior. Para ello, la Excel ofrece la posibilidad de que el usuario identifique de manera sencilla todas las celdillas cuyos contenidos es conveniente borrar: introduciendo una “x” en la celdilla correspondiente, se muestran en amarillo las celdillas a borrar, desapareciendo el resto de información no relevante.
La Excel dispone, dentro de esta misma área, de una segunda pestaña en la que el usuario puede limitarse solo a consultar la solución de cualquiera de los casos considerados, pestaña en la que tiene también la posibilidad de solicitar la explicación (en formato numérico y de texto) relativa a cualquier celdilla y consultar los aspectos generales de la solución correcta (relativos al planteamiento general, cálculo del desembolso inicial, etc.).</t>
  </si>
  <si>
    <t>Incrementalidad Solución</t>
  </si>
  <si>
    <t xml:space="preserve">
En esta pestaña el usuario podrá consultar la solución correcta a los enunciados planteados en la anterior ("Incrementalidad Autoeval-sol").
Como siempre en las pestañas denominadas “Solución”, el usuario puede consultar la solución a lo planteado en la pestaña de “Autoevaluación" correspondiente, pudiendo también solicitar la explicación numérica y en forma de texto de cualquiera de las cifras implicadas; para ello, deberá introducir el código de la celdilla en la que está interesado (que puede conocer simplemente situando el cursor sobre la celdilla deseada, lo que activa un globo informativo con el código asignado a la misma).</t>
  </si>
  <si>
    <t>ELEMENTOS DE FINANZAS CORPORATIVAS, de Fernando Gómez–Bezares. Publicado en Desclée de Brouwer, Bilbao, 2012.</t>
  </si>
  <si>
    <t xml:space="preserve">Capítulo 1: "FUNCIONES y OBJETIVOS DE LA DIRECCIÓN FINANCIERA" </t>
  </si>
  <si>
    <t xml:space="preserve">Capítulo 2: "LA EMPRESA: UN SISTEMA DE FLUJOS DE FONDOS" </t>
  </si>
  <si>
    <t xml:space="preserve">Capítulo 3: "RELACIONES ECONÓMICO-FINANCIERAS" </t>
  </si>
  <si>
    <t>Capítulo 4: "LA CONCLUSIÓN DEL ANÁLISIS Y LA PROYECCIÓN FINANCIERA"</t>
  </si>
  <si>
    <t>Capítulo 5: "LA INVERSIÓN EN CONDICIONES DE CERTEZA"</t>
  </si>
  <si>
    <t xml:space="preserve">Capítulo 6: "LA INVERSIÓN EN CONDICIONES DE RIESGO" </t>
  </si>
  <si>
    <t xml:space="preserve">Capítulo 7: "LA FINANCIACIÓN" </t>
  </si>
  <si>
    <t>Capítulo 8: "LA GESTIÓN DE LOS CIRCULANTES"</t>
  </si>
  <si>
    <t>ANEXO: "NOVEDADES EN LAS FINANZAS CORPORATIVAS"</t>
  </si>
  <si>
    <t>NUEVOS CASOS PRÁCTICOS DE INVERSIÓN Y FINANCIACIÓN, de Javier Santibáñez Grúber y Fernando Gómez-Bezares Pascual. Publicado en Desclée de Brouwer, Bilbao, 2014, 3ª ed.</t>
  </si>
  <si>
    <t>Casos prácticos para realizar en clase</t>
  </si>
  <si>
    <t>Casos prácticos complementarios a los realizados en clase</t>
  </si>
  <si>
    <t>Otros Casos prácticos (para trabajos en grupos, etc.)</t>
  </si>
  <si>
    <t>Ejercicios cortos (temas puntuales)</t>
  </si>
  <si>
    <t>Casos prácticos resueltos</t>
  </si>
  <si>
    <t>Rutinas de trabajo</t>
  </si>
  <si>
    <t>1. Proyección financiera</t>
  </si>
  <si>
    <t>2. Estados de fuentes y empleos de fondos</t>
  </si>
  <si>
    <t>3. Pirámides de ratios</t>
  </si>
  <si>
    <t>4. Inversión en condiciones de certeza</t>
  </si>
  <si>
    <t>5. Inversión en condiciones de riesgo</t>
  </si>
  <si>
    <t>6. Cálculo del coste de los fondos</t>
  </si>
  <si>
    <t>GESTIÓN PRÁCTICA DE PYMES. Cómo mejorar los resultados de la empresa, de Dionisio Cámara y Javier Santibáñez. Publicado en Garceta Grupo Editorial, Madrid, 2010.</t>
  </si>
  <si>
    <t>Capítulo 1 "Concepto y finalidad de la empresa"</t>
  </si>
  <si>
    <t>Capítulo 2 "La forma jurídica de la empresa"</t>
  </si>
  <si>
    <t>Capítulo 3 "La planificación estratégica empresarial con orientación mercado"</t>
  </si>
  <si>
    <t>Capítulo 4 "El marketing como orientación de las empresas hacia el mercado"</t>
  </si>
  <si>
    <t>Capítulo 5 "Planificación de la función de marketing"</t>
  </si>
  <si>
    <t>Capítulo 6 "El concepto actual de la función comercial"</t>
  </si>
  <si>
    <t>Capítulo 7 "La contabilidad y fiscalidad en la emrpesa"</t>
  </si>
  <si>
    <t>Capítulo 8 "Conceptos financieros para la toma de decisiones"</t>
  </si>
  <si>
    <t>Capítulo 9 "Herramientas de análisis económico-financiero"</t>
  </si>
  <si>
    <t>Capítulo 10 "Gestión de tesorería"</t>
  </si>
  <si>
    <t>https://www.eumed.net/libros-gratis/2013a/1290/index.htm</t>
  </si>
  <si>
    <t>FINANZAS DE EMPRESA (Selección de lecturas), de Góme-Bezares, F., J.A. Madariaga, J. Santibáñez y A. Apraiz (Editores), 2013. Sociedad para la Promoción y Reconversión Industrial, SPRI, Bilbao. Disponible para su lectura o descarga gratuita en www.eumed.net (Enciclopedia multimedia y Biblioteca virtual de Economía, EMVI).</t>
  </si>
  <si>
    <t>http://www.eumed.net/libros-gratis/2013a/1290/teoria-financiera.html</t>
  </si>
  <si>
    <t>1. PANORAMA DE LA TEORÍA FINANCIERA, por Fernando Gómez-Bezares. Publicado en el Boletín de Estudios Económicos, nº 156, Diciembre, 1995, págs. 411-448.</t>
  </si>
  <si>
    <t>https://www.eumed.net/libros-gratis/2013a/1290/02-Nota-critica.pdf</t>
  </si>
  <si>
    <t>2. UNA NOTA CRÍTICA SOBRE LA ACTUAL INVESTIGACIÓN, por Fernando Gómez-Bezares. Publicado en Cuadernos de Economía y Dirección de la Empresa, nº 24, 2005, págs. 105–120.</t>
  </si>
  <si>
    <t>http://www.eumed.net/libros-gratis/2013a/1290/etica.html</t>
  </si>
  <si>
    <t>3. ÉTICA Y OBJETIVO FINANCIERO EN FINANZAS, por Fernando Gómez-Bezares. Publicado en el Boletín de Estudios Económicos, nº 144, Diciembre, 1991, págs. 435-463.</t>
  </si>
  <si>
    <t>http://www.eumed.net/libros-gratis/2013a/1290/eficiencia.html</t>
  </si>
  <si>
    <t>4. ÉTICA, EFICIENCIA Y RESPONSABILIDAD SOCIAL CORPORATIVA, por Fernando Gómez-Bezares. Publicado en Signos Universitarios (Revista de la Universidad del Salvador, Buenos Aires, Argentina), Año XXX, nº 47, 2011, págs. 123-138.</t>
  </si>
  <si>
    <t>http://www.eumed.net/libros-gratis/2013a/1290/empleos-fondos.html</t>
  </si>
  <si>
    <t>5. EL ESTADO DE FUENTES Y EMPLEOS DE FONDOS: UNA HERRAMIENTA IMPRESCINDIBLE EN EL ANÁLISIS FINANCIERO, por F. Gómez-Bezares, J. A. Madariaga y J. Santibáñez. Publicado (en una versión similar) en Harvard–Deusto Finanzas &amp; Contabilidad, nº 49, Septiembre–Octubre, 2002, págs. 18–28.</t>
  </si>
  <si>
    <t>http://www.eumed.net/libros-gratis/2013a/1290/nuevo-pgc.html</t>
  </si>
  <si>
    <t>6. EL ESTADO DE FUENTES Y EMPLEOS DE FONDOS COMO HERRAMIENTA DE ANÁLISIS ECONÓMICO-FINANCIERO: UNA PROPUESTA ADAPTADA AL NUEVO PGC-2007, por Javier Santibáñez y Amaia Apraiz. Publicado en el Boletín de Estudios Económicos, nº 208, Abril, 2013, págs. 89-122.</t>
  </si>
  <si>
    <t>http://www.eumed.net/libros-gratis/2013a/1290/ratios.html</t>
  </si>
  <si>
    <t>7. MODELOS INTEGRADOS DE ANÁLISIS FINANCIERO MEDIANTE RATIOS, por F. Gómez-Bezares, J. A. Madariaga y J. Santibáñez. Publicado (en una versión similar) en Harvard–Deusto Finanzas &amp; Contabilidad, nº 51, Enero–Febrero, 2003, págs. 30–45.</t>
  </si>
  <si>
    <t>http://www.eumed.net/libros-gratis/2013a/1290/piramide-ratios.html</t>
  </si>
  <si>
    <t>8. ALGUNAS REFLEXIONES Y NOVEDADES ACERCA DE LA PIRÁMIDE DE RATIOS, por F. Gómez-Bezares, J. A. Madariaga y J. Santibáñez. Publicado (en una versión similar) en el Boletín de Estudios Económicos, nº 167, Agosto, 1999, págs. 329–359.</t>
  </si>
  <si>
    <t>http://www.eumed.net/libros-gratis/2013a/1290/finanzas.html</t>
  </si>
  <si>
    <t>9. FINANZAS PARA EL BIENESTAR , por Fernando Gómez-Bezares y Javier Santibáñez. Publicado (en una versión similar) en el Boletín de Estudios Económicos, nº 159, Diciembre, 1996, págs. 451–472.</t>
  </si>
  <si>
    <t>http://www.eumed.net/libros-gratis/2013a/1290/van.html</t>
  </si>
  <si>
    <t>10. VAN vs TRI: ALGUNOS EJEMPLOS PRÁCTICOS , por F. Gómez-Bezares, J. A. Madariaga y J. Santibáñez. Publicado (en una versión similar) en Harvard–Deusto Finanzas &amp; Contabilidad, nº 7, Septiembre–Octubre, 1995, págs. 48–58.</t>
  </si>
  <si>
    <t>11. EL EFECTO DE LA INFLACIÓN EN EL ANÁLISIS DE LAS INVERSIONES , por F. Gómez-Bezares, J. A. Madariaga y J. Santibáñez. Publicado (en una versión similar) en Harvard–Deusto Finanzas &amp; Contabilidad, nº 11, Mayo–Junio, 1996, págs. 47–56.</t>
  </si>
  <si>
    <t>https://www.eumed.net/libros-gratis/2013a/1290/valor.html</t>
  </si>
  <si>
    <t>12. DE LA VALORACIÓN DE EMPRESAS A LA GESTIÓN DEL VALOR , por Fernando Gómez-Bezares y Javier Santibáñez. Publicado en Las finanzas y la creación de valor. 50 reflexiones desde la economía financiera, de Fernando Gómez-Bezares, Price Waterhouse, 1998, págs. 183-190.</t>
  </si>
  <si>
    <t>https://www.eumed.net/libros-gratis/2013a/1290/empresa.html</t>
  </si>
  <si>
    <t>13. CÁLCULO Y GESTIÓN DEL VALOR DE LA EMPRESA , por Fernando Gómez-Bezares y Javier Santibáñez. Publicado en el Boletín de Estudios Económicos, nº 162, Diciembre, 1997, págs. 429–457.</t>
  </si>
  <si>
    <t>https://www.eumed.net/libros-gratis/2013a/1290/inversion.html</t>
  </si>
  <si>
    <t>14. EL CONTROL EN LA DECISIÓN DE INVERSIÓN , por Javier Santibáñez Grúber. Publicado (en una versión similar) en el Boletín de Estudios Económicos, nº 147, Diciembre, 1992, págs. 391–410.</t>
  </si>
  <si>
    <t>http://www.eumed.net/libros-gratis/2013a/1290/riesgo.html</t>
  </si>
  <si>
    <t>15. LA DECISIÓN DE INVERSIÓN EN ENTORNOS DE RIESGO , por F. Gómez-Bezares, J. A. Madariaga y J. Santibáñez. Publicado en Estudios Empresariales, nº 107, 2001 (Tercer Cuatrimestre), págs. 22–37.</t>
  </si>
  <si>
    <t>https://www.eumed.net/libros-gratis/2013a/1290/vap.html</t>
  </si>
  <si>
    <t>16. EL TRATAMIENTO DEL RIESGO EN LA DECISIÓN DE INVERSIÓN: VAP y distribuciones no conocidas, por Javier Santibáñez Grúber. Publicado (en una versión similar) en el Boletín de Estudios Económicos, nº 154, Abril, 1995, págs. 119–140.</t>
  </si>
  <si>
    <t>https://www.eumed.net/libros-gratis/2013a/1290/mercados.html</t>
  </si>
  <si>
    <t>17. LOS NUEVOS INSTRUMENTOS Y MERCADOS FINANCIEROS: El camino de la innovación financiera desde la perspectiva del riesgo, por Fernando Gómez-Bezares. Publicado en el Boletín de Estudios Económicos, nº 140, Agosto, 1990, págs. 283-304.</t>
  </si>
  <si>
    <t>http://www.eumed.net/libros-gratis/2013a/1290/contabilidad.html</t>
  </si>
  <si>
    <t>18. LOS CRITERIOS DE VALORACIÓN EN EL NUEVO PLAN GENERAL DE CONTABILIDAD DE 2007: UNA EXPLICACIÓN SENCILLA Y ALGUNOS EJEMPLOS PRÁCTICOS , por Javier Santibáñez Grúber. Publicado en el Boletín de Estudios Económicos, nº 199, Abril, 2010, págs. 105–126.</t>
  </si>
  <si>
    <t>http://www.eumed.net/libros-gratis/2013a/1290/patrimonio.html</t>
  </si>
  <si>
    <t>19. ALGUNAS RELACIONES INTERESANTES ENTRE INVERSIÓN Y FINANCIACIÓN, por F. Gómez-Bezares, J. A. Madariaga y J. Santibáñez. Publicado en Harvard–Deusto Finanzas &amp; Contabilidad, nº 37, Septiembre–Octubre, 2000, págs. 48–59.</t>
  </si>
  <si>
    <t>http://www.eumed.net/libros-gratis/2013a/1290/financiacion-empresarial.html</t>
  </si>
  <si>
    <t>20. PANORAMA DE LA FINANCIACIÓN EMPRESARIAL , por Fernando Gómez-Bezares y Javier Santibáñez. Publicado con el título “Perspectiva histórica de la financiación empresarial”, en Revista de Contabilidad y Dirección, Vol. 12, 2011, págs. 115-143.</t>
  </si>
  <si>
    <t>http://www.eumed.net/libros-gratis/2013a/1290/dividendos.html</t>
  </si>
  <si>
    <t>21. POLÍTICA DE DIVIDENDOS, por Fernando Gómez-Bezares y Amaia Apraiz. Publicado en la Revista de Contabilidad y Dirección, vol. 15, 2012, págs. 167–184.</t>
  </si>
  <si>
    <t>https://www.eumed.net/cursecon/libreria/lgc/ped-lgc.htm</t>
  </si>
  <si>
    <t>LECTURAS SOBRE GESTIÓN DE CARTERAS, de Gómez-Bezares, F., J.A. Madariaga y J. Santibáñez (Editores), 2004. Disponible para su lectura o descarga gratuita en las siguientes páginas web: www.eumed.net (Enciclopedia multimedia y Biblioteca virtual de Economía, EMVI); www.fjvega.org (Fundación José de la Vega - DIEM); www.barataria.com (Booksellers, Libreros Reunidos, S.L.).</t>
  </si>
  <si>
    <t>https://www.eumed.net/cursecon/libreria/lgc/01.htm</t>
  </si>
  <si>
    <t>1. LA EFICIENCIA EN EL MERCADO BURSATIL ESPAÑOL, por F. Gómez-Bezares, J. A. Madariaga y J. V. Ugarte. Publicado en Actualidad Financiera, nº 42, Noviembre, 1988, págs. 2238-2250.</t>
  </si>
  <si>
    <t>https://www.eumed.net/cursecon/libreria/lgc/02.htm</t>
  </si>
  <si>
    <t>2. MODELOS DE VALORACION DE ACCIONES EN LA BOLSA DE BILBAO , por Fernando Gómez-Bezares. Publicado en Cuadernos de gestión, Marzo, 1989, págs. 103-128.</t>
  </si>
  <si>
    <t>https://www.eumed.net/cursecon/libreria/lgc/03.htm</t>
  </si>
  <si>
    <t>3. MODELOS DE VALORACION DE ACCIONES EN EL MERCADO DE CAPITALES ESPAÑOL (Experiencia empírica), por Fernando Gómez-Bezares. Comunicación presentada a la ponencia española en el Congreso nº 16 de la FEAAF (Federación Europea de Asociaciones de Analistas Financieros), Estocolmo, Junio, 1990. La versión en inglés aparece en las Actas del Congreso y la versión en castellano fue publicada en Análisis Financiero, nº 51, Julio, 1990, págs. 53-67.</t>
  </si>
  <si>
    <t>https://www.eumed.net/cursecon/libreria/lgc/04.htm</t>
  </si>
  <si>
    <t>4. LAS CARTERAS EN LA BOLSA DE BILBAO (1.980-1.987) , por Fernando Gómez-Bezares y Javier Santibáñez. Publicado en Actualidad Financiera, nº 28, Julio, 1991, págs. F547-F559.</t>
  </si>
  <si>
    <t>https://www.eumed.net/cursecon/libreria/lgc/05.htm</t>
  </si>
  <si>
    <t>5. RIESGO Y RENTABILIDAD EN MERCADOS DE TAMAÑO INTERMEDIO (el caso español), por F. Gómez-Bezares, J. A. Madariaga y J. Santibáñez. Comunicación presentada al III Foro de Finanzas, Universidad Comercial de Deusto, Bilbao, Nov.-Dic. de 1995. Publicado en Gómez-Bezares, F. y J. V. Ugarte, ed., III Foro de Finanzas, 1995, págs. 697-731 y en Análisis Financiero, nº 78, Segundo cuatrimestre, 1999, págs. 52-74.</t>
  </si>
  <si>
    <t>https://www.eumed.net/cursecon/libreria/lgc/06.htm</t>
  </si>
  <si>
    <t>6. MODELOS DE VALORACION Y EFICIENCIA: ¿BATE EL CAPM AL MERCADO?, por F. Gómez-Bezares, J. A. Madariaga y J. Santibáñez. Publicado en Análisis Financiero, nº 68, Primer cuatrimestre, 1996, págs. 72-96.</t>
  </si>
  <si>
    <t>https://www.eumed.net/cursecon/libreria/lgc/07.htm</t>
  </si>
  <si>
    <t>7. LOS PROBLEMAS ETICOS DE LA ESPECULACION , por Fernando Gómez-Bezares. Ponencia presentada en la mesa de ética del V Foro de Finanzas, Universidad de Málaga, y publicada en Nuevos desarrollos financieros, V Foro de Finanzas, Asociación Española de Finanzas, Málaga, 1997, págs. 693-703.</t>
  </si>
  <si>
    <t>https://www.eumed.net/cursecon/libreria/lgc/08.htm</t>
  </si>
  <si>
    <t>8. APLICACION PRACTICA DE LA TEORIA DE CARTERA , por Miguel Angel Larrínaga. Trabajo inédito preparado por Miguel Angel Larrínaga Ojanguren, Universidad Comercial de Deusto.</t>
  </si>
  <si>
    <t>https://www.eumed.net/cursecon/libreria/lgc/09.htm</t>
  </si>
  <si>
    <t>9. APROXIMACIÓN GRÁFICA A LA DIVERSIFICACIÓN INTERNACIONAL DE RIESGOS, por Fernando Gómez-Bezares y Miguel Angel Larrínaga. Publicado en Análisis Financiero, nº 74, 1998, págs. 10-17.</t>
  </si>
  <si>
    <t>https://www.eumed.net/cursecon/libreria/lgc/10.htm</t>
  </si>
  <si>
    <t>10. MODELOS INTERNACIONALES DE VALORACIÓN DE ACTIVOS: CONTRASTACIÓN EMPÍRICA, por Fernando Gómez-Bezares y Miguel Angel Larrínaga. presentada al VI Foro de Finanzas organizado por la Asociación Española de Finanzas (AEFIN) y la Universidad de Jaén en Úbeda en noviembre de 1998 y publicada en A. Partal y F. Moreno eds. (1998): Las Finanzas del Fin de Siglo, VI Foro de Finanzas, AEFIN y Universidad de Jaén, Jaén, págs. 439-456. La versión en inglés con el título “International Asset Pricing Models: A Comparative View” se presentó en diciembre de 1998 en la “11ª Annual Australasian Finance and Banking Conference” celebrada en Sidney (Australia), organizada por la “School of Banking and Finance” y el “Asia Pacific Financial Research Centre”, de la Universidad de South Wales, Australia. Dicha versión en inglés apareció publicada en las Actas del citado Congreso.</t>
  </si>
  <si>
    <t>https://www.eumed.net/cursecon/libreria/lgc/11.htm</t>
  </si>
  <si>
    <t>11. EL CAPM: METODOLOGÍAS DE CONTRASTE , por F. Gómez-Bezares, J. A. Madariaga y J. Santibáñez. Comunicación presentada al III Foro de Finanzas, Universidad Comercial de Deusto, Bilbao, Nov.-Dic. de 1995. Publicado en Gómez-Bezares, F. y J. V. Ugarte, ed., III Foro de Finanzas, 1995, págs. 663-695 y en el Boletín de Estudios Económicos, nº156, Diciembre, 1995, págs. 557-582.</t>
  </si>
  <si>
    <t>https://www.eumed.net/cursecon/libreria/lgc/12.htm</t>
  </si>
  <si>
    <t>12. EL PERFIL DE RIESGO DEL MERCADO DE FONDOS DE INVERSIÓN ESPAÑOL, por A. Babío, F. Gómez-Bezares, J. A. Madariaga y J. Santibáñez. Comunicación presentada al VI Foro de Finanzas de Segovia (Workshop in Finance), Segovia, 2, 3 y 4 de Julio de 2002. Publicado en las Actas del VI Foro de Finanzas de Segovia y en Análisis Financiero Internacional, nº 109, Tercer Trimestre, 2002, págs. 25-43.</t>
  </si>
  <si>
    <t>https://www.eumed.net/cursecon/libreria/lgc/13.htm</t>
  </si>
  <si>
    <t>13. MEDIDAS DE PERFORMANCE: ALGUNOS INDICES CLASICOS Y RELACION DE LA TRIP CON LA TEORIA DE CARTERA, por F. Gómez-Bezares, J. A. Madariaga y J. Santibáñez. Publicado (en versión reducida, sin apéndices) en Análisis Financiero Internacional, nº 113, Tercer Trimestre, 2003, págs. 5-19.</t>
  </si>
  <si>
    <t>Códigos consultas generales</t>
  </si>
  <si>
    <t>Códigos asociados a pestañas</t>
  </si>
  <si>
    <t xml:space="preserve">Introduce código de consulta </t>
  </si>
  <si>
    <t>Título de la consulta</t>
  </si>
  <si>
    <t>pantalla</t>
  </si>
  <si>
    <t>¿Por qué los saldos de Clientes, Existencias y Proveedores asociados al proyecto llevan aparejado el símbolo '∆'?</t>
  </si>
  <si>
    <t>Se trata en este caso de elegir cuál de dos formas posibles de afrontar un proyecto es más interesante. Hay una serie de datos comunes a ambas alternativas (ventas y costes operativos con desembolso, así como los saldos de clientes y proveedores), mientras que otros son específicos de cada una de las dos estrategias (el desembolso a realizar, tanto en inmovilizado como en inventarios; lo que en cascada provoca también efectos diferentes en amortizaciones y valor residual). Así pues, y como se trata de elegir una alternativa o la otra, deben restarse los valores asociados a ambas (la Excel está parametrizada pensando en lo que aporta 'B' a 'A').</t>
  </si>
  <si>
    <t>Dado que el proyecto exige realizar un desembolso en el momento inicial que debe considerarse como inversión (y no como gasto), la amortización incremental coincide con el importe que corresponda a dicha inversión.</t>
  </si>
  <si>
    <t>Amortización de inmovilizados. Dado que el proyecto exige realizar un desembolso en el momento inicial que debe considerarse como inversión (y no como gasto), la amortización incremental coincide con el importe que corresponda a dicha inversión.</t>
  </si>
  <si>
    <t xml:space="preserve">
Los ejercicios planteados son todos ellos originales y se construyen sobre una realidad imaginada , suficientemente estandarizada y simplificada (salvo en el caso de la empresa DISVISA, no se utilizan datos extraídos de la realidad, sino que son definidos por el usuario o por la propia Excel, dependiendo de que se utilice la versión avanzada o la básica, respectivamente; en este sentido, puede concebirse la presente Hoja como base para la utilización de otras herramientas también desarrollados por el mismo autor, que toman los datos de la realidad y que no constituyen el objeto de esta presentación).
No hay elementos importantes de originalidad en lo que se refiere al proceso general de estudio de la viabilidad de los proyectos de inversión, más allá de la forma en la que se aborda el proceso de aprendizaje y práctica de la mencionada técnica; aunque cabe indicar que la metodología general aplicada responde al particular enfoque desarrollado en la Universidad Comercial de Deusto (actualmente Deusto Business School) a lo largo de los últimos cincuenta años .</t>
  </si>
  <si>
    <t>Hay tres alternativas para la realización del proyecto: Compra almacén, Alquiler almacén o Autoventistas; y siempre cabe la posibilidad de no afrontarlo.
Lo anterior significa que hay cuatro escenarios entre los que hay que elegir, por lo que es necesario confeccionar tres perfiles de fondos incrementales (y 3 VANes).
Cabe hacerlo de diferentes maneras. Básicamente, serían las dos siguientes:
- Comparar cada alternativa de afrontar el proyecto con respecto a "no afrontarlo" (Camino 1). En este caso, el VAN de cada alternativa indicaría el valor creado por
    dicha alternativa con respecto a no afrontar el proyecto; y la decisión óptima sería aquella que consiguiera el máxima VAN (asumiendo, lógicamente, que no afrontar
    el proyecto supondría obtener un VAN nulo).
- Comparar cada alternativa frente a la mejor de las anteriores (Camino 2). Si empezamos comparando "Compra de almacén frente a no hacer nada", el VAN podría
    ser positivo (proyecto interesante) o negativo (proyecto rechazable). En el caso de que el VAN fuera mayor o igual que cero, compararíamos la siguiente alternativa
    (el Alquiler del almacén, por ejemplo) con respecto a la Compra; mientras que si el VAN fuera negativo, compararíamos el Alquiler del almacén con respecto a no
    hacer nada; y así sucesivamente.
En este segundo caso, la mejor alternativa resultaría de ir adoptando, en cada paso, la mejor de las comparadas.
Obviamente, el resultado final sería idéntico, aunque las cifras intermedias y los cálculos necesarios serían distintos.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</si>
</sst>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00"/>
    <numFmt numFmtId="165" formatCode="0.0000%"/>
    <numFmt numFmtId="166" formatCode="#,##0.0000"/>
    <numFmt numFmtId="167" formatCode="0.0"/>
    <numFmt numFmtId="168" formatCode="#,##0.00_ ;[Red]\-#,##0.00\ "/>
    <numFmt numFmtId="169" formatCode="#,##0.000"/>
  </numFmts>
  <fonts count="112">
    <font>
      <sz val="11"/>
      <color theme="1"/>
      <name val="Calibri"/>
      <family val="2"/>
      <scheme val="minor"/>
    </font>
    <font>
      <b/>
      <sz val="11"/>
      <color indexed="8"/>
      <name val="Calibri"/>
      <family val="2"/>
    </font>
    <font>
      <b/>
      <sz val="10"/>
      <name val="Geneva"/>
    </font>
    <font>
      <b/>
      <sz val="9"/>
      <color indexed="8"/>
      <name val="Calibri"/>
      <family val="2"/>
    </font>
    <font>
      <b/>
      <sz val="11"/>
      <name val="Calibri"/>
      <family val="2"/>
    </font>
    <font>
      <b/>
      <vertAlign val="subscript"/>
      <sz val="11"/>
      <name val="Calibri"/>
      <family val="2"/>
    </font>
    <font>
      <b/>
      <sz val="9"/>
      <color indexed="81"/>
      <name val="Tahoma"/>
      <family val="2"/>
    </font>
    <font>
      <sz val="10"/>
      <name val="Geneva"/>
    </font>
    <font>
      <vertAlign val="subscrip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FF0000"/>
      <name val="Calibri"/>
      <family val="2"/>
      <scheme val="minor"/>
    </font>
    <font>
      <b/>
      <i/>
      <sz val="11"/>
      <color rgb="FF7030A0"/>
      <name val="Calibri"/>
      <family val="2"/>
      <scheme val="minor"/>
    </font>
    <font>
      <b/>
      <i/>
      <sz val="11"/>
      <color rgb="FF00B0F0"/>
      <name val="Calibri"/>
      <family val="2"/>
      <scheme val="minor"/>
    </font>
    <font>
      <b/>
      <sz val="11"/>
      <color rgb="FF7030A0"/>
      <name val="Calibri"/>
      <family val="2"/>
      <scheme val="minor"/>
    </font>
    <font>
      <sz val="11"/>
      <name val="Calibri"/>
      <family val="2"/>
      <scheme val="minor"/>
    </font>
    <font>
      <b/>
      <sz val="11"/>
      <color rgb="FF0070C0"/>
      <name val="Calibri"/>
      <family val="2"/>
      <scheme val="minor"/>
    </font>
    <font>
      <b/>
      <sz val="11"/>
      <color rgb="FF00B050"/>
      <name val="Calibri"/>
      <family val="2"/>
      <scheme val="minor"/>
    </font>
    <font>
      <b/>
      <i/>
      <sz val="11"/>
      <color theme="1"/>
      <name val="Calibri"/>
      <family val="2"/>
      <scheme val="minor"/>
    </font>
    <font>
      <b/>
      <sz val="11"/>
      <name val="Calibri"/>
      <family val="2"/>
      <scheme val="minor"/>
    </font>
    <font>
      <b/>
      <i/>
      <sz val="11"/>
      <color theme="0"/>
      <name val="Calibri"/>
      <family val="2"/>
      <scheme val="minor"/>
    </font>
    <font>
      <b/>
      <i/>
      <sz val="10"/>
      <color rgb="FF00B050"/>
      <name val="Calibri"/>
      <family val="2"/>
      <scheme val="minor"/>
    </font>
    <font>
      <b/>
      <sz val="11"/>
      <color rgb="FF037303"/>
      <name val="Calibri"/>
      <family val="2"/>
      <scheme val="minor"/>
    </font>
    <font>
      <b/>
      <u/>
      <sz val="11"/>
      <color rgb="FF7030A0"/>
      <name val="Calibri"/>
      <family val="2"/>
      <scheme val="minor"/>
    </font>
    <font>
      <b/>
      <i/>
      <sz val="11"/>
      <name val="Calibri"/>
      <family val="2"/>
      <scheme val="minor"/>
    </font>
    <font>
      <b/>
      <u/>
      <sz val="11"/>
      <color rgb="FF0070C0"/>
      <name val="Calibri"/>
      <family val="2"/>
      <scheme val="minor"/>
    </font>
    <font>
      <b/>
      <sz val="11"/>
      <color rgb="FFCC3300"/>
      <name val="Calibri"/>
      <family val="2"/>
      <scheme val="minor"/>
    </font>
    <font>
      <b/>
      <sz val="11"/>
      <color rgb="FFC00000"/>
      <name val="Calibri"/>
      <family val="2"/>
      <scheme val="minor"/>
    </font>
    <font>
      <b/>
      <sz val="11"/>
      <color rgb="FFFF9900"/>
      <name val="Calibri"/>
      <family val="2"/>
      <scheme val="minor"/>
    </font>
    <font>
      <b/>
      <sz val="11"/>
      <color theme="8" tint="-0.499984740745262"/>
      <name val="Calibri"/>
      <family val="2"/>
      <scheme val="minor"/>
    </font>
    <font>
      <b/>
      <i/>
      <sz val="9"/>
      <color rgb="FF00B0F0"/>
      <name val="Calibri"/>
      <family val="2"/>
      <scheme val="minor"/>
    </font>
    <font>
      <b/>
      <sz val="10"/>
      <color theme="0"/>
      <name val="Geneva"/>
    </font>
    <font>
      <b/>
      <sz val="10"/>
      <color rgb="FFFF0000"/>
      <name val="Geneva"/>
    </font>
    <font>
      <b/>
      <sz val="10"/>
      <color theme="0"/>
      <name val="Calibri"/>
      <family val="2"/>
      <scheme val="minor"/>
    </font>
    <font>
      <b/>
      <sz val="11"/>
      <color rgb="FFFF0000"/>
      <name val="Calibri"/>
      <family val="2"/>
    </font>
    <font>
      <b/>
      <sz val="11"/>
      <color rgb="FF002060"/>
      <name val="Calibri"/>
      <family val="2"/>
      <scheme val="minor"/>
    </font>
    <font>
      <b/>
      <i/>
      <sz val="10"/>
      <color theme="1"/>
      <name val="Calibri"/>
      <family val="2"/>
      <scheme val="minor"/>
    </font>
    <font>
      <b/>
      <sz val="12"/>
      <color theme="0"/>
      <name val="Calibri"/>
      <family val="2"/>
      <scheme val="minor"/>
    </font>
    <font>
      <b/>
      <i/>
      <sz val="11"/>
      <color rgb="FFFF0000"/>
      <name val="Calibri"/>
      <family val="2"/>
      <scheme val="minor"/>
    </font>
    <font>
      <b/>
      <sz val="8"/>
      <color theme="0"/>
      <name val="Calibri"/>
      <family val="2"/>
      <scheme val="minor"/>
    </font>
    <font>
      <b/>
      <i/>
      <sz val="11"/>
      <color rgb="FF002060"/>
      <name val="Calibri"/>
      <family val="2"/>
      <scheme val="minor"/>
    </font>
    <font>
      <sz val="11"/>
      <color rgb="FF002060"/>
      <name val="Calibri"/>
      <family val="2"/>
      <scheme val="minor"/>
    </font>
    <font>
      <b/>
      <i/>
      <sz val="10"/>
      <name val="Calibri"/>
      <family val="2"/>
      <scheme val="minor"/>
    </font>
    <font>
      <b/>
      <i/>
      <sz val="10"/>
      <color theme="1"/>
      <name val="Calibri"/>
      <family val="2"/>
    </font>
    <font>
      <b/>
      <sz val="11"/>
      <color theme="0"/>
      <name val="Calibri"/>
      <family val="2"/>
    </font>
    <font>
      <b/>
      <i/>
      <sz val="11"/>
      <color theme="0"/>
      <name val="Calibri"/>
      <family val="2"/>
    </font>
    <font>
      <b/>
      <sz val="9"/>
      <color theme="0"/>
      <name val="Calibri"/>
      <family val="2"/>
    </font>
    <font>
      <b/>
      <vertAlign val="subscript"/>
      <sz val="11"/>
      <color theme="0"/>
      <name val="Calibri"/>
      <family val="2"/>
    </font>
    <font>
      <b/>
      <sz val="11"/>
      <color theme="0"/>
      <name val="Verdana"/>
      <family val="2"/>
    </font>
    <font>
      <b/>
      <sz val="9"/>
      <color theme="0"/>
      <name val="Calibri"/>
      <family val="2"/>
      <scheme val="minor"/>
    </font>
    <font>
      <b/>
      <i/>
      <sz val="10"/>
      <color theme="0"/>
      <name val="Calibri"/>
      <family val="2"/>
      <scheme val="minor"/>
    </font>
    <font>
      <sz val="10"/>
      <color theme="0"/>
      <name val="Geneva"/>
    </font>
    <font>
      <b/>
      <sz val="11"/>
      <color indexed="8"/>
      <name val="Calibri"/>
      <family val="2"/>
      <scheme val="minor"/>
    </font>
    <font>
      <b/>
      <i/>
      <sz val="10"/>
      <color rgb="FF00B050"/>
      <name val="Calibri"/>
      <family val="2"/>
    </font>
    <font>
      <b/>
      <i/>
      <sz val="10"/>
      <color rgb="FF0070C0"/>
      <name val="Calibri"/>
      <family val="2"/>
      <scheme val="minor"/>
    </font>
    <font>
      <b/>
      <i/>
      <sz val="10"/>
      <color rgb="FF002060"/>
      <name val="Calibri"/>
      <family val="2"/>
      <scheme val="minor"/>
    </font>
    <font>
      <sz val="11"/>
      <color theme="0"/>
      <name val="Calibri"/>
      <family val="2"/>
    </font>
    <font>
      <i/>
      <sz val="11"/>
      <color theme="0"/>
      <name val="Calibri"/>
      <family val="2"/>
      <scheme val="minor"/>
    </font>
    <font>
      <sz val="10"/>
      <name val="Calibri"/>
      <family val="2"/>
      <scheme val="minor"/>
    </font>
    <font>
      <sz val="11"/>
      <name val="Calibri"/>
      <family val="2"/>
    </font>
    <font>
      <b/>
      <sz val="10"/>
      <color indexed="9"/>
      <name val="Arial"/>
      <family val="2"/>
    </font>
    <font>
      <b/>
      <sz val="10"/>
      <color indexed="10"/>
      <name val="Arial"/>
      <family val="2"/>
    </font>
    <font>
      <b/>
      <sz val="10"/>
      <name val="Arial"/>
      <family val="2"/>
    </font>
    <font>
      <b/>
      <sz val="8"/>
      <color rgb="FFFF0000"/>
      <name val="Arial"/>
      <family val="2"/>
    </font>
    <font>
      <b/>
      <sz val="10"/>
      <color indexed="10"/>
      <name val="Symbol"/>
      <family val="1"/>
      <charset val="2"/>
    </font>
    <font>
      <sz val="10"/>
      <name val="Arial"/>
      <family val="2"/>
    </font>
    <font>
      <b/>
      <sz val="10"/>
      <color indexed="12"/>
      <name val="Arial"/>
      <family val="2"/>
    </font>
    <font>
      <b/>
      <sz val="10"/>
      <color theme="0"/>
      <name val="Arial"/>
      <family val="2"/>
    </font>
    <font>
      <b/>
      <u/>
      <sz val="10"/>
      <color indexed="12"/>
      <name val="Arial"/>
      <family val="2"/>
    </font>
    <font>
      <sz val="10"/>
      <color theme="0"/>
      <name val="Arial"/>
      <family val="2"/>
    </font>
    <font>
      <b/>
      <vertAlign val="subscript"/>
      <sz val="11"/>
      <color indexed="8"/>
      <name val="Calibri"/>
      <family val="2"/>
    </font>
    <font>
      <b/>
      <vertAlign val="superscript"/>
      <sz val="11"/>
      <color indexed="8"/>
      <name val="Calibri"/>
      <family val="2"/>
    </font>
    <font>
      <u/>
      <sz val="11"/>
      <color theme="10"/>
      <name val="Calibri"/>
      <family val="2"/>
      <scheme val="minor"/>
    </font>
    <font>
      <b/>
      <i/>
      <sz val="10"/>
      <name val="Calibri"/>
      <family val="2"/>
    </font>
    <font>
      <u/>
      <sz val="11"/>
      <color theme="10"/>
      <name val="Calibri"/>
      <family val="2"/>
    </font>
    <font>
      <b/>
      <u/>
      <sz val="11"/>
      <color theme="0"/>
      <name val="Calibri"/>
      <family val="2"/>
    </font>
    <font>
      <b/>
      <sz val="8"/>
      <name val="Arial"/>
      <family val="2"/>
    </font>
    <font>
      <u/>
      <sz val="11"/>
      <color theme="0"/>
      <name val="Calibri"/>
      <family val="2"/>
      <scheme val="minor"/>
    </font>
    <font>
      <b/>
      <sz val="10"/>
      <color indexed="81"/>
      <name val="Tahoma"/>
      <family val="2"/>
    </font>
    <font>
      <sz val="10"/>
      <color indexed="81"/>
      <name val="Tahoma"/>
      <family val="2"/>
    </font>
    <font>
      <b/>
      <sz val="9"/>
      <color indexed="81"/>
      <name val="Calibri"/>
      <family val="2"/>
    </font>
    <font>
      <b/>
      <i/>
      <sz val="10"/>
      <color indexed="81"/>
      <name val="Tahoma"/>
      <family val="2"/>
    </font>
    <font>
      <b/>
      <sz val="11"/>
      <color theme="1"/>
      <name val="Calibri"/>
      <family val="2"/>
    </font>
    <font>
      <b/>
      <i/>
      <sz val="11"/>
      <color rgb="FFC00000"/>
      <name val="Calibri"/>
      <family val="2"/>
      <scheme val="minor"/>
    </font>
    <font>
      <b/>
      <i/>
      <sz val="10"/>
      <color rgb="FFC00000"/>
      <name val="Calibri"/>
      <family val="2"/>
      <scheme val="minor"/>
    </font>
    <font>
      <i/>
      <sz val="10"/>
      <color theme="1"/>
      <name val="Calibri"/>
      <family val="2"/>
      <scheme val="minor"/>
    </font>
    <font>
      <b/>
      <sz val="10.5"/>
      <color theme="0"/>
      <name val="Calibri"/>
      <family val="2"/>
      <scheme val="minor"/>
    </font>
    <font>
      <sz val="10"/>
      <color theme="1"/>
      <name val="Calibri"/>
      <family val="2"/>
      <scheme val="minor"/>
    </font>
    <font>
      <sz val="8.5"/>
      <color theme="1"/>
      <name val="Calibri"/>
      <family val="2"/>
      <scheme val="minor"/>
    </font>
    <font>
      <sz val="11"/>
      <color indexed="8"/>
      <name val="Calibri"/>
      <family val="2"/>
    </font>
    <font>
      <b/>
      <i/>
      <sz val="11"/>
      <color rgb="FF00B050"/>
      <name val="Calibri"/>
      <family val="2"/>
      <scheme val="minor"/>
    </font>
    <font>
      <b/>
      <i/>
      <sz val="11"/>
      <color rgb="FF0070C0"/>
      <name val="Calibri"/>
      <family val="2"/>
      <scheme val="minor"/>
    </font>
    <font>
      <sz val="9"/>
      <color indexed="81"/>
      <name val="Tahoma"/>
      <family val="2"/>
    </font>
    <font>
      <sz val="10"/>
      <color rgb="FF000000"/>
      <name val="Times New Roman"/>
      <family val="1"/>
    </font>
    <font>
      <u/>
      <sz val="11"/>
      <name val="Calibri"/>
      <family val="2"/>
      <scheme val="minor"/>
    </font>
    <font>
      <sz val="11"/>
      <color rgb="FF000000"/>
      <name val="Calibri"/>
      <family val="2"/>
      <scheme val="minor"/>
    </font>
    <font>
      <b/>
      <sz val="11"/>
      <color rgb="FF000000"/>
      <name val="Calibri"/>
      <family val="2"/>
      <scheme val="minor"/>
    </font>
    <font>
      <b/>
      <i/>
      <sz val="10"/>
      <color rgb="FF000000"/>
      <name val="Calibri"/>
      <family val="2"/>
      <scheme val="minor"/>
    </font>
    <font>
      <b/>
      <sz val="11"/>
      <color indexed="81"/>
      <name val="Tahoma"/>
      <family val="2"/>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CCFFFF"/>
        <bgColor indexed="64"/>
      </patternFill>
    </fill>
    <fill>
      <patternFill patternType="solid">
        <fgColor rgb="FFFFFFCC"/>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rgb="FF808000"/>
        <bgColor indexed="64"/>
      </patternFill>
    </fill>
    <fill>
      <patternFill patternType="solid">
        <fgColor rgb="FF0070C0"/>
        <bgColor indexed="64"/>
      </patternFill>
    </fill>
    <fill>
      <patternFill patternType="solid">
        <fgColor rgb="FFCCECFF"/>
        <bgColor indexed="64"/>
      </patternFill>
    </fill>
    <fill>
      <patternFill patternType="solid">
        <fgColor rgb="FF00206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FFFF00"/>
        <bgColor indexed="64"/>
      </patternFill>
    </fill>
    <fill>
      <patternFill patternType="solid">
        <fgColor rgb="FF9999FF"/>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CCFF"/>
        <bgColor indexed="64"/>
      </patternFill>
    </fill>
    <fill>
      <patternFill patternType="solid">
        <fgColor indexed="10"/>
        <bgColor indexed="64"/>
      </patternFill>
    </fill>
    <fill>
      <patternFill patternType="solid">
        <fgColor indexed="27"/>
        <bgColor indexed="64"/>
      </patternFill>
    </fill>
    <fill>
      <patternFill patternType="solid">
        <fgColor indexed="51"/>
        <bgColor indexed="64"/>
      </patternFill>
    </fill>
    <fill>
      <patternFill patternType="solid">
        <fgColor rgb="FFCCFFCC"/>
        <bgColor indexed="64"/>
      </patternFill>
    </fill>
    <fill>
      <patternFill patternType="solid">
        <fgColor rgb="FFFFCCCC"/>
        <bgColor indexed="64"/>
      </patternFill>
    </fill>
    <fill>
      <patternFill patternType="solid">
        <fgColor rgb="FFFFFF99"/>
        <bgColor indexed="64"/>
      </patternFill>
    </fill>
    <fill>
      <patternFill patternType="solid">
        <fgColor theme="9" tint="-0.49998474074526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0">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1" fillId="20" borderId="19" applyNumberFormat="0" applyAlignment="0" applyProtection="0"/>
    <xf numFmtId="0" fontId="12" fillId="21" borderId="20" applyNumberFormat="0" applyAlignment="0" applyProtection="0"/>
    <xf numFmtId="0" fontId="13" fillId="0" borderId="21" applyNumberFormat="0" applyFill="0" applyAlignment="0" applyProtection="0"/>
    <xf numFmtId="0" fontId="14" fillId="0" borderId="0" applyNumberFormat="0" applyFill="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5" fillId="28" borderId="19" applyNumberFormat="0" applyAlignment="0" applyProtection="0"/>
    <xf numFmtId="0" fontId="16" fillId="29" borderId="0" applyNumberFormat="0" applyBorder="0" applyAlignment="0" applyProtection="0"/>
    <xf numFmtId="0" fontId="17" fillId="30" borderId="0" applyNumberFormat="0" applyBorder="0" applyAlignment="0" applyProtection="0"/>
    <xf numFmtId="0" fontId="9" fillId="31" borderId="22" applyNumberFormat="0" applyFont="0" applyAlignment="0" applyProtection="0"/>
    <xf numFmtId="0" fontId="18" fillId="20" borderId="2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4" applyNumberFormat="0" applyFill="0" applyAlignment="0" applyProtection="0"/>
    <xf numFmtId="0" fontId="14" fillId="0" borderId="25" applyNumberFormat="0" applyFill="0" applyAlignment="0" applyProtection="0"/>
    <xf numFmtId="0" fontId="23" fillId="0" borderId="26" applyNumberFormat="0" applyFill="0" applyAlignment="0" applyProtection="0"/>
    <xf numFmtId="0" fontId="9" fillId="0" borderId="0"/>
    <xf numFmtId="0" fontId="9" fillId="0" borderId="0"/>
    <xf numFmtId="0" fontId="7" fillId="0" borderId="0"/>
    <xf numFmtId="0" fontId="9" fillId="0" borderId="0"/>
    <xf numFmtId="9" fontId="9" fillId="0" borderId="0" applyFont="0" applyFill="0" applyBorder="0" applyAlignment="0" applyProtection="0"/>
    <xf numFmtId="0" fontId="9" fillId="0" borderId="0"/>
    <xf numFmtId="0" fontId="7" fillId="0" borderId="0"/>
    <xf numFmtId="0" fontId="85" fillId="0" borderId="0" applyNumberFormat="0" applyFill="0" applyBorder="0" applyAlignment="0" applyProtection="0"/>
    <xf numFmtId="0" fontId="87" fillId="0" borderId="0" applyNumberFormat="0" applyFill="0" applyBorder="0" applyAlignment="0" applyProtection="0">
      <alignment vertical="top"/>
      <protection locked="0"/>
    </xf>
    <xf numFmtId="0" fontId="106" fillId="0" borderId="0"/>
  </cellStyleXfs>
  <cellXfs count="1067">
    <xf numFmtId="0" fontId="0" fillId="0" borderId="0" xfId="0"/>
    <xf numFmtId="3" fontId="0" fillId="0" borderId="0" xfId="0" applyNumberFormat="1" applyProtection="1"/>
    <xf numFmtId="3" fontId="2" fillId="0" borderId="0" xfId="0" applyNumberFormat="1" applyFont="1" applyAlignment="1" applyProtection="1">
      <alignment horizontal="right"/>
    </xf>
    <xf numFmtId="3" fontId="2" fillId="32" borderId="1" xfId="0" applyNumberFormat="1" applyFont="1" applyFill="1" applyBorder="1" applyAlignment="1" applyProtection="1">
      <alignment horizontal="center"/>
      <protection locked="0"/>
    </xf>
    <xf numFmtId="3" fontId="0" fillId="32" borderId="1" xfId="0" applyNumberFormat="1" applyFill="1" applyBorder="1" applyAlignment="1" applyProtection="1">
      <alignment horizontal="center"/>
      <protection locked="0"/>
    </xf>
    <xf numFmtId="9" fontId="0" fillId="32" borderId="1" xfId="0" applyNumberFormat="1" applyFill="1" applyBorder="1" applyAlignment="1" applyProtection="1">
      <alignment horizontal="center"/>
      <protection locked="0"/>
    </xf>
    <xf numFmtId="3" fontId="0" fillId="0" borderId="0" xfId="0" applyNumberFormat="1" applyAlignment="1" applyProtection="1">
      <alignment horizontal="center"/>
    </xf>
    <xf numFmtId="1" fontId="0" fillId="0" borderId="0" xfId="0" applyNumberFormat="1" applyAlignment="1" applyProtection="1">
      <alignment horizontal="center"/>
    </xf>
    <xf numFmtId="3" fontId="0" fillId="0" borderId="0" xfId="0" applyNumberFormat="1" applyAlignment="1" applyProtection="1">
      <alignment horizontal="right"/>
    </xf>
    <xf numFmtId="9" fontId="0" fillId="0" borderId="0" xfId="0" applyNumberFormat="1" applyAlignment="1" applyProtection="1">
      <alignment horizontal="center"/>
    </xf>
    <xf numFmtId="0" fontId="25" fillId="0" borderId="0" xfId="0" applyFont="1" applyProtection="1"/>
    <xf numFmtId="0" fontId="26" fillId="0" borderId="0" xfId="0" applyFont="1" applyProtection="1"/>
    <xf numFmtId="0" fontId="27" fillId="0" borderId="0" xfId="0" applyFont="1" applyProtection="1"/>
    <xf numFmtId="3" fontId="12" fillId="0" borderId="0" xfId="0" applyNumberFormat="1" applyFont="1" applyBorder="1" applyAlignment="1" applyProtection="1">
      <alignment horizontal="center"/>
    </xf>
    <xf numFmtId="0" fontId="10" fillId="0" borderId="0" xfId="0" applyFont="1" applyAlignment="1" applyProtection="1">
      <alignment horizontal="center"/>
    </xf>
    <xf numFmtId="0" fontId="0" fillId="32" borderId="1" xfId="0" applyFill="1" applyBorder="1" applyAlignment="1" applyProtection="1">
      <alignment horizontal="center"/>
      <protection locked="0"/>
    </xf>
    <xf numFmtId="0" fontId="29" fillId="0" borderId="0" xfId="0" applyFont="1" applyAlignment="1" applyProtection="1">
      <alignment horizontal="right"/>
    </xf>
    <xf numFmtId="3" fontId="23" fillId="33" borderId="0" xfId="0" applyNumberFormat="1" applyFont="1" applyFill="1" applyProtection="1"/>
    <xf numFmtId="3" fontId="30" fillId="33" borderId="0" xfId="0" applyNumberFormat="1" applyFont="1" applyFill="1" applyAlignment="1" applyProtection="1">
      <alignment horizontal="center"/>
    </xf>
    <xf numFmtId="0" fontId="31" fillId="33" borderId="0" xfId="0" applyFont="1" applyFill="1" applyProtection="1"/>
    <xf numFmtId="3" fontId="0" fillId="33" borderId="0" xfId="0" applyNumberFormat="1" applyFill="1" applyProtection="1"/>
    <xf numFmtId="0" fontId="23" fillId="33" borderId="0" xfId="0" applyFont="1" applyFill="1" applyProtection="1"/>
    <xf numFmtId="10" fontId="30" fillId="33" borderId="0" xfId="0" applyNumberFormat="1" applyFont="1" applyFill="1" applyAlignment="1" applyProtection="1">
      <alignment horizontal="center"/>
    </xf>
    <xf numFmtId="2" fontId="30" fillId="33" borderId="0" xfId="0" applyNumberFormat="1" applyFont="1" applyFill="1" applyAlignment="1" applyProtection="1">
      <alignment horizontal="center"/>
    </xf>
    <xf numFmtId="0" fontId="30" fillId="33" borderId="0" xfId="0" applyFont="1" applyFill="1" applyAlignment="1" applyProtection="1">
      <alignment horizontal="center"/>
    </xf>
    <xf numFmtId="3" fontId="31" fillId="33" borderId="0" xfId="0" applyNumberFormat="1" applyFont="1" applyFill="1" applyProtection="1"/>
    <xf numFmtId="0" fontId="24" fillId="0" borderId="0" xfId="0" applyFont="1" applyProtection="1"/>
    <xf numFmtId="0" fontId="10" fillId="0" borderId="0" xfId="0" applyFont="1" applyBorder="1" applyProtection="1"/>
    <xf numFmtId="3" fontId="10" fillId="0" borderId="0" xfId="0" applyNumberFormat="1" applyFont="1" applyBorder="1" applyProtection="1"/>
    <xf numFmtId="0" fontId="28" fillId="0" borderId="0" xfId="0" applyFont="1" applyAlignment="1">
      <alignment horizontal="center"/>
    </xf>
    <xf numFmtId="0" fontId="32" fillId="0" borderId="0" xfId="0" applyFont="1" applyProtection="1"/>
    <xf numFmtId="0" fontId="32" fillId="34" borderId="0" xfId="0" applyFont="1" applyFill="1" applyProtection="1"/>
    <xf numFmtId="0" fontId="32" fillId="35" borderId="0" xfId="0" applyFont="1" applyFill="1" applyProtection="1"/>
    <xf numFmtId="0" fontId="32" fillId="35" borderId="0" xfId="0" applyFont="1" applyFill="1" applyAlignment="1" applyProtection="1">
      <alignment horizontal="center"/>
    </xf>
    <xf numFmtId="9" fontId="32" fillId="35" borderId="0" xfId="0" applyNumberFormat="1" applyFont="1" applyFill="1" applyAlignment="1" applyProtection="1">
      <alignment horizontal="center"/>
    </xf>
    <xf numFmtId="0" fontId="32" fillId="36" borderId="0" xfId="0" applyFont="1" applyFill="1" applyProtection="1"/>
    <xf numFmtId="0" fontId="32" fillId="36" borderId="0" xfId="0" applyFont="1" applyFill="1" applyAlignment="1" applyProtection="1">
      <alignment horizontal="center"/>
    </xf>
    <xf numFmtId="9" fontId="32" fillId="36" borderId="0" xfId="0" applyNumberFormat="1" applyFont="1" applyFill="1" applyAlignment="1" applyProtection="1">
      <alignment horizontal="center"/>
    </xf>
    <xf numFmtId="0" fontId="32" fillId="37" borderId="0" xfId="0" applyFont="1" applyFill="1" applyProtection="1"/>
    <xf numFmtId="167" fontId="32" fillId="37" borderId="0" xfId="0" applyNumberFormat="1" applyFont="1" applyFill="1" applyAlignment="1" applyProtection="1">
      <alignment horizontal="center"/>
    </xf>
    <xf numFmtId="0" fontId="32" fillId="38" borderId="0" xfId="0" applyFont="1" applyFill="1" applyProtection="1"/>
    <xf numFmtId="0" fontId="28" fillId="38" borderId="0" xfId="0" applyFont="1" applyFill="1" applyProtection="1"/>
    <xf numFmtId="0" fontId="28" fillId="0" borderId="0" xfId="0" applyNumberFormat="1" applyFont="1"/>
    <xf numFmtId="0" fontId="30" fillId="0" borderId="0" xfId="0" applyFont="1"/>
    <xf numFmtId="0" fontId="0" fillId="0" borderId="0" xfId="0" applyAlignment="1" applyProtection="1">
      <alignment horizontal="center"/>
      <protection locked="0"/>
    </xf>
    <xf numFmtId="0" fontId="28" fillId="0" borderId="0" xfId="0" applyFont="1" applyFill="1" applyProtection="1"/>
    <xf numFmtId="0" fontId="33" fillId="40" borderId="0" xfId="0" applyFont="1" applyFill="1"/>
    <xf numFmtId="0" fontId="10" fillId="40" borderId="0" xfId="0" applyFont="1" applyFill="1"/>
    <xf numFmtId="0" fontId="34" fillId="0" borderId="0" xfId="0" applyFont="1"/>
    <xf numFmtId="0" fontId="28" fillId="0" borderId="0" xfId="0" applyFont="1" applyFill="1"/>
    <xf numFmtId="0" fontId="35" fillId="0" borderId="0" xfId="0" applyFont="1" applyAlignment="1" applyProtection="1">
      <alignment horizontal="right"/>
    </xf>
    <xf numFmtId="0" fontId="36" fillId="0" borderId="0" xfId="0" applyFont="1"/>
    <xf numFmtId="0" fontId="27" fillId="0" borderId="0" xfId="0" applyFont="1"/>
    <xf numFmtId="0" fontId="27" fillId="0" borderId="0" xfId="0" applyFont="1" applyAlignment="1">
      <alignment horizontal="center"/>
    </xf>
    <xf numFmtId="0" fontId="37" fillId="0" borderId="0" xfId="0" applyFont="1"/>
    <xf numFmtId="0" fontId="32" fillId="0" borderId="0" xfId="0" applyFont="1"/>
    <xf numFmtId="0" fontId="24" fillId="0" borderId="0" xfId="0" applyFont="1"/>
    <xf numFmtId="0" fontId="38" fillId="0" borderId="0" xfId="0" applyFont="1"/>
    <xf numFmtId="0" fontId="29" fillId="0" borderId="0" xfId="0" applyFont="1"/>
    <xf numFmtId="0" fontId="0" fillId="0" borderId="0" xfId="0"/>
    <xf numFmtId="0" fontId="0" fillId="0" borderId="0" xfId="0" applyProtection="1"/>
    <xf numFmtId="0" fontId="10" fillId="0" borderId="0" xfId="0" applyFont="1"/>
    <xf numFmtId="0" fontId="23" fillId="0" borderId="0" xfId="0" applyFont="1" applyProtection="1"/>
    <xf numFmtId="0" fontId="0" fillId="0" borderId="0" xfId="0" applyAlignment="1" applyProtection="1">
      <alignment horizontal="center"/>
    </xf>
    <xf numFmtId="0" fontId="28" fillId="0" borderId="0" xfId="0" applyFont="1" applyProtection="1"/>
    <xf numFmtId="0" fontId="10" fillId="0" borderId="0" xfId="0" applyFont="1" applyProtection="1"/>
    <xf numFmtId="0" fontId="0" fillId="0" borderId="0" xfId="0" applyAlignment="1">
      <alignment horizontal="center"/>
    </xf>
    <xf numFmtId="0" fontId="39" fillId="41" borderId="3" xfId="0" applyFont="1" applyFill="1" applyBorder="1"/>
    <xf numFmtId="0" fontId="0" fillId="41" borderId="4" xfId="0" applyFill="1" applyBorder="1"/>
    <xf numFmtId="0" fontId="0" fillId="41" borderId="5" xfId="0" applyFill="1" applyBorder="1"/>
    <xf numFmtId="0" fontId="29" fillId="41" borderId="6" xfId="0" applyFont="1" applyFill="1" applyBorder="1"/>
    <xf numFmtId="0" fontId="0" fillId="41" borderId="0" xfId="0" applyFill="1" applyBorder="1"/>
    <xf numFmtId="0" fontId="0" fillId="41" borderId="7" xfId="0" applyFill="1" applyBorder="1"/>
    <xf numFmtId="0" fontId="40" fillId="41" borderId="6" xfId="0" applyFont="1" applyFill="1" applyBorder="1"/>
    <xf numFmtId="0" fontId="40" fillId="41" borderId="0" xfId="0" applyFont="1" applyFill="1" applyBorder="1"/>
    <xf numFmtId="0" fontId="23" fillId="41" borderId="0" xfId="0" applyFont="1" applyFill="1" applyBorder="1" applyAlignment="1">
      <alignment horizontal="center"/>
    </xf>
    <xf numFmtId="0" fontId="41" fillId="41" borderId="6" xfId="0" applyFont="1" applyFill="1" applyBorder="1"/>
    <xf numFmtId="0" fontId="42" fillId="41" borderId="6" xfId="0" applyFont="1" applyFill="1" applyBorder="1"/>
    <xf numFmtId="0" fontId="42" fillId="41" borderId="0" xfId="0" applyFont="1" applyFill="1" applyBorder="1"/>
    <xf numFmtId="0" fontId="27" fillId="41" borderId="6" xfId="0" applyFont="1" applyFill="1" applyBorder="1"/>
    <xf numFmtId="0" fontId="27" fillId="41" borderId="0" xfId="0" applyFont="1" applyFill="1" applyBorder="1"/>
    <xf numFmtId="0" fontId="27" fillId="41" borderId="8" xfId="0" applyFont="1" applyFill="1" applyBorder="1"/>
    <xf numFmtId="0" fontId="27" fillId="41" borderId="9" xfId="0" applyFont="1" applyFill="1" applyBorder="1"/>
    <xf numFmtId="0" fontId="0" fillId="41" borderId="9" xfId="0" applyFill="1" applyBorder="1"/>
    <xf numFmtId="0" fontId="0" fillId="41" borderId="10" xfId="0" applyFill="1" applyBorder="1"/>
    <xf numFmtId="0" fontId="12" fillId="0" borderId="0" xfId="0" applyFont="1" applyAlignment="1" applyProtection="1">
      <alignment horizontal="center"/>
    </xf>
    <xf numFmtId="0" fontId="24" fillId="0" borderId="0" xfId="0" applyFont="1" applyAlignment="1" applyProtection="1">
      <alignment horizontal="right"/>
    </xf>
    <xf numFmtId="0" fontId="29" fillId="0" borderId="0" xfId="0" applyFont="1" applyProtection="1"/>
    <xf numFmtId="0" fontId="32" fillId="0" borderId="0" xfId="0" applyFont="1" applyAlignment="1" applyProtection="1">
      <alignment horizontal="center"/>
    </xf>
    <xf numFmtId="0" fontId="32" fillId="32" borderId="1" xfId="0" applyFont="1" applyFill="1" applyBorder="1" applyAlignment="1" applyProtection="1">
      <alignment horizontal="center"/>
      <protection locked="0"/>
    </xf>
    <xf numFmtId="0" fontId="0" fillId="0" borderId="0" xfId="0" applyProtection="1">
      <protection locked="0"/>
    </xf>
    <xf numFmtId="0" fontId="28" fillId="0" borderId="0" xfId="0" applyFont="1" applyAlignment="1" applyProtection="1">
      <alignment horizontal="center"/>
    </xf>
    <xf numFmtId="0" fontId="43" fillId="0" borderId="0" xfId="0" applyFont="1" applyProtection="1"/>
    <xf numFmtId="0" fontId="0" fillId="33" borderId="0" xfId="0" applyFill="1" applyProtection="1">
      <protection locked="0"/>
    </xf>
    <xf numFmtId="10" fontId="0" fillId="32" borderId="1" xfId="0" applyNumberFormat="1" applyFill="1" applyBorder="1" applyAlignment="1" applyProtection="1">
      <alignment horizontal="center"/>
      <protection locked="0"/>
    </xf>
    <xf numFmtId="0" fontId="10" fillId="0" borderId="0" xfId="0" applyFont="1" applyBorder="1" applyAlignment="1" applyProtection="1">
      <alignment horizontal="center"/>
    </xf>
    <xf numFmtId="0" fontId="2" fillId="0" borderId="0" xfId="0" applyFont="1" applyAlignment="1" applyProtection="1">
      <alignment horizontal="right"/>
    </xf>
    <xf numFmtId="10" fontId="2" fillId="32" borderId="1" xfId="0" applyNumberFormat="1" applyFont="1" applyFill="1" applyBorder="1" applyAlignment="1" applyProtection="1">
      <alignment horizontal="center"/>
      <protection locked="0"/>
    </xf>
    <xf numFmtId="0" fontId="45" fillId="0" borderId="0" xfId="0" applyFont="1" applyAlignment="1" applyProtection="1">
      <alignment horizontal="center"/>
    </xf>
    <xf numFmtId="167" fontId="2" fillId="33" borderId="0" xfId="0" applyNumberFormat="1" applyFont="1" applyFill="1" applyBorder="1" applyAlignment="1" applyProtection="1">
      <alignment horizontal="center"/>
    </xf>
    <xf numFmtId="3" fontId="0" fillId="32" borderId="1" xfId="0" applyNumberFormat="1" applyFill="1" applyBorder="1" applyProtection="1">
      <protection locked="0"/>
    </xf>
    <xf numFmtId="3" fontId="0" fillId="32" borderId="14" xfId="0" applyNumberFormat="1" applyFill="1" applyBorder="1" applyProtection="1">
      <protection locked="0"/>
    </xf>
    <xf numFmtId="3" fontId="32" fillId="32" borderId="1" xfId="0" applyNumberFormat="1" applyFont="1" applyFill="1" applyBorder="1" applyProtection="1">
      <protection locked="0"/>
    </xf>
    <xf numFmtId="10" fontId="32" fillId="32" borderId="1" xfId="0" applyNumberFormat="1" applyFont="1" applyFill="1" applyBorder="1" applyAlignment="1" applyProtection="1">
      <alignment horizontal="center"/>
      <protection locked="0"/>
    </xf>
    <xf numFmtId="3" fontId="32" fillId="32" borderId="1" xfId="0" applyNumberFormat="1" applyFont="1" applyFill="1" applyBorder="1" applyAlignment="1" applyProtection="1">
      <alignment horizontal="center"/>
      <protection locked="0"/>
    </xf>
    <xf numFmtId="3" fontId="0" fillId="0" borderId="0" xfId="0" applyNumberFormat="1" applyProtection="1">
      <protection locked="0"/>
    </xf>
    <xf numFmtId="3" fontId="23" fillId="42" borderId="0" xfId="0" applyNumberFormat="1" applyFont="1" applyFill="1" applyProtection="1"/>
    <xf numFmtId="3" fontId="23" fillId="42" borderId="2" xfId="0" applyNumberFormat="1" applyFont="1" applyFill="1" applyBorder="1" applyAlignment="1" applyProtection="1">
      <alignment horizontal="center"/>
    </xf>
    <xf numFmtId="3" fontId="1" fillId="42" borderId="2" xfId="0" applyNumberFormat="1" applyFont="1" applyFill="1" applyBorder="1" applyAlignment="1" applyProtection="1">
      <alignment horizontal="center"/>
    </xf>
    <xf numFmtId="3" fontId="32" fillId="42" borderId="0" xfId="0" applyNumberFormat="1" applyFont="1" applyFill="1" applyAlignment="1" applyProtection="1">
      <alignment horizontal="right"/>
    </xf>
    <xf numFmtId="3" fontId="0" fillId="33" borderId="0" xfId="0" applyNumberFormat="1" applyFill="1" applyAlignment="1" applyProtection="1">
      <alignment horizontal="right"/>
    </xf>
    <xf numFmtId="10" fontId="23" fillId="33" borderId="0" xfId="0" applyNumberFormat="1" applyFont="1" applyFill="1" applyAlignment="1" applyProtection="1">
      <alignment horizontal="center"/>
    </xf>
    <xf numFmtId="1" fontId="0" fillId="42" borderId="0" xfId="0" applyNumberFormat="1" applyFill="1" applyAlignment="1" applyProtection="1">
      <alignment horizontal="center"/>
    </xf>
    <xf numFmtId="0" fontId="23" fillId="42" borderId="0" xfId="0" applyFont="1" applyFill="1" applyProtection="1"/>
    <xf numFmtId="3" fontId="23" fillId="0" borderId="0" xfId="0" applyNumberFormat="1" applyFont="1" applyAlignment="1" applyProtection="1">
      <alignment horizontal="center"/>
    </xf>
    <xf numFmtId="10" fontId="0" fillId="0" borderId="0" xfId="0" applyNumberFormat="1" applyAlignment="1" applyProtection="1">
      <alignment horizontal="center"/>
    </xf>
    <xf numFmtId="4" fontId="0" fillId="0" borderId="0" xfId="0" applyNumberFormat="1" applyAlignment="1" applyProtection="1">
      <alignment horizontal="center"/>
    </xf>
    <xf numFmtId="1" fontId="24" fillId="0" borderId="0" xfId="0" applyNumberFormat="1" applyFont="1" applyAlignment="1" applyProtection="1">
      <alignment horizontal="center"/>
    </xf>
    <xf numFmtId="0" fontId="23" fillId="42" borderId="2" xfId="0" applyFont="1" applyFill="1" applyBorder="1" applyAlignment="1" applyProtection="1">
      <alignment horizontal="center"/>
    </xf>
    <xf numFmtId="3" fontId="10" fillId="43" borderId="0" xfId="0" applyNumberFormat="1" applyFont="1" applyFill="1" applyProtection="1"/>
    <xf numFmtId="3" fontId="12" fillId="43" borderId="0" xfId="0" applyNumberFormat="1" applyFont="1" applyFill="1" applyProtection="1"/>
    <xf numFmtId="10" fontId="12" fillId="43" borderId="0" xfId="0" applyNumberFormat="1" applyFont="1" applyFill="1" applyAlignment="1" applyProtection="1">
      <alignment horizontal="center"/>
    </xf>
    <xf numFmtId="3" fontId="12" fillId="43" borderId="0" xfId="0" applyNumberFormat="1" applyFont="1" applyFill="1" applyAlignment="1" applyProtection="1">
      <alignment horizontal="center"/>
    </xf>
    <xf numFmtId="2" fontId="12" fillId="43" borderId="0" xfId="0" applyNumberFormat="1" applyFont="1" applyFill="1" applyAlignment="1" applyProtection="1">
      <alignment horizontal="center"/>
    </xf>
    <xf numFmtId="0" fontId="12" fillId="43" borderId="0" xfId="0" applyFont="1" applyFill="1" applyAlignment="1" applyProtection="1">
      <alignment horizontal="center"/>
    </xf>
    <xf numFmtId="0" fontId="28" fillId="42" borderId="0" xfId="0" applyFont="1" applyFill="1" applyAlignment="1" applyProtection="1">
      <alignment horizontal="center"/>
    </xf>
    <xf numFmtId="0" fontId="0" fillId="0" borderId="0" xfId="0" applyBorder="1" applyProtection="1"/>
    <xf numFmtId="3" fontId="0" fillId="0" borderId="0" xfId="0" applyNumberFormat="1" applyBorder="1" applyProtection="1"/>
    <xf numFmtId="3" fontId="23" fillId="0" borderId="0" xfId="0" applyNumberFormat="1" applyFont="1" applyBorder="1" applyAlignment="1" applyProtection="1">
      <alignment horizontal="center"/>
    </xf>
    <xf numFmtId="10" fontId="0" fillId="0" borderId="0" xfId="0" applyNumberFormat="1" applyBorder="1" applyAlignment="1" applyProtection="1">
      <alignment horizontal="center"/>
    </xf>
    <xf numFmtId="0" fontId="0" fillId="0" borderId="0" xfId="0" applyBorder="1"/>
    <xf numFmtId="3" fontId="3" fillId="42" borderId="0" xfId="0" applyNumberFormat="1" applyFont="1" applyFill="1" applyBorder="1" applyAlignment="1" applyProtection="1">
      <alignment horizontal="center"/>
    </xf>
    <xf numFmtId="3" fontId="28" fillId="0" borderId="0" xfId="0" applyNumberFormat="1" applyFont="1" applyProtection="1"/>
    <xf numFmtId="9" fontId="28" fillId="0" borderId="0" xfId="0" applyNumberFormat="1" applyFont="1" applyProtection="1"/>
    <xf numFmtId="0" fontId="32" fillId="0" borderId="2" xfId="0" applyFont="1" applyBorder="1" applyAlignment="1" applyProtection="1">
      <alignment horizontal="center"/>
    </xf>
    <xf numFmtId="3" fontId="3" fillId="42" borderId="0" xfId="0" applyNumberFormat="1" applyFont="1" applyFill="1" applyBorder="1" applyAlignment="1" applyProtection="1"/>
    <xf numFmtId="3" fontId="24" fillId="0" borderId="0" xfId="0" applyNumberFormat="1" applyFont="1" applyAlignment="1" applyProtection="1">
      <alignment horizontal="left"/>
    </xf>
    <xf numFmtId="0" fontId="24" fillId="0" borderId="0" xfId="0" applyFont="1" applyAlignment="1">
      <alignment horizontal="left"/>
    </xf>
    <xf numFmtId="0" fontId="0" fillId="41" borderId="4" xfId="0" applyFill="1" applyBorder="1" applyAlignment="1" applyProtection="1">
      <alignment horizontal="center"/>
      <protection locked="0"/>
    </xf>
    <xf numFmtId="0" fontId="32" fillId="0" borderId="0" xfId="0" applyFont="1" applyFill="1" applyBorder="1" applyProtection="1"/>
    <xf numFmtId="0" fontId="28" fillId="0" borderId="0" xfId="0" applyFont="1"/>
    <xf numFmtId="0" fontId="32" fillId="39" borderId="1" xfId="0" applyFont="1" applyFill="1" applyBorder="1" applyAlignment="1" applyProtection="1">
      <alignment horizontal="center"/>
      <protection locked="0"/>
    </xf>
    <xf numFmtId="0" fontId="28" fillId="0" borderId="0" xfId="0" applyFont="1" applyFill="1" applyBorder="1" applyProtection="1"/>
    <xf numFmtId="3" fontId="28" fillId="0" borderId="0" xfId="0" applyNumberFormat="1" applyFont="1" applyFill="1" applyBorder="1" applyProtection="1"/>
    <xf numFmtId="0" fontId="23" fillId="32" borderId="1" xfId="0" applyFont="1" applyFill="1" applyBorder="1" applyAlignment="1" applyProtection="1">
      <alignment horizontal="center"/>
      <protection locked="0"/>
    </xf>
    <xf numFmtId="0" fontId="24" fillId="0" borderId="0" xfId="0" applyFont="1" applyAlignment="1" applyProtection="1">
      <alignment horizontal="left"/>
    </xf>
    <xf numFmtId="3" fontId="28" fillId="0" borderId="0" xfId="0" applyNumberFormat="1" applyFont="1" applyAlignment="1" applyProtection="1">
      <alignment horizontal="left"/>
    </xf>
    <xf numFmtId="4" fontId="0" fillId="0" borderId="0" xfId="0" applyNumberFormat="1" applyProtection="1"/>
    <xf numFmtId="0" fontId="12" fillId="40" borderId="0" xfId="0" applyFont="1" applyFill="1" applyProtection="1"/>
    <xf numFmtId="0" fontId="23" fillId="0" borderId="0" xfId="0" applyFont="1" applyAlignment="1" applyProtection="1">
      <alignment horizontal="right"/>
    </xf>
    <xf numFmtId="0" fontId="24" fillId="0" borderId="0" xfId="0" applyFont="1" applyFill="1" applyBorder="1" applyAlignment="1" applyProtection="1">
      <alignment horizontal="left"/>
    </xf>
    <xf numFmtId="4" fontId="12" fillId="43" borderId="0" xfId="0" applyNumberFormat="1" applyFont="1" applyFill="1" applyAlignment="1" applyProtection="1">
      <alignment horizontal="center"/>
    </xf>
    <xf numFmtId="4" fontId="12" fillId="43" borderId="2" xfId="0" applyNumberFormat="1" applyFont="1" applyFill="1" applyBorder="1" applyAlignment="1" applyProtection="1">
      <alignment horizontal="center"/>
    </xf>
    <xf numFmtId="4" fontId="0" fillId="33" borderId="0" xfId="0" applyNumberFormat="1" applyFill="1" applyProtection="1"/>
    <xf numFmtId="0" fontId="10" fillId="40" borderId="0" xfId="0" applyFont="1" applyFill="1" applyProtection="1"/>
    <xf numFmtId="0" fontId="12" fillId="40" borderId="0" xfId="0" applyFont="1" applyFill="1" applyAlignment="1" applyProtection="1">
      <alignment horizontal="right"/>
    </xf>
    <xf numFmtId="3" fontId="12" fillId="40" borderId="0" xfId="0" applyNumberFormat="1" applyFont="1" applyFill="1" applyProtection="1"/>
    <xf numFmtId="0" fontId="0" fillId="0" borderId="0" xfId="0" applyAlignment="1" applyProtection="1">
      <alignment horizontal="right"/>
    </xf>
    <xf numFmtId="0" fontId="0" fillId="0" borderId="0" xfId="0" applyFill="1" applyBorder="1" applyProtection="1"/>
    <xf numFmtId="0" fontId="0" fillId="42" borderId="2" xfId="0" applyFill="1" applyBorder="1" applyProtection="1"/>
    <xf numFmtId="0" fontId="23" fillId="42" borderId="0" xfId="0" applyFont="1" applyFill="1" applyAlignment="1" applyProtection="1">
      <alignment horizontal="right"/>
    </xf>
    <xf numFmtId="0" fontId="23" fillId="42" borderId="2" xfId="0" applyFont="1" applyFill="1" applyBorder="1" applyProtection="1"/>
    <xf numFmtId="0" fontId="23" fillId="42" borderId="0" xfId="0" applyFont="1" applyFill="1" applyAlignment="1" applyProtection="1">
      <alignment horizontal="center"/>
    </xf>
    <xf numFmtId="0" fontId="0" fillId="0" borderId="0" xfId="0" applyFill="1" applyProtection="1"/>
    <xf numFmtId="0" fontId="0" fillId="42" borderId="0" xfId="0" applyFill="1" applyProtection="1"/>
    <xf numFmtId="0" fontId="12" fillId="38" borderId="0" xfId="0" applyFont="1" applyFill="1" applyProtection="1"/>
    <xf numFmtId="166" fontId="12" fillId="35" borderId="0" xfId="0" applyNumberFormat="1" applyFont="1" applyFill="1" applyProtection="1"/>
    <xf numFmtId="166" fontId="23" fillId="45" borderId="0" xfId="0" applyNumberFormat="1" applyFont="1" applyFill="1" applyProtection="1"/>
    <xf numFmtId="0" fontId="12" fillId="35" borderId="0" xfId="0" applyFont="1" applyFill="1" applyProtection="1"/>
    <xf numFmtId="4" fontId="0" fillId="32" borderId="1" xfId="0" applyNumberFormat="1" applyFill="1" applyBorder="1" applyProtection="1">
      <protection locked="0"/>
    </xf>
    <xf numFmtId="0" fontId="10" fillId="35" borderId="0" xfId="0" applyFont="1" applyFill="1" applyProtection="1"/>
    <xf numFmtId="0" fontId="32" fillId="0" borderId="0" xfId="0" applyFont="1" applyFill="1" applyBorder="1" applyProtection="1">
      <protection locked="0"/>
    </xf>
    <xf numFmtId="3" fontId="24" fillId="0" borderId="0" xfId="0" applyNumberFormat="1" applyFont="1" applyFill="1" applyBorder="1" applyAlignment="1" applyProtection="1">
      <alignment horizontal="left"/>
    </xf>
    <xf numFmtId="3" fontId="32" fillId="32" borderId="1" xfId="0" applyNumberFormat="1" applyFont="1" applyFill="1" applyBorder="1" applyAlignment="1" applyProtection="1">
      <alignment horizontal="center" vertical="center"/>
      <protection locked="0"/>
    </xf>
    <xf numFmtId="0" fontId="0" fillId="0" borderId="0" xfId="0" applyAlignment="1" applyProtection="1">
      <alignment vertical="top"/>
    </xf>
    <xf numFmtId="0" fontId="32" fillId="0" borderId="0" xfId="0" applyFont="1" applyFill="1" applyBorder="1" applyAlignment="1" applyProtection="1">
      <alignment horizontal="right"/>
    </xf>
    <xf numFmtId="0" fontId="28" fillId="0" borderId="0" xfId="0" applyFont="1" applyFill="1" applyBorder="1" applyAlignment="1" applyProtection="1">
      <alignment horizontal="center"/>
      <protection locked="0"/>
    </xf>
    <xf numFmtId="4" fontId="0" fillId="0" borderId="0" xfId="0" applyNumberFormat="1" applyAlignment="1" applyProtection="1">
      <alignment horizontal="center" vertical="center"/>
    </xf>
    <xf numFmtId="10" fontId="0" fillId="0" borderId="0" xfId="0" applyNumberFormat="1" applyAlignment="1" applyProtection="1">
      <alignment horizontal="center" vertical="center"/>
    </xf>
    <xf numFmtId="0" fontId="24" fillId="0" borderId="0" xfId="0" applyFont="1" applyFill="1" applyBorder="1" applyAlignment="1" applyProtection="1">
      <alignment horizontal="center"/>
    </xf>
    <xf numFmtId="3" fontId="32" fillId="45" borderId="0" xfId="0" applyNumberFormat="1" applyFont="1" applyFill="1" applyBorder="1" applyAlignment="1" applyProtection="1">
      <alignment horizontal="right"/>
    </xf>
    <xf numFmtId="3" fontId="0" fillId="33" borderId="0" xfId="0" applyNumberFormat="1" applyFill="1" applyAlignment="1" applyProtection="1">
      <alignment horizontal="center" vertical="top"/>
    </xf>
    <xf numFmtId="3" fontId="0" fillId="33" borderId="0" xfId="0" applyNumberFormat="1" applyFill="1" applyAlignment="1" applyProtection="1">
      <alignment vertical="top"/>
    </xf>
    <xf numFmtId="3" fontId="0" fillId="33" borderId="0" xfId="0" applyNumberFormat="1" applyFill="1" applyAlignment="1" applyProtection="1">
      <alignment horizontal="right" vertical="top"/>
    </xf>
    <xf numFmtId="0" fontId="12" fillId="40" borderId="0" xfId="0" applyFont="1" applyFill="1" applyBorder="1" applyProtection="1"/>
    <xf numFmtId="0" fontId="32" fillId="42" borderId="0" xfId="0" applyFont="1" applyFill="1" applyBorder="1" applyAlignment="1" applyProtection="1">
      <alignment horizontal="center" vertical="top"/>
    </xf>
    <xf numFmtId="0" fontId="12" fillId="40" borderId="0" xfId="0" applyFont="1" applyFill="1" applyBorder="1" applyAlignment="1" applyProtection="1">
      <alignment horizontal="center"/>
    </xf>
    <xf numFmtId="0" fontId="12" fillId="40" borderId="0" xfId="0" applyFont="1" applyFill="1" applyAlignment="1" applyProtection="1">
      <alignment horizontal="center"/>
    </xf>
    <xf numFmtId="0" fontId="0" fillId="0" borderId="0" xfId="0" applyAlignment="1" applyProtection="1">
      <alignment vertical="top" wrapText="1"/>
    </xf>
    <xf numFmtId="10" fontId="32" fillId="32" borderId="1" xfId="0" applyNumberFormat="1" applyFont="1" applyFill="1" applyBorder="1" applyAlignment="1" applyProtection="1">
      <alignment horizontal="center" vertical="center"/>
      <protection locked="0"/>
    </xf>
    <xf numFmtId="3" fontId="0" fillId="33" borderId="0" xfId="0" applyNumberFormat="1" applyFill="1" applyAlignment="1" applyProtection="1">
      <alignment horizontal="center"/>
    </xf>
    <xf numFmtId="9" fontId="0" fillId="33" borderId="0" xfId="0" applyNumberFormat="1" applyFill="1" applyAlignment="1" applyProtection="1">
      <alignment horizontal="center"/>
    </xf>
    <xf numFmtId="10" fontId="0" fillId="33" borderId="0" xfId="0" applyNumberFormat="1" applyFill="1" applyAlignment="1" applyProtection="1">
      <alignment horizontal="center"/>
    </xf>
    <xf numFmtId="0" fontId="12" fillId="38" borderId="0" xfId="0" applyFont="1" applyFill="1" applyAlignment="1" applyProtection="1">
      <alignment horizontal="center"/>
    </xf>
    <xf numFmtId="0" fontId="12" fillId="38" borderId="2" xfId="0" applyFont="1" applyFill="1" applyBorder="1" applyAlignment="1" applyProtection="1">
      <alignment horizontal="center"/>
    </xf>
    <xf numFmtId="1" fontId="23" fillId="45" borderId="0" xfId="0" applyNumberFormat="1" applyFont="1" applyFill="1" applyAlignment="1" applyProtection="1">
      <alignment horizontal="center"/>
    </xf>
    <xf numFmtId="0" fontId="23" fillId="45" borderId="0" xfId="0" applyFont="1" applyFill="1" applyAlignment="1" applyProtection="1">
      <alignment horizontal="center"/>
    </xf>
    <xf numFmtId="0" fontId="28" fillId="33" borderId="0" xfId="0" applyFont="1" applyFill="1" applyProtection="1"/>
    <xf numFmtId="0" fontId="0" fillId="0" borderId="0" xfId="0" applyFont="1" applyProtection="1"/>
    <xf numFmtId="0" fontId="46" fillId="38" borderId="0" xfId="0" applyFont="1" applyFill="1" applyAlignment="1" applyProtection="1">
      <alignment horizontal="center"/>
    </xf>
    <xf numFmtId="0" fontId="46" fillId="38" borderId="2" xfId="0" applyFont="1" applyFill="1" applyBorder="1" applyAlignment="1" applyProtection="1">
      <alignment horizontal="center"/>
    </xf>
    <xf numFmtId="3" fontId="24" fillId="0" borderId="0" xfId="0" applyNumberFormat="1" applyFont="1" applyFill="1" applyAlignment="1" applyProtection="1">
      <alignment horizontal="center"/>
    </xf>
    <xf numFmtId="4" fontId="0" fillId="0" borderId="0" xfId="0" applyNumberFormat="1" applyFill="1" applyBorder="1" applyAlignment="1" applyProtection="1">
      <alignment horizontal="center"/>
    </xf>
    <xf numFmtId="10" fontId="0" fillId="0" borderId="0" xfId="0" applyNumberFormat="1" applyFill="1" applyBorder="1" applyAlignment="1" applyProtection="1">
      <alignment horizontal="center"/>
    </xf>
    <xf numFmtId="4" fontId="0" fillId="32" borderId="1" xfId="0" applyNumberFormat="1" applyFill="1" applyBorder="1" applyAlignment="1" applyProtection="1">
      <alignment horizontal="center"/>
      <protection locked="0"/>
    </xf>
    <xf numFmtId="4" fontId="0" fillId="0" borderId="0" xfId="0" applyNumberFormat="1" applyAlignment="1" applyProtection="1">
      <alignment horizontal="center"/>
      <protection locked="0"/>
    </xf>
    <xf numFmtId="10" fontId="23" fillId="32" borderId="1" xfId="0" applyNumberFormat="1" applyFont="1" applyFill="1" applyBorder="1" applyAlignment="1" applyProtection="1">
      <alignment horizontal="center"/>
      <protection locked="0"/>
    </xf>
    <xf numFmtId="10" fontId="0" fillId="32" borderId="1" xfId="0" applyNumberFormat="1" applyFill="1" applyBorder="1" applyProtection="1">
      <protection locked="0"/>
    </xf>
    <xf numFmtId="0" fontId="0" fillId="45" borderId="0" xfId="0" applyFill="1" applyProtection="1"/>
    <xf numFmtId="0" fontId="23" fillId="45" borderId="0" xfId="0" applyFont="1" applyFill="1" applyAlignment="1" applyProtection="1">
      <alignment horizontal="right"/>
    </xf>
    <xf numFmtId="0" fontId="12" fillId="44" borderId="0" xfId="0" applyFont="1" applyFill="1" applyAlignment="1" applyProtection="1"/>
    <xf numFmtId="0" fontId="23" fillId="0" borderId="0" xfId="0" applyFont="1" applyFill="1" applyBorder="1" applyAlignment="1" applyProtection="1">
      <alignment horizontal="center"/>
      <protection locked="0"/>
    </xf>
    <xf numFmtId="0" fontId="12" fillId="46" borderId="3" xfId="0" applyFont="1" applyFill="1" applyBorder="1"/>
    <xf numFmtId="0" fontId="10" fillId="46" borderId="4" xfId="0" applyFont="1" applyFill="1" applyBorder="1"/>
    <xf numFmtId="0" fontId="10" fillId="46" borderId="5" xfId="0" applyFont="1" applyFill="1" applyBorder="1"/>
    <xf numFmtId="0" fontId="32" fillId="0" borderId="0" xfId="0" applyNumberFormat="1" applyFont="1" applyFill="1" applyBorder="1" applyAlignment="1" applyProtection="1">
      <alignment horizontal="right"/>
    </xf>
    <xf numFmtId="0" fontId="32" fillId="0" borderId="0"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xf>
    <xf numFmtId="0" fontId="32" fillId="0" borderId="0" xfId="0" applyNumberFormat="1" applyFont="1" applyFill="1" applyBorder="1" applyProtection="1"/>
    <xf numFmtId="0" fontId="23" fillId="33" borderId="0" xfId="0" applyFont="1" applyFill="1" applyBorder="1" applyProtection="1"/>
    <xf numFmtId="0" fontId="7" fillId="0" borderId="0" xfId="0" applyNumberFormat="1" applyFont="1" applyFill="1" applyBorder="1" applyProtection="1"/>
    <xf numFmtId="0" fontId="28" fillId="0" borderId="0" xfId="0" applyNumberFormat="1" applyFont="1" applyFill="1" applyBorder="1" applyAlignment="1" applyProtection="1">
      <alignment horizontal="left"/>
    </xf>
    <xf numFmtId="0" fontId="4" fillId="0" borderId="0" xfId="0" applyNumberFormat="1" applyFont="1" applyFill="1" applyBorder="1" applyAlignment="1" applyProtection="1">
      <alignment horizontal="right"/>
    </xf>
    <xf numFmtId="0" fontId="32" fillId="33" borderId="0" xfId="0" applyNumberFormat="1" applyFont="1" applyFill="1" applyBorder="1" applyProtection="1"/>
    <xf numFmtId="0" fontId="32" fillId="33" borderId="0" xfId="0" applyNumberFormat="1" applyFont="1" applyFill="1" applyBorder="1" applyAlignment="1" applyProtection="1">
      <alignment horizontal="right"/>
    </xf>
    <xf numFmtId="0" fontId="32" fillId="33" borderId="0" xfId="0" applyNumberFormat="1" applyFont="1" applyFill="1" applyBorder="1" applyAlignment="1" applyProtection="1">
      <alignment horizontal="center"/>
    </xf>
    <xf numFmtId="0" fontId="2" fillId="33" borderId="0" xfId="0" applyNumberFormat="1" applyFont="1" applyFill="1" applyBorder="1" applyProtection="1"/>
    <xf numFmtId="0" fontId="2" fillId="33" borderId="0" xfId="0" applyNumberFormat="1" applyFont="1" applyFill="1" applyBorder="1" applyAlignment="1" applyProtection="1">
      <alignment horizontal="right"/>
    </xf>
    <xf numFmtId="0" fontId="32" fillId="33" borderId="6" xfId="0" applyNumberFormat="1" applyFont="1" applyFill="1" applyBorder="1" applyProtection="1"/>
    <xf numFmtId="0" fontId="28" fillId="33" borderId="7" xfId="0" applyNumberFormat="1" applyFont="1" applyFill="1" applyBorder="1" applyProtection="1"/>
    <xf numFmtId="0" fontId="2" fillId="33" borderId="6" xfId="0" applyNumberFormat="1" applyFont="1" applyFill="1" applyBorder="1" applyProtection="1"/>
    <xf numFmtId="0" fontId="7" fillId="33" borderId="7" xfId="0" applyNumberFormat="1" applyFont="1" applyFill="1" applyBorder="1" applyProtection="1"/>
    <xf numFmtId="0" fontId="23" fillId="33" borderId="6" xfId="0" applyFont="1" applyFill="1" applyBorder="1" applyProtection="1"/>
    <xf numFmtId="0" fontId="23" fillId="33" borderId="0" xfId="0" applyFont="1" applyFill="1" applyBorder="1" applyAlignment="1" applyProtection="1">
      <alignment horizontal="right"/>
    </xf>
    <xf numFmtId="0" fontId="0" fillId="33" borderId="7" xfId="0" applyFill="1" applyBorder="1" applyProtection="1"/>
    <xf numFmtId="0" fontId="12" fillId="40" borderId="11" xfId="0" applyNumberFormat="1" applyFont="1" applyFill="1" applyBorder="1" applyProtection="1"/>
    <xf numFmtId="0" fontId="12" fillId="40" borderId="12" xfId="0" applyNumberFormat="1" applyFont="1" applyFill="1" applyBorder="1" applyProtection="1"/>
    <xf numFmtId="0" fontId="10" fillId="40" borderId="13" xfId="0" applyNumberFormat="1" applyFont="1" applyFill="1" applyBorder="1" applyProtection="1"/>
    <xf numFmtId="0" fontId="12" fillId="34" borderId="11" xfId="0" applyFont="1" applyFill="1" applyBorder="1" applyProtection="1"/>
    <xf numFmtId="0" fontId="12" fillId="34" borderId="12" xfId="0" applyFont="1" applyFill="1" applyBorder="1" applyProtection="1"/>
    <xf numFmtId="0" fontId="12" fillId="34" borderId="12" xfId="0" applyFont="1" applyFill="1" applyBorder="1" applyAlignment="1" applyProtection="1">
      <alignment horizontal="right"/>
    </xf>
    <xf numFmtId="0" fontId="10" fillId="34" borderId="13" xfId="0" applyFont="1" applyFill="1" applyBorder="1" applyProtection="1"/>
    <xf numFmtId="0" fontId="37" fillId="0" borderId="0" xfId="0" applyNumberFormat="1" applyFont="1" applyFill="1" applyBorder="1" applyAlignment="1" applyProtection="1">
      <alignment horizontal="right"/>
    </xf>
    <xf numFmtId="0" fontId="47"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center"/>
    </xf>
    <xf numFmtId="0" fontId="32" fillId="33" borderId="0" xfId="0" applyNumberFormat="1" applyFont="1" applyFill="1" applyBorder="1" applyAlignment="1" applyProtection="1">
      <alignment horizontal="left" indent="5"/>
    </xf>
    <xf numFmtId="0" fontId="32" fillId="32" borderId="1" xfId="0" applyNumberFormat="1" applyFont="1" applyFill="1" applyBorder="1" applyAlignment="1" applyProtection="1">
      <alignment horizontal="center"/>
      <protection locked="0"/>
    </xf>
    <xf numFmtId="0" fontId="28" fillId="0" borderId="0" xfId="0" applyNumberFormat="1" applyFont="1" applyFill="1" applyBorder="1" applyAlignment="1" applyProtection="1">
      <alignment horizontal="center"/>
      <protection locked="0"/>
    </xf>
    <xf numFmtId="0" fontId="37" fillId="0" borderId="0" xfId="0" applyNumberFormat="1" applyFont="1" applyFill="1" applyBorder="1" applyAlignment="1" applyProtection="1">
      <alignment horizontal="left"/>
    </xf>
    <xf numFmtId="167" fontId="32" fillId="33" borderId="0" xfId="0" applyNumberFormat="1" applyFont="1" applyFill="1" applyBorder="1" applyAlignment="1" applyProtection="1">
      <alignment horizontal="center"/>
    </xf>
    <xf numFmtId="167" fontId="23" fillId="33" borderId="0" xfId="0" applyNumberFormat="1" applyFont="1" applyFill="1" applyBorder="1" applyAlignment="1" applyProtection="1">
      <alignment horizontal="center"/>
    </xf>
    <xf numFmtId="167" fontId="12" fillId="34" borderId="12" xfId="0" applyNumberFormat="1" applyFont="1" applyFill="1" applyBorder="1" applyAlignment="1" applyProtection="1">
      <alignment horizontal="center"/>
    </xf>
    <xf numFmtId="0" fontId="0" fillId="0" borderId="0" xfId="0" applyFont="1" applyAlignment="1" applyProtection="1"/>
    <xf numFmtId="3" fontId="12" fillId="38" borderId="0" xfId="0" applyNumberFormat="1" applyFont="1" applyFill="1" applyAlignment="1" applyProtection="1">
      <alignment horizontal="right"/>
    </xf>
    <xf numFmtId="3" fontId="10" fillId="38" borderId="0" xfId="0" applyNumberFormat="1" applyFont="1" applyFill="1" applyProtection="1"/>
    <xf numFmtId="3" fontId="10" fillId="38" borderId="0" xfId="0" applyNumberFormat="1" applyFont="1" applyFill="1" applyAlignment="1" applyProtection="1">
      <alignment horizontal="center"/>
    </xf>
    <xf numFmtId="1" fontId="10" fillId="38" borderId="0" xfId="0" applyNumberFormat="1" applyFont="1" applyFill="1" applyAlignment="1" applyProtection="1">
      <alignment horizontal="center"/>
    </xf>
    <xf numFmtId="3" fontId="10" fillId="38" borderId="0" xfId="0" applyNumberFormat="1" applyFont="1" applyFill="1" applyAlignment="1" applyProtection="1">
      <alignment horizontal="center" vertical="top"/>
    </xf>
    <xf numFmtId="1" fontId="10" fillId="38" borderId="0" xfId="0" applyNumberFormat="1" applyFont="1" applyFill="1" applyAlignment="1" applyProtection="1">
      <alignment horizontal="center" vertical="top"/>
    </xf>
    <xf numFmtId="3" fontId="12" fillId="38" borderId="0" xfId="0" applyNumberFormat="1" applyFont="1" applyFill="1" applyAlignment="1" applyProtection="1">
      <alignment horizontal="right" vertical="center"/>
    </xf>
    <xf numFmtId="3" fontId="10" fillId="38" borderId="0" xfId="0" applyNumberFormat="1" applyFont="1" applyFill="1" applyAlignment="1" applyProtection="1">
      <alignment vertical="center"/>
    </xf>
    <xf numFmtId="3" fontId="0" fillId="33" borderId="0" xfId="0" applyNumberFormat="1" applyFill="1" applyProtection="1">
      <protection locked="0"/>
    </xf>
    <xf numFmtId="3" fontId="0" fillId="33" borderId="0" xfId="0" applyNumberFormat="1" applyFill="1" applyAlignment="1" applyProtection="1">
      <alignment horizontal="center"/>
      <protection locked="0"/>
    </xf>
    <xf numFmtId="9" fontId="0" fillId="33" borderId="0" xfId="0" applyNumberFormat="1" applyFill="1" applyAlignment="1" applyProtection="1">
      <alignment horizontal="center"/>
      <protection locked="0"/>
    </xf>
    <xf numFmtId="10" fontId="0" fillId="33" borderId="0" xfId="0" applyNumberFormat="1" applyFill="1" applyAlignment="1" applyProtection="1">
      <alignment horizontal="center"/>
      <protection locked="0"/>
    </xf>
    <xf numFmtId="1" fontId="0" fillId="42" borderId="0" xfId="0" applyNumberFormat="1" applyFill="1" applyAlignment="1" applyProtection="1">
      <alignment horizontal="center"/>
      <protection locked="0"/>
    </xf>
    <xf numFmtId="3" fontId="0" fillId="33" borderId="0" xfId="0" applyNumberFormat="1" applyFill="1" applyAlignment="1" applyProtection="1">
      <alignment vertical="top"/>
      <protection locked="0"/>
    </xf>
    <xf numFmtId="3" fontId="0" fillId="33" borderId="0" xfId="0" applyNumberFormat="1" applyFill="1" applyAlignment="1" applyProtection="1">
      <alignment horizontal="center" vertical="top"/>
      <protection locked="0"/>
    </xf>
    <xf numFmtId="9" fontId="0" fillId="33" borderId="0" xfId="0" applyNumberFormat="1" applyFill="1" applyAlignment="1" applyProtection="1">
      <alignment horizontal="center" vertical="top"/>
      <protection locked="0"/>
    </xf>
    <xf numFmtId="10" fontId="0" fillId="33" borderId="0" xfId="0" applyNumberFormat="1" applyFill="1" applyAlignment="1" applyProtection="1">
      <alignment horizontal="center" vertical="top"/>
      <protection locked="0"/>
    </xf>
    <xf numFmtId="10" fontId="23" fillId="45" borderId="0" xfId="0" applyNumberFormat="1" applyFont="1" applyFill="1" applyAlignment="1" applyProtection="1">
      <alignment horizontal="center"/>
      <protection locked="0"/>
    </xf>
    <xf numFmtId="0" fontId="28" fillId="0" borderId="0" xfId="0" applyFont="1" applyAlignment="1" applyProtection="1">
      <alignment horizontal="center"/>
      <protection locked="0"/>
    </xf>
    <xf numFmtId="0" fontId="24" fillId="0" borderId="0" xfId="0" applyFont="1" applyAlignment="1">
      <alignment horizontal="center"/>
    </xf>
    <xf numFmtId="0" fontId="48" fillId="0" borderId="0" xfId="0" applyFont="1" applyAlignment="1">
      <alignment horizontal="center"/>
    </xf>
    <xf numFmtId="0" fontId="40" fillId="0" borderId="0" xfId="0" applyFont="1" applyAlignment="1" applyProtection="1">
      <alignment horizontal="right"/>
    </xf>
    <xf numFmtId="0" fontId="19" fillId="0" borderId="0" xfId="0" applyFont="1" applyProtection="1"/>
    <xf numFmtId="1" fontId="0" fillId="47" borderId="0" xfId="0" applyNumberFormat="1" applyFill="1" applyAlignment="1" applyProtection="1">
      <alignment horizontal="center"/>
    </xf>
    <xf numFmtId="1" fontId="0" fillId="47" borderId="0" xfId="0" applyNumberFormat="1" applyFill="1" applyBorder="1" applyAlignment="1" applyProtection="1">
      <alignment horizontal="center"/>
    </xf>
    <xf numFmtId="10" fontId="0" fillId="47" borderId="0" xfId="0" applyNumberFormat="1" applyFill="1" applyAlignment="1" applyProtection="1">
      <alignment horizontal="center"/>
    </xf>
    <xf numFmtId="10" fontId="0" fillId="47" borderId="0" xfId="0" applyNumberFormat="1" applyFill="1" applyBorder="1" applyAlignment="1" applyProtection="1">
      <alignment horizontal="center"/>
    </xf>
    <xf numFmtId="4" fontId="0" fillId="47" borderId="0" xfId="0" applyNumberFormat="1" applyFill="1" applyAlignment="1" applyProtection="1">
      <alignment horizontal="center"/>
    </xf>
    <xf numFmtId="0" fontId="12" fillId="0" borderId="0" xfId="0" applyFont="1" applyFill="1" applyAlignment="1" applyProtection="1">
      <alignment horizontal="left" vertical="top" wrapText="1"/>
    </xf>
    <xf numFmtId="0" fontId="55" fillId="0" borderId="0" xfId="0" applyFont="1" applyAlignment="1">
      <alignment horizontal="left" vertical="center"/>
    </xf>
    <xf numFmtId="0" fontId="28" fillId="0" borderId="0" xfId="0" applyFont="1" applyAlignment="1" applyProtection="1">
      <alignment horizontal="center" vertical="top" wrapText="1"/>
    </xf>
    <xf numFmtId="0" fontId="49" fillId="0" borderId="0" xfId="0" applyFont="1" applyAlignment="1" applyProtection="1">
      <alignment vertical="center"/>
    </xf>
    <xf numFmtId="0" fontId="19" fillId="0" borderId="0" xfId="0" applyFont="1"/>
    <xf numFmtId="0" fontId="55" fillId="0" borderId="0" xfId="0" applyFont="1" applyFill="1" applyBorder="1" applyAlignment="1" applyProtection="1">
      <alignment vertical="center"/>
    </xf>
    <xf numFmtId="0" fontId="49" fillId="0" borderId="0" xfId="0" applyFont="1" applyAlignment="1">
      <alignment horizontal="right" vertical="center"/>
    </xf>
    <xf numFmtId="166" fontId="12" fillId="35" borderId="0" xfId="0" applyNumberFormat="1" applyFont="1" applyFill="1" applyAlignment="1" applyProtection="1">
      <alignment horizontal="right"/>
    </xf>
    <xf numFmtId="166" fontId="23" fillId="45" borderId="0" xfId="0" applyNumberFormat="1" applyFont="1" applyFill="1" applyAlignment="1" applyProtection="1">
      <alignment horizontal="right"/>
    </xf>
    <xf numFmtId="0" fontId="56" fillId="0" borderId="0" xfId="0" applyFont="1" applyAlignment="1" applyProtection="1">
      <alignment vertical="center"/>
    </xf>
    <xf numFmtId="0" fontId="58" fillId="38" borderId="0" xfId="0" applyNumberFormat="1" applyFont="1" applyFill="1" applyBorder="1" applyAlignment="1" applyProtection="1">
      <alignment vertical="top"/>
    </xf>
    <xf numFmtId="0" fontId="57" fillId="38" borderId="0" xfId="0" applyNumberFormat="1" applyFont="1" applyFill="1" applyBorder="1" applyAlignment="1" applyProtection="1">
      <alignment vertical="top"/>
    </xf>
    <xf numFmtId="0" fontId="57" fillId="35" borderId="6" xfId="0" applyNumberFormat="1" applyFont="1" applyFill="1" applyBorder="1" applyAlignment="1" applyProtection="1">
      <alignment vertical="center"/>
    </xf>
    <xf numFmtId="0" fontId="57" fillId="38" borderId="7" xfId="0" applyNumberFormat="1" applyFont="1" applyFill="1" applyBorder="1" applyAlignment="1" applyProtection="1">
      <alignment vertical="top"/>
    </xf>
    <xf numFmtId="0" fontId="57" fillId="36" borderId="6" xfId="0" applyNumberFormat="1" applyFont="1" applyFill="1" applyBorder="1" applyAlignment="1" applyProtection="1">
      <alignment vertical="center"/>
    </xf>
    <xf numFmtId="0" fontId="33" fillId="38" borderId="9" xfId="0" applyNumberFormat="1" applyFont="1" applyFill="1" applyBorder="1" applyAlignment="1" applyProtection="1">
      <alignment vertical="top"/>
    </xf>
    <xf numFmtId="0" fontId="12" fillId="38" borderId="9" xfId="0" applyNumberFormat="1" applyFont="1" applyFill="1" applyBorder="1" applyAlignment="1" applyProtection="1">
      <alignment vertical="top"/>
    </xf>
    <xf numFmtId="0" fontId="12" fillId="38" borderId="10" xfId="0" applyNumberFormat="1" applyFont="1" applyFill="1" applyBorder="1" applyAlignment="1" applyProtection="1">
      <alignment vertical="top"/>
    </xf>
    <xf numFmtId="0" fontId="46" fillId="38" borderId="0" xfId="0" applyFont="1" applyFill="1" applyProtection="1"/>
    <xf numFmtId="3" fontId="23" fillId="0" borderId="2" xfId="0" applyNumberFormat="1" applyFont="1" applyBorder="1" applyAlignment="1" applyProtection="1">
      <alignment horizontal="center"/>
    </xf>
    <xf numFmtId="0" fontId="0" fillId="33" borderId="0" xfId="0" applyFill="1" applyProtection="1"/>
    <xf numFmtId="0" fontId="28" fillId="0" borderId="0" xfId="0" applyFont="1" applyAlignment="1" applyProtection="1">
      <alignment horizontal="right"/>
    </xf>
    <xf numFmtId="0" fontId="32" fillId="0" borderId="0" xfId="0" applyFont="1" applyAlignment="1">
      <alignment horizontal="right"/>
    </xf>
    <xf numFmtId="0" fontId="12" fillId="48" borderId="8" xfId="0" applyNumberFormat="1" applyFont="1" applyFill="1" applyBorder="1" applyProtection="1"/>
    <xf numFmtId="0" fontId="0" fillId="33" borderId="0" xfId="0" applyFill="1" applyProtection="1"/>
    <xf numFmtId="0" fontId="0" fillId="33" borderId="0" xfId="0" applyFill="1" applyAlignment="1" applyProtection="1">
      <alignment vertical="top"/>
    </xf>
    <xf numFmtId="3" fontId="28" fillId="0" borderId="0" xfId="0" applyNumberFormat="1" applyFont="1" applyFill="1" applyProtection="1"/>
    <xf numFmtId="9" fontId="28" fillId="0" borderId="0" xfId="0" applyNumberFormat="1" applyFont="1" applyFill="1" applyProtection="1"/>
    <xf numFmtId="0" fontId="29" fillId="0" borderId="0" xfId="0" applyFont="1" applyFill="1" applyAlignment="1">
      <alignment horizontal="center"/>
    </xf>
    <xf numFmtId="0" fontId="12" fillId="44" borderId="0" xfId="0" applyFont="1" applyFill="1" applyProtection="1"/>
    <xf numFmtId="0" fontId="24" fillId="0" borderId="0" xfId="0" applyFont="1" applyAlignment="1" applyProtection="1">
      <alignment horizontal="center"/>
    </xf>
    <xf numFmtId="0" fontId="0" fillId="33" borderId="0" xfId="0" applyFill="1" applyProtection="1"/>
    <xf numFmtId="0" fontId="12" fillId="44" borderId="0" xfId="0" applyFont="1" applyFill="1" applyProtection="1"/>
    <xf numFmtId="0" fontId="12" fillId="34" borderId="0" xfId="0" applyFont="1" applyFill="1" applyAlignment="1" applyProtection="1">
      <alignment horizontal="left" vertical="top" wrapText="1"/>
    </xf>
    <xf numFmtId="0" fontId="0" fillId="33" borderId="0" xfId="0" applyFill="1" applyProtection="1"/>
    <xf numFmtId="0" fontId="10" fillId="0" borderId="0" xfId="0" applyFont="1" applyFill="1"/>
    <xf numFmtId="0" fontId="10" fillId="0" borderId="0" xfId="0" applyFont="1" applyAlignment="1" applyProtection="1">
      <alignment horizontal="right"/>
    </xf>
    <xf numFmtId="0" fontId="12" fillId="0" borderId="0" xfId="0" applyFont="1" applyFill="1" applyBorder="1"/>
    <xf numFmtId="0" fontId="10" fillId="0" borderId="0" xfId="0" applyFont="1" applyAlignment="1">
      <alignment vertical="top"/>
    </xf>
    <xf numFmtId="3" fontId="10" fillId="0" borderId="0" xfId="0" applyNumberFormat="1" applyFont="1" applyAlignment="1">
      <alignment horizontal="center"/>
    </xf>
    <xf numFmtId="0" fontId="12" fillId="0" borderId="0" xfId="0" applyFont="1" applyFill="1" applyBorder="1" applyAlignment="1" applyProtection="1">
      <alignment horizontal="left" vertical="top" wrapText="1"/>
    </xf>
    <xf numFmtId="0" fontId="12" fillId="0" borderId="0" xfId="0" applyFont="1" applyFill="1" applyBorder="1" applyProtection="1"/>
    <xf numFmtId="166" fontId="12" fillId="0" borderId="0" xfId="0" applyNumberFormat="1" applyFont="1" applyFill="1" applyBorder="1" applyProtection="1"/>
    <xf numFmtId="0" fontId="12" fillId="0" borderId="0" xfId="0" applyFont="1" applyFill="1" applyBorder="1" applyAlignment="1" applyProtection="1">
      <alignment horizontal="center"/>
    </xf>
    <xf numFmtId="3" fontId="12" fillId="0" borderId="0" xfId="0" applyNumberFormat="1" applyFont="1" applyFill="1" applyBorder="1" applyAlignment="1" applyProtection="1">
      <alignment horizontal="center"/>
    </xf>
    <xf numFmtId="3" fontId="12" fillId="0" borderId="0" xfId="0" applyNumberFormat="1" applyFont="1" applyFill="1" applyBorder="1" applyProtection="1"/>
    <xf numFmtId="10" fontId="12" fillId="0" borderId="0" xfId="0" applyNumberFormat="1" applyFont="1" applyFill="1" applyBorder="1" applyProtection="1"/>
    <xf numFmtId="0" fontId="12" fillId="0" borderId="0" xfId="0" applyFont="1" applyFill="1" applyBorder="1" applyAlignment="1" applyProtection="1">
      <alignment horizontal="right"/>
    </xf>
    <xf numFmtId="4"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left"/>
    </xf>
    <xf numFmtId="0" fontId="12" fillId="0" borderId="0" xfId="0" applyNumberFormat="1" applyFont="1" applyFill="1" applyBorder="1" applyAlignment="1" applyProtection="1">
      <alignment horizontal="center"/>
    </xf>
    <xf numFmtId="0" fontId="12" fillId="0" borderId="0" xfId="0" applyNumberFormat="1" applyFont="1" applyFill="1" applyBorder="1" applyAlignment="1" applyProtection="1">
      <alignment horizontal="center" vertical="top" wrapText="1"/>
    </xf>
    <xf numFmtId="3" fontId="57" fillId="0" borderId="0" xfId="0" applyNumberFormat="1" applyFont="1" applyFill="1" applyBorder="1" applyAlignment="1" applyProtection="1">
      <alignment horizontal="center"/>
    </xf>
    <xf numFmtId="1" fontId="12" fillId="0" borderId="0" xfId="0" applyNumberFormat="1" applyFont="1" applyFill="1" applyBorder="1" applyAlignment="1" applyProtection="1">
      <alignment horizontal="center"/>
    </xf>
    <xf numFmtId="3" fontId="12" fillId="0" borderId="0" xfId="0" applyNumberFormat="1" applyFont="1" applyFill="1" applyBorder="1" applyAlignment="1" applyProtection="1">
      <alignment horizontal="right"/>
    </xf>
    <xf numFmtId="4" fontId="12" fillId="0" borderId="0" xfId="0" applyNumberFormat="1" applyFont="1" applyFill="1" applyBorder="1" applyAlignment="1" applyProtection="1">
      <alignment horizontal="left"/>
    </xf>
    <xf numFmtId="0" fontId="61" fillId="0" borderId="0" xfId="0" applyFont="1" applyFill="1" applyBorder="1" applyProtection="1"/>
    <xf numFmtId="10" fontId="12" fillId="0" borderId="0" xfId="0" applyNumberFormat="1" applyFont="1" applyFill="1" applyBorder="1" applyAlignment="1" applyProtection="1">
      <alignment horizontal="center"/>
    </xf>
    <xf numFmtId="2" fontId="12" fillId="0" borderId="0" xfId="0" applyNumberFormat="1" applyFont="1" applyFill="1" applyBorder="1" applyAlignment="1" applyProtection="1">
      <alignment horizontal="center"/>
    </xf>
    <xf numFmtId="4" fontId="12" fillId="0" borderId="0" xfId="0" applyNumberFormat="1" applyFont="1" applyFill="1" applyBorder="1" applyProtection="1"/>
    <xf numFmtId="0" fontId="10" fillId="0" borderId="0" xfId="0" applyFont="1" applyFill="1" applyBorder="1" applyProtection="1"/>
    <xf numFmtId="166" fontId="12" fillId="45" borderId="0" xfId="0" applyNumberFormat="1" applyFont="1" applyFill="1" applyProtection="1"/>
    <xf numFmtId="3" fontId="10" fillId="0" borderId="0" xfId="0" applyNumberFormat="1" applyFont="1" applyAlignment="1" applyProtection="1">
      <alignment horizontal="center"/>
    </xf>
    <xf numFmtId="0" fontId="12" fillId="0" borderId="0" xfId="0" applyFont="1" applyAlignment="1" applyProtection="1">
      <alignment horizontal="right"/>
    </xf>
    <xf numFmtId="0" fontId="44" fillId="0" borderId="0" xfId="0" applyFont="1" applyAlignment="1" applyProtection="1">
      <alignment horizontal="center"/>
    </xf>
    <xf numFmtId="3" fontId="62" fillId="0" borderId="0" xfId="0" applyNumberFormat="1" applyFont="1" applyFill="1" applyBorder="1" applyAlignment="1" applyProtection="1">
      <alignment horizontal="left"/>
    </xf>
    <xf numFmtId="0" fontId="62" fillId="0" borderId="0" xfId="0" applyFont="1" applyFill="1" applyBorder="1" applyAlignment="1" applyProtection="1">
      <alignment horizontal="left"/>
    </xf>
    <xf numFmtId="0" fontId="62" fillId="0" borderId="0" xfId="0" applyFont="1" applyFill="1" applyBorder="1" applyProtection="1"/>
    <xf numFmtId="0" fontId="10" fillId="0" borderId="0" xfId="0" applyNumberFormat="1" applyFont="1" applyAlignment="1" applyProtection="1">
      <alignment horizontal="center"/>
    </xf>
    <xf numFmtId="3" fontId="10" fillId="0" borderId="0" xfId="0" applyNumberFormat="1" applyFont="1" applyProtection="1"/>
    <xf numFmtId="9" fontId="10" fillId="0" borderId="0" xfId="0" applyNumberFormat="1" applyFont="1" applyProtection="1"/>
    <xf numFmtId="0" fontId="10" fillId="0" borderId="0" xfId="0" applyFont="1" applyFill="1" applyProtection="1"/>
    <xf numFmtId="3" fontId="44" fillId="0" borderId="0" xfId="0" applyNumberFormat="1" applyFont="1" applyFill="1" applyBorder="1" applyAlignment="1" applyProtection="1">
      <alignment horizontal="left"/>
    </xf>
    <xf numFmtId="0" fontId="33" fillId="0" borderId="0" xfId="0" applyFont="1" applyFill="1" applyBorder="1" applyProtection="1"/>
    <xf numFmtId="165" fontId="12" fillId="0" borderId="0" xfId="0" applyNumberFormat="1" applyFont="1" applyFill="1" applyBorder="1" applyAlignment="1" applyProtection="1">
      <alignment horizontal="center"/>
    </xf>
    <xf numFmtId="10" fontId="10" fillId="0" borderId="0" xfId="0" applyNumberFormat="1" applyFont="1" applyFill="1" applyBorder="1" applyAlignment="1" applyProtection="1">
      <alignment horizontal="center"/>
    </xf>
    <xf numFmtId="3" fontId="59" fillId="0" borderId="0" xfId="0" applyNumberFormat="1" applyFont="1" applyFill="1" applyBorder="1" applyAlignment="1" applyProtection="1">
      <alignment horizontal="center"/>
    </xf>
    <xf numFmtId="0" fontId="12" fillId="0" borderId="0" xfId="0" applyFont="1"/>
    <xf numFmtId="9" fontId="12" fillId="0" borderId="0" xfId="0" applyNumberFormat="1" applyFont="1" applyFill="1" applyBorder="1" applyAlignment="1" applyProtection="1">
      <alignment horizontal="center"/>
    </xf>
    <xf numFmtId="0" fontId="12" fillId="0" borderId="0" xfId="0" applyFont="1" applyFill="1" applyBorder="1" applyAlignment="1">
      <alignment horizontal="center"/>
    </xf>
    <xf numFmtId="3" fontId="12" fillId="0" borderId="0" xfId="0" applyNumberFormat="1" applyFont="1" applyFill="1" applyBorder="1"/>
    <xf numFmtId="1" fontId="12" fillId="0" borderId="0" xfId="0" applyNumberFormat="1" applyFont="1" applyFill="1" applyBorder="1"/>
    <xf numFmtId="9" fontId="12" fillId="0" borderId="0" xfId="0" applyNumberFormat="1" applyFont="1" applyFill="1" applyBorder="1"/>
    <xf numFmtId="10" fontId="12" fillId="0" borderId="0" xfId="0" applyNumberFormat="1" applyFont="1" applyFill="1" applyBorder="1"/>
    <xf numFmtId="2" fontId="12" fillId="0" borderId="0" xfId="0" applyNumberFormat="1" applyFont="1" applyFill="1" applyBorder="1"/>
    <xf numFmtId="0" fontId="10" fillId="0" borderId="0" xfId="0" applyFont="1" applyAlignment="1">
      <alignment horizontal="center"/>
    </xf>
    <xf numFmtId="0" fontId="12" fillId="0" borderId="0" xfId="0" applyFont="1" applyAlignment="1">
      <alignment horizontal="center"/>
    </xf>
    <xf numFmtId="0" fontId="12" fillId="0" borderId="0" xfId="0" applyFont="1" applyFill="1" applyAlignment="1">
      <alignment horizontal="center"/>
    </xf>
    <xf numFmtId="3" fontId="10" fillId="0" borderId="0" xfId="0" applyNumberFormat="1" applyFont="1" applyFill="1" applyAlignment="1">
      <alignment horizontal="center"/>
    </xf>
    <xf numFmtId="164" fontId="10" fillId="0" borderId="0" xfId="0" applyNumberFormat="1" applyFont="1" applyFill="1" applyAlignment="1">
      <alignment horizontal="center"/>
    </xf>
    <xf numFmtId="166" fontId="10" fillId="0" borderId="0" xfId="0" applyNumberFormat="1" applyFont="1" applyFill="1" applyAlignment="1">
      <alignment horizontal="center"/>
    </xf>
    <xf numFmtId="0" fontId="10" fillId="0" borderId="0" xfId="0" applyFont="1" applyFill="1" applyBorder="1" applyAlignment="1" applyProtection="1">
      <alignment horizontal="left"/>
    </xf>
    <xf numFmtId="0" fontId="10" fillId="0" borderId="0" xfId="0" applyFont="1" applyFill="1" applyBorder="1" applyAlignment="1">
      <alignment horizontal="center"/>
    </xf>
    <xf numFmtId="0" fontId="10" fillId="0" borderId="0" xfId="0" applyFont="1" applyAlignment="1" applyProtection="1">
      <alignment vertical="top"/>
    </xf>
    <xf numFmtId="168" fontId="10" fillId="0" borderId="0" xfId="0" applyNumberFormat="1" applyFont="1" applyAlignment="1" applyProtection="1">
      <alignment horizontal="center"/>
    </xf>
    <xf numFmtId="2" fontId="10" fillId="0" borderId="0" xfId="0" applyNumberFormat="1" applyFont="1" applyAlignment="1" applyProtection="1">
      <alignment horizontal="center"/>
    </xf>
    <xf numFmtId="10" fontId="10" fillId="0" borderId="0" xfId="0" applyNumberFormat="1" applyFont="1" applyAlignment="1" applyProtection="1">
      <alignment horizontal="center"/>
    </xf>
    <xf numFmtId="4" fontId="10" fillId="0" borderId="0" xfId="0" applyNumberFormat="1" applyFont="1" applyAlignment="1" applyProtection="1">
      <alignment horizontal="center"/>
    </xf>
    <xf numFmtId="10" fontId="10" fillId="0" borderId="0" xfId="0" applyNumberFormat="1" applyFont="1" applyProtection="1"/>
    <xf numFmtId="4" fontId="10" fillId="0" borderId="0" xfId="0" applyNumberFormat="1" applyFont="1" applyProtection="1"/>
    <xf numFmtId="3" fontId="10" fillId="0" borderId="0" xfId="0" applyNumberFormat="1" applyFont="1" applyBorder="1" applyAlignment="1" applyProtection="1">
      <alignment horizontal="center"/>
    </xf>
    <xf numFmtId="4" fontId="10" fillId="0" borderId="0" xfId="0" applyNumberFormat="1" applyFont="1" applyFill="1" applyBorder="1" applyAlignment="1" applyProtection="1">
      <alignment horizontal="center"/>
    </xf>
    <xf numFmtId="10" fontId="10" fillId="0" borderId="0" xfId="0" applyNumberFormat="1" applyFont="1" applyBorder="1" applyAlignment="1" applyProtection="1">
      <alignment horizontal="center"/>
    </xf>
    <xf numFmtId="3" fontId="0" fillId="0" borderId="0" xfId="0" applyNumberFormat="1" applyFill="1" applyProtection="1"/>
    <xf numFmtId="0" fontId="0" fillId="0" borderId="0" xfId="0" applyFill="1" applyAlignment="1" applyProtection="1">
      <alignment horizontal="center" wrapText="1"/>
    </xf>
    <xf numFmtId="0" fontId="0" fillId="0" borderId="0" xfId="0" applyFill="1" applyBorder="1" applyAlignment="1" applyProtection="1">
      <alignment horizontal="center" wrapText="1"/>
    </xf>
    <xf numFmtId="0" fontId="4" fillId="0" borderId="0" xfId="0" applyNumberFormat="1" applyFont="1" applyFill="1" applyBorder="1" applyAlignment="1" applyProtection="1">
      <alignment horizontal="center" vertical="center"/>
    </xf>
    <xf numFmtId="0" fontId="57" fillId="0" borderId="0" xfId="0" applyNumberFormat="1" applyFont="1" applyFill="1" applyBorder="1" applyAlignment="1" applyProtection="1">
      <alignment vertical="top"/>
    </xf>
    <xf numFmtId="0" fontId="12" fillId="0" borderId="0" xfId="0" applyNumberFormat="1" applyFont="1" applyFill="1" applyBorder="1" applyAlignment="1" applyProtection="1">
      <alignment vertical="top"/>
    </xf>
    <xf numFmtId="0" fontId="33" fillId="0" borderId="0" xfId="0" applyNumberFormat="1" applyFont="1" applyFill="1" applyBorder="1" applyAlignment="1" applyProtection="1">
      <alignment horizontal="left" vertical="top" wrapText="1"/>
    </xf>
    <xf numFmtId="0" fontId="51" fillId="0" borderId="0" xfId="0" applyNumberFormat="1" applyFont="1" applyFill="1" applyBorder="1" applyAlignment="1" applyProtection="1">
      <alignment vertical="top" wrapText="1"/>
    </xf>
    <xf numFmtId="0" fontId="28" fillId="0" borderId="0" xfId="40" applyFont="1" applyAlignment="1">
      <alignment vertical="top"/>
    </xf>
    <xf numFmtId="0" fontId="28" fillId="0" borderId="0" xfId="40" applyFont="1"/>
    <xf numFmtId="0" fontId="9" fillId="0" borderId="0" xfId="40"/>
    <xf numFmtId="3" fontId="28" fillId="0" borderId="0" xfId="40" applyNumberFormat="1" applyFont="1" applyAlignment="1">
      <alignment horizontal="center"/>
    </xf>
    <xf numFmtId="0" fontId="23" fillId="0" borderId="0" xfId="40" applyFont="1" applyAlignment="1">
      <alignment horizontal="right"/>
    </xf>
    <xf numFmtId="0" fontId="23" fillId="32" borderId="1" xfId="40" applyFont="1" applyFill="1" applyBorder="1" applyAlignment="1" applyProtection="1">
      <alignment horizontal="center"/>
      <protection locked="0"/>
    </xf>
    <xf numFmtId="0" fontId="24" fillId="0" borderId="0" xfId="40" applyFont="1" applyAlignment="1">
      <alignment horizontal="center"/>
    </xf>
    <xf numFmtId="0" fontId="9" fillId="33" borderId="0" xfId="40" applyFill="1" applyAlignment="1">
      <alignment horizontal="center" vertical="top"/>
    </xf>
    <xf numFmtId="0" fontId="9" fillId="0" borderId="0" xfId="40" applyAlignment="1">
      <alignment vertical="top"/>
    </xf>
    <xf numFmtId="0" fontId="32" fillId="0" borderId="0" xfId="40" applyFont="1"/>
    <xf numFmtId="0" fontId="23" fillId="42" borderId="2" xfId="40" applyFont="1" applyFill="1" applyBorder="1" applyAlignment="1">
      <alignment horizontal="center"/>
    </xf>
    <xf numFmtId="0" fontId="9" fillId="33" borderId="0" xfId="40" applyFill="1"/>
    <xf numFmtId="9" fontId="9" fillId="33" borderId="0" xfId="40" applyNumberFormat="1" applyFill="1" applyAlignment="1">
      <alignment horizontal="center"/>
    </xf>
    <xf numFmtId="0" fontId="10" fillId="0" borderId="0" xfId="40" applyFont="1" applyFill="1" applyBorder="1" applyAlignment="1">
      <alignment vertical="top"/>
    </xf>
    <xf numFmtId="0" fontId="10" fillId="0" borderId="0" xfId="40" applyFont="1" applyFill="1" applyBorder="1"/>
    <xf numFmtId="9" fontId="10" fillId="0" borderId="0" xfId="40" applyNumberFormat="1" applyFont="1" applyFill="1" applyBorder="1"/>
    <xf numFmtId="0" fontId="9" fillId="0" borderId="0" xfId="40" applyAlignment="1" applyProtection="1">
      <alignment horizontal="center"/>
    </xf>
    <xf numFmtId="0" fontId="9" fillId="0" borderId="0" xfId="40" applyProtection="1"/>
    <xf numFmtId="0" fontId="23" fillId="0" borderId="0" xfId="40" applyFont="1" applyProtection="1"/>
    <xf numFmtId="3" fontId="28" fillId="0" borderId="0" xfId="40" applyNumberFormat="1" applyFont="1" applyAlignment="1" applyProtection="1">
      <alignment horizontal="center"/>
    </xf>
    <xf numFmtId="0" fontId="28" fillId="0" borderId="0" xfId="40" applyFont="1" applyAlignment="1" applyProtection="1">
      <alignment horizontal="center"/>
    </xf>
    <xf numFmtId="0" fontId="45" fillId="0" borderId="0" xfId="40" applyFont="1" applyAlignment="1" applyProtection="1">
      <alignment horizontal="center"/>
    </xf>
    <xf numFmtId="0" fontId="23" fillId="33" borderId="0" xfId="40" applyFont="1" applyFill="1" applyProtection="1"/>
    <xf numFmtId="3" fontId="23" fillId="33" borderId="0" xfId="40" applyNumberFormat="1" applyFont="1" applyFill="1" applyAlignment="1" applyProtection="1">
      <alignment horizontal="left"/>
    </xf>
    <xf numFmtId="1" fontId="23" fillId="33" borderId="0" xfId="40" applyNumberFormat="1" applyFont="1" applyFill="1" applyAlignment="1" applyProtection="1">
      <alignment horizontal="center"/>
      <protection locked="0"/>
    </xf>
    <xf numFmtId="0" fontId="23" fillId="33" borderId="0" xfId="40" applyFont="1" applyFill="1" applyAlignment="1" applyProtection="1">
      <alignment horizontal="left"/>
    </xf>
    <xf numFmtId="3" fontId="23" fillId="42" borderId="2" xfId="40" applyNumberFormat="1" applyFont="1" applyFill="1" applyBorder="1" applyAlignment="1" applyProtection="1">
      <alignment horizontal="center"/>
    </xf>
    <xf numFmtId="3" fontId="1" fillId="42" borderId="2" xfId="40" applyNumberFormat="1" applyFont="1" applyFill="1" applyBorder="1" applyAlignment="1" applyProtection="1">
      <alignment horizontal="center"/>
    </xf>
    <xf numFmtId="3" fontId="9" fillId="0" borderId="0" xfId="40" applyNumberFormat="1" applyProtection="1"/>
    <xf numFmtId="0" fontId="23" fillId="33" borderId="0" xfId="40" applyFont="1" applyFill="1" applyAlignment="1" applyProtection="1">
      <alignment horizontal="center"/>
    </xf>
    <xf numFmtId="1" fontId="23" fillId="42" borderId="0" xfId="40" applyNumberFormat="1" applyFont="1" applyFill="1" applyAlignment="1" applyProtection="1">
      <alignment horizontal="center"/>
      <protection locked="0"/>
    </xf>
    <xf numFmtId="3" fontId="9" fillId="32" borderId="1" xfId="40" applyNumberFormat="1" applyFill="1" applyBorder="1" applyProtection="1">
      <protection locked="0"/>
    </xf>
    <xf numFmtId="3" fontId="23" fillId="0" borderId="0" xfId="40" applyNumberFormat="1" applyFont="1" applyAlignment="1" applyProtection="1">
      <alignment horizontal="left"/>
    </xf>
    <xf numFmtId="3" fontId="23" fillId="0" borderId="0" xfId="40" applyNumberFormat="1" applyFont="1" applyAlignment="1" applyProtection="1">
      <alignment horizontal="center"/>
    </xf>
    <xf numFmtId="0" fontId="23" fillId="0" borderId="0" xfId="40" applyFont="1" applyAlignment="1" applyProtection="1">
      <alignment horizontal="left"/>
    </xf>
    <xf numFmtId="3" fontId="23" fillId="33" borderId="0" xfId="40" applyNumberFormat="1" applyFont="1" applyFill="1" applyAlignment="1" applyProtection="1">
      <alignment horizontal="right"/>
    </xf>
    <xf numFmtId="3" fontId="23" fillId="33" borderId="0" xfId="40" applyNumberFormat="1" applyFont="1" applyFill="1" applyAlignment="1" applyProtection="1">
      <alignment horizontal="center"/>
      <protection locked="0"/>
    </xf>
    <xf numFmtId="0" fontId="9" fillId="0" borderId="0" xfId="40" applyProtection="1">
      <protection locked="0"/>
    </xf>
    <xf numFmtId="3" fontId="65" fillId="42" borderId="2" xfId="40" applyNumberFormat="1" applyFont="1" applyFill="1" applyBorder="1" applyAlignment="1" applyProtection="1">
      <alignment horizontal="center"/>
    </xf>
    <xf numFmtId="3" fontId="23" fillId="47" borderId="0" xfId="40" applyNumberFormat="1" applyFont="1" applyFill="1" applyAlignment="1" applyProtection="1">
      <alignment horizontal="left"/>
    </xf>
    <xf numFmtId="3" fontId="23" fillId="47" borderId="0" xfId="40" applyNumberFormat="1" applyFont="1" applyFill="1" applyAlignment="1" applyProtection="1">
      <alignment horizontal="center"/>
    </xf>
    <xf numFmtId="0" fontId="23" fillId="47" borderId="0" xfId="40" applyFont="1" applyFill="1" applyAlignment="1" applyProtection="1">
      <alignment horizontal="left"/>
    </xf>
    <xf numFmtId="3" fontId="37" fillId="0" borderId="0" xfId="40" applyNumberFormat="1" applyFont="1" applyProtection="1"/>
    <xf numFmtId="3" fontId="23" fillId="33" borderId="0" xfId="40" applyNumberFormat="1" applyFont="1" applyFill="1" applyAlignment="1" applyProtection="1">
      <alignment horizontal="center"/>
    </xf>
    <xf numFmtId="0" fontId="9" fillId="0" borderId="0" xfId="40" applyFill="1" applyProtection="1"/>
    <xf numFmtId="3" fontId="23" fillId="42" borderId="0" xfId="40" applyNumberFormat="1" applyFont="1" applyFill="1" applyProtection="1"/>
    <xf numFmtId="3" fontId="32" fillId="32" borderId="1" xfId="40" applyNumberFormat="1" applyFont="1" applyFill="1" applyBorder="1" applyAlignment="1" applyProtection="1">
      <alignment horizontal="center"/>
      <protection locked="0"/>
    </xf>
    <xf numFmtId="3" fontId="23" fillId="42" borderId="0" xfId="40" applyNumberFormat="1" applyFont="1" applyFill="1" applyAlignment="1" applyProtection="1">
      <alignment horizontal="right"/>
    </xf>
    <xf numFmtId="3" fontId="23" fillId="32" borderId="1" xfId="40" applyNumberFormat="1" applyFont="1" applyFill="1" applyBorder="1" applyProtection="1">
      <protection locked="0"/>
    </xf>
    <xf numFmtId="0" fontId="23" fillId="42" borderId="0" xfId="40" applyFont="1" applyFill="1" applyProtection="1"/>
    <xf numFmtId="10" fontId="32" fillId="32" borderId="1" xfId="40" applyNumberFormat="1" applyFont="1" applyFill="1" applyBorder="1" applyAlignment="1" applyProtection="1">
      <alignment horizontal="center"/>
      <protection locked="0"/>
    </xf>
    <xf numFmtId="3" fontId="32" fillId="42" borderId="0" xfId="40" applyNumberFormat="1" applyFont="1" applyFill="1" applyAlignment="1" applyProtection="1">
      <alignment horizontal="right"/>
    </xf>
    <xf numFmtId="10" fontId="23" fillId="32" borderId="1" xfId="40" applyNumberFormat="1" applyFont="1" applyFill="1" applyBorder="1" applyAlignment="1" applyProtection="1">
      <alignment horizontal="center"/>
      <protection locked="0"/>
    </xf>
    <xf numFmtId="0" fontId="9" fillId="47" borderId="0" xfId="40" applyFill="1" applyProtection="1"/>
    <xf numFmtId="9" fontId="23" fillId="33" borderId="0" xfId="40" applyNumberFormat="1" applyFont="1" applyFill="1" applyAlignment="1" applyProtection="1">
      <alignment horizontal="center"/>
      <protection locked="0"/>
    </xf>
    <xf numFmtId="9" fontId="23" fillId="0" borderId="0" xfId="40" applyNumberFormat="1" applyFont="1" applyAlignment="1" applyProtection="1">
      <alignment horizontal="center"/>
    </xf>
    <xf numFmtId="3" fontId="9" fillId="47" borderId="0" xfId="40" applyNumberFormat="1" applyFill="1" applyProtection="1"/>
    <xf numFmtId="0" fontId="2" fillId="0" borderId="0" xfId="40" applyFont="1" applyAlignment="1" applyProtection="1">
      <alignment horizontal="right"/>
    </xf>
    <xf numFmtId="10" fontId="2" fillId="32" borderId="1" xfId="40" applyNumberFormat="1" applyFont="1" applyFill="1" applyBorder="1" applyAlignment="1" applyProtection="1">
      <alignment horizontal="center"/>
      <protection locked="0"/>
    </xf>
    <xf numFmtId="3" fontId="46" fillId="35" borderId="27" xfId="40" applyNumberFormat="1" applyFont="1" applyFill="1" applyBorder="1" applyAlignment="1" applyProtection="1">
      <alignment horizontal="center"/>
    </xf>
    <xf numFmtId="9" fontId="57" fillId="35" borderId="27" xfId="40" applyNumberFormat="1" applyFont="1" applyFill="1" applyBorder="1" applyAlignment="1" applyProtection="1">
      <alignment horizontal="center"/>
    </xf>
    <xf numFmtId="3" fontId="4" fillId="0" borderId="0" xfId="40" applyNumberFormat="1" applyFont="1" applyFill="1" applyBorder="1" applyAlignment="1" applyProtection="1">
      <alignment horizontal="center"/>
    </xf>
    <xf numFmtId="3" fontId="4" fillId="0" borderId="0" xfId="40" applyNumberFormat="1" applyFont="1" applyFill="1" applyBorder="1" applyAlignment="1" applyProtection="1">
      <alignment horizontal="right"/>
    </xf>
    <xf numFmtId="3" fontId="4" fillId="32" borderId="1" xfId="40" applyNumberFormat="1" applyFont="1" applyFill="1" applyBorder="1" applyAlignment="1" applyProtection="1">
      <alignment horizontal="center"/>
      <protection locked="0"/>
    </xf>
    <xf numFmtId="3" fontId="47" fillId="0" borderId="0" xfId="40" applyNumberFormat="1" applyFont="1" applyFill="1" applyBorder="1" applyAlignment="1" applyProtection="1">
      <alignment horizontal="center"/>
    </xf>
    <xf numFmtId="0" fontId="28" fillId="0" borderId="0" xfId="40" applyFont="1" applyFill="1" applyBorder="1" applyProtection="1"/>
    <xf numFmtId="1" fontId="46" fillId="36" borderId="27" xfId="40" applyNumberFormat="1" applyFont="1" applyFill="1" applyBorder="1" applyAlignment="1" applyProtection="1">
      <alignment horizontal="center"/>
    </xf>
    <xf numFmtId="9" fontId="12" fillId="36" borderId="27" xfId="40" applyNumberFormat="1" applyFont="1" applyFill="1" applyBorder="1" applyAlignment="1" applyProtection="1">
      <alignment horizontal="center"/>
    </xf>
    <xf numFmtId="3" fontId="28" fillId="0" borderId="0" xfId="40" applyNumberFormat="1" applyFont="1" applyFill="1" applyBorder="1" applyProtection="1"/>
    <xf numFmtId="3" fontId="55" fillId="0" borderId="0" xfId="40" applyNumberFormat="1" applyFont="1" applyFill="1" applyBorder="1" applyAlignment="1" applyProtection="1">
      <alignment horizontal="right"/>
    </xf>
    <xf numFmtId="3" fontId="28" fillId="0" borderId="0" xfId="40" applyNumberFormat="1" applyFont="1" applyFill="1" applyBorder="1" applyProtection="1">
      <protection locked="0"/>
    </xf>
    <xf numFmtId="9" fontId="23" fillId="47" borderId="0" xfId="40" applyNumberFormat="1" applyFont="1" applyFill="1" applyAlignment="1" applyProtection="1">
      <alignment horizontal="center"/>
    </xf>
    <xf numFmtId="1" fontId="46" fillId="49" borderId="27" xfId="40" applyNumberFormat="1" applyFont="1" applyFill="1" applyBorder="1" applyAlignment="1" applyProtection="1">
      <alignment horizontal="center"/>
    </xf>
    <xf numFmtId="9" fontId="12" fillId="49" borderId="27" xfId="40" applyNumberFormat="1" applyFont="1" applyFill="1" applyBorder="1" applyAlignment="1" applyProtection="1">
      <alignment horizontal="center"/>
    </xf>
    <xf numFmtId="0" fontId="2" fillId="0" borderId="0" xfId="40" applyFont="1" applyAlignment="1" applyProtection="1">
      <alignment horizontal="center"/>
    </xf>
    <xf numFmtId="1" fontId="28" fillId="0" borderId="0" xfId="40" applyNumberFormat="1" applyFont="1" applyFill="1" applyBorder="1" applyAlignment="1" applyProtection="1">
      <alignment horizontal="center"/>
    </xf>
    <xf numFmtId="0" fontId="7" fillId="0" borderId="0" xfId="40" applyFont="1" applyFill="1" applyBorder="1" applyAlignment="1" applyProtection="1">
      <alignment horizontal="center"/>
    </xf>
    <xf numFmtId="0" fontId="12" fillId="44" borderId="28" xfId="40" applyFont="1" applyFill="1" applyBorder="1" applyAlignment="1" applyProtection="1">
      <alignment horizontal="right"/>
    </xf>
    <xf numFmtId="3" fontId="32" fillId="0" borderId="0" xfId="40" applyNumberFormat="1" applyFont="1" applyFill="1" applyBorder="1" applyAlignment="1" applyProtection="1">
      <alignment horizontal="center"/>
    </xf>
    <xf numFmtId="0" fontId="23" fillId="0" borderId="0" xfId="40" applyFont="1" applyAlignment="1" applyProtection="1">
      <alignment horizontal="center"/>
    </xf>
    <xf numFmtId="3" fontId="32" fillId="0" borderId="0" xfId="40" applyNumberFormat="1" applyFont="1" applyFill="1" applyBorder="1" applyAlignment="1" applyProtection="1">
      <alignment horizontal="right" vertical="top"/>
    </xf>
    <xf numFmtId="3" fontId="28" fillId="0" borderId="0" xfId="40" applyNumberFormat="1" applyFont="1" applyFill="1" applyBorder="1" applyAlignment="1" applyProtection="1">
      <alignment horizontal="left"/>
    </xf>
    <xf numFmtId="3" fontId="32" fillId="0" borderId="0" xfId="40" applyNumberFormat="1" applyFont="1" applyFill="1" applyBorder="1" applyAlignment="1" applyProtection="1">
      <alignment horizontal="right"/>
    </xf>
    <xf numFmtId="0" fontId="23" fillId="47" borderId="0" xfId="40" applyFont="1" applyFill="1" applyProtection="1"/>
    <xf numFmtId="0" fontId="2" fillId="0" borderId="0" xfId="40" applyFont="1" applyFill="1" applyBorder="1" applyProtection="1"/>
    <xf numFmtId="0" fontId="44" fillId="40" borderId="3" xfId="40" applyFont="1" applyFill="1" applyBorder="1" applyProtection="1"/>
    <xf numFmtId="0" fontId="44" fillId="40" borderId="4" xfId="40" applyFont="1" applyFill="1" applyBorder="1" applyProtection="1"/>
    <xf numFmtId="0" fontId="64" fillId="40" borderId="5" xfId="40" applyFont="1" applyFill="1" applyBorder="1" applyProtection="1"/>
    <xf numFmtId="0" fontId="2" fillId="33" borderId="6" xfId="40" applyFont="1" applyFill="1" applyBorder="1" applyProtection="1"/>
    <xf numFmtId="0" fontId="2" fillId="33" borderId="0" xfId="40" applyFont="1" applyFill="1" applyBorder="1" applyProtection="1"/>
    <xf numFmtId="0" fontId="2" fillId="33" borderId="0" xfId="40" applyFont="1" applyFill="1" applyBorder="1" applyAlignment="1" applyProtection="1">
      <alignment horizontal="right"/>
    </xf>
    <xf numFmtId="0" fontId="2" fillId="33" borderId="0" xfId="40" applyFont="1" applyFill="1" applyBorder="1" applyAlignment="1" applyProtection="1">
      <alignment horizontal="center"/>
    </xf>
    <xf numFmtId="0" fontId="9" fillId="33" borderId="7" xfId="40" applyFill="1" applyBorder="1" applyAlignment="1" applyProtection="1">
      <alignment horizontal="left"/>
    </xf>
    <xf numFmtId="0" fontId="9" fillId="0" borderId="0" xfId="40" applyAlignment="1" applyProtection="1">
      <alignment horizontal="center"/>
      <protection locked="0"/>
    </xf>
    <xf numFmtId="0" fontId="68" fillId="0" borderId="0" xfId="40" applyFont="1" applyFill="1" applyBorder="1" applyAlignment="1" applyProtection="1">
      <alignment vertical="center" wrapText="1"/>
    </xf>
    <xf numFmtId="0" fontId="9" fillId="33" borderId="6" xfId="40" applyFill="1" applyBorder="1" applyProtection="1"/>
    <xf numFmtId="0" fontId="9" fillId="33" borderId="0" xfId="40" applyFill="1" applyBorder="1" applyProtection="1"/>
    <xf numFmtId="0" fontId="64" fillId="34" borderId="11" xfId="40" applyFont="1" applyFill="1" applyBorder="1" applyProtection="1"/>
    <xf numFmtId="0" fontId="64" fillId="34" borderId="12" xfId="40" applyFont="1" applyFill="1" applyBorder="1" applyProtection="1"/>
    <xf numFmtId="0" fontId="44" fillId="34" borderId="12" xfId="40" applyFont="1" applyFill="1" applyBorder="1" applyAlignment="1" applyProtection="1">
      <alignment horizontal="right"/>
    </xf>
    <xf numFmtId="0" fontId="44" fillId="34" borderId="12" xfId="40" applyFont="1" applyFill="1" applyBorder="1" applyAlignment="1" applyProtection="1">
      <alignment horizontal="center"/>
    </xf>
    <xf numFmtId="0" fontId="64" fillId="34" borderId="13" xfId="40" applyFont="1" applyFill="1" applyBorder="1" applyAlignment="1" applyProtection="1">
      <alignment horizontal="left"/>
    </xf>
    <xf numFmtId="0" fontId="28" fillId="0" borderId="0" xfId="40" applyFont="1" applyProtection="1"/>
    <xf numFmtId="3" fontId="28" fillId="0" borderId="0" xfId="40" applyNumberFormat="1" applyFont="1" applyProtection="1"/>
    <xf numFmtId="0" fontId="10" fillId="0" borderId="0" xfId="40" applyFont="1" applyFill="1" applyBorder="1" applyProtection="1"/>
    <xf numFmtId="0" fontId="10" fillId="0" borderId="0" xfId="40" applyFont="1" applyFill="1" applyBorder="1" applyAlignment="1" applyProtection="1">
      <alignment horizontal="center"/>
    </xf>
    <xf numFmtId="3" fontId="10" fillId="0" borderId="0" xfId="40" applyNumberFormat="1" applyFont="1" applyFill="1" applyBorder="1" applyProtection="1"/>
    <xf numFmtId="3" fontId="10" fillId="0" borderId="0" xfId="40" applyNumberFormat="1" applyFont="1" applyFill="1" applyBorder="1" applyAlignment="1" applyProtection="1">
      <alignment horizontal="center"/>
    </xf>
    <xf numFmtId="3" fontId="69" fillId="0" borderId="0" xfId="40" applyNumberFormat="1" applyFont="1" applyFill="1" applyBorder="1" applyAlignment="1" applyProtection="1">
      <alignment horizontal="center"/>
    </xf>
    <xf numFmtId="1" fontId="10" fillId="0" borderId="0" xfId="40" applyNumberFormat="1" applyFont="1" applyFill="1" applyBorder="1" applyAlignment="1" applyProtection="1">
      <alignment horizontal="center"/>
    </xf>
    <xf numFmtId="3" fontId="70" fillId="0" borderId="0" xfId="40" applyNumberFormat="1" applyFont="1" applyFill="1" applyBorder="1" applyProtection="1"/>
    <xf numFmtId="3" fontId="10" fillId="0" borderId="0" xfId="40" applyNumberFormat="1" applyFont="1" applyFill="1" applyBorder="1" applyAlignment="1" applyProtection="1">
      <alignment horizontal="right"/>
    </xf>
    <xf numFmtId="10" fontId="10" fillId="0" borderId="0" xfId="40" applyNumberFormat="1" applyFont="1" applyFill="1" applyBorder="1" applyAlignment="1" applyProtection="1">
      <alignment horizontal="center"/>
    </xf>
    <xf numFmtId="0" fontId="10" fillId="0" borderId="0" xfId="40" applyFont="1" applyFill="1" applyBorder="1" applyAlignment="1" applyProtection="1">
      <alignment horizontal="right"/>
    </xf>
    <xf numFmtId="9" fontId="10" fillId="0" borderId="0" xfId="40" applyNumberFormat="1" applyFont="1" applyFill="1" applyBorder="1" applyAlignment="1" applyProtection="1">
      <alignment horizontal="center"/>
    </xf>
    <xf numFmtId="1" fontId="10" fillId="0" borderId="0" xfId="40" applyNumberFormat="1" applyFont="1" applyFill="1" applyBorder="1" applyProtection="1"/>
    <xf numFmtId="10" fontId="10" fillId="0" borderId="0" xfId="40" applyNumberFormat="1" applyFont="1" applyFill="1" applyBorder="1" applyProtection="1"/>
    <xf numFmtId="9" fontId="10" fillId="0" borderId="0" xfId="40" applyNumberFormat="1" applyFont="1" applyFill="1" applyBorder="1" applyProtection="1"/>
    <xf numFmtId="8" fontId="10" fillId="0" borderId="0" xfId="40" applyNumberFormat="1" applyFont="1" applyFill="1" applyBorder="1" applyProtection="1"/>
    <xf numFmtId="0" fontId="28" fillId="0" borderId="0" xfId="40" applyFont="1" applyBorder="1" applyProtection="1"/>
    <xf numFmtId="0" fontId="7" fillId="0" borderId="0" xfId="40" applyFont="1" applyAlignment="1" applyProtection="1">
      <alignment horizontal="center"/>
    </xf>
    <xf numFmtId="1" fontId="23" fillId="33" borderId="0" xfId="40" applyNumberFormat="1" applyFont="1" applyFill="1" applyAlignment="1" applyProtection="1">
      <alignment horizontal="center"/>
    </xf>
    <xf numFmtId="1" fontId="23" fillId="42" borderId="0" xfId="40" applyNumberFormat="1" applyFont="1" applyFill="1" applyAlignment="1" applyProtection="1">
      <alignment horizontal="center"/>
    </xf>
    <xf numFmtId="3" fontId="9" fillId="33" borderId="0" xfId="40" applyNumberFormat="1" applyFill="1" applyBorder="1" applyProtection="1"/>
    <xf numFmtId="0" fontId="28" fillId="0" borderId="0" xfId="40" applyFont="1" applyFill="1" applyProtection="1"/>
    <xf numFmtId="0" fontId="7" fillId="0" borderId="0" xfId="40" applyFont="1" applyFill="1" applyAlignment="1" applyProtection="1">
      <alignment horizontal="center"/>
    </xf>
    <xf numFmtId="3" fontId="23" fillId="0" borderId="0" xfId="40" applyNumberFormat="1" applyFont="1" applyFill="1" applyAlignment="1" applyProtection="1">
      <alignment horizontal="left"/>
    </xf>
    <xf numFmtId="3" fontId="23" fillId="0" borderId="0" xfId="40" applyNumberFormat="1" applyFont="1" applyFill="1" applyAlignment="1" applyProtection="1">
      <alignment horizontal="center"/>
    </xf>
    <xf numFmtId="0" fontId="23" fillId="0" borderId="0" xfId="40" applyFont="1" applyFill="1" applyAlignment="1" applyProtection="1">
      <alignment horizontal="left"/>
    </xf>
    <xf numFmtId="3" fontId="32" fillId="33" borderId="0" xfId="40" applyNumberFormat="1" applyFont="1" applyFill="1" applyBorder="1" applyAlignment="1" applyProtection="1">
      <alignment horizontal="center"/>
    </xf>
    <xf numFmtId="3" fontId="23" fillId="33" borderId="0" xfId="40" applyNumberFormat="1" applyFont="1" applyFill="1" applyBorder="1" applyProtection="1"/>
    <xf numFmtId="10" fontId="32" fillId="33" borderId="0" xfId="40" applyNumberFormat="1" applyFont="1" applyFill="1" applyBorder="1" applyAlignment="1" applyProtection="1">
      <alignment horizontal="center"/>
    </xf>
    <xf numFmtId="10" fontId="23" fillId="33" borderId="0" xfId="40" applyNumberFormat="1" applyFont="1" applyFill="1" applyBorder="1" applyAlignment="1" applyProtection="1">
      <alignment horizontal="center"/>
    </xf>
    <xf numFmtId="9" fontId="23" fillId="33" borderId="0" xfId="40" applyNumberFormat="1" applyFont="1" applyFill="1" applyAlignment="1" applyProtection="1">
      <alignment horizontal="center"/>
    </xf>
    <xf numFmtId="3" fontId="9" fillId="0" borderId="0" xfId="40" applyNumberFormat="1" applyFill="1" applyProtection="1"/>
    <xf numFmtId="0" fontId="7" fillId="0" borderId="0" xfId="40" applyFont="1" applyFill="1" applyBorder="1" applyAlignment="1" applyProtection="1">
      <alignment horizontal="right"/>
    </xf>
    <xf numFmtId="10" fontId="7" fillId="0" borderId="0" xfId="40" applyNumberFormat="1" applyFont="1" applyFill="1" applyBorder="1" applyAlignment="1" applyProtection="1">
      <alignment horizontal="center"/>
    </xf>
    <xf numFmtId="3" fontId="71" fillId="0" borderId="0" xfId="40" applyNumberFormat="1" applyFont="1" applyFill="1" applyBorder="1" applyAlignment="1" applyProtection="1">
      <alignment horizontal="center"/>
    </xf>
    <xf numFmtId="9" fontId="72" fillId="0" borderId="0" xfId="40" applyNumberFormat="1" applyFont="1" applyFill="1" applyBorder="1" applyAlignment="1" applyProtection="1">
      <alignment horizontal="center"/>
    </xf>
    <xf numFmtId="1" fontId="71" fillId="0" borderId="0" xfId="40" applyNumberFormat="1" applyFont="1" applyFill="1" applyBorder="1" applyAlignment="1" applyProtection="1">
      <alignment horizontal="center"/>
    </xf>
    <xf numFmtId="9" fontId="28" fillId="0" borderId="0" xfId="40" applyNumberFormat="1" applyFont="1" applyFill="1" applyBorder="1" applyAlignment="1" applyProtection="1">
      <alignment horizontal="center"/>
    </xf>
    <xf numFmtId="9" fontId="23" fillId="0" borderId="0" xfId="40" applyNumberFormat="1" applyFont="1" applyFill="1" applyAlignment="1" applyProtection="1">
      <alignment horizontal="center"/>
    </xf>
    <xf numFmtId="0" fontId="23" fillId="0" borderId="0" xfId="40" applyFont="1" applyFill="1" applyProtection="1"/>
    <xf numFmtId="0" fontId="7" fillId="0" borderId="0" xfId="40" applyFont="1" applyFill="1" applyBorder="1" applyProtection="1"/>
    <xf numFmtId="0" fontId="28" fillId="0" borderId="0" xfId="40" applyFont="1" applyFill="1" applyBorder="1" applyAlignment="1" applyProtection="1">
      <alignment horizontal="left"/>
    </xf>
    <xf numFmtId="0" fontId="7" fillId="0" borderId="0" xfId="40" applyFont="1" applyFill="1" applyBorder="1" applyAlignment="1" applyProtection="1">
      <alignment horizontal="left"/>
    </xf>
    <xf numFmtId="4" fontId="28" fillId="0" borderId="0" xfId="43" applyNumberFormat="1" applyFont="1" applyAlignment="1">
      <alignment horizontal="center" vertical="center"/>
    </xf>
    <xf numFmtId="4" fontId="28" fillId="0" borderId="0" xfId="43" applyNumberFormat="1" applyFont="1" applyAlignment="1" applyProtection="1">
      <alignment horizontal="center" vertical="center"/>
    </xf>
    <xf numFmtId="4" fontId="9" fillId="0" borderId="0" xfId="43" applyNumberFormat="1" applyAlignment="1">
      <alignment horizontal="center" vertical="center"/>
    </xf>
    <xf numFmtId="4" fontId="9" fillId="0" borderId="0" xfId="43" applyNumberFormat="1" applyAlignment="1" applyProtection="1">
      <alignment horizontal="center" vertical="center"/>
    </xf>
    <xf numFmtId="4" fontId="73" fillId="50" borderId="0" xfId="43" applyNumberFormat="1" applyFont="1" applyFill="1" applyAlignment="1">
      <alignment horizontal="left" vertical="center"/>
    </xf>
    <xf numFmtId="4" fontId="9" fillId="50" borderId="0" xfId="43" applyNumberFormat="1" applyFill="1" applyAlignment="1">
      <alignment horizontal="center" vertical="center"/>
    </xf>
    <xf numFmtId="4" fontId="74" fillId="0" borderId="0" xfId="43" applyNumberFormat="1" applyFont="1" applyAlignment="1">
      <alignment horizontal="center" vertical="center"/>
    </xf>
    <xf numFmtId="4" fontId="75" fillId="0" borderId="0" xfId="43" applyNumberFormat="1" applyFont="1" applyAlignment="1">
      <alignment horizontal="center" vertical="center"/>
    </xf>
    <xf numFmtId="4" fontId="75" fillId="51" borderId="1" xfId="43" applyNumberFormat="1" applyFont="1" applyFill="1" applyBorder="1" applyAlignment="1" applyProtection="1">
      <alignment horizontal="center" vertical="center"/>
      <protection locked="0"/>
    </xf>
    <xf numFmtId="4" fontId="76" fillId="0" borderId="0" xfId="43" applyNumberFormat="1" applyFont="1" applyAlignment="1" applyProtection="1">
      <alignment horizontal="center" vertical="center"/>
    </xf>
    <xf numFmtId="4" fontId="75" fillId="0" borderId="2" xfId="43" applyNumberFormat="1" applyFont="1" applyBorder="1" applyAlignment="1">
      <alignment horizontal="center" vertical="center"/>
    </xf>
    <xf numFmtId="4" fontId="74" fillId="0" borderId="2" xfId="43" applyNumberFormat="1" applyFont="1" applyBorder="1" applyAlignment="1">
      <alignment horizontal="center" vertical="center"/>
    </xf>
    <xf numFmtId="3" fontId="75" fillId="0" borderId="0" xfId="43" applyNumberFormat="1" applyFont="1" applyAlignment="1">
      <alignment horizontal="center" vertical="center"/>
    </xf>
    <xf numFmtId="9" fontId="75" fillId="51" borderId="1" xfId="43" applyNumberFormat="1" applyFont="1" applyFill="1" applyBorder="1" applyAlignment="1" applyProtection="1">
      <alignment horizontal="center" vertical="center"/>
      <protection locked="0"/>
    </xf>
    <xf numFmtId="3" fontId="75" fillId="0" borderId="0" xfId="43" applyNumberFormat="1" applyFont="1" applyFill="1" applyBorder="1" applyAlignment="1">
      <alignment horizontal="center" vertical="center"/>
    </xf>
    <xf numFmtId="4" fontId="78" fillId="0" borderId="0" xfId="43" applyNumberFormat="1" applyFont="1" applyAlignment="1" applyProtection="1">
      <alignment horizontal="left" vertical="center"/>
    </xf>
    <xf numFmtId="4" fontId="79" fillId="52" borderId="15" xfId="43" applyNumberFormat="1" applyFont="1" applyFill="1" applyBorder="1" applyAlignment="1">
      <alignment horizontal="right" vertical="center"/>
    </xf>
    <xf numFmtId="4" fontId="79" fillId="52" borderId="15" xfId="43" applyNumberFormat="1" applyFont="1" applyFill="1" applyBorder="1" applyAlignment="1">
      <alignment horizontal="center" vertical="center"/>
    </xf>
    <xf numFmtId="4" fontId="9" fillId="0" borderId="0" xfId="43" applyNumberFormat="1" applyAlignment="1" applyProtection="1">
      <alignment horizontal="center" vertical="center"/>
      <protection locked="0"/>
    </xf>
    <xf numFmtId="10" fontId="75" fillId="0" borderId="0" xfId="43" applyNumberFormat="1" applyFont="1" applyFill="1" applyBorder="1" applyAlignment="1">
      <alignment horizontal="center" vertical="center"/>
    </xf>
    <xf numFmtId="4" fontId="80" fillId="0" borderId="0" xfId="43" applyNumberFormat="1" applyFont="1" applyAlignment="1" applyProtection="1">
      <alignment horizontal="center" vertical="center"/>
    </xf>
    <xf numFmtId="4" fontId="81" fillId="0" borderId="0" xfId="43" applyNumberFormat="1" applyFont="1" applyAlignment="1">
      <alignment horizontal="left" vertical="center"/>
    </xf>
    <xf numFmtId="4" fontId="79" fillId="0" borderId="0" xfId="43" applyNumberFormat="1" applyFont="1" applyAlignment="1">
      <alignment horizontal="left" vertical="center"/>
    </xf>
    <xf numFmtId="4" fontId="79" fillId="0" borderId="0" xfId="43" applyNumberFormat="1" applyFont="1" applyAlignment="1" applyProtection="1">
      <alignment horizontal="left" vertical="center"/>
    </xf>
    <xf numFmtId="4" fontId="73" fillId="50" borderId="0" xfId="43" applyNumberFormat="1" applyFont="1" applyFill="1" applyAlignment="1" applyProtection="1">
      <alignment horizontal="left" vertical="center"/>
    </xf>
    <xf numFmtId="4" fontId="9" fillId="50" borderId="0" xfId="43" applyNumberFormat="1" applyFill="1" applyAlignment="1" applyProtection="1">
      <alignment horizontal="center" vertical="center"/>
    </xf>
    <xf numFmtId="4" fontId="74" fillId="0" borderId="0" xfId="43" applyNumberFormat="1" applyFont="1" applyAlignment="1" applyProtection="1">
      <alignment horizontal="center" vertical="center"/>
    </xf>
    <xf numFmtId="4" fontId="75" fillId="0" borderId="0" xfId="43" applyNumberFormat="1" applyFont="1" applyAlignment="1" applyProtection="1">
      <alignment horizontal="center" vertical="center"/>
    </xf>
    <xf numFmtId="4" fontId="75" fillId="0" borderId="2" xfId="43" applyNumberFormat="1" applyFont="1" applyBorder="1" applyAlignment="1" applyProtection="1">
      <alignment horizontal="center" vertical="center"/>
    </xf>
    <xf numFmtId="4" fontId="74" fillId="0" borderId="2" xfId="43" applyNumberFormat="1" applyFont="1" applyBorder="1" applyAlignment="1" applyProtection="1">
      <alignment horizontal="center" vertical="center"/>
    </xf>
    <xf numFmtId="4" fontId="74" fillId="0" borderId="0" xfId="43" applyNumberFormat="1" applyFont="1" applyBorder="1" applyAlignment="1" applyProtection="1">
      <alignment horizontal="center" vertical="center"/>
    </xf>
    <xf numFmtId="3" fontId="75" fillId="0" borderId="0" xfId="43" applyNumberFormat="1" applyFont="1" applyAlignment="1" applyProtection="1">
      <alignment horizontal="center" vertical="center"/>
    </xf>
    <xf numFmtId="4" fontId="75" fillId="0" borderId="0" xfId="43" applyNumberFormat="1" applyFont="1" applyFill="1" applyBorder="1" applyAlignment="1" applyProtection="1">
      <alignment horizontal="center" vertical="center"/>
    </xf>
    <xf numFmtId="9" fontId="75" fillId="0" borderId="0" xfId="43" applyNumberFormat="1" applyFont="1" applyFill="1" applyBorder="1" applyAlignment="1" applyProtection="1">
      <alignment horizontal="center" vertical="center"/>
    </xf>
    <xf numFmtId="3" fontId="75" fillId="51" borderId="1" xfId="43" applyNumberFormat="1" applyFont="1" applyFill="1" applyBorder="1" applyAlignment="1" applyProtection="1">
      <alignment horizontal="center" vertical="center"/>
      <protection locked="0"/>
    </xf>
    <xf numFmtId="4" fontId="9" fillId="0" borderId="0" xfId="43" applyNumberFormat="1" applyAlignment="1" applyProtection="1">
      <alignment horizontal="left" vertical="center"/>
    </xf>
    <xf numFmtId="4" fontId="79" fillId="52" borderId="15" xfId="43" applyNumberFormat="1" applyFont="1" applyFill="1" applyBorder="1" applyAlignment="1" applyProtection="1">
      <alignment horizontal="right" vertical="center"/>
    </xf>
    <xf numFmtId="4" fontId="79" fillId="52" borderId="15" xfId="43" applyNumberFormat="1" applyFont="1" applyFill="1" applyBorder="1" applyAlignment="1" applyProtection="1">
      <alignment horizontal="center" vertical="center"/>
    </xf>
    <xf numFmtId="10" fontId="75" fillId="0" borderId="0" xfId="43" applyNumberFormat="1" applyFont="1" applyFill="1" applyBorder="1" applyAlignment="1" applyProtection="1">
      <alignment horizontal="center" vertical="center"/>
    </xf>
    <xf numFmtId="4" fontId="81" fillId="0" borderId="0" xfId="43" applyNumberFormat="1" applyFont="1" applyAlignment="1" applyProtection="1">
      <alignment horizontal="left" vertical="center"/>
    </xf>
    <xf numFmtId="0" fontId="0" fillId="0" borderId="0" xfId="40" applyFont="1" applyAlignment="1" applyProtection="1">
      <alignment horizontal="center"/>
      <protection locked="0"/>
    </xf>
    <xf numFmtId="0" fontId="0" fillId="0" borderId="0" xfId="40" applyFont="1" applyAlignment="1" applyProtection="1">
      <alignment horizontal="center"/>
    </xf>
    <xf numFmtId="0" fontId="28" fillId="0" borderId="0" xfId="46" applyFont="1" applyAlignment="1">
      <alignment horizontal="center"/>
    </xf>
    <xf numFmtId="0" fontId="28" fillId="0" borderId="0" xfId="46" applyFont="1"/>
    <xf numFmtId="0" fontId="12" fillId="38" borderId="0" xfId="46" applyFont="1" applyFill="1" applyAlignment="1">
      <alignment horizontal="center"/>
    </xf>
    <xf numFmtId="0" fontId="12" fillId="38" borderId="0" xfId="46" applyFont="1" applyFill="1"/>
    <xf numFmtId="0" fontId="28" fillId="0" borderId="0" xfId="46" applyFont="1" applyAlignment="1">
      <alignment vertical="top" wrapText="1"/>
    </xf>
    <xf numFmtId="0" fontId="23" fillId="0" borderId="0" xfId="46" applyFont="1"/>
    <xf numFmtId="0" fontId="28" fillId="0" borderId="0" xfId="46" applyFont="1" applyAlignment="1">
      <alignment vertical="top"/>
    </xf>
    <xf numFmtId="0" fontId="28" fillId="0" borderId="0" xfId="46" applyNumberFormat="1" applyFont="1"/>
    <xf numFmtId="0" fontId="23" fillId="0" borderId="2" xfId="46" applyFont="1" applyBorder="1" applyAlignment="1">
      <alignment horizontal="center"/>
    </xf>
    <xf numFmtId="3" fontId="28" fillId="0" borderId="0" xfId="46" applyNumberFormat="1" applyFont="1" applyAlignment="1">
      <alignment horizontal="center"/>
    </xf>
    <xf numFmtId="0" fontId="28" fillId="0" borderId="0" xfId="46" applyNumberFormat="1" applyFont="1" applyAlignment="1">
      <alignment vertical="top" wrapText="1"/>
    </xf>
    <xf numFmtId="0" fontId="28" fillId="0" borderId="0" xfId="46" applyFont="1" applyAlignment="1">
      <alignment horizontal="center" vertical="top"/>
    </xf>
    <xf numFmtId="0" fontId="49" fillId="0" borderId="0" xfId="0" applyFont="1" applyAlignment="1">
      <alignment vertical="center"/>
    </xf>
    <xf numFmtId="0" fontId="0" fillId="49" borderId="0" xfId="0" applyFill="1"/>
    <xf numFmtId="0" fontId="23" fillId="33" borderId="0" xfId="0" applyFont="1" applyFill="1"/>
    <xf numFmtId="0" fontId="23" fillId="53" borderId="0" xfId="0" applyFont="1" applyFill="1"/>
    <xf numFmtId="0" fontId="0" fillId="33" borderId="0" xfId="0" applyFill="1"/>
    <xf numFmtId="0" fontId="0" fillId="33" borderId="0" xfId="0" applyFill="1" applyAlignment="1">
      <alignment horizontal="center"/>
    </xf>
    <xf numFmtId="0" fontId="0" fillId="33" borderId="0" xfId="0" applyFill="1" applyAlignment="1">
      <alignment horizontal="right"/>
    </xf>
    <xf numFmtId="10" fontId="0" fillId="33" borderId="0" xfId="0" applyNumberFormat="1" applyFill="1" applyAlignment="1">
      <alignment horizontal="left"/>
    </xf>
    <xf numFmtId="168" fontId="0" fillId="33" borderId="0" xfId="0" applyNumberFormat="1" applyFill="1" applyAlignment="1">
      <alignment horizontal="left"/>
    </xf>
    <xf numFmtId="0" fontId="0" fillId="49" borderId="0" xfId="0" applyFill="1" applyAlignment="1">
      <alignment horizontal="right"/>
    </xf>
    <xf numFmtId="10" fontId="0" fillId="49" borderId="0" xfId="0" applyNumberFormat="1" applyFill="1" applyAlignment="1">
      <alignment horizontal="left"/>
    </xf>
    <xf numFmtId="4" fontId="28" fillId="0" borderId="0" xfId="0" applyNumberFormat="1" applyFont="1" applyAlignment="1" applyProtection="1">
      <alignment horizontal="center"/>
    </xf>
    <xf numFmtId="4" fontId="28" fillId="0" borderId="0" xfId="0" applyNumberFormat="1" applyFont="1" applyFill="1" applyAlignment="1" applyProtection="1">
      <alignment horizontal="center"/>
    </xf>
    <xf numFmtId="4" fontId="86" fillId="0" borderId="0" xfId="0" applyNumberFormat="1" applyFont="1" applyAlignment="1" applyProtection="1">
      <alignment horizontal="left"/>
    </xf>
    <xf numFmtId="4" fontId="10" fillId="0" borderId="0" xfId="0" applyNumberFormat="1" applyFont="1" applyFill="1" applyAlignment="1" applyProtection="1">
      <alignment horizontal="center"/>
    </xf>
    <xf numFmtId="4" fontId="80" fillId="40" borderId="0" xfId="0" applyNumberFormat="1" applyFont="1" applyFill="1" applyAlignment="1" applyProtection="1">
      <alignment horizontal="left"/>
    </xf>
    <xf numFmtId="4" fontId="10" fillId="40" borderId="0" xfId="0" applyNumberFormat="1" applyFont="1" applyFill="1" applyAlignment="1" applyProtection="1">
      <alignment horizontal="center"/>
    </xf>
    <xf numFmtId="4" fontId="28" fillId="0" borderId="0" xfId="0" applyNumberFormat="1" applyFont="1" applyFill="1" applyBorder="1" applyAlignment="1" applyProtection="1">
      <alignment horizontal="center"/>
    </xf>
    <xf numFmtId="0" fontId="32" fillId="0" borderId="0" xfId="0" applyFont="1" applyAlignment="1" applyProtection="1">
      <alignment horizontal="left" indent="1"/>
    </xf>
    <xf numFmtId="4" fontId="28" fillId="33" borderId="36" xfId="0" applyNumberFormat="1" applyFont="1" applyFill="1" applyBorder="1" applyAlignment="1" applyProtection="1">
      <alignment horizontal="center"/>
    </xf>
    <xf numFmtId="4" fontId="28" fillId="33" borderId="17" xfId="0" applyNumberFormat="1" applyFont="1" applyFill="1" applyBorder="1" applyAlignment="1" applyProtection="1">
      <alignment horizontal="center"/>
    </xf>
    <xf numFmtId="4" fontId="28" fillId="33" borderId="37" xfId="0" applyNumberFormat="1" applyFont="1" applyFill="1" applyBorder="1" applyAlignment="1" applyProtection="1">
      <alignment horizontal="center"/>
    </xf>
    <xf numFmtId="4" fontId="89" fillId="33" borderId="38" xfId="0" applyNumberFormat="1" applyFont="1" applyFill="1" applyBorder="1" applyAlignment="1" applyProtection="1">
      <alignment horizontal="center"/>
    </xf>
    <xf numFmtId="4" fontId="75" fillId="33" borderId="2" xfId="0" applyNumberFormat="1" applyFont="1" applyFill="1" applyBorder="1" applyAlignment="1" applyProtection="1">
      <alignment horizontal="center"/>
    </xf>
    <xf numFmtId="4" fontId="28" fillId="33" borderId="0" xfId="0" applyNumberFormat="1" applyFont="1" applyFill="1" applyBorder="1" applyAlignment="1" applyProtection="1">
      <alignment horizontal="center"/>
    </xf>
    <xf numFmtId="4" fontId="28" fillId="33" borderId="18" xfId="0" applyNumberFormat="1" applyFont="1" applyFill="1" applyBorder="1" applyAlignment="1" applyProtection="1">
      <alignment horizontal="center"/>
    </xf>
    <xf numFmtId="3" fontId="75" fillId="33" borderId="0" xfId="0" applyNumberFormat="1" applyFont="1" applyFill="1" applyBorder="1" applyAlignment="1" applyProtection="1">
      <alignment horizontal="center"/>
    </xf>
    <xf numFmtId="4" fontId="75" fillId="33" borderId="0" xfId="0" applyNumberFormat="1" applyFont="1" applyFill="1" applyBorder="1" applyAlignment="1" applyProtection="1">
      <alignment horizontal="center"/>
    </xf>
    <xf numFmtId="4" fontId="28" fillId="33" borderId="38" xfId="0" applyNumberFormat="1" applyFont="1" applyFill="1" applyBorder="1" applyAlignment="1" applyProtection="1">
      <alignment horizontal="center"/>
    </xf>
    <xf numFmtId="4" fontId="32" fillId="0" borderId="0" xfId="0" applyNumberFormat="1" applyFont="1" applyAlignment="1" applyProtection="1">
      <alignment horizontal="left"/>
    </xf>
    <xf numFmtId="4" fontId="28" fillId="33" borderId="38" xfId="0" applyNumberFormat="1" applyFont="1" applyFill="1" applyBorder="1" applyAlignment="1" applyProtection="1">
      <alignment horizontal="left"/>
    </xf>
    <xf numFmtId="4" fontId="80" fillId="36" borderId="15" xfId="0" applyNumberFormat="1" applyFont="1" applyFill="1" applyBorder="1" applyAlignment="1" applyProtection="1">
      <alignment horizontal="right"/>
    </xf>
    <xf numFmtId="4" fontId="80" fillId="36" borderId="15" xfId="0" applyNumberFormat="1" applyFont="1" applyFill="1" applyBorder="1" applyAlignment="1" applyProtection="1">
      <alignment horizontal="center"/>
    </xf>
    <xf numFmtId="4" fontId="24" fillId="0" borderId="0" xfId="0" applyNumberFormat="1" applyFont="1" applyAlignment="1" applyProtection="1">
      <alignment horizontal="left"/>
    </xf>
    <xf numFmtId="4" fontId="28" fillId="33" borderId="39" xfId="0" applyNumberFormat="1" applyFont="1" applyFill="1" applyBorder="1" applyAlignment="1" applyProtection="1">
      <alignment horizontal="center"/>
    </xf>
    <xf numFmtId="4" fontId="28" fillId="33" borderId="2" xfId="0" applyNumberFormat="1" applyFont="1" applyFill="1" applyBorder="1" applyAlignment="1" applyProtection="1">
      <alignment horizontal="center"/>
    </xf>
    <xf numFmtId="4" fontId="28" fillId="33" borderId="40" xfId="0" applyNumberFormat="1" applyFont="1" applyFill="1" applyBorder="1" applyAlignment="1" applyProtection="1">
      <alignment horizontal="center"/>
    </xf>
    <xf numFmtId="4" fontId="75" fillId="33" borderId="0" xfId="0" applyNumberFormat="1" applyFont="1" applyFill="1" applyAlignment="1" applyProtection="1">
      <alignment horizontal="right"/>
    </xf>
    <xf numFmtId="4" fontId="76" fillId="33" borderId="0" xfId="0" applyNumberFormat="1" applyFont="1" applyFill="1" applyAlignment="1" applyProtection="1">
      <alignment horizontal="left"/>
    </xf>
    <xf numFmtId="4" fontId="89" fillId="0" borderId="0" xfId="0" applyNumberFormat="1" applyFont="1" applyAlignment="1" applyProtection="1">
      <alignment horizontal="center"/>
    </xf>
    <xf numFmtId="4" fontId="12" fillId="0" borderId="0" xfId="0" applyNumberFormat="1" applyFont="1" applyFill="1" applyAlignment="1" applyProtection="1">
      <alignment horizontal="center"/>
    </xf>
    <xf numFmtId="4" fontId="19" fillId="33" borderId="0" xfId="0" applyNumberFormat="1" applyFont="1" applyFill="1" applyAlignment="1" applyProtection="1">
      <alignment horizontal="left"/>
    </xf>
    <xf numFmtId="9" fontId="75" fillId="33" borderId="0" xfId="0" applyNumberFormat="1" applyFont="1" applyFill="1" applyBorder="1" applyAlignment="1" applyProtection="1">
      <alignment horizontal="center"/>
    </xf>
    <xf numFmtId="4" fontId="24" fillId="33" borderId="0" xfId="0" applyNumberFormat="1" applyFont="1" applyFill="1" applyAlignment="1" applyProtection="1">
      <alignment horizontal="left"/>
    </xf>
    <xf numFmtId="4" fontId="28" fillId="0" borderId="0" xfId="0" applyNumberFormat="1" applyFont="1" applyAlignment="1" applyProtection="1">
      <alignment horizontal="left"/>
    </xf>
    <xf numFmtId="4" fontId="12" fillId="40" borderId="0" xfId="0" applyNumberFormat="1" applyFont="1" applyFill="1" applyAlignment="1" applyProtection="1">
      <alignment horizontal="center"/>
    </xf>
    <xf numFmtId="4" fontId="75" fillId="33" borderId="0" xfId="0" applyNumberFormat="1" applyFont="1" applyFill="1" applyAlignment="1" applyProtection="1">
      <alignment horizontal="center"/>
    </xf>
    <xf numFmtId="4" fontId="28" fillId="33" borderId="0" xfId="0" applyNumberFormat="1" applyFont="1" applyFill="1" applyAlignment="1" applyProtection="1">
      <alignment horizontal="right"/>
    </xf>
    <xf numFmtId="4" fontId="28" fillId="33" borderId="0" xfId="0" applyNumberFormat="1" applyFont="1" applyFill="1" applyAlignment="1" applyProtection="1">
      <alignment horizontal="center"/>
    </xf>
    <xf numFmtId="4" fontId="80" fillId="35" borderId="15" xfId="0" applyNumberFormat="1" applyFont="1" applyFill="1" applyBorder="1" applyAlignment="1" applyProtection="1">
      <alignment horizontal="center"/>
    </xf>
    <xf numFmtId="10" fontId="75" fillId="33" borderId="0" xfId="0" applyNumberFormat="1" applyFont="1" applyFill="1" applyBorder="1" applyAlignment="1" applyProtection="1">
      <alignment horizontal="center"/>
    </xf>
    <xf numFmtId="4" fontId="80" fillId="35" borderId="15" xfId="0" applyNumberFormat="1" applyFont="1" applyFill="1" applyBorder="1" applyAlignment="1" applyProtection="1">
      <alignment horizontal="right"/>
    </xf>
    <xf numFmtId="4" fontId="32" fillId="0" borderId="0" xfId="0" applyNumberFormat="1" applyFont="1" applyAlignment="1" applyProtection="1">
      <alignment horizontal="center"/>
    </xf>
    <xf numFmtId="4" fontId="75" fillId="0" borderId="0" xfId="0" applyNumberFormat="1" applyFont="1" applyAlignment="1" applyProtection="1">
      <alignment horizontal="center"/>
    </xf>
    <xf numFmtId="4" fontId="75" fillId="0" borderId="0" xfId="0" applyNumberFormat="1" applyFont="1" applyFill="1" applyAlignment="1" applyProtection="1">
      <alignment horizontal="center"/>
    </xf>
    <xf numFmtId="0" fontId="28" fillId="0" borderId="0" xfId="0" applyNumberFormat="1" applyFont="1" applyAlignment="1" applyProtection="1">
      <alignment horizontal="center"/>
    </xf>
    <xf numFmtId="4" fontId="28" fillId="34" borderId="0" xfId="0" applyNumberFormat="1" applyFont="1" applyFill="1" applyAlignment="1" applyProtection="1">
      <alignment horizontal="center"/>
    </xf>
    <xf numFmtId="0" fontId="0" fillId="34" borderId="0" xfId="0" applyFill="1" applyProtection="1"/>
    <xf numFmtId="0" fontId="10"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xf>
    <xf numFmtId="4" fontId="82" fillId="0" borderId="0" xfId="0" applyNumberFormat="1" applyFont="1" applyFill="1" applyBorder="1" applyAlignment="1" applyProtection="1">
      <alignment horizontal="center"/>
    </xf>
    <xf numFmtId="9" fontId="82" fillId="0" borderId="0" xfId="0" applyNumberFormat="1" applyFont="1" applyFill="1" applyBorder="1" applyAlignment="1" applyProtection="1">
      <alignment horizontal="center"/>
    </xf>
    <xf numFmtId="3" fontId="82" fillId="0" borderId="0" xfId="0" applyNumberFormat="1" applyFont="1" applyFill="1" applyBorder="1" applyAlignment="1" applyProtection="1">
      <alignment horizontal="center"/>
    </xf>
    <xf numFmtId="4" fontId="82" fillId="0" borderId="0" xfId="0" applyNumberFormat="1" applyFont="1" applyFill="1" applyBorder="1" applyAlignment="1" applyProtection="1">
      <alignment horizontal="right"/>
    </xf>
    <xf numFmtId="10" fontId="82" fillId="0" borderId="0" xfId="0" applyNumberFormat="1" applyFont="1" applyFill="1" applyBorder="1" applyAlignment="1" applyProtection="1">
      <alignment horizontal="center"/>
    </xf>
    <xf numFmtId="3" fontId="10" fillId="0" borderId="0" xfId="0" applyNumberFormat="1" applyFont="1" applyFill="1" applyBorder="1" applyAlignment="1" applyProtection="1">
      <alignment horizontal="center"/>
    </xf>
    <xf numFmtId="4" fontId="10" fillId="0" borderId="0" xfId="0" applyNumberFormat="1" applyFont="1" applyFill="1" applyBorder="1" applyAlignment="1" applyProtection="1">
      <alignment horizontal="left"/>
    </xf>
    <xf numFmtId="4" fontId="90" fillId="0" borderId="0" xfId="47" applyNumberFormat="1" applyFont="1" applyFill="1" applyBorder="1" applyAlignment="1" applyProtection="1">
      <alignment horizontal="left"/>
    </xf>
    <xf numFmtId="3" fontId="10" fillId="0" borderId="0" xfId="0" applyNumberFormat="1" applyFont="1" applyFill="1" applyBorder="1" applyAlignment="1" applyProtection="1">
      <alignment horizontal="right"/>
    </xf>
    <xf numFmtId="1" fontId="10" fillId="0" borderId="0" xfId="0" applyNumberFormat="1" applyFont="1" applyFill="1" applyBorder="1" applyAlignment="1" applyProtection="1">
      <alignment horizontal="center"/>
    </xf>
    <xf numFmtId="2" fontId="28" fillId="0" borderId="0" xfId="0" applyNumberFormat="1" applyFont="1" applyAlignment="1" applyProtection="1">
      <alignment horizontal="center"/>
    </xf>
    <xf numFmtId="0" fontId="28" fillId="0" borderId="0" xfId="0" applyFont="1" applyAlignment="1" applyProtection="1">
      <alignment vertical="top"/>
    </xf>
    <xf numFmtId="0" fontId="55" fillId="0" borderId="0" xfId="0" applyFont="1" applyAlignment="1" applyProtection="1">
      <alignment vertical="center"/>
    </xf>
    <xf numFmtId="0" fontId="28" fillId="0" borderId="0" xfId="0" applyFont="1" applyAlignment="1" applyProtection="1"/>
    <xf numFmtId="0" fontId="23" fillId="42" borderId="1" xfId="0" applyFont="1" applyFill="1" applyBorder="1" applyAlignment="1" applyProtection="1">
      <alignment horizontal="center"/>
    </xf>
    <xf numFmtId="1" fontId="23" fillId="42" borderId="41" xfId="0" applyNumberFormat="1" applyFont="1" applyFill="1" applyBorder="1" applyAlignment="1" applyProtection="1">
      <alignment horizontal="center"/>
    </xf>
    <xf numFmtId="3" fontId="0" fillId="33" borderId="41" xfId="0" applyNumberFormat="1" applyFill="1" applyBorder="1" applyAlignment="1" applyProtection="1">
      <alignment horizontal="center"/>
    </xf>
    <xf numFmtId="1" fontId="23" fillId="42" borderId="42" xfId="0" applyNumberFormat="1" applyFont="1" applyFill="1" applyBorder="1" applyAlignment="1" applyProtection="1">
      <alignment horizontal="center"/>
    </xf>
    <xf numFmtId="3" fontId="0" fillId="33" borderId="42" xfId="0" applyNumberFormat="1" applyFill="1" applyBorder="1" applyAlignment="1" applyProtection="1">
      <alignment horizontal="center"/>
    </xf>
    <xf numFmtId="0" fontId="23" fillId="42" borderId="42" xfId="0" applyFont="1" applyFill="1" applyBorder="1" applyAlignment="1" applyProtection="1">
      <alignment horizontal="center"/>
    </xf>
    <xf numFmtId="0" fontId="23" fillId="42" borderId="43" xfId="0" applyFont="1" applyFill="1" applyBorder="1" applyAlignment="1" applyProtection="1">
      <alignment horizontal="center"/>
    </xf>
    <xf numFmtId="3" fontId="0" fillId="33" borderId="43" xfId="0" applyNumberFormat="1" applyFill="1" applyBorder="1" applyAlignment="1" applyProtection="1">
      <alignment horizontal="center"/>
    </xf>
    <xf numFmtId="0" fontId="31" fillId="0" borderId="0" xfId="0" applyFont="1" applyFill="1" applyAlignment="1">
      <alignment vertical="center" wrapText="1"/>
    </xf>
    <xf numFmtId="0" fontId="49" fillId="0" borderId="0" xfId="0" applyFont="1" applyFill="1" applyAlignment="1">
      <alignment vertical="center" wrapText="1"/>
    </xf>
    <xf numFmtId="0" fontId="10" fillId="35" borderId="0" xfId="0" applyFont="1" applyFill="1"/>
    <xf numFmtId="0" fontId="90" fillId="35" borderId="0" xfId="0" applyFont="1" applyFill="1"/>
    <xf numFmtId="0" fontId="10" fillId="36" borderId="0" xfId="0" applyFont="1" applyFill="1"/>
    <xf numFmtId="0" fontId="56" fillId="0" borderId="0" xfId="0" applyFont="1" applyAlignment="1">
      <alignment vertical="center"/>
    </xf>
    <xf numFmtId="3" fontId="0" fillId="0" borderId="0" xfId="0" applyNumberFormat="1" applyAlignment="1">
      <alignment horizontal="center"/>
    </xf>
    <xf numFmtId="3" fontId="49" fillId="0" borderId="0" xfId="0" applyNumberFormat="1" applyFont="1" applyAlignment="1">
      <alignment vertical="center"/>
    </xf>
    <xf numFmtId="3" fontId="0" fillId="0" borderId="0" xfId="0" applyNumberFormat="1"/>
    <xf numFmtId="0" fontId="0" fillId="0" borderId="0" xfId="0" applyNumberFormat="1" applyAlignment="1">
      <alignment horizontal="center"/>
    </xf>
    <xf numFmtId="3" fontId="12" fillId="44" borderId="0" xfId="0" applyNumberFormat="1" applyFont="1" applyFill="1"/>
    <xf numFmtId="3" fontId="12" fillId="40" borderId="0" xfId="0" applyNumberFormat="1" applyFont="1" applyFill="1"/>
    <xf numFmtId="3" fontId="10" fillId="40" borderId="0" xfId="0" applyNumberFormat="1" applyFont="1" applyFill="1"/>
    <xf numFmtId="3" fontId="12" fillId="40" borderId="0" xfId="0" applyNumberFormat="1" applyFont="1" applyFill="1" applyAlignment="1">
      <alignment horizontal="center"/>
    </xf>
    <xf numFmtId="3" fontId="23" fillId="0" borderId="0" xfId="0" applyNumberFormat="1" applyFont="1"/>
    <xf numFmtId="3" fontId="24" fillId="0" borderId="0" xfId="0" applyNumberFormat="1" applyFont="1" applyAlignment="1">
      <alignment horizontal="center"/>
    </xf>
    <xf numFmtId="0" fontId="23" fillId="42" borderId="1" xfId="0" applyFont="1" applyFill="1" applyBorder="1" applyAlignment="1">
      <alignment horizontal="center"/>
    </xf>
    <xf numFmtId="3" fontId="23" fillId="33" borderId="0" xfId="0" applyNumberFormat="1" applyFont="1" applyFill="1"/>
    <xf numFmtId="3" fontId="23" fillId="45" borderId="0" xfId="0" applyNumberFormat="1" applyFont="1" applyFill="1"/>
    <xf numFmtId="0" fontId="23" fillId="42" borderId="1" xfId="0" applyFont="1" applyFill="1" applyBorder="1" applyAlignment="1" applyProtection="1">
      <alignment horizontal="center"/>
      <protection locked="0"/>
    </xf>
    <xf numFmtId="3" fontId="0" fillId="0" borderId="1" xfId="0" applyNumberFormat="1" applyFont="1" applyBorder="1" applyAlignment="1">
      <alignment horizontal="center"/>
    </xf>
    <xf numFmtId="3" fontId="0" fillId="32" borderId="1" xfId="0" applyNumberFormat="1" applyFont="1" applyFill="1" applyBorder="1" applyAlignment="1" applyProtection="1">
      <protection locked="0"/>
    </xf>
    <xf numFmtId="3" fontId="23" fillId="33" borderId="0" xfId="0" applyNumberFormat="1" applyFont="1" applyFill="1" applyAlignment="1" applyProtection="1">
      <alignment horizontal="center"/>
      <protection locked="0"/>
    </xf>
    <xf numFmtId="3" fontId="23" fillId="45" borderId="1" xfId="0" applyNumberFormat="1" applyFont="1" applyFill="1" applyBorder="1" applyAlignment="1">
      <alignment horizontal="center"/>
    </xf>
    <xf numFmtId="1" fontId="23" fillId="45" borderId="41" xfId="0" applyNumberFormat="1" applyFont="1" applyFill="1" applyBorder="1" applyAlignment="1">
      <alignment horizontal="center"/>
    </xf>
    <xf numFmtId="3" fontId="23" fillId="45" borderId="41" xfId="0" applyNumberFormat="1" applyFont="1" applyFill="1" applyBorder="1" applyAlignment="1" applyProtection="1">
      <alignment horizontal="center"/>
      <protection locked="0"/>
    </xf>
    <xf numFmtId="1" fontId="23" fillId="45" borderId="42" xfId="0" applyNumberFormat="1" applyFont="1" applyFill="1" applyBorder="1" applyAlignment="1">
      <alignment horizontal="center"/>
    </xf>
    <xf numFmtId="3" fontId="23" fillId="45" borderId="42" xfId="0" applyNumberFormat="1" applyFont="1" applyFill="1" applyBorder="1" applyAlignment="1" applyProtection="1">
      <alignment horizontal="center"/>
      <protection locked="0"/>
    </xf>
    <xf numFmtId="1" fontId="23" fillId="45" borderId="43" xfId="0" applyNumberFormat="1" applyFont="1" applyFill="1" applyBorder="1" applyAlignment="1">
      <alignment horizontal="center"/>
    </xf>
    <xf numFmtId="3" fontId="23" fillId="45" borderId="43" xfId="0" applyNumberFormat="1" applyFont="1" applyFill="1" applyBorder="1" applyAlignment="1" applyProtection="1">
      <alignment horizontal="center"/>
      <protection locked="0"/>
    </xf>
    <xf numFmtId="3" fontId="23" fillId="53" borderId="0" xfId="0" applyNumberFormat="1" applyFont="1" applyFill="1"/>
    <xf numFmtId="3" fontId="0" fillId="0" borderId="0" xfId="0" applyNumberFormat="1" applyAlignment="1" applyProtection="1">
      <alignment horizontal="center"/>
      <protection locked="0"/>
    </xf>
    <xf numFmtId="0" fontId="23" fillId="53" borderId="0" xfId="0" applyNumberFormat="1" applyFont="1" applyFill="1" applyAlignment="1" applyProtection="1">
      <alignment horizontal="center"/>
      <protection locked="0"/>
    </xf>
    <xf numFmtId="3" fontId="23" fillId="42" borderId="0" xfId="0" applyNumberFormat="1" applyFont="1" applyFill="1" applyAlignment="1">
      <alignment horizontal="center"/>
    </xf>
    <xf numFmtId="3" fontId="0" fillId="32" borderId="1" xfId="0" applyNumberFormat="1" applyFill="1" applyBorder="1" applyAlignment="1" applyProtection="1">
      <protection locked="0"/>
    </xf>
    <xf numFmtId="3" fontId="23" fillId="42" borderId="0" xfId="0" applyNumberFormat="1" applyFont="1" applyFill="1"/>
    <xf numFmtId="169" fontId="0" fillId="32" borderId="1" xfId="0" applyNumberFormat="1" applyFill="1" applyBorder="1" applyAlignment="1" applyProtection="1">
      <alignment horizontal="center"/>
      <protection locked="0"/>
    </xf>
    <xf numFmtId="3" fontId="10" fillId="44" borderId="0" xfId="0" applyNumberFormat="1" applyFont="1" applyFill="1"/>
    <xf numFmtId="3" fontId="12" fillId="44" borderId="0" xfId="0" applyNumberFormat="1" applyFont="1" applyFill="1" applyAlignment="1">
      <alignment horizontal="right"/>
    </xf>
    <xf numFmtId="3" fontId="23" fillId="32" borderId="1" xfId="0" applyNumberFormat="1" applyFont="1" applyFill="1" applyBorder="1" applyAlignment="1" applyProtection="1">
      <alignment horizontal="center"/>
      <protection locked="0"/>
    </xf>
    <xf numFmtId="3" fontId="95" fillId="45" borderId="0" xfId="0" applyNumberFormat="1" applyFont="1" applyFill="1"/>
    <xf numFmtId="3" fontId="23" fillId="45" borderId="0" xfId="0" applyNumberFormat="1" applyFont="1" applyFill="1" applyAlignment="1" applyProtection="1">
      <alignment horizontal="center"/>
      <protection locked="0"/>
    </xf>
    <xf numFmtId="0" fontId="23" fillId="42" borderId="0" xfId="0" applyFont="1" applyFill="1" applyBorder="1" applyAlignment="1">
      <alignment horizontal="center"/>
    </xf>
    <xf numFmtId="3" fontId="23" fillId="55" borderId="0" xfId="0" applyNumberFormat="1" applyFont="1" applyFill="1"/>
    <xf numFmtId="9" fontId="23" fillId="45" borderId="0" xfId="44" applyFont="1" applyFill="1" applyBorder="1" applyAlignment="1" applyProtection="1">
      <alignment horizontal="center"/>
      <protection locked="0"/>
    </xf>
    <xf numFmtId="9" fontId="23" fillId="53" borderId="0" xfId="44" applyFont="1" applyFill="1" applyBorder="1" applyAlignment="1" applyProtection="1">
      <alignment horizontal="center"/>
      <protection locked="0"/>
    </xf>
    <xf numFmtId="3" fontId="23" fillId="0" borderId="0" xfId="0" applyNumberFormat="1" applyFont="1" applyAlignment="1">
      <alignment horizontal="right"/>
    </xf>
    <xf numFmtId="3" fontId="23" fillId="55" borderId="0" xfId="0" applyNumberFormat="1" applyFont="1" applyFill="1" applyAlignment="1" applyProtection="1">
      <alignment horizontal="center"/>
      <protection locked="0"/>
    </xf>
    <xf numFmtId="3" fontId="23" fillId="53" borderId="0" xfId="0" applyNumberFormat="1" applyFont="1" applyFill="1" applyBorder="1" applyAlignment="1" applyProtection="1">
      <alignment horizontal="center"/>
      <protection locked="0"/>
    </xf>
    <xf numFmtId="3" fontId="96" fillId="0" borderId="0" xfId="0" applyNumberFormat="1" applyFont="1" applyAlignment="1">
      <alignment horizontal="right"/>
    </xf>
    <xf numFmtId="3" fontId="97" fillId="0" borderId="0" xfId="0" applyNumberFormat="1" applyFont="1" applyAlignment="1">
      <alignment vertical="center"/>
    </xf>
    <xf numFmtId="3" fontId="98" fillId="0" borderId="0" xfId="0" applyNumberFormat="1" applyFont="1" applyAlignment="1">
      <alignment vertical="center"/>
    </xf>
    <xf numFmtId="3" fontId="23" fillId="0" borderId="0" xfId="0" applyNumberFormat="1" applyFont="1" applyAlignment="1">
      <alignment horizontal="center"/>
    </xf>
    <xf numFmtId="3" fontId="0" fillId="0" borderId="0" xfId="0" applyNumberFormat="1" applyFill="1"/>
    <xf numFmtId="3" fontId="98" fillId="0" borderId="0" xfId="0" applyNumberFormat="1" applyFont="1" applyFill="1" applyAlignment="1">
      <alignment vertical="center"/>
    </xf>
    <xf numFmtId="3" fontId="23" fillId="0" borderId="0" xfId="0" applyNumberFormat="1" applyFont="1" applyFill="1" applyAlignment="1">
      <alignment horizontal="center"/>
    </xf>
    <xf numFmtId="3" fontId="0" fillId="0" borderId="0" xfId="0" applyNumberFormat="1" applyFont="1"/>
    <xf numFmtId="3" fontId="0" fillId="0" borderId="0" xfId="0" applyNumberFormat="1" applyFont="1" applyAlignment="1" applyProtection="1">
      <alignment horizontal="center"/>
      <protection locked="0"/>
    </xf>
    <xf numFmtId="3" fontId="23" fillId="54" borderId="0" xfId="0" applyNumberFormat="1" applyFont="1" applyFill="1"/>
    <xf numFmtId="3" fontId="23" fillId="54" borderId="0" xfId="0" applyNumberFormat="1" applyFont="1" applyFill="1" applyAlignment="1" applyProtection="1">
      <alignment horizontal="center"/>
      <protection locked="0"/>
    </xf>
    <xf numFmtId="3" fontId="23" fillId="54" borderId="1" xfId="0" applyNumberFormat="1" applyFont="1" applyFill="1" applyBorder="1" applyAlignment="1">
      <alignment horizontal="center"/>
    </xf>
    <xf numFmtId="1" fontId="23" fillId="54" borderId="41" xfId="0" applyNumberFormat="1" applyFont="1" applyFill="1" applyBorder="1" applyAlignment="1">
      <alignment horizontal="center"/>
    </xf>
    <xf numFmtId="3" fontId="23" fillId="54" borderId="41" xfId="0" applyNumberFormat="1" applyFont="1" applyFill="1" applyBorder="1" applyAlignment="1" applyProtection="1">
      <alignment horizontal="center"/>
      <protection locked="0"/>
    </xf>
    <xf numFmtId="1" fontId="23" fillId="54" borderId="42" xfId="0" applyNumberFormat="1" applyFont="1" applyFill="1" applyBorder="1" applyAlignment="1">
      <alignment horizontal="center"/>
    </xf>
    <xf numFmtId="3" fontId="23" fillId="54" borderId="42" xfId="0" applyNumberFormat="1" applyFont="1" applyFill="1" applyBorder="1" applyAlignment="1" applyProtection="1">
      <alignment horizontal="center"/>
      <protection locked="0"/>
    </xf>
    <xf numFmtId="9" fontId="23" fillId="54" borderId="0" xfId="44" applyFont="1" applyFill="1" applyBorder="1" applyAlignment="1" applyProtection="1">
      <alignment horizontal="center"/>
      <protection locked="0"/>
    </xf>
    <xf numFmtId="1" fontId="23" fillId="54" borderId="43" xfId="0" applyNumberFormat="1" applyFont="1" applyFill="1" applyBorder="1" applyAlignment="1">
      <alignment horizontal="center"/>
    </xf>
    <xf numFmtId="3" fontId="23" fillId="54" borderId="43" xfId="0" applyNumberFormat="1" applyFont="1" applyFill="1" applyBorder="1" applyAlignment="1" applyProtection="1">
      <alignment horizontal="center"/>
      <protection locked="0"/>
    </xf>
    <xf numFmtId="169" fontId="0" fillId="32" borderId="1" xfId="0" applyNumberFormat="1" applyFill="1" applyBorder="1" applyAlignment="1" applyProtection="1">
      <protection locked="0"/>
    </xf>
    <xf numFmtId="3" fontId="99" fillId="44" borderId="0" xfId="0" applyNumberFormat="1" applyFont="1" applyFill="1" applyAlignment="1">
      <alignment horizontal="right" vertical="center"/>
    </xf>
    <xf numFmtId="3" fontId="0" fillId="0" borderId="0" xfId="0" applyNumberFormat="1" applyAlignment="1">
      <alignment horizontal="right"/>
    </xf>
    <xf numFmtId="3" fontId="100" fillId="0" borderId="0" xfId="0" applyNumberFormat="1" applyFont="1" applyAlignment="1">
      <alignment vertical="center"/>
    </xf>
    <xf numFmtId="3" fontId="100" fillId="0" borderId="0" xfId="0" applyNumberFormat="1" applyFont="1"/>
    <xf numFmtId="3" fontId="99" fillId="44" borderId="0" xfId="0" applyNumberFormat="1" applyFont="1" applyFill="1" applyAlignment="1">
      <alignment horizontal="right"/>
    </xf>
    <xf numFmtId="3" fontId="28" fillId="0" borderId="0" xfId="0" applyNumberFormat="1" applyFont="1"/>
    <xf numFmtId="3" fontId="32" fillId="0" borderId="0" xfId="0" applyNumberFormat="1" applyFont="1" applyFill="1" applyBorder="1"/>
    <xf numFmtId="3" fontId="32" fillId="0" borderId="0" xfId="0" applyNumberFormat="1" applyFont="1" applyFill="1" applyBorder="1" applyAlignment="1">
      <alignment horizontal="center"/>
    </xf>
    <xf numFmtId="3" fontId="12" fillId="0" borderId="0" xfId="0" applyNumberFormat="1" applyFont="1" applyFill="1" applyBorder="1" applyAlignment="1">
      <alignment horizontal="center"/>
    </xf>
    <xf numFmtId="3" fontId="12" fillId="0" borderId="0" xfId="0" applyNumberFormat="1" applyFont="1" applyFill="1" applyBorder="1" applyAlignment="1"/>
    <xf numFmtId="4" fontId="12" fillId="0" borderId="0" xfId="0" applyNumberFormat="1" applyFont="1" applyFill="1" applyBorder="1" applyAlignment="1">
      <alignment horizontal="center"/>
    </xf>
    <xf numFmtId="169" fontId="12" fillId="0" borderId="0" xfId="0" applyNumberFormat="1" applyFont="1" applyFill="1" applyBorder="1" applyAlignment="1">
      <alignment horizontal="center"/>
    </xf>
    <xf numFmtId="3" fontId="12" fillId="0" borderId="0" xfId="0" applyNumberFormat="1" applyFont="1" applyFill="1" applyBorder="1" applyAlignment="1">
      <alignment horizontal="right"/>
    </xf>
    <xf numFmtId="1" fontId="12" fillId="0" borderId="0" xfId="0" applyNumberFormat="1" applyFont="1" applyFill="1" applyBorder="1" applyAlignment="1">
      <alignment horizontal="center"/>
    </xf>
    <xf numFmtId="3" fontId="12" fillId="0" borderId="0" xfId="0" applyNumberFormat="1" applyFont="1" applyFill="1" applyBorder="1" applyAlignment="1">
      <alignment horizontal="left"/>
    </xf>
    <xf numFmtId="3" fontId="28" fillId="0" borderId="0" xfId="0" applyNumberFormat="1" applyFont="1" applyAlignment="1" applyProtection="1">
      <alignment horizontal="center"/>
    </xf>
    <xf numFmtId="3" fontId="49" fillId="0" borderId="0" xfId="0" applyNumberFormat="1" applyFont="1" applyAlignment="1" applyProtection="1">
      <alignment vertical="center"/>
    </xf>
    <xf numFmtId="3" fontId="10" fillId="40" borderId="0" xfId="0" applyNumberFormat="1" applyFont="1" applyFill="1" applyProtection="1"/>
    <xf numFmtId="3" fontId="12" fillId="40" borderId="0" xfId="0" applyNumberFormat="1" applyFont="1" applyFill="1" applyAlignment="1" applyProtection="1">
      <alignment horizontal="center"/>
    </xf>
    <xf numFmtId="3" fontId="23" fillId="0" borderId="0" xfId="0" applyNumberFormat="1" applyFont="1" applyProtection="1"/>
    <xf numFmtId="3" fontId="24" fillId="0" borderId="0" xfId="0" applyNumberFormat="1" applyFont="1" applyAlignment="1" applyProtection="1">
      <alignment horizontal="center"/>
    </xf>
    <xf numFmtId="0" fontId="0" fillId="0" borderId="0" xfId="0" applyNumberFormat="1" applyAlignment="1" applyProtection="1">
      <alignment horizontal="center"/>
    </xf>
    <xf numFmtId="3" fontId="23" fillId="45" borderId="0" xfId="0" applyNumberFormat="1" applyFont="1" applyFill="1" applyProtection="1"/>
    <xf numFmtId="3" fontId="0" fillId="33" borderId="1" xfId="0" applyNumberFormat="1" applyFont="1" applyFill="1" applyBorder="1" applyAlignment="1" applyProtection="1">
      <alignment horizontal="center"/>
    </xf>
    <xf numFmtId="3" fontId="0" fillId="33" borderId="1" xfId="0" applyNumberFormat="1" applyFont="1" applyFill="1" applyBorder="1" applyAlignment="1" applyProtection="1"/>
    <xf numFmtId="3" fontId="23" fillId="33" borderId="0" xfId="0" applyNumberFormat="1" applyFont="1" applyFill="1" applyAlignment="1" applyProtection="1">
      <alignment horizontal="center"/>
    </xf>
    <xf numFmtId="3" fontId="23" fillId="45" borderId="1" xfId="0" applyNumberFormat="1" applyFont="1" applyFill="1" applyBorder="1" applyAlignment="1" applyProtection="1">
      <alignment horizontal="center"/>
    </xf>
    <xf numFmtId="1" fontId="23" fillId="45" borderId="41" xfId="0" applyNumberFormat="1" applyFont="1" applyFill="1" applyBorder="1" applyAlignment="1" applyProtection="1">
      <alignment horizontal="center"/>
    </xf>
    <xf numFmtId="3" fontId="23" fillId="45" borderId="41" xfId="0" applyNumberFormat="1" applyFont="1" applyFill="1" applyBorder="1" applyAlignment="1" applyProtection="1">
      <alignment horizontal="center"/>
    </xf>
    <xf numFmtId="1" fontId="23" fillId="45" borderId="42" xfId="0" applyNumberFormat="1" applyFont="1" applyFill="1" applyBorder="1" applyAlignment="1" applyProtection="1">
      <alignment horizontal="center"/>
    </xf>
    <xf numFmtId="3" fontId="23" fillId="45" borderId="42" xfId="0" applyNumberFormat="1" applyFont="1" applyFill="1" applyBorder="1" applyAlignment="1" applyProtection="1">
      <alignment horizontal="center"/>
    </xf>
    <xf numFmtId="1" fontId="23" fillId="45" borderId="43" xfId="0" applyNumberFormat="1" applyFont="1" applyFill="1" applyBorder="1" applyAlignment="1" applyProtection="1">
      <alignment horizontal="center"/>
    </xf>
    <xf numFmtId="3" fontId="23" fillId="45" borderId="43" xfId="0" applyNumberFormat="1" applyFont="1" applyFill="1" applyBorder="1" applyAlignment="1" applyProtection="1">
      <alignment horizontal="center"/>
    </xf>
    <xf numFmtId="3" fontId="23" fillId="53" borderId="0" xfId="0" applyNumberFormat="1" applyFont="1" applyFill="1" applyProtection="1"/>
    <xf numFmtId="0" fontId="23" fillId="53" borderId="0" xfId="0" applyNumberFormat="1" applyFont="1" applyFill="1" applyAlignment="1" applyProtection="1">
      <alignment horizontal="center"/>
    </xf>
    <xf numFmtId="3" fontId="23" fillId="42" borderId="0" xfId="0" applyNumberFormat="1" applyFont="1" applyFill="1" applyAlignment="1" applyProtection="1">
      <alignment horizontal="center"/>
    </xf>
    <xf numFmtId="3" fontId="0" fillId="33" borderId="1" xfId="0" applyNumberFormat="1" applyFill="1" applyBorder="1" applyAlignment="1" applyProtection="1"/>
    <xf numFmtId="169" fontId="0" fillId="33" borderId="1" xfId="0" applyNumberFormat="1" applyFill="1" applyBorder="1" applyAlignment="1" applyProtection="1">
      <alignment horizontal="center"/>
    </xf>
    <xf numFmtId="3" fontId="12" fillId="44" borderId="0" xfId="0" applyNumberFormat="1" applyFont="1" applyFill="1" applyProtection="1"/>
    <xf numFmtId="3" fontId="99" fillId="44" borderId="0" xfId="0" applyNumberFormat="1" applyFont="1" applyFill="1" applyAlignment="1" applyProtection="1">
      <alignment horizontal="right" vertical="center"/>
    </xf>
    <xf numFmtId="3" fontId="95" fillId="45" borderId="0" xfId="0" applyNumberFormat="1" applyFont="1" applyFill="1" applyProtection="1"/>
    <xf numFmtId="3" fontId="23" fillId="45" borderId="0" xfId="0" applyNumberFormat="1" applyFont="1" applyFill="1" applyAlignment="1" applyProtection="1">
      <alignment horizontal="center"/>
    </xf>
    <xf numFmtId="0" fontId="23" fillId="42" borderId="0" xfId="0" applyFont="1" applyFill="1" applyBorder="1" applyAlignment="1" applyProtection="1">
      <alignment horizontal="center"/>
    </xf>
    <xf numFmtId="3" fontId="23" fillId="55" borderId="0" xfId="0" applyNumberFormat="1" applyFont="1" applyFill="1" applyProtection="1"/>
    <xf numFmtId="9" fontId="23" fillId="45" borderId="0" xfId="44" applyFont="1" applyFill="1" applyBorder="1" applyAlignment="1" applyProtection="1">
      <alignment horizontal="center"/>
    </xf>
    <xf numFmtId="9" fontId="23" fillId="53" borderId="0" xfId="44" applyFont="1" applyFill="1" applyBorder="1" applyAlignment="1" applyProtection="1">
      <alignment horizontal="center"/>
    </xf>
    <xf numFmtId="3" fontId="23" fillId="55" borderId="0" xfId="0" applyNumberFormat="1" applyFont="1" applyFill="1" applyAlignment="1" applyProtection="1">
      <alignment horizontal="center"/>
    </xf>
    <xf numFmtId="3" fontId="23" fillId="53" borderId="0" xfId="0" applyNumberFormat="1" applyFont="1" applyFill="1" applyBorder="1" applyAlignment="1" applyProtection="1">
      <alignment horizontal="center"/>
    </xf>
    <xf numFmtId="3" fontId="100" fillId="0" borderId="0" xfId="0" applyNumberFormat="1" applyFont="1" applyProtection="1"/>
    <xf numFmtId="3" fontId="23" fillId="54" borderId="0" xfId="0" applyNumberFormat="1" applyFont="1" applyFill="1" applyProtection="1"/>
    <xf numFmtId="3" fontId="23" fillId="54" borderId="0" xfId="0" applyNumberFormat="1" applyFont="1" applyFill="1" applyAlignment="1" applyProtection="1">
      <alignment horizontal="center"/>
    </xf>
    <xf numFmtId="3" fontId="23" fillId="54" borderId="1" xfId="0" applyNumberFormat="1" applyFont="1" applyFill="1" applyBorder="1" applyAlignment="1" applyProtection="1">
      <alignment horizontal="center"/>
    </xf>
    <xf numFmtId="1" fontId="23" fillId="54" borderId="41" xfId="0" applyNumberFormat="1" applyFont="1" applyFill="1" applyBorder="1" applyAlignment="1" applyProtection="1">
      <alignment horizontal="center"/>
    </xf>
    <xf numFmtId="3" fontId="23" fillId="54" borderId="41" xfId="0" applyNumberFormat="1" applyFont="1" applyFill="1" applyBorder="1" applyAlignment="1" applyProtection="1">
      <alignment horizontal="center"/>
    </xf>
    <xf numFmtId="1" fontId="23" fillId="54" borderId="42" xfId="0" applyNumberFormat="1" applyFont="1" applyFill="1" applyBorder="1" applyAlignment="1" applyProtection="1">
      <alignment horizontal="center"/>
    </xf>
    <xf numFmtId="3" fontId="23" fillId="54" borderId="42" xfId="0" applyNumberFormat="1" applyFont="1" applyFill="1" applyBorder="1" applyAlignment="1" applyProtection="1">
      <alignment horizontal="center"/>
    </xf>
    <xf numFmtId="9" fontId="23" fillId="54" borderId="0" xfId="44" applyFont="1" applyFill="1" applyBorder="1" applyAlignment="1" applyProtection="1">
      <alignment horizontal="center"/>
    </xf>
    <xf numFmtId="1" fontId="23" fillId="54" borderId="43" xfId="0" applyNumberFormat="1" applyFont="1" applyFill="1" applyBorder="1" applyAlignment="1" applyProtection="1">
      <alignment horizontal="center"/>
    </xf>
    <xf numFmtId="3" fontId="23" fillId="54" borderId="43" xfId="0" applyNumberFormat="1" applyFont="1" applyFill="1" applyBorder="1" applyAlignment="1" applyProtection="1">
      <alignment horizontal="center"/>
    </xf>
    <xf numFmtId="3" fontId="99" fillId="44" borderId="0" xfId="0" applyNumberFormat="1" applyFont="1" applyFill="1" applyAlignment="1" applyProtection="1">
      <alignment horizontal="right"/>
    </xf>
    <xf numFmtId="3" fontId="10" fillId="44" borderId="0" xfId="0" applyNumberFormat="1" applyFont="1" applyFill="1" applyProtection="1"/>
    <xf numFmtId="3" fontId="32" fillId="0" borderId="0" xfId="0" applyNumberFormat="1" applyFont="1" applyFill="1" applyBorder="1" applyProtection="1"/>
    <xf numFmtId="3" fontId="12" fillId="0" borderId="0" xfId="0" applyNumberFormat="1" applyFont="1" applyFill="1" applyBorder="1" applyAlignment="1" applyProtection="1">
      <alignment horizontal="left"/>
    </xf>
    <xf numFmtId="3" fontId="12" fillId="0" borderId="0" xfId="0" applyNumberFormat="1" applyFont="1" applyFill="1" applyBorder="1" applyAlignment="1" applyProtection="1"/>
    <xf numFmtId="3" fontId="23" fillId="0" borderId="0" xfId="0" applyNumberFormat="1" applyFont="1" applyAlignment="1" applyProtection="1">
      <alignment horizontal="center"/>
      <protection locked="0"/>
    </xf>
    <xf numFmtId="0" fontId="23" fillId="55" borderId="0" xfId="0" applyNumberFormat="1" applyFont="1" applyFill="1" applyAlignment="1" applyProtection="1">
      <alignment horizontal="center"/>
      <protection locked="0"/>
    </xf>
    <xf numFmtId="3" fontId="101" fillId="0" borderId="0" xfId="0" applyNumberFormat="1" applyFont="1" applyAlignment="1">
      <alignment vertical="center"/>
    </xf>
    <xf numFmtId="3" fontId="32" fillId="0" borderId="0" xfId="0" applyNumberFormat="1" applyFont="1"/>
    <xf numFmtId="3" fontId="100" fillId="0" borderId="0" xfId="0" applyNumberFormat="1" applyFont="1" applyAlignment="1" applyProtection="1">
      <alignment vertical="center"/>
    </xf>
    <xf numFmtId="3" fontId="12" fillId="35" borderId="0" xfId="0" applyNumberFormat="1" applyFont="1" applyFill="1" applyProtection="1"/>
    <xf numFmtId="3" fontId="10" fillId="35" borderId="0" xfId="0" applyNumberFormat="1" applyFont="1" applyFill="1" applyProtection="1"/>
    <xf numFmtId="3" fontId="12" fillId="35" borderId="0" xfId="0" applyNumberFormat="1" applyFont="1" applyFill="1" applyAlignment="1" applyProtection="1">
      <alignment horizontal="center"/>
    </xf>
    <xf numFmtId="3" fontId="12" fillId="36" borderId="0" xfId="0" applyNumberFormat="1" applyFont="1" applyFill="1" applyProtection="1"/>
    <xf numFmtId="3" fontId="10" fillId="36" borderId="0" xfId="0" applyNumberFormat="1" applyFont="1" applyFill="1" applyProtection="1"/>
    <xf numFmtId="3" fontId="12" fillId="36" borderId="0" xfId="0" applyNumberFormat="1" applyFont="1" applyFill="1" applyAlignment="1" applyProtection="1">
      <alignment horizontal="center"/>
    </xf>
    <xf numFmtId="0" fontId="28" fillId="0" borderId="0" xfId="0" applyNumberFormat="1" applyFont="1" applyFill="1" applyBorder="1" applyAlignment="1" applyProtection="1"/>
    <xf numFmtId="3" fontId="24" fillId="0" borderId="0" xfId="0" applyNumberFormat="1" applyFont="1" applyProtection="1"/>
    <xf numFmtId="0" fontId="32" fillId="0" borderId="0" xfId="0" applyFont="1" applyAlignment="1">
      <alignment horizontal="center"/>
    </xf>
    <xf numFmtId="0" fontId="61" fillId="38" borderId="0" xfId="0" applyFont="1" applyFill="1" applyAlignment="1">
      <alignment horizontal="center"/>
    </xf>
    <xf numFmtId="0" fontId="12" fillId="38" borderId="0" xfId="0" applyFont="1" applyFill="1"/>
    <xf numFmtId="0" fontId="0" fillId="0" borderId="0" xfId="0" applyNumberFormat="1"/>
    <xf numFmtId="0" fontId="23" fillId="0" borderId="0" xfId="0" applyFont="1"/>
    <xf numFmtId="0" fontId="0" fillId="0" borderId="0" xfId="0" applyAlignment="1">
      <alignment vertical="top"/>
    </xf>
    <xf numFmtId="0" fontId="0" fillId="0" borderId="0" xfId="0" applyAlignment="1">
      <alignment horizontal="center" vertical="top"/>
    </xf>
    <xf numFmtId="4" fontId="28" fillId="0" borderId="0" xfId="43" applyNumberFormat="1" applyFont="1" applyAlignment="1">
      <alignment horizontal="right" vertical="center"/>
    </xf>
    <xf numFmtId="4" fontId="37" fillId="0" borderId="0" xfId="43" applyNumberFormat="1" applyFont="1" applyAlignment="1">
      <alignment horizontal="right" vertical="center"/>
    </xf>
    <xf numFmtId="4" fontId="31" fillId="0" borderId="0" xfId="43" applyNumberFormat="1" applyFont="1" applyAlignment="1" applyProtection="1">
      <alignment horizontal="right" vertical="center"/>
    </xf>
    <xf numFmtId="0" fontId="37" fillId="0" borderId="0" xfId="40" applyFont="1"/>
    <xf numFmtId="0" fontId="37" fillId="0" borderId="0" xfId="40" applyFont="1" applyFill="1" applyBorder="1" applyProtection="1"/>
    <xf numFmtId="0" fontId="0" fillId="33" borderId="0" xfId="0" applyFill="1" applyProtection="1"/>
    <xf numFmtId="0" fontId="12" fillId="44" borderId="0" xfId="0" applyFont="1" applyFill="1"/>
    <xf numFmtId="0" fontId="28" fillId="0" borderId="0" xfId="0" quotePrefix="1" applyFont="1" applyAlignment="1" applyProtection="1">
      <alignment horizontal="right"/>
    </xf>
    <xf numFmtId="0" fontId="23" fillId="32" borderId="1" xfId="0" applyNumberFormat="1" applyFont="1" applyFill="1" applyBorder="1" applyAlignment="1" applyProtection="1">
      <alignment horizontal="center"/>
      <protection locked="0"/>
    </xf>
    <xf numFmtId="0" fontId="0" fillId="0" borderId="0" xfId="0" applyNumberFormat="1" applyAlignment="1" applyProtection="1">
      <alignment horizontal="center"/>
      <protection locked="0"/>
    </xf>
    <xf numFmtId="0" fontId="23" fillId="0" borderId="0" xfId="0" applyFont="1" applyAlignment="1">
      <alignment horizontal="right"/>
    </xf>
    <xf numFmtId="0" fontId="23" fillId="0" borderId="0" xfId="0" applyFont="1" applyAlignment="1">
      <alignment horizontal="center"/>
    </xf>
    <xf numFmtId="0" fontId="31" fillId="0" borderId="0" xfId="0" applyFont="1"/>
    <xf numFmtId="0" fontId="0" fillId="38" borderId="0" xfId="0" applyFill="1"/>
    <xf numFmtId="0" fontId="0" fillId="0" borderId="0" xfId="0" applyFill="1"/>
    <xf numFmtId="4" fontId="23" fillId="0" borderId="0" xfId="0" applyNumberFormat="1" applyFont="1" applyFill="1" applyBorder="1" applyAlignment="1">
      <alignment horizontal="left"/>
    </xf>
    <xf numFmtId="4" fontId="12" fillId="0" borderId="0" xfId="0" applyNumberFormat="1" applyFont="1" applyFill="1" applyBorder="1" applyAlignment="1" applyProtection="1">
      <alignment horizontal="center"/>
      <protection locked="0"/>
    </xf>
    <xf numFmtId="4" fontId="24" fillId="0" borderId="0" xfId="0" applyNumberFormat="1" applyFont="1" applyFill="1" applyBorder="1" applyAlignment="1">
      <alignment horizontal="center"/>
    </xf>
    <xf numFmtId="4" fontId="0" fillId="0" borderId="0" xfId="0" applyNumberFormat="1" applyAlignment="1">
      <alignment horizontal="center"/>
    </xf>
    <xf numFmtId="4" fontId="23" fillId="0" borderId="0" xfId="0" applyNumberFormat="1" applyFont="1" applyAlignment="1">
      <alignment horizontal="left"/>
    </xf>
    <xf numFmtId="4" fontId="12" fillId="0" borderId="0" xfId="0" applyNumberFormat="1" applyFont="1" applyAlignment="1" applyProtection="1">
      <alignment horizontal="center"/>
      <protection locked="0"/>
    </xf>
    <xf numFmtId="4" fontId="24" fillId="0" borderId="0" xfId="0" applyNumberFormat="1" applyFont="1" applyAlignment="1">
      <alignment horizontal="center"/>
    </xf>
    <xf numFmtId="3" fontId="12" fillId="0" borderId="0" xfId="0" applyNumberFormat="1" applyFont="1" applyFill="1" applyBorder="1" applyProtection="1">
      <protection locked="0"/>
    </xf>
    <xf numFmtId="0" fontId="23" fillId="0" borderId="0" xfId="0" applyFont="1" applyFill="1" applyBorder="1" applyAlignment="1" applyProtection="1">
      <alignment horizontal="left" indent="1"/>
    </xf>
    <xf numFmtId="3" fontId="23" fillId="0" borderId="0" xfId="0" applyNumberFormat="1" applyFont="1" applyAlignment="1" applyProtection="1">
      <alignment horizontal="left" indent="1"/>
    </xf>
    <xf numFmtId="0" fontId="12" fillId="38" borderId="0" xfId="0" applyFont="1" applyFill="1" applyAlignment="1" applyProtection="1">
      <alignment horizontal="right"/>
    </xf>
    <xf numFmtId="3" fontId="23" fillId="0" borderId="0" xfId="0" applyNumberFormat="1" applyFont="1" applyAlignment="1" applyProtection="1">
      <alignment horizontal="right"/>
    </xf>
    <xf numFmtId="3" fontId="0" fillId="0" borderId="0" xfId="0" applyNumberFormat="1" applyFont="1" applyAlignment="1" applyProtection="1">
      <alignment horizontal="center"/>
    </xf>
    <xf numFmtId="3" fontId="12" fillId="0" borderId="0" xfId="0" applyNumberFormat="1" applyFont="1" applyAlignment="1" applyProtection="1">
      <alignment horizontal="right"/>
    </xf>
    <xf numFmtId="3" fontId="12" fillId="0" borderId="0" xfId="0" applyNumberFormat="1" applyFont="1" applyAlignment="1" applyProtection="1">
      <alignment horizontal="center"/>
    </xf>
    <xf numFmtId="3" fontId="28" fillId="0" borderId="0" xfId="0" applyNumberFormat="1" applyFont="1" applyFill="1" applyBorder="1" applyAlignment="1" applyProtection="1"/>
    <xf numFmtId="3" fontId="12" fillId="38" borderId="0" xfId="0" applyNumberFormat="1" applyFont="1" applyFill="1" applyAlignment="1" applyProtection="1">
      <alignment vertical="center"/>
    </xf>
    <xf numFmtId="3" fontId="103" fillId="33" borderId="0" xfId="0" applyNumberFormat="1" applyFont="1" applyFill="1" applyAlignment="1" applyProtection="1">
      <alignment horizontal="left" vertical="center"/>
    </xf>
    <xf numFmtId="3" fontId="104" fillId="33" borderId="0" xfId="0" applyNumberFormat="1" applyFont="1" applyFill="1" applyAlignment="1" applyProtection="1">
      <alignment horizontal="left" vertical="center"/>
    </xf>
    <xf numFmtId="3" fontId="10" fillId="0" borderId="0" xfId="0" applyNumberFormat="1" applyFont="1" applyFill="1" applyBorder="1" applyProtection="1"/>
    <xf numFmtId="10" fontId="10" fillId="0" borderId="0" xfId="0" applyNumberFormat="1" applyFont="1" applyFill="1" applyBorder="1" applyProtection="1"/>
    <xf numFmtId="0" fontId="64" fillId="0" borderId="0" xfId="0" applyFont="1" applyFill="1" applyBorder="1" applyAlignment="1" applyProtection="1">
      <alignment horizontal="center"/>
    </xf>
    <xf numFmtId="3" fontId="69" fillId="0" borderId="0" xfId="0" applyNumberFormat="1" applyFont="1" applyFill="1" applyBorder="1" applyAlignment="1" applyProtection="1">
      <alignment horizontal="center"/>
    </xf>
    <xf numFmtId="0" fontId="10" fillId="0" borderId="0" xfId="0" applyFont="1" applyFill="1" applyBorder="1" applyAlignment="1" applyProtection="1">
      <alignment horizontal="left" indent="1"/>
    </xf>
    <xf numFmtId="3" fontId="10" fillId="0" borderId="0" xfId="0" applyNumberFormat="1" applyFont="1" applyFill="1" applyBorder="1" applyAlignment="1" applyProtection="1">
      <alignment horizontal="left" indent="1"/>
    </xf>
    <xf numFmtId="0" fontId="10" fillId="0" borderId="0" xfId="0" applyFont="1" applyFill="1" applyBorder="1" applyAlignment="1" applyProtection="1">
      <alignment horizontal="right"/>
    </xf>
    <xf numFmtId="1" fontId="10" fillId="0" borderId="0" xfId="0" applyNumberFormat="1" applyFont="1" applyFill="1" applyBorder="1" applyProtection="1"/>
    <xf numFmtId="4" fontId="10" fillId="0" borderId="0" xfId="0" applyNumberFormat="1" applyFont="1" applyFill="1" applyBorder="1" applyProtection="1"/>
    <xf numFmtId="0" fontId="10" fillId="0" borderId="0" xfId="0" applyFont="1" applyFill="1" applyBorder="1" applyAlignment="1" applyProtection="1"/>
    <xf numFmtId="0" fontId="10" fillId="0" borderId="0" xfId="0" applyFont="1" applyFill="1" applyBorder="1"/>
    <xf numFmtId="0" fontId="0" fillId="38" borderId="0" xfId="0" applyFill="1" applyProtection="1"/>
    <xf numFmtId="4" fontId="23" fillId="0" borderId="0" xfId="0" applyNumberFormat="1" applyFont="1" applyFill="1" applyBorder="1" applyAlignment="1" applyProtection="1">
      <alignment horizontal="left"/>
    </xf>
    <xf numFmtId="4" fontId="23" fillId="0" borderId="0" xfId="0" applyNumberFormat="1" applyFont="1" applyFill="1" applyBorder="1" applyAlignment="1" applyProtection="1">
      <alignment horizontal="center"/>
    </xf>
    <xf numFmtId="4" fontId="24" fillId="0" borderId="0" xfId="0" applyNumberFormat="1" applyFont="1" applyFill="1" applyBorder="1" applyAlignment="1" applyProtection="1">
      <alignment horizontal="center"/>
    </xf>
    <xf numFmtId="3" fontId="1" fillId="42" borderId="0" xfId="0" applyNumberFormat="1" applyFont="1" applyFill="1" applyBorder="1" applyAlignment="1" applyProtection="1">
      <alignment horizontal="center"/>
    </xf>
    <xf numFmtId="0" fontId="0" fillId="33" borderId="17" xfId="0" applyFill="1" applyBorder="1" applyProtection="1"/>
    <xf numFmtId="3" fontId="0" fillId="33" borderId="17" xfId="0" applyNumberFormat="1" applyFill="1" applyBorder="1" applyProtection="1"/>
    <xf numFmtId="3" fontId="0" fillId="33" borderId="0" xfId="0" applyNumberFormat="1" applyFill="1" applyBorder="1" applyProtection="1"/>
    <xf numFmtId="4" fontId="23" fillId="0" borderId="0" xfId="0" applyNumberFormat="1" applyFont="1" applyAlignment="1" applyProtection="1">
      <alignment horizontal="left"/>
    </xf>
    <xf numFmtId="4" fontId="23" fillId="0" borderId="0" xfId="0" applyNumberFormat="1" applyFont="1" applyAlignment="1" applyProtection="1">
      <alignment horizontal="center"/>
    </xf>
    <xf numFmtId="4" fontId="24" fillId="0" borderId="0" xfId="0" applyNumberFormat="1" applyFont="1" applyAlignment="1" applyProtection="1">
      <alignment horizontal="center"/>
    </xf>
    <xf numFmtId="10" fontId="32" fillId="33" borderId="0" xfId="0" applyNumberFormat="1" applyFont="1" applyFill="1" applyBorder="1" applyAlignment="1" applyProtection="1">
      <alignment horizontal="center"/>
    </xf>
    <xf numFmtId="3" fontId="32" fillId="33" borderId="0" xfId="0" applyNumberFormat="1" applyFont="1" applyFill="1" applyBorder="1" applyAlignment="1" applyProtection="1">
      <alignment horizontal="center"/>
    </xf>
    <xf numFmtId="3" fontId="32" fillId="33" borderId="0" xfId="0" applyNumberFormat="1" applyFont="1" applyFill="1" applyBorder="1" applyProtection="1"/>
    <xf numFmtId="3" fontId="23" fillId="0" borderId="0" xfId="0" applyNumberFormat="1" applyFont="1" applyFill="1" applyBorder="1" applyAlignment="1" applyProtection="1">
      <alignment horizontal="right"/>
    </xf>
    <xf numFmtId="3" fontId="23" fillId="0" borderId="0" xfId="0" applyNumberFormat="1" applyFont="1" applyFill="1" applyBorder="1" applyAlignment="1" applyProtection="1">
      <alignment horizontal="center"/>
    </xf>
    <xf numFmtId="3" fontId="12" fillId="38" borderId="0" xfId="0" applyNumberFormat="1" applyFont="1" applyFill="1" applyProtection="1"/>
    <xf numFmtId="3" fontId="103" fillId="33" borderId="0" xfId="0" applyNumberFormat="1" applyFont="1" applyFill="1" applyAlignment="1" applyProtection="1">
      <alignment horizontal="left" indent="3"/>
    </xf>
    <xf numFmtId="3" fontId="104" fillId="33" borderId="0" xfId="0" applyNumberFormat="1" applyFont="1" applyFill="1" applyAlignment="1" applyProtection="1">
      <alignment horizontal="left" indent="3"/>
    </xf>
    <xf numFmtId="49" fontId="10" fillId="0" borderId="0" xfId="0" applyNumberFormat="1" applyFont="1" applyFill="1" applyBorder="1" applyProtection="1"/>
    <xf numFmtId="0" fontId="55" fillId="0" borderId="0" xfId="46" applyFont="1" applyAlignment="1">
      <alignment horizontal="left" vertical="center"/>
    </xf>
    <xf numFmtId="0" fontId="28" fillId="0" borderId="0" xfId="49" applyFont="1" applyFill="1" applyBorder="1"/>
    <xf numFmtId="0" fontId="28" fillId="0" borderId="0" xfId="49" applyFont="1" applyFill="1" applyBorder="1" applyAlignment="1">
      <alignment horizontal="center"/>
    </xf>
    <xf numFmtId="0" fontId="28" fillId="0" borderId="0" xfId="49" applyFont="1" applyFill="1" applyBorder="1" applyAlignment="1"/>
    <xf numFmtId="0" fontId="28" fillId="0" borderId="0" xfId="0" applyFont="1" applyFill="1" applyBorder="1" applyAlignment="1">
      <alignment horizontal="center" vertical="top"/>
    </xf>
    <xf numFmtId="0" fontId="28" fillId="0" borderId="0" xfId="0" applyFont="1" applyFill="1" applyBorder="1" applyAlignment="1">
      <alignment vertical="top"/>
    </xf>
    <xf numFmtId="0" fontId="28" fillId="0" borderId="0" xfId="0" applyFont="1" applyFill="1" applyBorder="1" applyAlignment="1">
      <alignment vertical="top" wrapText="1"/>
    </xf>
    <xf numFmtId="0" fontId="107" fillId="0" borderId="0" xfId="47" applyFont="1" applyFill="1" applyBorder="1" applyAlignment="1">
      <alignment vertical="top"/>
    </xf>
    <xf numFmtId="0" fontId="108" fillId="0" borderId="0" xfId="49" applyFont="1" applyProtection="1"/>
    <xf numFmtId="0" fontId="28" fillId="0" borderId="0" xfId="49" applyFont="1" applyFill="1" applyAlignment="1" applyProtection="1">
      <alignment vertical="center"/>
    </xf>
    <xf numFmtId="0" fontId="28" fillId="0" borderId="0" xfId="49" applyFont="1" applyFill="1" applyAlignment="1" applyProtection="1"/>
    <xf numFmtId="0" fontId="109" fillId="0" borderId="0" xfId="49" applyFont="1" applyAlignment="1" applyProtection="1">
      <alignment horizontal="right"/>
    </xf>
    <xf numFmtId="0" fontId="109" fillId="32" borderId="1" xfId="49" applyFont="1" applyFill="1" applyBorder="1" applyAlignment="1" applyProtection="1">
      <alignment horizontal="center"/>
      <protection locked="0"/>
    </xf>
    <xf numFmtId="0" fontId="24" fillId="0" borderId="0" xfId="49" applyFont="1" applyAlignment="1" applyProtection="1">
      <alignment horizontal="center"/>
    </xf>
    <xf numFmtId="0" fontId="108" fillId="0" borderId="0" xfId="49" applyFont="1" applyAlignment="1" applyProtection="1">
      <alignment horizontal="center"/>
    </xf>
    <xf numFmtId="0" fontId="108" fillId="0" borderId="0" xfId="49" applyFont="1" applyAlignment="1" applyProtection="1">
      <alignment horizontal="center"/>
      <protection locked="0"/>
    </xf>
    <xf numFmtId="0" fontId="109" fillId="0" borderId="0" xfId="49" applyFont="1" applyProtection="1"/>
    <xf numFmtId="0" fontId="109" fillId="45" borderId="11" xfId="49" applyFont="1" applyFill="1" applyBorder="1" applyAlignment="1" applyProtection="1">
      <alignment horizontal="right"/>
    </xf>
    <xf numFmtId="0" fontId="109" fillId="45" borderId="13" xfId="49" applyFont="1" applyFill="1" applyBorder="1" applyAlignment="1" applyProtection="1">
      <alignment horizontal="center"/>
    </xf>
    <xf numFmtId="0" fontId="110" fillId="0" borderId="0" xfId="49" applyFont="1" applyAlignment="1" applyProtection="1">
      <alignment vertical="center"/>
    </xf>
    <xf numFmtId="0" fontId="12" fillId="0" borderId="0" xfId="0" applyFont="1" applyFill="1" applyProtection="1"/>
    <xf numFmtId="0" fontId="12" fillId="56" borderId="0" xfId="49" applyFont="1" applyFill="1" applyAlignment="1" applyProtection="1">
      <alignment horizontal="center" vertical="center" wrapText="1"/>
    </xf>
    <xf numFmtId="0" fontId="12" fillId="40" borderId="0" xfId="49" applyFont="1" applyFill="1" applyAlignment="1" applyProtection="1">
      <alignment horizontal="center" vertical="center" wrapText="1"/>
    </xf>
    <xf numFmtId="0" fontId="12" fillId="38" borderId="11" xfId="49" applyFont="1" applyFill="1" applyBorder="1" applyAlignment="1" applyProtection="1">
      <alignment vertical="center"/>
    </xf>
    <xf numFmtId="0" fontId="12" fillId="38" borderId="12" xfId="49" applyFont="1" applyFill="1" applyBorder="1" applyAlignment="1" applyProtection="1">
      <alignment vertical="center"/>
    </xf>
    <xf numFmtId="0" fontId="12" fillId="38" borderId="13" xfId="49" applyFont="1" applyFill="1" applyBorder="1" applyAlignment="1" applyProtection="1">
      <alignment vertical="center"/>
    </xf>
    <xf numFmtId="0" fontId="110" fillId="33" borderId="3" xfId="49" applyFont="1" applyFill="1" applyBorder="1" applyAlignment="1" applyProtection="1">
      <alignment horizontal="left" vertical="top" wrapText="1" indent="1"/>
    </xf>
    <xf numFmtId="0" fontId="110" fillId="33" borderId="4" xfId="49" applyFont="1" applyFill="1" applyBorder="1" applyAlignment="1" applyProtection="1">
      <alignment horizontal="left" vertical="top" wrapText="1" indent="1"/>
    </xf>
    <xf numFmtId="0" fontId="110" fillId="33" borderId="5" xfId="49" applyFont="1" applyFill="1" applyBorder="1" applyAlignment="1" applyProtection="1">
      <alignment horizontal="left" vertical="top" wrapText="1" indent="1"/>
    </xf>
    <xf numFmtId="0" fontId="110" fillId="33" borderId="6" xfId="49" applyFont="1" applyFill="1" applyBorder="1" applyAlignment="1" applyProtection="1">
      <alignment horizontal="left" vertical="top" wrapText="1" indent="1"/>
    </xf>
    <xf numFmtId="0" fontId="110" fillId="33" borderId="0" xfId="49" applyFont="1" applyFill="1" applyBorder="1" applyAlignment="1" applyProtection="1">
      <alignment horizontal="left" vertical="top" wrapText="1" indent="1"/>
    </xf>
    <xf numFmtId="0" fontId="110" fillId="33" borderId="7" xfId="49" applyFont="1" applyFill="1" applyBorder="1" applyAlignment="1" applyProtection="1">
      <alignment horizontal="left" vertical="top" wrapText="1" indent="1"/>
    </xf>
    <xf numFmtId="0" fontId="110" fillId="33" borderId="8" xfId="49" applyFont="1" applyFill="1" applyBorder="1" applyAlignment="1" applyProtection="1">
      <alignment horizontal="left" vertical="top" wrapText="1" indent="1"/>
    </xf>
    <xf numFmtId="0" fontId="110" fillId="33" borderId="9" xfId="49" applyFont="1" applyFill="1" applyBorder="1" applyAlignment="1" applyProtection="1">
      <alignment horizontal="left" vertical="top" wrapText="1" indent="1"/>
    </xf>
    <xf numFmtId="0" fontId="110" fillId="33" borderId="10" xfId="49" applyFont="1" applyFill="1" applyBorder="1" applyAlignment="1" applyProtection="1">
      <alignment horizontal="left" vertical="top" wrapText="1" indent="1"/>
    </xf>
    <xf numFmtId="0" fontId="23" fillId="33" borderId="0" xfId="0" applyFont="1" applyFill="1" applyAlignment="1" applyProtection="1">
      <alignment vertical="top" wrapText="1"/>
    </xf>
    <xf numFmtId="0" fontId="12" fillId="40" borderId="0" xfId="0" applyFont="1" applyFill="1" applyAlignment="1" applyProtection="1"/>
    <xf numFmtId="0" fontId="12" fillId="40" borderId="18" xfId="0" applyFont="1" applyFill="1" applyBorder="1" applyAlignment="1" applyProtection="1"/>
    <xf numFmtId="0" fontId="50" fillId="44" borderId="0" xfId="0" applyFont="1" applyFill="1" applyAlignment="1" applyProtection="1">
      <alignment horizontal="center" wrapText="1"/>
    </xf>
    <xf numFmtId="0" fontId="28" fillId="0" borderId="0" xfId="46" applyFont="1" applyAlignment="1">
      <alignment vertical="top" wrapText="1"/>
    </xf>
    <xf numFmtId="0" fontId="46" fillId="44" borderId="0" xfId="46" applyFont="1" applyFill="1" applyAlignment="1">
      <alignment horizontal="center" vertical="center" wrapText="1"/>
    </xf>
    <xf numFmtId="0" fontId="12" fillId="40" borderId="0" xfId="46" applyFont="1" applyFill="1"/>
    <xf numFmtId="0" fontId="28" fillId="0" borderId="0" xfId="46" applyNumberFormat="1"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46" fillId="44" borderId="0" xfId="0" applyFont="1" applyFill="1" applyAlignment="1">
      <alignment horizontal="center" vertical="center" wrapText="1"/>
    </xf>
    <xf numFmtId="0" fontId="12" fillId="40" borderId="0" xfId="0" applyFont="1" applyFill="1"/>
    <xf numFmtId="0" fontId="44" fillId="44" borderId="0" xfId="0" applyFont="1" applyFill="1" applyAlignment="1">
      <alignment horizontal="center"/>
    </xf>
    <xf numFmtId="0" fontId="44" fillId="44" borderId="0" xfId="0" applyFont="1" applyFill="1" applyAlignment="1"/>
    <xf numFmtId="0" fontId="12" fillId="34" borderId="0" xfId="0" applyFont="1" applyFill="1" applyAlignment="1" applyProtection="1">
      <alignment horizontal="left" vertical="top" wrapText="1"/>
    </xf>
    <xf numFmtId="0" fontId="33" fillId="38" borderId="0" xfId="0" applyNumberFormat="1" applyFont="1" applyFill="1" applyBorder="1" applyAlignment="1" applyProtection="1">
      <alignment horizontal="left" vertical="top" wrapText="1"/>
    </xf>
    <xf numFmtId="0" fontId="51" fillId="33" borderId="3" xfId="0" applyNumberFormat="1" applyFont="1" applyFill="1" applyBorder="1" applyAlignment="1" applyProtection="1">
      <alignment vertical="top" wrapText="1"/>
    </xf>
    <xf numFmtId="0" fontId="51" fillId="33" borderId="4" xfId="0" applyNumberFormat="1" applyFont="1" applyFill="1" applyBorder="1" applyAlignment="1" applyProtection="1">
      <alignment vertical="top" wrapText="1"/>
    </xf>
    <xf numFmtId="0" fontId="51" fillId="33" borderId="5" xfId="0" applyNumberFormat="1" applyFont="1" applyFill="1" applyBorder="1" applyAlignment="1" applyProtection="1">
      <alignment vertical="top" wrapText="1"/>
    </xf>
    <xf numFmtId="0" fontId="51" fillId="33" borderId="6" xfId="0" applyNumberFormat="1" applyFont="1" applyFill="1" applyBorder="1" applyAlignment="1" applyProtection="1">
      <alignment vertical="top" wrapText="1"/>
    </xf>
    <xf numFmtId="0" fontId="51" fillId="33" borderId="0" xfId="0" applyNumberFormat="1" applyFont="1" applyFill="1" applyBorder="1" applyAlignment="1" applyProtection="1">
      <alignment vertical="top" wrapText="1"/>
    </xf>
    <xf numFmtId="0" fontId="51" fillId="33" borderId="7" xfId="0" applyNumberFormat="1" applyFont="1" applyFill="1" applyBorder="1" applyAlignment="1" applyProtection="1">
      <alignment vertical="top" wrapText="1"/>
    </xf>
    <xf numFmtId="0" fontId="51" fillId="33" borderId="8" xfId="0" applyNumberFormat="1" applyFont="1" applyFill="1" applyBorder="1" applyAlignment="1" applyProtection="1">
      <alignment vertical="top" wrapText="1"/>
    </xf>
    <xf numFmtId="0" fontId="51" fillId="33" borderId="9" xfId="0" applyNumberFormat="1" applyFont="1" applyFill="1" applyBorder="1" applyAlignment="1" applyProtection="1">
      <alignment vertical="top" wrapText="1"/>
    </xf>
    <xf numFmtId="0" fontId="51" fillId="33" borderId="10" xfId="0" applyNumberFormat="1" applyFont="1" applyFill="1" applyBorder="1" applyAlignment="1" applyProtection="1">
      <alignment vertical="top"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9" xfId="0" applyBorder="1" applyAlignment="1" applyProtection="1">
      <alignment horizontal="center" wrapText="1"/>
    </xf>
    <xf numFmtId="0" fontId="4" fillId="45" borderId="3" xfId="0" applyNumberFormat="1" applyFont="1" applyFill="1" applyBorder="1" applyAlignment="1" applyProtection="1">
      <alignment horizontal="center" vertical="center"/>
    </xf>
    <xf numFmtId="0" fontId="4" fillId="45" borderId="4" xfId="0" applyNumberFormat="1" applyFont="1" applyFill="1" applyBorder="1" applyAlignment="1" applyProtection="1">
      <alignment horizontal="center" vertical="center"/>
    </xf>
    <xf numFmtId="0" fontId="4" fillId="45" borderId="5" xfId="0" applyNumberFormat="1" applyFont="1" applyFill="1" applyBorder="1" applyAlignment="1" applyProtection="1">
      <alignment horizontal="center" vertical="center"/>
    </xf>
    <xf numFmtId="0" fontId="12" fillId="44" borderId="0" xfId="0" applyFont="1" applyFill="1" applyProtection="1"/>
    <xf numFmtId="0" fontId="23" fillId="0" borderId="0" xfId="0" applyFont="1" applyAlignment="1" applyProtection="1">
      <alignment horizontal="center" vertical="center" wrapText="1"/>
    </xf>
    <xf numFmtId="0" fontId="12" fillId="34" borderId="17" xfId="0" applyFont="1" applyFill="1" applyBorder="1" applyAlignment="1" applyProtection="1">
      <alignment horizontal="left" vertical="top" wrapText="1"/>
    </xf>
    <xf numFmtId="0" fontId="12" fillId="40" borderId="0" xfId="0" applyFont="1" applyFill="1" applyAlignment="1" applyProtection="1">
      <alignment horizontal="left" vertical="top" wrapText="1"/>
    </xf>
    <xf numFmtId="0" fontId="52" fillId="40" borderId="0" xfId="0" applyFont="1" applyFill="1" applyAlignment="1" applyProtection="1">
      <alignment horizontal="left" vertical="top" wrapText="1"/>
    </xf>
    <xf numFmtId="0" fontId="24" fillId="0" borderId="0" xfId="0" applyFont="1" applyAlignment="1" applyProtection="1">
      <alignment horizontal="center"/>
    </xf>
    <xf numFmtId="3" fontId="23" fillId="0" borderId="2" xfId="0" applyNumberFormat="1" applyFont="1" applyBorder="1" applyAlignment="1" applyProtection="1">
      <alignment horizontal="center"/>
    </xf>
    <xf numFmtId="0" fontId="32" fillId="0" borderId="0" xfId="0" applyFont="1" applyFill="1" applyBorder="1" applyAlignment="1" applyProtection="1">
      <alignment horizontal="center" vertical="center" wrapText="1"/>
    </xf>
    <xf numFmtId="0" fontId="28" fillId="33" borderId="0" xfId="0" applyFont="1" applyFill="1" applyBorder="1" applyAlignment="1" applyProtection="1">
      <alignment horizontal="left" vertical="top" wrapText="1"/>
    </xf>
    <xf numFmtId="0" fontId="12" fillId="40" borderId="0" xfId="0" applyFont="1" applyFill="1" applyBorder="1" applyAlignment="1" applyProtection="1">
      <alignment horizontal="left"/>
    </xf>
    <xf numFmtId="0" fontId="32" fillId="33" borderId="0" xfId="0" applyFont="1" applyFill="1" applyBorder="1" applyAlignment="1" applyProtection="1">
      <alignment horizontal="left" vertical="top" wrapText="1"/>
    </xf>
    <xf numFmtId="0" fontId="0" fillId="33" borderId="0" xfId="0" applyFill="1" applyProtection="1"/>
    <xf numFmtId="0" fontId="0" fillId="33" borderId="0" xfId="0" applyFill="1" applyAlignment="1" applyProtection="1">
      <alignment vertical="top" wrapText="1"/>
    </xf>
    <xf numFmtId="0" fontId="0" fillId="33" borderId="0" xfId="0" applyFill="1" applyAlignment="1" applyProtection="1">
      <alignment vertical="top"/>
    </xf>
    <xf numFmtId="0" fontId="53" fillId="33" borderId="0" xfId="0" applyFont="1" applyFill="1" applyAlignment="1" applyProtection="1">
      <alignment vertical="top" wrapText="1"/>
    </xf>
    <xf numFmtId="0" fontId="33" fillId="40" borderId="14" xfId="0" applyFont="1" applyFill="1" applyBorder="1" applyAlignment="1" applyProtection="1">
      <alignment vertical="top" wrapText="1"/>
    </xf>
    <xf numFmtId="0" fontId="33" fillId="40" borderId="15" xfId="0" applyFont="1" applyFill="1" applyBorder="1" applyAlignment="1" applyProtection="1">
      <alignment vertical="top" wrapText="1"/>
    </xf>
    <xf numFmtId="0" fontId="33" fillId="40" borderId="16" xfId="0" applyFont="1" applyFill="1" applyBorder="1" applyAlignment="1" applyProtection="1">
      <alignment vertical="top" wrapText="1"/>
    </xf>
    <xf numFmtId="0" fontId="54" fillId="33" borderId="0" xfId="0" applyFont="1" applyFill="1" applyAlignment="1" applyProtection="1">
      <alignment vertical="top" wrapText="1"/>
    </xf>
    <xf numFmtId="0" fontId="33" fillId="40" borderId="0" xfId="0" applyFont="1" applyFill="1" applyAlignment="1" applyProtection="1">
      <alignment vertical="top" wrapText="1"/>
    </xf>
    <xf numFmtId="0" fontId="12" fillId="40" borderId="0" xfId="0" applyFont="1" applyFill="1" applyAlignment="1">
      <alignment horizontal="center" vertical="center"/>
    </xf>
    <xf numFmtId="0" fontId="23" fillId="49" borderId="0" xfId="0" applyFont="1" applyFill="1" applyAlignment="1">
      <alignment horizontal="center"/>
    </xf>
    <xf numFmtId="0" fontId="23" fillId="33" borderId="0" xfId="0" applyFont="1" applyFill="1" applyAlignment="1">
      <alignment horizontal="center"/>
    </xf>
    <xf numFmtId="0" fontId="23" fillId="53" borderId="0" xfId="0" applyFont="1" applyFill="1" applyAlignment="1">
      <alignment horizontal="center"/>
    </xf>
    <xf numFmtId="0" fontId="23" fillId="45" borderId="0" xfId="0" applyFont="1" applyFill="1" applyAlignment="1">
      <alignment horizontal="center"/>
    </xf>
    <xf numFmtId="0" fontId="23" fillId="54" borderId="0" xfId="0" applyFont="1" applyFill="1" applyAlignment="1">
      <alignment horizontal="center"/>
    </xf>
    <xf numFmtId="4" fontId="46" fillId="38" borderId="0" xfId="0" applyNumberFormat="1" applyFont="1" applyFill="1" applyAlignment="1" applyProtection="1">
      <alignment horizontal="center" vertical="center"/>
    </xf>
    <xf numFmtId="0" fontId="12" fillId="38" borderId="0" xfId="0" applyFont="1" applyFill="1" applyAlignment="1" applyProtection="1">
      <alignment horizontal="center"/>
    </xf>
    <xf numFmtId="4" fontId="33" fillId="44" borderId="0" xfId="0" applyNumberFormat="1" applyFont="1" applyFill="1" applyAlignment="1" applyProtection="1">
      <alignment horizontal="center" vertical="center" wrapText="1"/>
    </xf>
    <xf numFmtId="4" fontId="75" fillId="33" borderId="17" xfId="0" applyNumberFormat="1" applyFont="1" applyFill="1" applyBorder="1" applyAlignment="1" applyProtection="1">
      <alignment horizontal="center" wrapText="1"/>
    </xf>
    <xf numFmtId="4" fontId="75" fillId="33" borderId="2" xfId="0" applyNumberFormat="1" applyFont="1" applyFill="1" applyBorder="1" applyAlignment="1" applyProtection="1">
      <alignment horizontal="center" wrapText="1"/>
    </xf>
    <xf numFmtId="0" fontId="88" fillId="44" borderId="0" xfId="48" applyFont="1" applyFill="1" applyAlignment="1" applyProtection="1">
      <alignment horizontal="left" indent="2"/>
      <protection locked="0"/>
    </xf>
    <xf numFmtId="4" fontId="12" fillId="35" borderId="0" xfId="0" applyNumberFormat="1" applyFont="1" applyFill="1" applyBorder="1" applyAlignment="1" applyProtection="1">
      <alignment horizontal="center"/>
    </xf>
    <xf numFmtId="4" fontId="28" fillId="33" borderId="0" xfId="0" applyNumberFormat="1" applyFont="1" applyFill="1" applyBorder="1" applyAlignment="1" applyProtection="1">
      <alignment horizontal="center"/>
    </xf>
    <xf numFmtId="4" fontId="32" fillId="0" borderId="0" xfId="0" applyNumberFormat="1" applyFont="1" applyAlignment="1" applyProtection="1">
      <alignment horizontal="center" vertical="center" wrapText="1"/>
    </xf>
    <xf numFmtId="4" fontId="33" fillId="38" borderId="0" xfId="0" applyNumberFormat="1" applyFont="1" applyFill="1" applyAlignment="1" applyProtection="1">
      <alignment horizontal="center" vertical="center" wrapText="1"/>
    </xf>
    <xf numFmtId="0" fontId="33" fillId="34" borderId="0" xfId="0" applyFont="1" applyFill="1" applyAlignment="1" applyProtection="1">
      <alignment vertical="top" wrapText="1"/>
    </xf>
    <xf numFmtId="4" fontId="75" fillId="33" borderId="17" xfId="0" applyNumberFormat="1" applyFont="1" applyFill="1" applyBorder="1" applyAlignment="1" applyProtection="1">
      <alignment horizontal="center" vertical="center" wrapText="1"/>
    </xf>
    <xf numFmtId="4" fontId="75" fillId="33" borderId="2" xfId="0" applyNumberFormat="1" applyFont="1" applyFill="1" applyBorder="1" applyAlignment="1" applyProtection="1">
      <alignment horizontal="center" vertical="center" wrapText="1"/>
    </xf>
    <xf numFmtId="0" fontId="9" fillId="0" borderId="0" xfId="40" applyAlignment="1">
      <alignment vertical="top" wrapText="1"/>
    </xf>
    <xf numFmtId="0" fontId="44" fillId="44" borderId="0" xfId="40" applyFont="1" applyFill="1" applyAlignment="1">
      <alignment horizontal="center"/>
    </xf>
    <xf numFmtId="0" fontId="44" fillId="44" borderId="0" xfId="40" applyFont="1" applyFill="1" applyAlignment="1"/>
    <xf numFmtId="0" fontId="12" fillId="44" borderId="28" xfId="40" applyFont="1" applyFill="1" applyBorder="1" applyAlignment="1" applyProtection="1">
      <alignment horizontal="center" vertical="center" wrapText="1"/>
    </xf>
    <xf numFmtId="0" fontId="12" fillId="44" borderId="31" xfId="40" applyFont="1" applyFill="1" applyBorder="1" applyAlignment="1" applyProtection="1">
      <alignment horizontal="center" vertical="center" wrapText="1"/>
    </xf>
    <xf numFmtId="0" fontId="12" fillId="44" borderId="33" xfId="40" applyFont="1" applyFill="1" applyBorder="1" applyAlignment="1" applyProtection="1">
      <alignment horizontal="center" vertical="center" wrapText="1"/>
    </xf>
    <xf numFmtId="0" fontId="68" fillId="33" borderId="29" xfId="40" applyFont="1" applyFill="1" applyBorder="1" applyAlignment="1" applyProtection="1">
      <alignment horizontal="left" vertical="center" wrapText="1" indent="1"/>
    </xf>
    <xf numFmtId="0" fontId="68" fillId="33" borderId="30" xfId="40" applyFont="1" applyFill="1" applyBorder="1" applyAlignment="1" applyProtection="1">
      <alignment horizontal="left" vertical="center" wrapText="1" indent="1"/>
    </xf>
    <xf numFmtId="0" fontId="68" fillId="33" borderId="1" xfId="40" applyFont="1" applyFill="1" applyBorder="1" applyAlignment="1" applyProtection="1">
      <alignment horizontal="left" vertical="center" wrapText="1" indent="1"/>
    </xf>
    <xf numFmtId="0" fontId="68" fillId="33" borderId="32" xfId="40" applyFont="1" applyFill="1" applyBorder="1" applyAlignment="1" applyProtection="1">
      <alignment horizontal="left" vertical="center" wrapText="1" indent="1"/>
    </xf>
    <xf numFmtId="0" fontId="68" fillId="33" borderId="34" xfId="40" applyFont="1" applyFill="1" applyBorder="1" applyAlignment="1" applyProtection="1">
      <alignment horizontal="left" vertical="center" wrapText="1" indent="1"/>
    </xf>
    <xf numFmtId="0" fontId="68" fillId="33" borderId="35" xfId="40" applyFont="1" applyFill="1" applyBorder="1" applyAlignment="1" applyProtection="1">
      <alignment horizontal="left" vertical="center" wrapText="1" indent="1"/>
    </xf>
    <xf numFmtId="0" fontId="63" fillId="40" borderId="3" xfId="40" applyFont="1" applyFill="1" applyBorder="1" applyAlignment="1" applyProtection="1">
      <alignment horizontal="center" vertical="center" wrapText="1"/>
    </xf>
    <xf numFmtId="0" fontId="63" fillId="40" borderId="4" xfId="40" applyFont="1" applyFill="1" applyBorder="1" applyAlignment="1" applyProtection="1">
      <alignment horizontal="center" vertical="center" wrapText="1"/>
    </xf>
    <xf numFmtId="0" fontId="63" fillId="40" borderId="5" xfId="40" applyFont="1" applyFill="1" applyBorder="1" applyAlignment="1" applyProtection="1">
      <alignment horizontal="center" vertical="center" wrapText="1"/>
    </xf>
    <xf numFmtId="0" fontId="63" fillId="40" borderId="8" xfId="40" applyFont="1" applyFill="1" applyBorder="1" applyAlignment="1" applyProtection="1">
      <alignment horizontal="center" vertical="center" wrapText="1"/>
    </xf>
    <xf numFmtId="0" fontId="63" fillId="40" borderId="9" xfId="40" applyFont="1" applyFill="1" applyBorder="1" applyAlignment="1" applyProtection="1">
      <alignment horizontal="center" vertical="center" wrapText="1"/>
    </xf>
    <xf numFmtId="0" fontId="63" fillId="40" borderId="10" xfId="40" applyFont="1" applyFill="1" applyBorder="1" applyAlignment="1" applyProtection="1">
      <alignment horizontal="center" vertical="center" wrapText="1"/>
    </xf>
    <xf numFmtId="0" fontId="68" fillId="33" borderId="3" xfId="40" applyFont="1" applyFill="1" applyBorder="1" applyAlignment="1" applyProtection="1">
      <alignment horizontal="center" vertical="center" wrapText="1"/>
    </xf>
    <xf numFmtId="0" fontId="68" fillId="33" borderId="4" xfId="40" applyFont="1" applyFill="1" applyBorder="1" applyAlignment="1" applyProtection="1">
      <alignment horizontal="center" vertical="center" wrapText="1"/>
    </xf>
    <xf numFmtId="0" fontId="68" fillId="33" borderId="5" xfId="40" applyFont="1" applyFill="1" applyBorder="1" applyAlignment="1" applyProtection="1">
      <alignment horizontal="center" vertical="center" wrapText="1"/>
    </xf>
    <xf numFmtId="0" fontId="68" fillId="33" borderId="6" xfId="40" applyFont="1" applyFill="1" applyBorder="1" applyAlignment="1" applyProtection="1">
      <alignment horizontal="center" vertical="center" wrapText="1"/>
    </xf>
    <xf numFmtId="0" fontId="68" fillId="33" borderId="0" xfId="40" applyFont="1" applyFill="1" applyBorder="1" applyAlignment="1" applyProtection="1">
      <alignment horizontal="center" vertical="center" wrapText="1"/>
    </xf>
    <xf numFmtId="0" fontId="68" fillId="33" borderId="7" xfId="40" applyFont="1" applyFill="1" applyBorder="1" applyAlignment="1" applyProtection="1">
      <alignment horizontal="center" vertical="center" wrapText="1"/>
    </xf>
    <xf numFmtId="0" fontId="68" fillId="33" borderId="8" xfId="40" applyFont="1" applyFill="1" applyBorder="1" applyAlignment="1" applyProtection="1">
      <alignment horizontal="center" vertical="center" wrapText="1"/>
    </xf>
    <xf numFmtId="0" fontId="68" fillId="33" borderId="9" xfId="40" applyFont="1" applyFill="1" applyBorder="1" applyAlignment="1" applyProtection="1">
      <alignment horizontal="center" vertical="center" wrapText="1"/>
    </xf>
    <xf numFmtId="0" fontId="68" fillId="33" borderId="10" xfId="40" applyFont="1" applyFill="1" applyBorder="1" applyAlignment="1" applyProtection="1">
      <alignment horizontal="center" vertical="center" wrapText="1"/>
    </xf>
    <xf numFmtId="0" fontId="12" fillId="40" borderId="29" xfId="40" applyFont="1" applyFill="1" applyBorder="1" applyAlignment="1" applyProtection="1">
      <alignment horizontal="left" indent="1"/>
    </xf>
    <xf numFmtId="0" fontId="12" fillId="40" borderId="30" xfId="40" applyFont="1" applyFill="1" applyBorder="1" applyAlignment="1" applyProtection="1">
      <alignment horizontal="left" indent="1"/>
    </xf>
    <xf numFmtId="3" fontId="57" fillId="44" borderId="31" xfId="40" applyNumberFormat="1" applyFont="1" applyFill="1" applyBorder="1" applyAlignment="1" applyProtection="1">
      <alignment horizontal="center" vertical="center" wrapText="1"/>
    </xf>
    <xf numFmtId="3" fontId="66" fillId="33" borderId="1" xfId="40" applyNumberFormat="1" applyFont="1" applyFill="1" applyBorder="1" applyAlignment="1" applyProtection="1">
      <alignment horizontal="left" vertical="center" wrapText="1" indent="1"/>
    </xf>
    <xf numFmtId="3" fontId="66" fillId="33" borderId="32" xfId="40" applyNumberFormat="1" applyFont="1" applyFill="1" applyBorder="1" applyAlignment="1" applyProtection="1">
      <alignment horizontal="left" vertical="center" wrapText="1" indent="1"/>
    </xf>
    <xf numFmtId="3" fontId="12" fillId="44" borderId="31" xfId="40" applyNumberFormat="1" applyFont="1" applyFill="1" applyBorder="1" applyAlignment="1" applyProtection="1">
      <alignment horizontal="center" vertical="center" wrapText="1"/>
    </xf>
    <xf numFmtId="3" fontId="12" fillId="44" borderId="33" xfId="40" applyNumberFormat="1" applyFont="1" applyFill="1" applyBorder="1" applyAlignment="1" applyProtection="1">
      <alignment horizontal="center" vertical="center" wrapText="1"/>
    </xf>
    <xf numFmtId="3" fontId="67" fillId="33" borderId="1" xfId="40" applyNumberFormat="1" applyFont="1" applyFill="1" applyBorder="1" applyAlignment="1" applyProtection="1">
      <alignment horizontal="left" vertical="center" wrapText="1" indent="1"/>
    </xf>
    <xf numFmtId="3" fontId="67" fillId="33" borderId="32" xfId="40" applyNumberFormat="1" applyFont="1" applyFill="1" applyBorder="1" applyAlignment="1" applyProtection="1">
      <alignment horizontal="left" vertical="center" wrapText="1" indent="1"/>
    </xf>
    <xf numFmtId="3" fontId="67" fillId="33" borderId="34" xfId="40" applyNumberFormat="1" applyFont="1" applyFill="1" applyBorder="1" applyAlignment="1" applyProtection="1">
      <alignment horizontal="left" vertical="center" wrapText="1" indent="1"/>
    </xf>
    <xf numFmtId="3" fontId="67" fillId="33" borderId="35" xfId="40" applyNumberFormat="1" applyFont="1" applyFill="1" applyBorder="1" applyAlignment="1" applyProtection="1">
      <alignment horizontal="left" vertical="center" wrapText="1" indent="1"/>
    </xf>
    <xf numFmtId="0" fontId="12" fillId="38" borderId="0" xfId="40" applyFont="1" applyFill="1" applyAlignment="1" applyProtection="1">
      <alignment horizontal="center"/>
    </xf>
    <xf numFmtId="0" fontId="12" fillId="44" borderId="0" xfId="40" applyFont="1" applyFill="1" applyAlignment="1" applyProtection="1"/>
    <xf numFmtId="3" fontId="12" fillId="38" borderId="0" xfId="40" applyNumberFormat="1" applyFont="1" applyFill="1" applyAlignment="1" applyProtection="1">
      <alignment horizontal="center"/>
    </xf>
    <xf numFmtId="0" fontId="44" fillId="44" borderId="0" xfId="0" applyFont="1" applyFill="1" applyAlignment="1" applyProtection="1">
      <alignment horizontal="center"/>
    </xf>
    <xf numFmtId="3" fontId="12" fillId="38" borderId="0" xfId="0" applyNumberFormat="1" applyFont="1" applyFill="1" applyAlignment="1" applyProtection="1">
      <alignment horizontal="center" vertical="center" wrapText="1"/>
    </xf>
    <xf numFmtId="0" fontId="44" fillId="44" borderId="0" xfId="0" applyFont="1" applyFill="1" applyAlignment="1" applyProtection="1"/>
    <xf numFmtId="0" fontId="0" fillId="0" borderId="0" xfId="0" applyAlignment="1" applyProtection="1">
      <alignment vertical="top" wrapText="1"/>
    </xf>
    <xf numFmtId="0" fontId="12" fillId="44" borderId="0" xfId="0" applyFont="1" applyFill="1" applyAlignment="1"/>
    <xf numFmtId="0" fontId="12" fillId="38" borderId="0" xfId="0" applyFont="1" applyFill="1" applyAlignment="1">
      <alignment horizontal="center"/>
    </xf>
    <xf numFmtId="0" fontId="49" fillId="33" borderId="0" xfId="0" applyFont="1" applyFill="1" applyAlignment="1">
      <alignment horizontal="left" vertical="center" wrapText="1" indent="2"/>
    </xf>
    <xf numFmtId="0" fontId="12" fillId="44" borderId="0" xfId="0" applyFont="1" applyFill="1"/>
    <xf numFmtId="0" fontId="31" fillId="33" borderId="0" xfId="0" applyFont="1" applyFill="1" applyAlignment="1">
      <alignment horizontal="left" vertical="center" wrapText="1" indent="2"/>
    </xf>
    <xf numFmtId="0" fontId="49" fillId="33" borderId="0" xfId="0" applyFont="1" applyFill="1" applyAlignment="1">
      <alignment horizontal="left" vertical="center" wrapText="1" indent="1"/>
    </xf>
    <xf numFmtId="3" fontId="23" fillId="0" borderId="0" xfId="0" applyNumberFormat="1" applyFont="1" applyAlignment="1">
      <alignment horizontal="center" vertical="center" wrapText="1"/>
    </xf>
    <xf numFmtId="3" fontId="12" fillId="44" borderId="0" xfId="0" applyNumberFormat="1" applyFont="1" applyFill="1" applyProtection="1"/>
    <xf numFmtId="3" fontId="12" fillId="35" borderId="0" xfId="0" applyNumberFormat="1" applyFont="1" applyFill="1" applyAlignment="1" applyProtection="1">
      <alignment horizontal="center"/>
    </xf>
    <xf numFmtId="3" fontId="12" fillId="36" borderId="0" xfId="0" applyNumberFormat="1" applyFont="1" applyFill="1" applyAlignment="1" applyProtection="1">
      <alignment horizontal="center"/>
    </xf>
    <xf numFmtId="0" fontId="12" fillId="0" borderId="0" xfId="0" applyFont="1" applyFill="1" applyBorder="1" applyAlignment="1" applyProtection="1">
      <alignment horizontal="left" indent="1"/>
    </xf>
    <xf numFmtId="0" fontId="12" fillId="0" borderId="0" xfId="0" applyFont="1" applyFill="1" applyAlignment="1" applyProtection="1">
      <alignment horizontal="left" indent="1"/>
    </xf>
    <xf numFmtId="3" fontId="23" fillId="45" borderId="0" xfId="0" applyNumberFormat="1" applyFont="1" applyFill="1" applyBorder="1" applyAlignment="1" applyProtection="1">
      <alignment horizontal="left" indent="1"/>
    </xf>
    <xf numFmtId="3" fontId="23" fillId="45" borderId="0" xfId="0" applyNumberFormat="1" applyFont="1" applyFill="1" applyAlignment="1" applyProtection="1">
      <alignment horizontal="left" indent="1"/>
    </xf>
    <xf numFmtId="3" fontId="23" fillId="45" borderId="18" xfId="0" applyNumberFormat="1" applyFont="1" applyFill="1" applyBorder="1" applyAlignment="1" applyProtection="1">
      <alignment horizontal="left" indent="1"/>
    </xf>
    <xf numFmtId="0" fontId="12" fillId="36" borderId="0" xfId="0" applyFont="1" applyFill="1" applyAlignment="1">
      <alignment horizontal="center"/>
    </xf>
    <xf numFmtId="3" fontId="23" fillId="0" borderId="0" xfId="0" applyNumberFormat="1" applyFont="1" applyAlignment="1" applyProtection="1">
      <alignment horizontal="center" vertical="center" wrapText="1"/>
    </xf>
    <xf numFmtId="0" fontId="10" fillId="0" borderId="0" xfId="0" applyFont="1" applyFill="1" applyBorder="1" applyAlignment="1" applyProtection="1">
      <alignment horizontal="left" indent="1"/>
    </xf>
    <xf numFmtId="3" fontId="10" fillId="0" borderId="0" xfId="0" applyNumberFormat="1" applyFont="1" applyFill="1" applyBorder="1" applyAlignment="1" applyProtection="1">
      <alignment horizontal="left" indent="1"/>
    </xf>
    <xf numFmtId="3" fontId="63" fillId="40" borderId="0" xfId="0" applyNumberFormat="1" applyFont="1" applyFill="1" applyAlignment="1" applyProtection="1">
      <alignment vertical="center" wrapText="1"/>
    </xf>
    <xf numFmtId="3" fontId="10" fillId="0" borderId="0"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center"/>
    </xf>
    <xf numFmtId="3" fontId="10" fillId="0" borderId="0" xfId="0" applyNumberFormat="1" applyFont="1" applyFill="1" applyBorder="1" applyAlignment="1" applyProtection="1">
      <alignment horizontal="center"/>
    </xf>
  </cellXfs>
  <cellStyles count="50">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Hipervínculo" xfId="47" builtinId="8"/>
    <cellStyle name="Hipervínculo 2" xfId="48" xr:uid="{5E4D4A67-489A-41A8-BD68-53D7266D6683}"/>
    <cellStyle name="Incorrecto" xfId="30" builtinId="27" customBuiltin="1"/>
    <cellStyle name="Neutral" xfId="31" builtinId="28" customBuiltin="1"/>
    <cellStyle name="Normal" xfId="0" builtinId="0"/>
    <cellStyle name="Normal 10" xfId="43" xr:uid="{DF8DCCA2-352C-4CB8-BDE9-B96A44EC983A}"/>
    <cellStyle name="Normal 2" xfId="42" xr:uid="{8764A502-CD83-47FB-82AC-66FB4E02706C}"/>
    <cellStyle name="Normal 2 2" xfId="45" xr:uid="{BF3876B3-3B2E-4E70-A7FE-8BB65A117D8C}"/>
    <cellStyle name="Normal 2 3" xfId="49" xr:uid="{9FACF1FB-4AFD-4CD1-B098-3F615CB12CD6}"/>
    <cellStyle name="Normal 3" xfId="46" xr:uid="{ED910FB4-DAE4-4CE3-AAC3-C25768B75FBF}"/>
    <cellStyle name="Normal 8" xfId="40" xr:uid="{E06C65F8-3D41-4B1E-BF65-879354B3C7F3}"/>
    <cellStyle name="Normal 9" xfId="41" xr:uid="{C8F0B48A-2E24-4C30-B557-5360984FD1C4}"/>
    <cellStyle name="Notas" xfId="32" builtinId="10" customBuiltin="1"/>
    <cellStyle name="Porcentaje" xfId="44" builtinId="5"/>
    <cellStyle name="Salida" xfId="33" builtinId="21" customBuiltin="1"/>
    <cellStyle name="Texto de advertencia" xfId="34" builtinId="11" customBuiltin="1"/>
    <cellStyle name="Texto explicativo" xfId="35" builtinId="53" customBuiltin="1"/>
    <cellStyle name="Título" xfId="36" builtinId="15" customBuiltin="1"/>
    <cellStyle name="Título 2" xfId="37" builtinId="17" customBuiltin="1"/>
    <cellStyle name="Título 3" xfId="38" builtinId="18" customBuiltin="1"/>
    <cellStyle name="Total" xfId="39" builtinId="25" customBuiltin="1"/>
  </cellStyles>
  <dxfs count="286">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FF0000"/>
        </patternFill>
      </fill>
    </dxf>
    <dxf>
      <font>
        <b/>
        <i val="0"/>
        <color auto="1"/>
      </font>
      <fill>
        <patternFill>
          <bgColor rgb="FFFFC000"/>
        </patternFill>
      </fill>
    </dxf>
    <dxf>
      <font>
        <b/>
        <i/>
        <color rgb="FF002060"/>
      </font>
      <fill>
        <patternFill>
          <bgColor rgb="FFFFFFCC"/>
        </patternFill>
      </fill>
    </dxf>
    <dxf>
      <font>
        <color theme="0"/>
      </font>
      <fill>
        <patternFill patternType="none">
          <bgColor auto="1"/>
        </patternFill>
      </fill>
      <border>
        <left/>
        <right/>
        <top/>
        <bottom/>
        <vertical/>
        <horizontal/>
      </border>
    </dxf>
    <dxf>
      <font>
        <b/>
        <i val="0"/>
        <color auto="1"/>
      </font>
      <fill>
        <patternFill>
          <bgColor rgb="FFFFFFCC"/>
        </patternFill>
      </fill>
      <border>
        <left/>
        <right/>
        <top/>
        <bottom/>
        <vertical/>
        <horizontal/>
      </border>
    </dxf>
    <dxf>
      <font>
        <b/>
        <i val="0"/>
        <color auto="1"/>
      </font>
      <fill>
        <patternFill>
          <bgColor rgb="FFFFFF00"/>
        </patternFill>
      </fill>
    </dxf>
    <dxf>
      <font>
        <b/>
        <i val="0"/>
      </font>
      <fill>
        <patternFill>
          <bgColor rgb="FFFFFFCC"/>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FF0000"/>
        </patternFill>
      </fill>
    </dxf>
    <dxf>
      <font>
        <b/>
        <i val="0"/>
        <color auto="1"/>
      </font>
      <fill>
        <patternFill>
          <bgColor rgb="FFFFC000"/>
        </patternFill>
      </fill>
    </dxf>
    <dxf>
      <font>
        <b/>
        <i val="0"/>
        <color theme="0"/>
      </font>
      <fill>
        <patternFill>
          <bgColor rgb="FFFF0000"/>
        </patternFill>
      </fill>
      <border>
        <left style="thin">
          <color auto="1"/>
        </left>
        <right style="thin">
          <color auto="1"/>
        </right>
        <top style="thin">
          <color auto="1"/>
        </top>
        <bottom style="thin">
          <color auto="1"/>
        </bottom>
      </border>
    </dxf>
    <dxf>
      <font>
        <b/>
        <i val="0"/>
        <color theme="0"/>
      </font>
      <fill>
        <patternFill>
          <bgColor rgb="FF00B050"/>
        </patternFill>
      </fill>
      <border>
        <left style="thin">
          <color auto="1"/>
        </left>
        <right style="thin">
          <color auto="1"/>
        </right>
        <top style="thin">
          <color auto="1"/>
        </top>
        <bottom style="thin">
          <color auto="1"/>
        </bottom>
      </border>
    </dxf>
    <dxf>
      <font>
        <b/>
        <i val="0"/>
        <color auto="1"/>
      </font>
      <fill>
        <patternFill>
          <bgColor rgb="FFFFFF00"/>
        </patternFill>
      </fill>
      <border>
        <left style="thin">
          <color auto="1"/>
        </left>
        <right style="thin">
          <color auto="1"/>
        </right>
        <top style="thin">
          <color auto="1"/>
        </top>
        <bottom style="thin">
          <color auto="1"/>
        </bottom>
      </border>
    </dxf>
    <dxf>
      <font>
        <b/>
        <i/>
        <color rgb="FF002060"/>
      </font>
      <fill>
        <patternFill>
          <bgColor rgb="FFFFFFCC"/>
        </patternFill>
      </fill>
    </dxf>
    <dxf>
      <font>
        <color theme="0"/>
      </font>
      <fill>
        <patternFill patternType="none">
          <bgColor auto="1"/>
        </patternFill>
      </fill>
      <border>
        <left/>
        <right/>
        <top/>
        <bottom/>
        <vertical/>
        <horizontal/>
      </border>
    </dxf>
    <dxf>
      <font>
        <b/>
        <i val="0"/>
        <color auto="1"/>
      </font>
      <fill>
        <patternFill>
          <bgColor rgb="FFCCFFFF"/>
        </patternFill>
      </fill>
      <border>
        <left style="thin">
          <color auto="1"/>
        </left>
        <right style="thin">
          <color auto="1"/>
        </right>
        <top style="thin">
          <color auto="1"/>
        </top>
        <bottom style="thin">
          <color auto="1"/>
        </bottom>
        <vertical/>
        <horizontal/>
      </border>
    </dxf>
    <dxf>
      <font>
        <b/>
        <i val="0"/>
        <color auto="1"/>
      </font>
      <fill>
        <patternFill>
          <bgColor rgb="FFFFFF00"/>
        </patternFill>
      </fill>
    </dxf>
    <dxf>
      <font>
        <b/>
        <i val="0"/>
        <color auto="1"/>
      </font>
      <fill>
        <patternFill>
          <bgColor rgb="FFFFFFCC"/>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color theme="0"/>
      </font>
    </dxf>
    <dxf>
      <font>
        <color theme="0"/>
      </font>
    </dxf>
    <dxf>
      <font>
        <b/>
        <i val="0"/>
        <color theme="0"/>
      </font>
      <fill>
        <patternFill>
          <bgColor rgb="FF0070C0"/>
        </patternFill>
      </fill>
    </dxf>
    <dxf>
      <font>
        <b/>
        <i val="0"/>
        <color theme="0"/>
      </font>
      <fill>
        <patternFill>
          <bgColor rgb="FF0070C0"/>
        </patternFill>
      </fill>
    </dxf>
    <dxf>
      <font>
        <b/>
        <i val="0"/>
        <color theme="0"/>
      </font>
      <fill>
        <patternFill>
          <bgColor rgb="FF0070C0"/>
        </patternFill>
      </fill>
    </dxf>
    <dxf>
      <font>
        <b/>
        <i/>
        <color theme="0"/>
      </font>
      <fill>
        <patternFill>
          <bgColor rgb="FFC00000"/>
        </patternFill>
      </fill>
    </dxf>
    <dxf>
      <font>
        <b/>
        <i/>
        <color theme="0"/>
      </font>
      <fill>
        <patternFill>
          <bgColor rgb="FFC00000"/>
        </patternFill>
      </fill>
    </dxf>
    <dxf>
      <font>
        <b/>
        <i/>
        <color theme="0"/>
      </font>
      <fill>
        <patternFill>
          <bgColor rgb="FFC00000"/>
        </patternFill>
      </fill>
    </dxf>
    <dxf>
      <font>
        <color theme="0"/>
      </font>
      <fill>
        <patternFill patternType="none">
          <bgColor auto="1"/>
        </patternFill>
      </fill>
      <border>
        <left/>
        <right/>
        <top/>
        <bottom/>
        <vertical/>
        <horizontal/>
      </border>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0070C0"/>
        </patternFill>
      </fill>
    </dxf>
    <dxf>
      <font>
        <b/>
        <i val="0"/>
        <color theme="0"/>
      </font>
      <fill>
        <patternFill>
          <bgColor rgb="FF0070C0"/>
        </patternFill>
      </fill>
    </dxf>
    <dxf>
      <font>
        <b/>
        <i val="0"/>
        <color theme="0"/>
      </font>
      <fill>
        <patternFill>
          <bgColor rgb="FF0070C0"/>
        </patternFill>
      </fill>
    </dxf>
    <dxf>
      <font>
        <b/>
        <i/>
        <color theme="0"/>
      </font>
      <fill>
        <patternFill>
          <bgColor rgb="FFC00000"/>
        </patternFill>
      </fill>
    </dxf>
    <dxf>
      <font>
        <b/>
        <i/>
        <color theme="0"/>
      </font>
      <fill>
        <patternFill>
          <bgColor rgb="FFC00000"/>
        </patternFill>
      </fill>
    </dxf>
    <dxf>
      <font>
        <b/>
        <i/>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C00000"/>
        </patternFill>
      </fill>
    </dxf>
    <dxf>
      <font>
        <color theme="0"/>
      </font>
    </dxf>
    <dxf>
      <font>
        <b/>
        <i/>
        <color theme="0"/>
      </font>
      <fill>
        <patternFill>
          <bgColor rgb="FFC00000"/>
        </patternFill>
      </fill>
    </dxf>
    <dxf>
      <font>
        <b/>
        <i/>
        <color theme="0"/>
      </font>
      <fill>
        <patternFill>
          <bgColor rgb="FFC00000"/>
        </patternFill>
      </fill>
    </dxf>
    <dxf>
      <font>
        <b/>
        <i val="0"/>
        <color theme="0"/>
      </font>
      <fill>
        <patternFill>
          <bgColor rgb="FF0070C0"/>
        </patternFill>
      </fill>
    </dxf>
    <dxf>
      <font>
        <b/>
        <i val="0"/>
        <color theme="0"/>
      </font>
      <fill>
        <patternFill>
          <bgColor rgb="FF0070C0"/>
        </patternFill>
      </fill>
    </dxf>
    <dxf>
      <font>
        <b/>
        <i val="0"/>
        <color theme="0"/>
      </font>
      <fill>
        <patternFill>
          <bgColor rgb="FF0070C0"/>
        </patternFill>
      </fill>
    </dxf>
    <dxf>
      <font>
        <b/>
        <i/>
        <color theme="0"/>
      </font>
      <fill>
        <patternFill>
          <bgColor rgb="FFC00000"/>
        </patternFill>
      </fill>
    </dxf>
    <dxf>
      <font>
        <color theme="0"/>
      </font>
      <fill>
        <patternFill patternType="none">
          <bgColor auto="1"/>
        </patternFill>
      </fill>
      <border>
        <left/>
        <right/>
        <top/>
        <bottom/>
        <vertical/>
        <horizontal/>
      </border>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color theme="0"/>
      </font>
      <fill>
        <patternFill>
          <bgColor rgb="FF0070C0"/>
        </patternFill>
      </fill>
    </dxf>
    <dxf>
      <font>
        <b/>
        <i/>
        <color theme="0"/>
      </font>
      <fill>
        <patternFill>
          <bgColor rgb="FF0070C0"/>
        </patternFill>
      </fill>
    </dxf>
    <dxf>
      <font>
        <b/>
        <i val="0"/>
        <color theme="0"/>
      </font>
      <fill>
        <patternFill>
          <bgColor rgb="FF0070C0"/>
        </patternFill>
      </fill>
    </dxf>
    <dxf>
      <font>
        <b/>
        <i/>
        <color theme="0"/>
      </font>
      <fill>
        <patternFill>
          <bgColor rgb="FFC00000"/>
        </patternFill>
      </fill>
    </dxf>
    <dxf>
      <font>
        <b/>
        <i/>
        <color theme="0"/>
      </font>
      <fill>
        <patternFill>
          <bgColor rgb="FFC00000"/>
        </patternFill>
      </fill>
    </dxf>
    <dxf>
      <font>
        <b/>
        <i/>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b/>
        <i val="0"/>
        <color theme="0"/>
      </font>
      <fill>
        <patternFill>
          <bgColor rgb="FFFFCCFF"/>
        </patternFill>
      </fill>
    </dxf>
    <dxf>
      <font>
        <b/>
        <i val="0"/>
        <color theme="0"/>
      </font>
      <fill>
        <patternFill>
          <bgColor rgb="FFFF0000"/>
        </patternFill>
      </fill>
    </dxf>
    <dxf>
      <font>
        <b/>
        <i val="0"/>
        <color theme="0"/>
      </font>
      <fill>
        <patternFill>
          <bgColor rgb="FF00B050"/>
        </patternFill>
      </fill>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b/>
        <i val="0"/>
        <color theme="0"/>
      </font>
      <fill>
        <patternFill>
          <bgColor rgb="FFC0000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rgb="FF00206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auto="1"/>
      </font>
    </dxf>
    <dxf>
      <font>
        <color theme="0"/>
      </font>
      <fill>
        <patternFill patternType="none">
          <bgColor indexed="65"/>
        </patternFill>
      </fill>
      <border>
        <left/>
        <right/>
        <top/>
        <bottom/>
      </border>
    </dxf>
    <dxf>
      <font>
        <b/>
        <i val="0"/>
        <color theme="0"/>
      </font>
      <fill>
        <patternFill>
          <bgColor rgb="FFFF000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b/>
        <i val="0"/>
        <color theme="0"/>
      </font>
      <fill>
        <patternFill>
          <bgColor rgb="FFC0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00B05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dxf>
    <dxf>
      <font>
        <color theme="0"/>
      </font>
      <fill>
        <patternFill patternType="none">
          <bgColor indexed="65"/>
        </patternFill>
      </fill>
      <border>
        <left/>
        <right/>
        <top/>
        <bottom/>
      </border>
    </dxf>
    <dxf>
      <fill>
        <patternFill>
          <bgColor rgb="FFCCFFFF"/>
        </patternFill>
      </fill>
      <border>
        <left style="thin">
          <color indexed="64"/>
        </left>
        <right style="thin">
          <color indexed="64"/>
        </right>
      </border>
    </dxf>
    <dxf>
      <font>
        <color theme="0"/>
      </font>
      <fill>
        <patternFill>
          <bgColor rgb="FF0070C0"/>
        </patternFill>
      </fill>
    </dxf>
    <dxf>
      <font>
        <b/>
        <i val="0"/>
        <color theme="0"/>
      </font>
      <fill>
        <patternFill>
          <bgColor rgb="FF00B050"/>
        </patternFill>
      </fill>
    </dxf>
    <dxf>
      <font>
        <color theme="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rgb="FFFF0000"/>
      </font>
    </dxf>
    <dxf>
      <font>
        <color rgb="FF00B05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FF0000"/>
      </font>
    </dxf>
    <dxf>
      <font>
        <color rgb="FFFF0000"/>
      </font>
    </dxf>
    <dxf>
      <font>
        <color rgb="FFFF0000"/>
      </font>
    </dxf>
    <dxf>
      <font>
        <color rgb="FFFF0000"/>
      </font>
    </dxf>
    <dxf>
      <font>
        <color theme="0"/>
      </font>
      <fill>
        <patternFill patternType="none">
          <bgColor indexed="65"/>
        </patternFill>
      </fill>
      <border>
        <left/>
        <right/>
        <top/>
        <bottom/>
      </border>
    </dxf>
    <dxf>
      <font>
        <b/>
        <i val="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theme="0"/>
      </font>
      <fill>
        <patternFill>
          <bgColor rgb="FFC00000"/>
        </patternFill>
      </fill>
    </dxf>
    <dxf>
      <font>
        <color theme="0"/>
      </font>
      <fill>
        <patternFill patternType="none">
          <bgColor indexed="65"/>
        </patternFill>
      </fill>
      <border>
        <left/>
        <right/>
        <top/>
        <bottom/>
      </border>
    </dxf>
    <dxf>
      <font>
        <color theme="0"/>
      </font>
      <fill>
        <patternFill patternType="none">
          <bgColor indexed="65"/>
        </patternFill>
      </fill>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00B050"/>
        </patternFill>
      </fill>
    </dxf>
    <dxf>
      <font>
        <color theme="0"/>
      </font>
      <fill>
        <patternFill patternType="none">
          <bgColor indexed="65"/>
        </patternFill>
      </fill>
      <border>
        <left/>
        <right/>
        <top/>
        <bottom/>
      </border>
    </dxf>
    <dxf>
      <font>
        <b/>
        <i val="0"/>
        <color theme="0"/>
      </font>
      <fill>
        <patternFill>
          <bgColor rgb="FFC0000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FF000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FF0000"/>
      </font>
    </dxf>
    <dxf>
      <font>
        <color rgb="FF005C2A"/>
        <name val="Cambria"/>
        <scheme val="none"/>
      </font>
    </dxf>
    <dxf>
      <font>
        <color theme="0"/>
      </font>
      <fill>
        <patternFill patternType="none">
          <bgColor indexed="65"/>
        </patternFill>
      </fill>
      <border>
        <left/>
        <right/>
        <top/>
        <bottom/>
      </border>
    </dxf>
    <dxf>
      <font>
        <color rgb="FF00602B"/>
        <name val="Cambria"/>
        <scheme val="none"/>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00B050"/>
      </font>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FF99FF"/>
        </patternFill>
      </fill>
    </dxf>
    <dxf>
      <font>
        <b/>
        <i val="0"/>
        <color theme="0"/>
      </font>
      <fill>
        <patternFill>
          <bgColor rgb="FF00B050"/>
        </patternFill>
      </fill>
    </dxf>
    <dxf>
      <font>
        <b/>
        <i val="0"/>
        <color theme="0"/>
      </font>
      <fill>
        <patternFill>
          <bgColor rgb="FFC00000"/>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color theme="0"/>
      </font>
      <fill>
        <patternFill>
          <bgColor rgb="FFFF0000"/>
        </patternFill>
      </fill>
    </dxf>
    <dxf>
      <font>
        <b/>
        <i val="0"/>
        <color theme="0"/>
      </font>
      <fill>
        <patternFill>
          <bgColor rgb="FFFF99FF"/>
        </patternFill>
      </fill>
    </dxf>
    <dxf>
      <font>
        <b/>
        <i val="0"/>
        <color theme="0"/>
      </font>
      <fill>
        <patternFill>
          <bgColor rgb="FF00B050"/>
        </patternFill>
      </fill>
    </dxf>
    <dxf>
      <font>
        <b/>
        <i val="0"/>
        <color theme="0"/>
      </font>
      <fill>
        <patternFill>
          <bgColor rgb="FFC00000"/>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fill>
        <patternFill patternType="none">
          <bgColor indexed="65"/>
        </patternFill>
      </fill>
      <border>
        <left/>
        <right/>
        <top/>
        <bottom/>
      </border>
    </dxf>
    <dxf>
      <font>
        <color theme="0"/>
      </font>
    </dxf>
    <dxf>
      <font>
        <color theme="0"/>
      </font>
      <fill>
        <patternFill patternType="none">
          <bgColor indexed="65"/>
        </patternFill>
      </fill>
      <border>
        <left/>
        <right/>
        <top/>
        <bottom/>
      </border>
    </dxf>
    <dxf>
      <font>
        <color theme="0"/>
      </font>
    </dxf>
    <dxf>
      <font>
        <color theme="0"/>
      </font>
      <fill>
        <patternFill patternType="none">
          <bgColor indexed="65"/>
        </patternFill>
      </fill>
      <border>
        <left/>
        <right/>
        <top/>
        <bottom/>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fill>
        <patternFill patternType="none">
          <bgColor auto="1"/>
        </patternFill>
      </fill>
      <border>
        <left/>
        <right/>
        <top/>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FFCCFF"/>
      <color rgb="FFFFFFCC"/>
      <color rgb="FFFF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7.wmf"/><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wmf"/><Relationship Id="rId2" Type="http://schemas.openxmlformats.org/officeDocument/2006/relationships/image" Target="../media/image13.wmf"/><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5" Type="http://schemas.openxmlformats.org/officeDocument/2006/relationships/image" Target="../media/image5.wmf"/><Relationship Id="rId4" Type="http://schemas.openxmlformats.org/officeDocument/2006/relationships/image" Target="../media/image4.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3.wmf"/><Relationship Id="rId7" Type="http://schemas.openxmlformats.org/officeDocument/2006/relationships/image" Target="../media/image9.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8.wmf"/><Relationship Id="rId5" Type="http://schemas.openxmlformats.org/officeDocument/2006/relationships/image" Target="../media/image5.wmf"/><Relationship Id="rId10" Type="http://schemas.openxmlformats.org/officeDocument/2006/relationships/image" Target="../media/image12.wmf"/><Relationship Id="rId4" Type="http://schemas.openxmlformats.org/officeDocument/2006/relationships/image" Target="../media/image4.wmf"/><Relationship Id="rId9"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4</xdr:col>
      <xdr:colOff>476250</xdr:colOff>
      <xdr:row>9</xdr:row>
      <xdr:rowOff>19050</xdr:rowOff>
    </xdr:from>
    <xdr:to>
      <xdr:col>8</xdr:col>
      <xdr:colOff>676275</xdr:colOff>
      <xdr:row>19</xdr:row>
      <xdr:rowOff>0</xdr:rowOff>
    </xdr:to>
    <xdr:grpSp>
      <xdr:nvGrpSpPr>
        <xdr:cNvPr id="2" name="Group 1">
          <a:extLst>
            <a:ext uri="{FF2B5EF4-FFF2-40B4-BE49-F238E27FC236}">
              <a16:creationId xmlns:a16="http://schemas.microsoft.com/office/drawing/2014/main" id="{00000000-0008-0000-0400-000002000000}"/>
            </a:ext>
          </a:extLst>
        </xdr:cNvPr>
        <xdr:cNvGrpSpPr>
          <a:grpSpLocks noChangeAspect="1"/>
        </xdr:cNvGrpSpPr>
      </xdr:nvGrpSpPr>
      <xdr:grpSpPr bwMode="auto">
        <a:xfrm>
          <a:off x="1816100" y="2165350"/>
          <a:ext cx="3400425" cy="1822450"/>
          <a:chOff x="0" y="0"/>
          <a:chExt cx="5609" cy="2955"/>
        </a:xfrm>
      </xdr:grpSpPr>
      <xdr:sp macro="" textlink="">
        <xdr:nvSpPr>
          <xdr:cNvPr id="3" name="AutoShape 25">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0" y="0"/>
            <a:ext cx="5609" cy="2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4" name="Group 13">
            <a:extLst>
              <a:ext uri="{FF2B5EF4-FFF2-40B4-BE49-F238E27FC236}">
                <a16:creationId xmlns:a16="http://schemas.microsoft.com/office/drawing/2014/main" id="{00000000-0008-0000-0400-000004000000}"/>
              </a:ext>
            </a:extLst>
          </xdr:cNvPr>
          <xdr:cNvGrpSpPr>
            <a:grpSpLocks/>
          </xdr:cNvGrpSpPr>
        </xdr:nvGrpSpPr>
        <xdr:grpSpPr bwMode="auto">
          <a:xfrm>
            <a:off x="679" y="714"/>
            <a:ext cx="4716" cy="1158"/>
            <a:chOff x="679" y="699"/>
            <a:chExt cx="4716" cy="1158"/>
          </a:xfrm>
        </xdr:grpSpPr>
        <xdr:sp macro="" textlink="">
          <xdr:nvSpPr>
            <xdr:cNvPr id="16" name="Line 24">
              <a:extLst>
                <a:ext uri="{FF2B5EF4-FFF2-40B4-BE49-F238E27FC236}">
                  <a16:creationId xmlns:a16="http://schemas.microsoft.com/office/drawing/2014/main" id="{00000000-0008-0000-0400-000010000000}"/>
                </a:ext>
              </a:extLst>
            </xdr:cNvPr>
            <xdr:cNvSpPr>
              <a:spLocks noChangeShapeType="1"/>
            </xdr:cNvSpPr>
          </xdr:nvSpPr>
          <xdr:spPr bwMode="auto">
            <a:xfrm>
              <a:off x="759" y="1298"/>
              <a:ext cx="2918" cy="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Freeform 23">
              <a:extLst>
                <a:ext uri="{FF2B5EF4-FFF2-40B4-BE49-F238E27FC236}">
                  <a16:creationId xmlns:a16="http://schemas.microsoft.com/office/drawing/2014/main" id="{00000000-0008-0000-0400-000011000000}"/>
                </a:ext>
              </a:extLst>
            </xdr:cNvPr>
            <xdr:cNvSpPr>
              <a:spLocks/>
            </xdr:cNvSpPr>
          </xdr:nvSpPr>
          <xdr:spPr bwMode="auto">
            <a:xfrm>
              <a:off x="679" y="1637"/>
              <a:ext cx="180" cy="220"/>
            </a:xfrm>
            <a:custGeom>
              <a:avLst/>
              <a:gdLst>
                <a:gd name="T0" fmla="*/ 2147483647 w 9"/>
                <a:gd name="T1" fmla="*/ 2147483647 h 11"/>
                <a:gd name="T2" fmla="*/ 2147483647 w 9"/>
                <a:gd name="T3" fmla="*/ 2147483647 h 11"/>
                <a:gd name="T4" fmla="*/ 0 w 9"/>
                <a:gd name="T5" fmla="*/ 2147483647 h 11"/>
                <a:gd name="T6" fmla="*/ 2147483647 w 9"/>
                <a:gd name="T7" fmla="*/ 2147483647 h 11"/>
                <a:gd name="T8" fmla="*/ 2147483647 w 9"/>
                <a:gd name="T9" fmla="*/ 2147483647 h 11"/>
                <a:gd name="T10" fmla="*/ 0 60000 65536"/>
                <a:gd name="T11" fmla="*/ 0 60000 65536"/>
                <a:gd name="T12" fmla="*/ 0 60000 65536"/>
                <a:gd name="T13" fmla="*/ 0 60000 65536"/>
                <a:gd name="T14" fmla="*/ 0 60000 65536"/>
                <a:gd name="T15" fmla="*/ 0 w 9"/>
                <a:gd name="T16" fmla="*/ 0 h 11"/>
                <a:gd name="T17" fmla="*/ 9 w 9"/>
                <a:gd name="T18" fmla="*/ 11 h 11"/>
              </a:gdLst>
              <a:ahLst/>
              <a:cxnLst>
                <a:cxn ang="T10">
                  <a:pos x="T0" y="T1"/>
                </a:cxn>
                <a:cxn ang="T11">
                  <a:pos x="T2" y="T3"/>
                </a:cxn>
                <a:cxn ang="T12">
                  <a:pos x="T4" y="T5"/>
                </a:cxn>
                <a:cxn ang="T13">
                  <a:pos x="T6" y="T7"/>
                </a:cxn>
                <a:cxn ang="T14">
                  <a:pos x="T8" y="T9"/>
                </a:cxn>
              </a:cxnLst>
              <a:rect l="T15" t="T16" r="T17" b="T18"/>
              <a:pathLst>
                <a:path w="9" h="11">
                  <a:moveTo>
                    <a:pt x="9" y="1"/>
                  </a:moveTo>
                  <a:cubicBezTo>
                    <a:pt x="7" y="1"/>
                    <a:pt x="6" y="1"/>
                    <a:pt x="5" y="1"/>
                  </a:cubicBezTo>
                  <a:cubicBezTo>
                    <a:pt x="3" y="0"/>
                    <a:pt x="2" y="1"/>
                    <a:pt x="0" y="1"/>
                  </a:cubicBezTo>
                  <a:lnTo>
                    <a:pt x="5" y="11"/>
                  </a:lnTo>
                  <a:lnTo>
                    <a:pt x="9" y="1"/>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18" name="Line 22">
              <a:extLst>
                <a:ext uri="{FF2B5EF4-FFF2-40B4-BE49-F238E27FC236}">
                  <a16:creationId xmlns:a16="http://schemas.microsoft.com/office/drawing/2014/main" id="{00000000-0008-0000-0400-000012000000}"/>
                </a:ext>
              </a:extLst>
            </xdr:cNvPr>
            <xdr:cNvSpPr>
              <a:spLocks noChangeShapeType="1"/>
            </xdr:cNvSpPr>
          </xdr:nvSpPr>
          <xdr:spPr bwMode="auto">
            <a:xfrm>
              <a:off x="759" y="1298"/>
              <a:ext cx="1" cy="399"/>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19" name="Freeform 21">
              <a:extLst>
                <a:ext uri="{FF2B5EF4-FFF2-40B4-BE49-F238E27FC236}">
                  <a16:creationId xmlns:a16="http://schemas.microsoft.com/office/drawing/2014/main" id="{00000000-0008-0000-0400-000013000000}"/>
                </a:ext>
              </a:extLst>
            </xdr:cNvPr>
            <xdr:cNvSpPr>
              <a:spLocks/>
            </xdr:cNvSpPr>
          </xdr:nvSpPr>
          <xdr:spPr bwMode="auto">
            <a:xfrm>
              <a:off x="1818" y="719"/>
              <a:ext cx="180" cy="199"/>
            </a:xfrm>
            <a:custGeom>
              <a:avLst/>
              <a:gdLst>
                <a:gd name="T0" fmla="*/ 0 w 9"/>
                <a:gd name="T1" fmla="*/ 2147483647 h 10"/>
                <a:gd name="T2" fmla="*/ 2147483647 w 9"/>
                <a:gd name="T3" fmla="*/ 2147483647 h 10"/>
                <a:gd name="T4" fmla="*/ 2147483647 w 9"/>
                <a:gd name="T5" fmla="*/ 2147483647 h 10"/>
                <a:gd name="T6" fmla="*/ 2147483647 w 9"/>
                <a:gd name="T7" fmla="*/ 0 h 10"/>
                <a:gd name="T8" fmla="*/ 0 w 9"/>
                <a:gd name="T9" fmla="*/ 2147483647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0" y="9"/>
                  </a:moveTo>
                  <a:cubicBezTo>
                    <a:pt x="2" y="9"/>
                    <a:pt x="3" y="10"/>
                    <a:pt x="5" y="10"/>
                  </a:cubicBezTo>
                  <a:cubicBezTo>
                    <a:pt x="6" y="9"/>
                    <a:pt x="7" y="9"/>
                    <a:pt x="9" y="9"/>
                  </a:cubicBezTo>
                  <a:lnTo>
                    <a:pt x="5" y="0"/>
                  </a:lnTo>
                  <a:lnTo>
                    <a:pt x="0"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20" name="Line 20">
              <a:extLst>
                <a:ext uri="{FF2B5EF4-FFF2-40B4-BE49-F238E27FC236}">
                  <a16:creationId xmlns:a16="http://schemas.microsoft.com/office/drawing/2014/main" id="{00000000-0008-0000-0400-000014000000}"/>
                </a:ext>
              </a:extLst>
            </xdr:cNvPr>
            <xdr:cNvSpPr>
              <a:spLocks noChangeShapeType="1"/>
            </xdr:cNvSpPr>
          </xdr:nvSpPr>
          <xdr:spPr bwMode="auto">
            <a:xfrm flipV="1">
              <a:off x="1898" y="879"/>
              <a:ext cx="1" cy="419"/>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1" name="Freeform 19">
              <a:extLst>
                <a:ext uri="{FF2B5EF4-FFF2-40B4-BE49-F238E27FC236}">
                  <a16:creationId xmlns:a16="http://schemas.microsoft.com/office/drawing/2014/main" id="{00000000-0008-0000-0400-000015000000}"/>
                </a:ext>
              </a:extLst>
            </xdr:cNvPr>
            <xdr:cNvSpPr>
              <a:spLocks/>
            </xdr:cNvSpPr>
          </xdr:nvSpPr>
          <xdr:spPr bwMode="auto">
            <a:xfrm>
              <a:off x="2957" y="699"/>
              <a:ext cx="180" cy="199"/>
            </a:xfrm>
            <a:custGeom>
              <a:avLst/>
              <a:gdLst>
                <a:gd name="T0" fmla="*/ 0 w 9"/>
                <a:gd name="T1" fmla="*/ 2147483647 h 10"/>
                <a:gd name="T2" fmla="*/ 2147483647 w 9"/>
                <a:gd name="T3" fmla="*/ 2147483647 h 10"/>
                <a:gd name="T4" fmla="*/ 2147483647 w 9"/>
                <a:gd name="T5" fmla="*/ 2147483647 h 10"/>
                <a:gd name="T6" fmla="*/ 2147483647 w 9"/>
                <a:gd name="T7" fmla="*/ 0 h 10"/>
                <a:gd name="T8" fmla="*/ 0 w 9"/>
                <a:gd name="T9" fmla="*/ 2147483647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0" y="9"/>
                  </a:moveTo>
                  <a:cubicBezTo>
                    <a:pt x="2" y="9"/>
                    <a:pt x="3" y="10"/>
                    <a:pt x="5" y="10"/>
                  </a:cubicBezTo>
                  <a:cubicBezTo>
                    <a:pt x="6" y="9"/>
                    <a:pt x="7" y="9"/>
                    <a:pt x="9" y="9"/>
                  </a:cubicBezTo>
                  <a:lnTo>
                    <a:pt x="5" y="0"/>
                  </a:lnTo>
                  <a:lnTo>
                    <a:pt x="0"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22" name="Line 18">
              <a:extLst>
                <a:ext uri="{FF2B5EF4-FFF2-40B4-BE49-F238E27FC236}">
                  <a16:creationId xmlns:a16="http://schemas.microsoft.com/office/drawing/2014/main" id="{00000000-0008-0000-0400-000016000000}"/>
                </a:ext>
              </a:extLst>
            </xdr:cNvPr>
            <xdr:cNvSpPr>
              <a:spLocks noChangeShapeType="1"/>
            </xdr:cNvSpPr>
          </xdr:nvSpPr>
          <xdr:spPr bwMode="auto">
            <a:xfrm flipV="1">
              <a:off x="3037" y="859"/>
              <a:ext cx="1" cy="419"/>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3" name="Freeform 17">
              <a:extLst>
                <a:ext uri="{FF2B5EF4-FFF2-40B4-BE49-F238E27FC236}">
                  <a16:creationId xmlns:a16="http://schemas.microsoft.com/office/drawing/2014/main" id="{00000000-0008-0000-0400-000017000000}"/>
                </a:ext>
              </a:extLst>
            </xdr:cNvPr>
            <xdr:cNvSpPr>
              <a:spLocks/>
            </xdr:cNvSpPr>
          </xdr:nvSpPr>
          <xdr:spPr bwMode="auto">
            <a:xfrm>
              <a:off x="5215" y="719"/>
              <a:ext cx="180" cy="199"/>
            </a:xfrm>
            <a:custGeom>
              <a:avLst/>
              <a:gdLst>
                <a:gd name="T0" fmla="*/ 0 w 9"/>
                <a:gd name="T1" fmla="*/ 2147483647 h 10"/>
                <a:gd name="T2" fmla="*/ 2147483647 w 9"/>
                <a:gd name="T3" fmla="*/ 2147483647 h 10"/>
                <a:gd name="T4" fmla="*/ 2147483647 w 9"/>
                <a:gd name="T5" fmla="*/ 2147483647 h 10"/>
                <a:gd name="T6" fmla="*/ 2147483647 w 9"/>
                <a:gd name="T7" fmla="*/ 0 h 10"/>
                <a:gd name="T8" fmla="*/ 0 w 9"/>
                <a:gd name="T9" fmla="*/ 2147483647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0" y="9"/>
                  </a:moveTo>
                  <a:cubicBezTo>
                    <a:pt x="2" y="9"/>
                    <a:pt x="3" y="10"/>
                    <a:pt x="5" y="10"/>
                  </a:cubicBezTo>
                  <a:cubicBezTo>
                    <a:pt x="6" y="9"/>
                    <a:pt x="7" y="9"/>
                    <a:pt x="9" y="9"/>
                  </a:cubicBezTo>
                  <a:lnTo>
                    <a:pt x="5" y="0"/>
                  </a:lnTo>
                  <a:lnTo>
                    <a:pt x="0"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24" name="Line 16">
              <a:extLst>
                <a:ext uri="{FF2B5EF4-FFF2-40B4-BE49-F238E27FC236}">
                  <a16:creationId xmlns:a16="http://schemas.microsoft.com/office/drawing/2014/main" id="{00000000-0008-0000-0400-000018000000}"/>
                </a:ext>
              </a:extLst>
            </xdr:cNvPr>
            <xdr:cNvSpPr>
              <a:spLocks noChangeShapeType="1"/>
            </xdr:cNvSpPr>
          </xdr:nvSpPr>
          <xdr:spPr bwMode="auto">
            <a:xfrm flipV="1">
              <a:off x="5295" y="879"/>
              <a:ext cx="1" cy="419"/>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5" name="Line 15">
              <a:extLst>
                <a:ext uri="{FF2B5EF4-FFF2-40B4-BE49-F238E27FC236}">
                  <a16:creationId xmlns:a16="http://schemas.microsoft.com/office/drawing/2014/main" id="{00000000-0008-0000-0400-000019000000}"/>
                </a:ext>
              </a:extLst>
            </xdr:cNvPr>
            <xdr:cNvSpPr>
              <a:spLocks noChangeShapeType="1"/>
            </xdr:cNvSpPr>
          </xdr:nvSpPr>
          <xdr:spPr bwMode="auto">
            <a:xfrm>
              <a:off x="4736" y="1298"/>
              <a:ext cx="559" cy="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Rectangle 14">
              <a:extLst>
                <a:ext uri="{FF2B5EF4-FFF2-40B4-BE49-F238E27FC236}">
                  <a16:creationId xmlns:a16="http://schemas.microsoft.com/office/drawing/2014/main" id="{00000000-0008-0000-0400-00001A000000}"/>
                </a:ext>
              </a:extLst>
            </xdr:cNvPr>
            <xdr:cNvSpPr>
              <a:spLocks noChangeArrowheads="1"/>
            </xdr:cNvSpPr>
          </xdr:nvSpPr>
          <xdr:spPr bwMode="auto">
            <a:xfrm>
              <a:off x="3836" y="1298"/>
              <a:ext cx="780" cy="2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12700">
                  <a:solidFill>
                    <a:srgbClr val="000000"/>
                  </a:solidFill>
                  <a:miter lim="800000"/>
                  <a:headEnd/>
                  <a:tailEnd/>
                </a14:hiddenLine>
              </a:ext>
            </a:extLst>
          </xdr:spPr>
        </xdr:sp>
      </xdr:grpSp>
      <xdr:sp macro="" textlink="">
        <xdr:nvSpPr>
          <xdr:cNvPr id="5" name="Rectangle 12">
            <a:extLst>
              <a:ext uri="{FF2B5EF4-FFF2-40B4-BE49-F238E27FC236}">
                <a16:creationId xmlns:a16="http://schemas.microsoft.com/office/drawing/2014/main" id="{00000000-0008-0000-0400-000005000000}"/>
              </a:ext>
            </a:extLst>
          </xdr:cNvPr>
          <xdr:cNvSpPr>
            <a:spLocks noChangeArrowheads="1"/>
          </xdr:cNvSpPr>
        </xdr:nvSpPr>
        <xdr:spPr bwMode="auto">
          <a:xfrm>
            <a:off x="115" y="1866"/>
            <a:ext cx="1530" cy="433"/>
          </a:xfrm>
          <a:prstGeom prst="rect">
            <a:avLst/>
          </a:prstGeom>
          <a:noFill/>
          <a:ln w="9525">
            <a:noFill/>
            <a:miter lim="800000"/>
            <a:headEnd/>
            <a:tailEnd/>
          </a:ln>
        </xdr:spPr>
        <xdr:txBody>
          <a:bodyPr vertOverflow="clip" wrap="square" lIns="0" tIns="0" rIns="0" bIns="0" anchor="t" upright="1"/>
          <a:lstStyle/>
          <a:p>
            <a:pPr algn="l" rtl="0">
              <a:defRPr sz="1000"/>
            </a:pPr>
            <a:r>
              <a:rPr lang="es-ES" sz="1000" b="0" i="0" u="none" strike="noStrike" baseline="0">
                <a:solidFill>
                  <a:srgbClr val="000000"/>
                </a:solidFill>
                <a:latin typeface="Times New Roman"/>
                <a:cs typeface="Times New Roman"/>
              </a:rPr>
              <a:t>Salida de fondos</a:t>
            </a:r>
          </a:p>
        </xdr:txBody>
      </xdr:sp>
      <xdr:sp macro="" textlink="">
        <xdr:nvSpPr>
          <xdr:cNvPr id="6" name="Rectangle 11">
            <a:extLst>
              <a:ext uri="{FF2B5EF4-FFF2-40B4-BE49-F238E27FC236}">
                <a16:creationId xmlns:a16="http://schemas.microsoft.com/office/drawing/2014/main" id="{00000000-0008-0000-0400-000006000000}"/>
              </a:ext>
            </a:extLst>
          </xdr:cNvPr>
          <xdr:cNvSpPr>
            <a:spLocks noChangeArrowheads="1"/>
          </xdr:cNvSpPr>
        </xdr:nvSpPr>
        <xdr:spPr bwMode="auto">
          <a:xfrm>
            <a:off x="2648" y="104"/>
            <a:ext cx="1711" cy="254"/>
          </a:xfrm>
          <a:prstGeom prst="rect">
            <a:avLst/>
          </a:prstGeom>
          <a:noFill/>
          <a:ln w="9525">
            <a:noFill/>
            <a:miter lim="800000"/>
            <a:headEnd/>
            <a:tailEnd/>
          </a:ln>
        </xdr:spPr>
        <xdr:txBody>
          <a:bodyPr wrap="none" lIns="0" tIns="0" rIns="0" bIns="0" anchor="t" upright="1">
            <a:spAutoFit/>
          </a:bodyPr>
          <a:lstStyle/>
          <a:p>
            <a:pPr algn="l" rtl="0">
              <a:defRPr sz="1000"/>
            </a:pPr>
            <a:r>
              <a:rPr lang="es-ES" sz="1000" b="0" i="0" u="none" strike="noStrike" baseline="0">
                <a:solidFill>
                  <a:srgbClr val="000000"/>
                </a:solidFill>
                <a:latin typeface="Times New Roman"/>
                <a:cs typeface="Times New Roman"/>
              </a:rPr>
              <a:t>Entradas de fondos</a:t>
            </a:r>
          </a:p>
        </xdr:txBody>
      </xdr:sp>
      <xdr:sp macro="" textlink="">
        <xdr:nvSpPr>
          <xdr:cNvPr id="7" name="Rectangle 10">
            <a:extLst>
              <a:ext uri="{FF2B5EF4-FFF2-40B4-BE49-F238E27FC236}">
                <a16:creationId xmlns:a16="http://schemas.microsoft.com/office/drawing/2014/main" id="{00000000-0008-0000-0400-000007000000}"/>
              </a:ext>
            </a:extLst>
          </xdr:cNvPr>
          <xdr:cNvSpPr>
            <a:spLocks noChangeArrowheads="1"/>
          </xdr:cNvSpPr>
        </xdr:nvSpPr>
        <xdr:spPr bwMode="auto">
          <a:xfrm>
            <a:off x="1990" y="2642"/>
            <a:ext cx="1908" cy="313"/>
          </a:xfrm>
          <a:prstGeom prst="rect">
            <a:avLst/>
          </a:prstGeom>
          <a:noFill/>
          <a:ln w="9525">
            <a:noFill/>
            <a:miter lim="800000"/>
            <a:headEnd/>
            <a:tailEnd/>
          </a:ln>
        </xdr:spPr>
        <xdr:txBody>
          <a:bodyPr vertOverflow="clip" wrap="square" lIns="0" tIns="0" rIns="0" bIns="0" anchor="t" upright="1"/>
          <a:lstStyle/>
          <a:p>
            <a:pPr algn="l" rtl="0">
              <a:defRPr sz="1000"/>
            </a:pPr>
            <a:r>
              <a:rPr lang="es-ES" sz="1000" b="0" i="0" u="none" strike="noStrike" baseline="0">
                <a:solidFill>
                  <a:srgbClr val="000000"/>
                </a:solidFill>
                <a:latin typeface="Times New Roman"/>
                <a:cs typeface="Times New Roman"/>
              </a:rPr>
              <a:t>Vida útil:    "n" años</a:t>
            </a:r>
          </a:p>
        </xdr:txBody>
      </xdr:sp>
      <xdr:sp macro="" textlink="">
        <xdr:nvSpPr>
          <xdr:cNvPr id="8" name="Rectangle 9">
            <a:extLst>
              <a:ext uri="{FF2B5EF4-FFF2-40B4-BE49-F238E27FC236}">
                <a16:creationId xmlns:a16="http://schemas.microsoft.com/office/drawing/2014/main" id="{00000000-0008-0000-0400-000008000000}"/>
              </a:ext>
            </a:extLst>
          </xdr:cNvPr>
          <xdr:cNvSpPr>
            <a:spLocks noChangeArrowheads="1"/>
          </xdr:cNvSpPr>
        </xdr:nvSpPr>
        <xdr:spPr bwMode="auto">
          <a:xfrm>
            <a:off x="658" y="955"/>
            <a:ext cx="99" cy="239"/>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u="none" strike="noStrike" baseline="0">
                <a:solidFill>
                  <a:srgbClr val="000000"/>
                </a:solidFill>
                <a:latin typeface="Times New Roman"/>
                <a:cs typeface="Times New Roman"/>
              </a:rPr>
              <a:t>0</a:t>
            </a:r>
          </a:p>
        </xdr:txBody>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1809" y="1343"/>
            <a:ext cx="214" cy="358"/>
          </a:xfrm>
          <a:prstGeom prst="rect">
            <a:avLst/>
          </a:prstGeom>
          <a:noFill/>
          <a:ln w="9525">
            <a:noFill/>
            <a:miter lim="800000"/>
            <a:headEnd/>
            <a:tailEnd/>
          </a:ln>
        </xdr:spPr>
        <xdr:txBody>
          <a:bodyPr vertOverflow="clip" wrap="square" lIns="0" tIns="0" rIns="0" bIns="0" anchor="t" upright="1"/>
          <a:lstStyle/>
          <a:p>
            <a:pPr algn="l" rtl="0">
              <a:defRPr sz="1000"/>
            </a:pPr>
            <a:r>
              <a:rPr lang="es-ES" sz="900" b="0" i="0" u="none" strike="noStrike" baseline="0">
                <a:solidFill>
                  <a:srgbClr val="000000"/>
                </a:solidFill>
                <a:latin typeface="Times New Roman"/>
                <a:cs typeface="Times New Roman"/>
              </a:rPr>
              <a:t>1</a:t>
            </a:r>
          </a:p>
        </xdr:txBody>
      </xdr:sp>
      <xdr:sp macro="" textlink="">
        <xdr:nvSpPr>
          <xdr:cNvPr id="10" name="Rectangle 7">
            <a:extLst>
              <a:ext uri="{FF2B5EF4-FFF2-40B4-BE49-F238E27FC236}">
                <a16:creationId xmlns:a16="http://schemas.microsoft.com/office/drawing/2014/main" id="{00000000-0008-0000-0400-00000A000000}"/>
              </a:ext>
            </a:extLst>
          </xdr:cNvPr>
          <xdr:cNvSpPr>
            <a:spLocks noChangeArrowheads="1"/>
          </xdr:cNvSpPr>
        </xdr:nvSpPr>
        <xdr:spPr bwMode="auto">
          <a:xfrm>
            <a:off x="2944" y="1343"/>
            <a:ext cx="214" cy="358"/>
          </a:xfrm>
          <a:prstGeom prst="rect">
            <a:avLst/>
          </a:prstGeom>
          <a:noFill/>
          <a:ln w="9525">
            <a:noFill/>
            <a:miter lim="800000"/>
            <a:headEnd/>
            <a:tailEnd/>
          </a:ln>
        </xdr:spPr>
        <xdr:txBody>
          <a:bodyPr vertOverflow="clip" wrap="square" lIns="0" tIns="0" rIns="0" bIns="0" anchor="t" upright="1"/>
          <a:lstStyle/>
          <a:p>
            <a:pPr algn="l" rtl="0">
              <a:defRPr sz="1000"/>
            </a:pPr>
            <a:r>
              <a:rPr lang="es-ES" sz="900" b="0" i="0" u="none" strike="noStrike" baseline="0">
                <a:solidFill>
                  <a:srgbClr val="000000"/>
                </a:solidFill>
                <a:latin typeface="Times New Roman"/>
                <a:cs typeface="Times New Roman"/>
              </a:rPr>
              <a:t>2</a:t>
            </a:r>
          </a:p>
        </xdr:txBody>
      </xdr:sp>
      <xdr:sp macro="" textlink="">
        <xdr:nvSpPr>
          <xdr:cNvPr id="11" name="Rectangle 6">
            <a:extLst>
              <a:ext uri="{FF2B5EF4-FFF2-40B4-BE49-F238E27FC236}">
                <a16:creationId xmlns:a16="http://schemas.microsoft.com/office/drawing/2014/main" id="{00000000-0008-0000-0400-00000B000000}"/>
              </a:ext>
            </a:extLst>
          </xdr:cNvPr>
          <xdr:cNvSpPr>
            <a:spLocks noChangeArrowheads="1"/>
          </xdr:cNvSpPr>
        </xdr:nvSpPr>
        <xdr:spPr bwMode="auto">
          <a:xfrm>
            <a:off x="5214" y="1343"/>
            <a:ext cx="181" cy="358"/>
          </a:xfrm>
          <a:prstGeom prst="rect">
            <a:avLst/>
          </a:prstGeom>
          <a:noFill/>
          <a:ln w="9525">
            <a:noFill/>
            <a:miter lim="800000"/>
            <a:headEnd/>
            <a:tailEnd/>
          </a:ln>
        </xdr:spPr>
        <xdr:txBody>
          <a:bodyPr vertOverflow="clip" wrap="square" lIns="0" tIns="0" rIns="0" bIns="0" anchor="t" upright="1"/>
          <a:lstStyle/>
          <a:p>
            <a:pPr algn="l" rtl="0">
              <a:defRPr sz="1000"/>
            </a:pPr>
            <a:r>
              <a:rPr lang="es-ES" sz="900" b="0" i="0" u="none" strike="noStrike" baseline="0">
                <a:solidFill>
                  <a:srgbClr val="000000"/>
                </a:solidFill>
                <a:latin typeface="Times New Roman"/>
                <a:cs typeface="Times New Roman"/>
              </a:rPr>
              <a:t>n</a:t>
            </a:r>
          </a:p>
        </xdr:txBody>
      </xdr:sp>
      <xdr:sp macro="" textlink="">
        <xdr:nvSpPr>
          <xdr:cNvPr id="12" name="Freeform 5">
            <a:extLst>
              <a:ext uri="{FF2B5EF4-FFF2-40B4-BE49-F238E27FC236}">
                <a16:creationId xmlns:a16="http://schemas.microsoft.com/office/drawing/2014/main" id="{00000000-0008-0000-0400-00000C000000}"/>
              </a:ext>
            </a:extLst>
          </xdr:cNvPr>
          <xdr:cNvSpPr>
            <a:spLocks/>
          </xdr:cNvSpPr>
        </xdr:nvSpPr>
        <xdr:spPr bwMode="auto">
          <a:xfrm>
            <a:off x="5095" y="2416"/>
            <a:ext cx="220" cy="180"/>
          </a:xfrm>
          <a:custGeom>
            <a:avLst/>
            <a:gdLst>
              <a:gd name="T0" fmla="*/ 2147483647 w 11"/>
              <a:gd name="T1" fmla="*/ 0 h 9"/>
              <a:gd name="T2" fmla="*/ 2147483647 w 11"/>
              <a:gd name="T3" fmla="*/ 2147483647 h 9"/>
              <a:gd name="T4" fmla="*/ 2147483647 w 11"/>
              <a:gd name="T5" fmla="*/ 2147483647 h 9"/>
              <a:gd name="T6" fmla="*/ 2147483647 w 11"/>
              <a:gd name="T7" fmla="*/ 2147483647 h 9"/>
              <a:gd name="T8" fmla="*/ 2147483647 w 11"/>
              <a:gd name="T9" fmla="*/ 0 h 9"/>
              <a:gd name="T10" fmla="*/ 0 60000 65536"/>
              <a:gd name="T11" fmla="*/ 0 60000 65536"/>
              <a:gd name="T12" fmla="*/ 0 60000 65536"/>
              <a:gd name="T13" fmla="*/ 0 60000 65536"/>
              <a:gd name="T14" fmla="*/ 0 60000 65536"/>
              <a:gd name="T15" fmla="*/ 0 w 11"/>
              <a:gd name="T16" fmla="*/ 0 h 9"/>
              <a:gd name="T17" fmla="*/ 11 w 11"/>
              <a:gd name="T18" fmla="*/ 9 h 9"/>
            </a:gdLst>
            <a:ahLst/>
            <a:cxnLst>
              <a:cxn ang="T10">
                <a:pos x="T0" y="T1"/>
              </a:cxn>
              <a:cxn ang="T11">
                <a:pos x="T2" y="T3"/>
              </a:cxn>
              <a:cxn ang="T12">
                <a:pos x="T4" y="T5"/>
              </a:cxn>
              <a:cxn ang="T13">
                <a:pos x="T6" y="T7"/>
              </a:cxn>
              <a:cxn ang="T14">
                <a:pos x="T8" y="T9"/>
              </a:cxn>
            </a:cxnLst>
            <a:rect l="T15" t="T16" r="T17" b="T18"/>
            <a:pathLst>
              <a:path w="11" h="9">
                <a:moveTo>
                  <a:pt x="1" y="0"/>
                </a:moveTo>
                <a:cubicBezTo>
                  <a:pt x="1" y="2"/>
                  <a:pt x="1" y="3"/>
                  <a:pt x="1" y="4"/>
                </a:cubicBezTo>
                <a:cubicBezTo>
                  <a:pt x="0" y="6"/>
                  <a:pt x="1" y="7"/>
                  <a:pt x="1" y="9"/>
                </a:cubicBezTo>
                <a:lnTo>
                  <a:pt x="11" y="5"/>
                </a:lnTo>
                <a:lnTo>
                  <a:pt x="1" y="0"/>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4">
            <a:extLst>
              <a:ext uri="{FF2B5EF4-FFF2-40B4-BE49-F238E27FC236}">
                <a16:creationId xmlns:a16="http://schemas.microsoft.com/office/drawing/2014/main" id="{00000000-0008-0000-0400-00000D000000}"/>
              </a:ext>
            </a:extLst>
          </xdr:cNvPr>
          <xdr:cNvSpPr>
            <a:spLocks/>
          </xdr:cNvSpPr>
        </xdr:nvSpPr>
        <xdr:spPr bwMode="auto">
          <a:xfrm>
            <a:off x="799" y="2416"/>
            <a:ext cx="200" cy="180"/>
          </a:xfrm>
          <a:custGeom>
            <a:avLst/>
            <a:gdLst>
              <a:gd name="T0" fmla="*/ 2147483647 w 10"/>
              <a:gd name="T1" fmla="*/ 2147483647 h 9"/>
              <a:gd name="T2" fmla="*/ 2147483647 w 10"/>
              <a:gd name="T3" fmla="*/ 2147483647 h 9"/>
              <a:gd name="T4" fmla="*/ 2147483647 w 10"/>
              <a:gd name="T5" fmla="*/ 0 h 9"/>
              <a:gd name="T6" fmla="*/ 0 w 10"/>
              <a:gd name="T7" fmla="*/ 2147483647 h 9"/>
              <a:gd name="T8" fmla="*/ 2147483647 w 10"/>
              <a:gd name="T9" fmla="*/ 2147483647 h 9"/>
              <a:gd name="T10" fmla="*/ 0 60000 65536"/>
              <a:gd name="T11" fmla="*/ 0 60000 65536"/>
              <a:gd name="T12" fmla="*/ 0 60000 65536"/>
              <a:gd name="T13" fmla="*/ 0 60000 65536"/>
              <a:gd name="T14" fmla="*/ 0 60000 65536"/>
              <a:gd name="T15" fmla="*/ 0 w 10"/>
              <a:gd name="T16" fmla="*/ 0 h 9"/>
              <a:gd name="T17" fmla="*/ 10 w 10"/>
              <a:gd name="T18" fmla="*/ 9 h 9"/>
            </a:gdLst>
            <a:ahLst/>
            <a:cxnLst>
              <a:cxn ang="T10">
                <a:pos x="T0" y="T1"/>
              </a:cxn>
              <a:cxn ang="T11">
                <a:pos x="T2" y="T3"/>
              </a:cxn>
              <a:cxn ang="T12">
                <a:pos x="T4" y="T5"/>
              </a:cxn>
              <a:cxn ang="T13">
                <a:pos x="T6" y="T7"/>
              </a:cxn>
              <a:cxn ang="T14">
                <a:pos x="T8" y="T9"/>
              </a:cxn>
            </a:cxnLst>
            <a:rect l="T15" t="T16" r="T17" b="T18"/>
            <a:pathLst>
              <a:path w="10" h="9">
                <a:moveTo>
                  <a:pt x="9" y="9"/>
                </a:moveTo>
                <a:cubicBezTo>
                  <a:pt x="9" y="7"/>
                  <a:pt x="10" y="6"/>
                  <a:pt x="10" y="5"/>
                </a:cubicBezTo>
                <a:cubicBezTo>
                  <a:pt x="10" y="3"/>
                  <a:pt x="9" y="2"/>
                  <a:pt x="9" y="0"/>
                </a:cubicBezTo>
                <a:lnTo>
                  <a:pt x="0" y="5"/>
                </a:lnTo>
                <a:lnTo>
                  <a:pt x="9"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sp macro="" textlink="">
        <xdr:nvSpPr>
          <xdr:cNvPr id="14" name="Line 3">
            <a:extLst>
              <a:ext uri="{FF2B5EF4-FFF2-40B4-BE49-F238E27FC236}">
                <a16:creationId xmlns:a16="http://schemas.microsoft.com/office/drawing/2014/main" id="{00000000-0008-0000-0400-00000E000000}"/>
              </a:ext>
            </a:extLst>
          </xdr:cNvPr>
          <xdr:cNvSpPr>
            <a:spLocks noChangeShapeType="1"/>
          </xdr:cNvSpPr>
        </xdr:nvSpPr>
        <xdr:spPr bwMode="auto">
          <a:xfrm>
            <a:off x="679" y="2517"/>
            <a:ext cx="4636" cy="1"/>
          </a:xfrm>
          <a:prstGeom prst="line">
            <a:avLst/>
          </a:prstGeom>
          <a:noFill/>
          <a:ln w="12700">
            <a:solidFill>
              <a:srgbClr val="000000"/>
            </a:solidFill>
            <a:round/>
            <a:headEnd type="stealth" w="med" len="med"/>
            <a:tailEnd type="stealth" w="med" len="med"/>
          </a:ln>
          <a:extLst>
            <a:ext uri="{909E8E84-426E-40DD-AFC4-6F175D3DCCD1}">
              <a14:hiddenFill xmlns:a14="http://schemas.microsoft.com/office/drawing/2010/main">
                <a:noFill/>
              </a14:hiddenFill>
            </a:ext>
          </a:extLst>
        </xdr:spPr>
      </xdr:sp>
      <xdr:sp macro="" textlink="">
        <xdr:nvSpPr>
          <xdr:cNvPr id="15" name="AutoShape 2">
            <a:extLst>
              <a:ext uri="{FF2B5EF4-FFF2-40B4-BE49-F238E27FC236}">
                <a16:creationId xmlns:a16="http://schemas.microsoft.com/office/drawing/2014/main" id="{00000000-0008-0000-0400-00000F000000}"/>
              </a:ext>
            </a:extLst>
          </xdr:cNvPr>
          <xdr:cNvSpPr>
            <a:spLocks/>
          </xdr:cNvSpPr>
        </xdr:nvSpPr>
        <xdr:spPr bwMode="auto">
          <a:xfrm rot="-5400000">
            <a:off x="3477" y="-1043"/>
            <a:ext cx="240" cy="3398"/>
          </a:xfrm>
          <a:prstGeom prst="rightBrace">
            <a:avLst>
              <a:gd name="adj1" fmla="val 117986"/>
              <a:gd name="adj2" fmla="val 500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438150</xdr:colOff>
      <xdr:row>29</xdr:row>
      <xdr:rowOff>133350</xdr:rowOff>
    </xdr:from>
    <xdr:to>
      <xdr:col>8</xdr:col>
      <xdr:colOff>495300</xdr:colOff>
      <xdr:row>36</xdr:row>
      <xdr:rowOff>161925</xdr:rowOff>
    </xdr:to>
    <xdr:pic>
      <xdr:nvPicPr>
        <xdr:cNvPr id="27" name="Picture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7429500"/>
          <a:ext cx="31051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260350</xdr:colOff>
          <xdr:row>116</xdr:row>
          <xdr:rowOff>127000</xdr:rowOff>
        </xdr:from>
        <xdr:to>
          <xdr:col>9</xdr:col>
          <xdr:colOff>450850</xdr:colOff>
          <xdr:row>126</xdr:row>
          <xdr:rowOff>50800</xdr:rowOff>
        </xdr:to>
        <xdr:sp macro="" textlink="">
          <xdr:nvSpPr>
            <xdr:cNvPr id="135169" name="Object 1" hidden="1">
              <a:extLst>
                <a:ext uri="{63B3BB69-23CF-44E3-9099-C40C66FF867C}">
                  <a14:compatExt spid="_x0000_s135169"/>
                </a:ext>
                <a:ext uri="{FF2B5EF4-FFF2-40B4-BE49-F238E27FC236}">
                  <a16:creationId xmlns:a16="http://schemas.microsoft.com/office/drawing/2014/main" id="{00000000-0008-0000-0400-000001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527050</xdr:colOff>
          <xdr:row>134</xdr:row>
          <xdr:rowOff>50800</xdr:rowOff>
        </xdr:from>
        <xdr:to>
          <xdr:col>8</xdr:col>
          <xdr:colOff>304800</xdr:colOff>
          <xdr:row>136</xdr:row>
          <xdr:rowOff>114300</xdr:rowOff>
        </xdr:to>
        <xdr:sp macro="" textlink="">
          <xdr:nvSpPr>
            <xdr:cNvPr id="135170" name="Object 2" hidden="1">
              <a:extLst>
                <a:ext uri="{63B3BB69-23CF-44E3-9099-C40C66FF867C}">
                  <a14:compatExt spid="_x0000_s135170"/>
                </a:ext>
                <a:ext uri="{FF2B5EF4-FFF2-40B4-BE49-F238E27FC236}">
                  <a16:creationId xmlns:a16="http://schemas.microsoft.com/office/drawing/2014/main" id="{00000000-0008-0000-0400-000002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137</xdr:row>
          <xdr:rowOff>12700</xdr:rowOff>
        </xdr:from>
        <xdr:to>
          <xdr:col>8</xdr:col>
          <xdr:colOff>69850</xdr:colOff>
          <xdr:row>139</xdr:row>
          <xdr:rowOff>76200</xdr:rowOff>
        </xdr:to>
        <xdr:sp macro="" textlink="">
          <xdr:nvSpPr>
            <xdr:cNvPr id="135171" name="Object 3" hidden="1">
              <a:extLst>
                <a:ext uri="{63B3BB69-23CF-44E3-9099-C40C66FF867C}">
                  <a14:compatExt spid="_x0000_s135171"/>
                </a:ext>
                <a:ext uri="{FF2B5EF4-FFF2-40B4-BE49-F238E27FC236}">
                  <a16:creationId xmlns:a16="http://schemas.microsoft.com/office/drawing/2014/main" id="{00000000-0008-0000-0400-000003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412750</xdr:colOff>
          <xdr:row>143</xdr:row>
          <xdr:rowOff>76200</xdr:rowOff>
        </xdr:from>
        <xdr:to>
          <xdr:col>9</xdr:col>
          <xdr:colOff>342900</xdr:colOff>
          <xdr:row>145</xdr:row>
          <xdr:rowOff>146050</xdr:rowOff>
        </xdr:to>
        <xdr:sp macro="" textlink="">
          <xdr:nvSpPr>
            <xdr:cNvPr id="135172" name="Object 4" hidden="1">
              <a:extLst>
                <a:ext uri="{63B3BB69-23CF-44E3-9099-C40C66FF867C}">
                  <a14:compatExt spid="_x0000_s135172"/>
                </a:ext>
                <a:ext uri="{FF2B5EF4-FFF2-40B4-BE49-F238E27FC236}">
                  <a16:creationId xmlns:a16="http://schemas.microsoft.com/office/drawing/2014/main" id="{00000000-0008-0000-0400-000004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317500</xdr:colOff>
          <xdr:row>150</xdr:row>
          <xdr:rowOff>12700</xdr:rowOff>
        </xdr:from>
        <xdr:to>
          <xdr:col>7</xdr:col>
          <xdr:colOff>222250</xdr:colOff>
          <xdr:row>153</xdr:row>
          <xdr:rowOff>69850</xdr:rowOff>
        </xdr:to>
        <xdr:sp macro="" textlink="">
          <xdr:nvSpPr>
            <xdr:cNvPr id="135173" name="Object 5" hidden="1">
              <a:extLst>
                <a:ext uri="{63B3BB69-23CF-44E3-9099-C40C66FF867C}">
                  <a14:compatExt spid="_x0000_s135173"/>
                </a:ext>
                <a:ext uri="{FF2B5EF4-FFF2-40B4-BE49-F238E27FC236}">
                  <a16:creationId xmlns:a16="http://schemas.microsoft.com/office/drawing/2014/main" id="{00000000-0008-0000-0400-000005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133350</xdr:colOff>
      <xdr:row>7</xdr:row>
      <xdr:rowOff>38100</xdr:rowOff>
    </xdr:from>
    <xdr:to>
      <xdr:col>8</xdr:col>
      <xdr:colOff>666750</xdr:colOff>
      <xdr:row>16</xdr:row>
      <xdr:rowOff>123825</xdr:rowOff>
    </xdr:to>
    <xdr:grpSp>
      <xdr:nvGrpSpPr>
        <xdr:cNvPr id="2" name="Group 18">
          <a:extLst>
            <a:ext uri="{FF2B5EF4-FFF2-40B4-BE49-F238E27FC236}">
              <a16:creationId xmlns:a16="http://schemas.microsoft.com/office/drawing/2014/main" id="{00000000-0008-0000-0500-000002000000}"/>
            </a:ext>
          </a:extLst>
        </xdr:cNvPr>
        <xdr:cNvGrpSpPr>
          <a:grpSpLocks noChangeAspect="1"/>
        </xdr:cNvGrpSpPr>
      </xdr:nvGrpSpPr>
      <xdr:grpSpPr bwMode="auto">
        <a:xfrm>
          <a:off x="1473200" y="1974850"/>
          <a:ext cx="3733800" cy="1743075"/>
          <a:chOff x="0" y="0"/>
          <a:chExt cx="5639" cy="2835"/>
        </a:xfrm>
      </xdr:grpSpPr>
      <xdr:sp macro="" textlink="">
        <xdr:nvSpPr>
          <xdr:cNvPr id="3" name="AutoShape 41">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0" y="0"/>
            <a:ext cx="5639" cy="2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4" name="Group 29">
            <a:extLst>
              <a:ext uri="{FF2B5EF4-FFF2-40B4-BE49-F238E27FC236}">
                <a16:creationId xmlns:a16="http://schemas.microsoft.com/office/drawing/2014/main" id="{00000000-0008-0000-0500-000004000000}"/>
              </a:ext>
            </a:extLst>
          </xdr:cNvPr>
          <xdr:cNvGrpSpPr>
            <a:grpSpLocks/>
          </xdr:cNvGrpSpPr>
        </xdr:nvGrpSpPr>
        <xdr:grpSpPr bwMode="auto">
          <a:xfrm>
            <a:off x="681" y="404"/>
            <a:ext cx="4724" cy="1158"/>
            <a:chOff x="681" y="419"/>
            <a:chExt cx="4724" cy="1158"/>
          </a:xfrm>
        </xdr:grpSpPr>
        <xdr:sp macro="" textlink="">
          <xdr:nvSpPr>
            <xdr:cNvPr id="15" name="Line 40">
              <a:extLst>
                <a:ext uri="{FF2B5EF4-FFF2-40B4-BE49-F238E27FC236}">
                  <a16:creationId xmlns:a16="http://schemas.microsoft.com/office/drawing/2014/main" id="{00000000-0008-0000-0500-00000F000000}"/>
                </a:ext>
              </a:extLst>
            </xdr:cNvPr>
            <xdr:cNvSpPr>
              <a:spLocks noChangeShapeType="1"/>
            </xdr:cNvSpPr>
          </xdr:nvSpPr>
          <xdr:spPr bwMode="auto">
            <a:xfrm>
              <a:off x="761" y="978"/>
              <a:ext cx="2922" cy="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Freeform 39">
              <a:extLst>
                <a:ext uri="{FF2B5EF4-FFF2-40B4-BE49-F238E27FC236}">
                  <a16:creationId xmlns:a16="http://schemas.microsoft.com/office/drawing/2014/main" id="{00000000-0008-0000-0500-000010000000}"/>
                </a:ext>
              </a:extLst>
            </xdr:cNvPr>
            <xdr:cNvSpPr>
              <a:spLocks/>
            </xdr:cNvSpPr>
          </xdr:nvSpPr>
          <xdr:spPr bwMode="auto">
            <a:xfrm>
              <a:off x="681" y="419"/>
              <a:ext cx="180" cy="200"/>
            </a:xfrm>
            <a:custGeom>
              <a:avLst/>
              <a:gdLst>
                <a:gd name="T0" fmla="*/ 0 w 9"/>
                <a:gd name="T1" fmla="*/ 2147483647 h 10"/>
                <a:gd name="T2" fmla="*/ 2147483647 w 9"/>
                <a:gd name="T3" fmla="*/ 2147483647 h 10"/>
                <a:gd name="T4" fmla="*/ 2147483647 w 9"/>
                <a:gd name="T5" fmla="*/ 2147483647 h 10"/>
                <a:gd name="T6" fmla="*/ 2147483647 w 9"/>
                <a:gd name="T7" fmla="*/ 0 h 10"/>
                <a:gd name="T8" fmla="*/ 0 w 9"/>
                <a:gd name="T9" fmla="*/ 2147483647 h 10"/>
                <a:gd name="T10" fmla="*/ 0 60000 65536"/>
                <a:gd name="T11" fmla="*/ 0 60000 65536"/>
                <a:gd name="T12" fmla="*/ 0 60000 65536"/>
                <a:gd name="T13" fmla="*/ 0 60000 65536"/>
                <a:gd name="T14" fmla="*/ 0 60000 65536"/>
                <a:gd name="T15" fmla="*/ 0 w 9"/>
                <a:gd name="T16" fmla="*/ 0 h 10"/>
                <a:gd name="T17" fmla="*/ 9 w 9"/>
                <a:gd name="T18" fmla="*/ 10 h 10"/>
              </a:gdLst>
              <a:ahLst/>
              <a:cxnLst>
                <a:cxn ang="T10">
                  <a:pos x="T0" y="T1"/>
                </a:cxn>
                <a:cxn ang="T11">
                  <a:pos x="T2" y="T3"/>
                </a:cxn>
                <a:cxn ang="T12">
                  <a:pos x="T4" y="T5"/>
                </a:cxn>
                <a:cxn ang="T13">
                  <a:pos x="T6" y="T7"/>
                </a:cxn>
                <a:cxn ang="T14">
                  <a:pos x="T8" y="T9"/>
                </a:cxn>
              </a:cxnLst>
              <a:rect l="T15" t="T16" r="T17" b="T18"/>
              <a:pathLst>
                <a:path w="9" h="10">
                  <a:moveTo>
                    <a:pt x="0" y="9"/>
                  </a:moveTo>
                  <a:cubicBezTo>
                    <a:pt x="2" y="9"/>
                    <a:pt x="3" y="10"/>
                    <a:pt x="5" y="10"/>
                  </a:cubicBezTo>
                  <a:cubicBezTo>
                    <a:pt x="6" y="9"/>
                    <a:pt x="7" y="9"/>
                    <a:pt x="9" y="9"/>
                  </a:cubicBezTo>
                  <a:lnTo>
                    <a:pt x="5" y="0"/>
                  </a:lnTo>
                  <a:lnTo>
                    <a:pt x="0"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17" name="Line 38">
              <a:extLst>
                <a:ext uri="{FF2B5EF4-FFF2-40B4-BE49-F238E27FC236}">
                  <a16:creationId xmlns:a16="http://schemas.microsoft.com/office/drawing/2014/main" id="{00000000-0008-0000-0500-000011000000}"/>
                </a:ext>
              </a:extLst>
            </xdr:cNvPr>
            <xdr:cNvSpPr>
              <a:spLocks noChangeShapeType="1"/>
            </xdr:cNvSpPr>
          </xdr:nvSpPr>
          <xdr:spPr bwMode="auto">
            <a:xfrm flipV="1">
              <a:off x="761" y="579"/>
              <a:ext cx="1" cy="399"/>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18" name="Freeform 37">
              <a:extLst>
                <a:ext uri="{FF2B5EF4-FFF2-40B4-BE49-F238E27FC236}">
                  <a16:creationId xmlns:a16="http://schemas.microsoft.com/office/drawing/2014/main" id="{00000000-0008-0000-0500-000012000000}"/>
                </a:ext>
              </a:extLst>
            </xdr:cNvPr>
            <xdr:cNvSpPr>
              <a:spLocks/>
            </xdr:cNvSpPr>
          </xdr:nvSpPr>
          <xdr:spPr bwMode="auto">
            <a:xfrm>
              <a:off x="1822" y="1338"/>
              <a:ext cx="180" cy="219"/>
            </a:xfrm>
            <a:custGeom>
              <a:avLst/>
              <a:gdLst>
                <a:gd name="T0" fmla="*/ 2147483647 w 9"/>
                <a:gd name="T1" fmla="*/ 2147483647 h 11"/>
                <a:gd name="T2" fmla="*/ 2147483647 w 9"/>
                <a:gd name="T3" fmla="*/ 2147483647 h 11"/>
                <a:gd name="T4" fmla="*/ 0 w 9"/>
                <a:gd name="T5" fmla="*/ 2147483647 h 11"/>
                <a:gd name="T6" fmla="*/ 2147483647 w 9"/>
                <a:gd name="T7" fmla="*/ 2147483647 h 11"/>
                <a:gd name="T8" fmla="*/ 2147483647 w 9"/>
                <a:gd name="T9" fmla="*/ 2147483647 h 11"/>
                <a:gd name="T10" fmla="*/ 0 60000 65536"/>
                <a:gd name="T11" fmla="*/ 0 60000 65536"/>
                <a:gd name="T12" fmla="*/ 0 60000 65536"/>
                <a:gd name="T13" fmla="*/ 0 60000 65536"/>
                <a:gd name="T14" fmla="*/ 0 60000 65536"/>
                <a:gd name="T15" fmla="*/ 0 w 9"/>
                <a:gd name="T16" fmla="*/ 0 h 11"/>
                <a:gd name="T17" fmla="*/ 9 w 9"/>
                <a:gd name="T18" fmla="*/ 11 h 11"/>
              </a:gdLst>
              <a:ahLst/>
              <a:cxnLst>
                <a:cxn ang="T10">
                  <a:pos x="T0" y="T1"/>
                </a:cxn>
                <a:cxn ang="T11">
                  <a:pos x="T2" y="T3"/>
                </a:cxn>
                <a:cxn ang="T12">
                  <a:pos x="T4" y="T5"/>
                </a:cxn>
                <a:cxn ang="T13">
                  <a:pos x="T6" y="T7"/>
                </a:cxn>
                <a:cxn ang="T14">
                  <a:pos x="T8" y="T9"/>
                </a:cxn>
              </a:cxnLst>
              <a:rect l="T15" t="T16" r="T17" b="T18"/>
              <a:pathLst>
                <a:path w="9" h="11">
                  <a:moveTo>
                    <a:pt x="9" y="1"/>
                  </a:moveTo>
                  <a:cubicBezTo>
                    <a:pt x="7" y="1"/>
                    <a:pt x="6" y="1"/>
                    <a:pt x="5" y="1"/>
                  </a:cubicBezTo>
                  <a:cubicBezTo>
                    <a:pt x="3" y="0"/>
                    <a:pt x="2" y="1"/>
                    <a:pt x="0" y="1"/>
                  </a:cubicBezTo>
                  <a:lnTo>
                    <a:pt x="5" y="11"/>
                  </a:lnTo>
                  <a:lnTo>
                    <a:pt x="9" y="1"/>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19" name="Line 36">
              <a:extLst>
                <a:ext uri="{FF2B5EF4-FFF2-40B4-BE49-F238E27FC236}">
                  <a16:creationId xmlns:a16="http://schemas.microsoft.com/office/drawing/2014/main" id="{00000000-0008-0000-0500-000013000000}"/>
                </a:ext>
              </a:extLst>
            </xdr:cNvPr>
            <xdr:cNvSpPr>
              <a:spLocks noChangeShapeType="1"/>
            </xdr:cNvSpPr>
          </xdr:nvSpPr>
          <xdr:spPr bwMode="auto">
            <a:xfrm>
              <a:off x="1902" y="978"/>
              <a:ext cx="1" cy="420"/>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0" name="Freeform 35">
              <a:extLst>
                <a:ext uri="{FF2B5EF4-FFF2-40B4-BE49-F238E27FC236}">
                  <a16:creationId xmlns:a16="http://schemas.microsoft.com/office/drawing/2014/main" id="{00000000-0008-0000-0500-000014000000}"/>
                </a:ext>
              </a:extLst>
            </xdr:cNvPr>
            <xdr:cNvSpPr>
              <a:spLocks/>
            </xdr:cNvSpPr>
          </xdr:nvSpPr>
          <xdr:spPr bwMode="auto">
            <a:xfrm>
              <a:off x="2963" y="1358"/>
              <a:ext cx="180" cy="219"/>
            </a:xfrm>
            <a:custGeom>
              <a:avLst/>
              <a:gdLst>
                <a:gd name="T0" fmla="*/ 2147483647 w 9"/>
                <a:gd name="T1" fmla="*/ 2147483647 h 11"/>
                <a:gd name="T2" fmla="*/ 2147483647 w 9"/>
                <a:gd name="T3" fmla="*/ 2147483647 h 11"/>
                <a:gd name="T4" fmla="*/ 0 w 9"/>
                <a:gd name="T5" fmla="*/ 2147483647 h 11"/>
                <a:gd name="T6" fmla="*/ 2147483647 w 9"/>
                <a:gd name="T7" fmla="*/ 2147483647 h 11"/>
                <a:gd name="T8" fmla="*/ 2147483647 w 9"/>
                <a:gd name="T9" fmla="*/ 2147483647 h 11"/>
                <a:gd name="T10" fmla="*/ 0 60000 65536"/>
                <a:gd name="T11" fmla="*/ 0 60000 65536"/>
                <a:gd name="T12" fmla="*/ 0 60000 65536"/>
                <a:gd name="T13" fmla="*/ 0 60000 65536"/>
                <a:gd name="T14" fmla="*/ 0 60000 65536"/>
                <a:gd name="T15" fmla="*/ 0 w 9"/>
                <a:gd name="T16" fmla="*/ 0 h 11"/>
                <a:gd name="T17" fmla="*/ 9 w 9"/>
                <a:gd name="T18" fmla="*/ 11 h 11"/>
              </a:gdLst>
              <a:ahLst/>
              <a:cxnLst>
                <a:cxn ang="T10">
                  <a:pos x="T0" y="T1"/>
                </a:cxn>
                <a:cxn ang="T11">
                  <a:pos x="T2" y="T3"/>
                </a:cxn>
                <a:cxn ang="T12">
                  <a:pos x="T4" y="T5"/>
                </a:cxn>
                <a:cxn ang="T13">
                  <a:pos x="T6" y="T7"/>
                </a:cxn>
                <a:cxn ang="T14">
                  <a:pos x="T8" y="T9"/>
                </a:cxn>
              </a:cxnLst>
              <a:rect l="T15" t="T16" r="T17" b="T18"/>
              <a:pathLst>
                <a:path w="9" h="11">
                  <a:moveTo>
                    <a:pt x="9" y="1"/>
                  </a:moveTo>
                  <a:cubicBezTo>
                    <a:pt x="7" y="1"/>
                    <a:pt x="6" y="1"/>
                    <a:pt x="5" y="1"/>
                  </a:cubicBezTo>
                  <a:cubicBezTo>
                    <a:pt x="3" y="0"/>
                    <a:pt x="2" y="1"/>
                    <a:pt x="0" y="1"/>
                  </a:cubicBezTo>
                  <a:lnTo>
                    <a:pt x="5" y="11"/>
                  </a:lnTo>
                  <a:lnTo>
                    <a:pt x="9" y="1"/>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21" name="Line 34">
              <a:extLst>
                <a:ext uri="{FF2B5EF4-FFF2-40B4-BE49-F238E27FC236}">
                  <a16:creationId xmlns:a16="http://schemas.microsoft.com/office/drawing/2014/main" id="{00000000-0008-0000-0500-000015000000}"/>
                </a:ext>
              </a:extLst>
            </xdr:cNvPr>
            <xdr:cNvSpPr>
              <a:spLocks noChangeShapeType="1"/>
            </xdr:cNvSpPr>
          </xdr:nvSpPr>
          <xdr:spPr bwMode="auto">
            <a:xfrm>
              <a:off x="3043" y="998"/>
              <a:ext cx="1" cy="420"/>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2" name="Freeform 33">
              <a:extLst>
                <a:ext uri="{FF2B5EF4-FFF2-40B4-BE49-F238E27FC236}">
                  <a16:creationId xmlns:a16="http://schemas.microsoft.com/office/drawing/2014/main" id="{00000000-0008-0000-0500-000016000000}"/>
                </a:ext>
              </a:extLst>
            </xdr:cNvPr>
            <xdr:cNvSpPr>
              <a:spLocks/>
            </xdr:cNvSpPr>
          </xdr:nvSpPr>
          <xdr:spPr bwMode="auto">
            <a:xfrm>
              <a:off x="5225" y="1338"/>
              <a:ext cx="180" cy="219"/>
            </a:xfrm>
            <a:custGeom>
              <a:avLst/>
              <a:gdLst>
                <a:gd name="T0" fmla="*/ 2147483647 w 9"/>
                <a:gd name="T1" fmla="*/ 2147483647 h 11"/>
                <a:gd name="T2" fmla="*/ 2147483647 w 9"/>
                <a:gd name="T3" fmla="*/ 2147483647 h 11"/>
                <a:gd name="T4" fmla="*/ 0 w 9"/>
                <a:gd name="T5" fmla="*/ 2147483647 h 11"/>
                <a:gd name="T6" fmla="*/ 2147483647 w 9"/>
                <a:gd name="T7" fmla="*/ 2147483647 h 11"/>
                <a:gd name="T8" fmla="*/ 2147483647 w 9"/>
                <a:gd name="T9" fmla="*/ 2147483647 h 11"/>
                <a:gd name="T10" fmla="*/ 0 60000 65536"/>
                <a:gd name="T11" fmla="*/ 0 60000 65536"/>
                <a:gd name="T12" fmla="*/ 0 60000 65536"/>
                <a:gd name="T13" fmla="*/ 0 60000 65536"/>
                <a:gd name="T14" fmla="*/ 0 60000 65536"/>
                <a:gd name="T15" fmla="*/ 0 w 9"/>
                <a:gd name="T16" fmla="*/ 0 h 11"/>
                <a:gd name="T17" fmla="*/ 9 w 9"/>
                <a:gd name="T18" fmla="*/ 11 h 11"/>
              </a:gdLst>
              <a:ahLst/>
              <a:cxnLst>
                <a:cxn ang="T10">
                  <a:pos x="T0" y="T1"/>
                </a:cxn>
                <a:cxn ang="T11">
                  <a:pos x="T2" y="T3"/>
                </a:cxn>
                <a:cxn ang="T12">
                  <a:pos x="T4" y="T5"/>
                </a:cxn>
                <a:cxn ang="T13">
                  <a:pos x="T6" y="T7"/>
                </a:cxn>
                <a:cxn ang="T14">
                  <a:pos x="T8" y="T9"/>
                </a:cxn>
              </a:cxnLst>
              <a:rect l="T15" t="T16" r="T17" b="T18"/>
              <a:pathLst>
                <a:path w="9" h="11">
                  <a:moveTo>
                    <a:pt x="9" y="1"/>
                  </a:moveTo>
                  <a:cubicBezTo>
                    <a:pt x="7" y="1"/>
                    <a:pt x="6" y="1"/>
                    <a:pt x="5" y="1"/>
                  </a:cubicBezTo>
                  <a:cubicBezTo>
                    <a:pt x="3" y="0"/>
                    <a:pt x="2" y="1"/>
                    <a:pt x="0" y="1"/>
                  </a:cubicBezTo>
                  <a:lnTo>
                    <a:pt x="5" y="11"/>
                  </a:lnTo>
                  <a:lnTo>
                    <a:pt x="9" y="1"/>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round/>
                  <a:headEnd/>
                  <a:tailEnd/>
                </a14:hiddenLine>
              </a:ext>
            </a:extLst>
          </xdr:spPr>
        </xdr:sp>
        <xdr:sp macro="" textlink="">
          <xdr:nvSpPr>
            <xdr:cNvPr id="23" name="Line 32">
              <a:extLst>
                <a:ext uri="{FF2B5EF4-FFF2-40B4-BE49-F238E27FC236}">
                  <a16:creationId xmlns:a16="http://schemas.microsoft.com/office/drawing/2014/main" id="{00000000-0008-0000-0500-000017000000}"/>
                </a:ext>
              </a:extLst>
            </xdr:cNvPr>
            <xdr:cNvSpPr>
              <a:spLocks noChangeShapeType="1"/>
            </xdr:cNvSpPr>
          </xdr:nvSpPr>
          <xdr:spPr bwMode="auto">
            <a:xfrm>
              <a:off x="5305" y="978"/>
              <a:ext cx="1" cy="420"/>
            </a:xfrm>
            <a:prstGeom prst="line">
              <a:avLst/>
            </a:prstGeom>
            <a:noFill/>
            <a:ln w="12700">
              <a:solidFill>
                <a:srgbClr val="000000"/>
              </a:solidFill>
              <a:round/>
              <a:headEnd/>
              <a:tailEnd type="stealth" w="med" len="med"/>
            </a:ln>
            <a:extLst>
              <a:ext uri="{909E8E84-426E-40DD-AFC4-6F175D3DCCD1}">
                <a14:hiddenFill xmlns:a14="http://schemas.microsoft.com/office/drawing/2010/main">
                  <a:noFill/>
                </a14:hiddenFill>
              </a:ext>
            </a:extLst>
          </xdr:spPr>
        </xdr:sp>
        <xdr:sp macro="" textlink="">
          <xdr:nvSpPr>
            <xdr:cNvPr id="24" name="Line 31">
              <a:extLst>
                <a:ext uri="{FF2B5EF4-FFF2-40B4-BE49-F238E27FC236}">
                  <a16:creationId xmlns:a16="http://schemas.microsoft.com/office/drawing/2014/main" id="{00000000-0008-0000-0500-000018000000}"/>
                </a:ext>
              </a:extLst>
            </xdr:cNvPr>
            <xdr:cNvSpPr>
              <a:spLocks noChangeShapeType="1"/>
            </xdr:cNvSpPr>
          </xdr:nvSpPr>
          <xdr:spPr bwMode="auto">
            <a:xfrm>
              <a:off x="4744" y="978"/>
              <a:ext cx="561" cy="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Rectangle 30">
              <a:extLst>
                <a:ext uri="{FF2B5EF4-FFF2-40B4-BE49-F238E27FC236}">
                  <a16:creationId xmlns:a16="http://schemas.microsoft.com/office/drawing/2014/main" id="{00000000-0008-0000-0500-000019000000}"/>
                </a:ext>
              </a:extLst>
            </xdr:cNvPr>
            <xdr:cNvSpPr>
              <a:spLocks noChangeArrowheads="1"/>
            </xdr:cNvSpPr>
          </xdr:nvSpPr>
          <xdr:spPr bwMode="auto">
            <a:xfrm>
              <a:off x="3843" y="978"/>
              <a:ext cx="781" cy="2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12700">
                  <a:solidFill>
                    <a:srgbClr val="000000"/>
                  </a:solidFill>
                  <a:miter lim="800000"/>
                  <a:headEnd/>
                  <a:tailEnd/>
                </a14:hiddenLine>
              </a:ext>
            </a:extLst>
          </xdr:spPr>
        </xdr:sp>
      </xdr:grpSp>
      <xdr:sp macro="" textlink="">
        <xdr:nvSpPr>
          <xdr:cNvPr id="5" name="Rectangle 28">
            <a:extLst>
              <a:ext uri="{FF2B5EF4-FFF2-40B4-BE49-F238E27FC236}">
                <a16:creationId xmlns:a16="http://schemas.microsoft.com/office/drawing/2014/main" id="{00000000-0008-0000-0500-000005000000}"/>
              </a:ext>
            </a:extLst>
          </xdr:cNvPr>
          <xdr:cNvSpPr>
            <a:spLocks noChangeArrowheads="1"/>
          </xdr:cNvSpPr>
        </xdr:nvSpPr>
        <xdr:spPr bwMode="auto">
          <a:xfrm>
            <a:off x="645" y="1035"/>
            <a:ext cx="90" cy="240"/>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u="none" strike="noStrike" baseline="0">
                <a:solidFill>
                  <a:srgbClr val="000000"/>
                </a:solidFill>
                <a:latin typeface="Times New Roman"/>
                <a:cs typeface="Times New Roman"/>
              </a:rPr>
              <a:t>0</a:t>
            </a:r>
          </a:p>
        </xdr:txBody>
      </xdr:sp>
      <xdr:sp macro="" textlink="">
        <xdr:nvSpPr>
          <xdr:cNvPr id="6" name="Rectangle 27">
            <a:extLst>
              <a:ext uri="{FF2B5EF4-FFF2-40B4-BE49-F238E27FC236}">
                <a16:creationId xmlns:a16="http://schemas.microsoft.com/office/drawing/2014/main" id="{00000000-0008-0000-0500-000006000000}"/>
              </a:ext>
            </a:extLst>
          </xdr:cNvPr>
          <xdr:cNvSpPr>
            <a:spLocks noChangeArrowheads="1"/>
          </xdr:cNvSpPr>
        </xdr:nvSpPr>
        <xdr:spPr bwMode="auto">
          <a:xfrm>
            <a:off x="1785" y="615"/>
            <a:ext cx="90" cy="240"/>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u="none" strike="noStrike" baseline="0">
                <a:solidFill>
                  <a:srgbClr val="000000"/>
                </a:solidFill>
                <a:latin typeface="Times New Roman"/>
                <a:cs typeface="Times New Roman"/>
              </a:rPr>
              <a:t>1</a:t>
            </a:r>
          </a:p>
        </xdr:txBody>
      </xdr:sp>
      <xdr:sp macro="" textlink="">
        <xdr:nvSpPr>
          <xdr:cNvPr id="7" name="Rectangle 26">
            <a:extLst>
              <a:ext uri="{FF2B5EF4-FFF2-40B4-BE49-F238E27FC236}">
                <a16:creationId xmlns:a16="http://schemas.microsoft.com/office/drawing/2014/main" id="{00000000-0008-0000-0500-000007000000}"/>
              </a:ext>
            </a:extLst>
          </xdr:cNvPr>
          <xdr:cNvSpPr>
            <a:spLocks noChangeArrowheads="1"/>
          </xdr:cNvSpPr>
        </xdr:nvSpPr>
        <xdr:spPr bwMode="auto">
          <a:xfrm>
            <a:off x="2924" y="615"/>
            <a:ext cx="255" cy="330"/>
          </a:xfrm>
          <a:prstGeom prst="rect">
            <a:avLst/>
          </a:prstGeom>
          <a:noFill/>
          <a:ln w="9525">
            <a:noFill/>
            <a:miter lim="800000"/>
            <a:headEnd/>
            <a:tailEnd/>
          </a:ln>
        </xdr:spPr>
        <xdr:txBody>
          <a:bodyPr vertOverflow="clip" wrap="square" lIns="0" tIns="0" rIns="0" bIns="0" anchor="t" upright="1"/>
          <a:lstStyle/>
          <a:p>
            <a:pPr algn="l" rtl="0">
              <a:defRPr sz="1000"/>
            </a:pPr>
            <a:r>
              <a:rPr lang="es-ES" sz="900" b="0" i="0" u="none" strike="noStrike" baseline="0">
                <a:solidFill>
                  <a:srgbClr val="000000"/>
                </a:solidFill>
                <a:latin typeface="Times New Roman"/>
                <a:cs typeface="Times New Roman"/>
              </a:rPr>
              <a:t>2</a:t>
            </a:r>
          </a:p>
        </xdr:txBody>
      </xdr:sp>
      <xdr:sp macro="" textlink="">
        <xdr:nvSpPr>
          <xdr:cNvPr id="8" name="Rectangle 25">
            <a:extLst>
              <a:ext uri="{FF2B5EF4-FFF2-40B4-BE49-F238E27FC236}">
                <a16:creationId xmlns:a16="http://schemas.microsoft.com/office/drawing/2014/main" id="{00000000-0008-0000-0500-000008000000}"/>
              </a:ext>
            </a:extLst>
          </xdr:cNvPr>
          <xdr:cNvSpPr>
            <a:spLocks noChangeArrowheads="1"/>
          </xdr:cNvSpPr>
        </xdr:nvSpPr>
        <xdr:spPr bwMode="auto">
          <a:xfrm>
            <a:off x="5174" y="615"/>
            <a:ext cx="90" cy="240"/>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u="none" strike="noStrike" baseline="0">
                <a:solidFill>
                  <a:srgbClr val="000000"/>
                </a:solidFill>
                <a:latin typeface="Times New Roman"/>
                <a:cs typeface="Times New Roman"/>
              </a:rPr>
              <a:t>n</a:t>
            </a:r>
          </a:p>
        </xdr:txBody>
      </xdr:sp>
      <xdr:sp macro="" textlink="">
        <xdr:nvSpPr>
          <xdr:cNvPr id="9" name="Rectangle 24">
            <a:extLst>
              <a:ext uri="{FF2B5EF4-FFF2-40B4-BE49-F238E27FC236}">
                <a16:creationId xmlns:a16="http://schemas.microsoft.com/office/drawing/2014/main" id="{00000000-0008-0000-0500-000009000000}"/>
              </a:ext>
            </a:extLst>
          </xdr:cNvPr>
          <xdr:cNvSpPr>
            <a:spLocks noChangeArrowheads="1"/>
          </xdr:cNvSpPr>
        </xdr:nvSpPr>
        <xdr:spPr bwMode="auto">
          <a:xfrm>
            <a:off x="1995" y="2520"/>
            <a:ext cx="1905" cy="315"/>
          </a:xfrm>
          <a:prstGeom prst="rect">
            <a:avLst/>
          </a:prstGeom>
          <a:noFill/>
          <a:ln w="9525">
            <a:noFill/>
            <a:miter lim="800000"/>
            <a:headEnd/>
            <a:tailEnd/>
          </a:ln>
        </xdr:spPr>
        <xdr:txBody>
          <a:bodyPr vertOverflow="clip" wrap="square" lIns="0" tIns="0" rIns="0" bIns="0" anchor="t" upright="1"/>
          <a:lstStyle/>
          <a:p>
            <a:pPr algn="l" rtl="0">
              <a:defRPr sz="1000"/>
            </a:pPr>
            <a:r>
              <a:rPr lang="es-ES" sz="1000" b="0" i="0" u="none" strike="noStrike" baseline="0">
                <a:solidFill>
                  <a:srgbClr val="000000"/>
                </a:solidFill>
                <a:latin typeface="Times New Roman"/>
                <a:cs typeface="Times New Roman"/>
              </a:rPr>
              <a:t>Vida útil:    "n" años</a:t>
            </a:r>
          </a:p>
        </xdr:txBody>
      </xdr:sp>
      <xdr:sp macro="" textlink="">
        <xdr:nvSpPr>
          <xdr:cNvPr id="10" name="Freeform 23">
            <a:extLst>
              <a:ext uri="{FF2B5EF4-FFF2-40B4-BE49-F238E27FC236}">
                <a16:creationId xmlns:a16="http://schemas.microsoft.com/office/drawing/2014/main" id="{00000000-0008-0000-0500-00000A000000}"/>
              </a:ext>
            </a:extLst>
          </xdr:cNvPr>
          <xdr:cNvSpPr>
            <a:spLocks/>
          </xdr:cNvSpPr>
        </xdr:nvSpPr>
        <xdr:spPr bwMode="auto">
          <a:xfrm>
            <a:off x="5105" y="2296"/>
            <a:ext cx="220" cy="180"/>
          </a:xfrm>
          <a:custGeom>
            <a:avLst/>
            <a:gdLst>
              <a:gd name="T0" fmla="*/ 2147483647 w 11"/>
              <a:gd name="T1" fmla="*/ 0 h 9"/>
              <a:gd name="T2" fmla="*/ 2147483647 w 11"/>
              <a:gd name="T3" fmla="*/ 2147483647 h 9"/>
              <a:gd name="T4" fmla="*/ 2147483647 w 11"/>
              <a:gd name="T5" fmla="*/ 2147483647 h 9"/>
              <a:gd name="T6" fmla="*/ 2147483647 w 11"/>
              <a:gd name="T7" fmla="*/ 2147483647 h 9"/>
              <a:gd name="T8" fmla="*/ 2147483647 w 11"/>
              <a:gd name="T9" fmla="*/ 0 h 9"/>
              <a:gd name="T10" fmla="*/ 0 60000 65536"/>
              <a:gd name="T11" fmla="*/ 0 60000 65536"/>
              <a:gd name="T12" fmla="*/ 0 60000 65536"/>
              <a:gd name="T13" fmla="*/ 0 60000 65536"/>
              <a:gd name="T14" fmla="*/ 0 60000 65536"/>
              <a:gd name="T15" fmla="*/ 0 w 11"/>
              <a:gd name="T16" fmla="*/ 0 h 9"/>
              <a:gd name="T17" fmla="*/ 11 w 11"/>
              <a:gd name="T18" fmla="*/ 9 h 9"/>
            </a:gdLst>
            <a:ahLst/>
            <a:cxnLst>
              <a:cxn ang="T10">
                <a:pos x="T0" y="T1"/>
              </a:cxn>
              <a:cxn ang="T11">
                <a:pos x="T2" y="T3"/>
              </a:cxn>
              <a:cxn ang="T12">
                <a:pos x="T4" y="T5"/>
              </a:cxn>
              <a:cxn ang="T13">
                <a:pos x="T6" y="T7"/>
              </a:cxn>
              <a:cxn ang="T14">
                <a:pos x="T8" y="T9"/>
              </a:cxn>
            </a:cxnLst>
            <a:rect l="T15" t="T16" r="T17" b="T18"/>
            <a:pathLst>
              <a:path w="11" h="9">
                <a:moveTo>
                  <a:pt x="1" y="0"/>
                </a:moveTo>
                <a:cubicBezTo>
                  <a:pt x="1" y="2"/>
                  <a:pt x="1" y="3"/>
                  <a:pt x="1" y="4"/>
                </a:cubicBezTo>
                <a:cubicBezTo>
                  <a:pt x="0" y="6"/>
                  <a:pt x="1" y="7"/>
                  <a:pt x="1" y="9"/>
                </a:cubicBezTo>
                <a:lnTo>
                  <a:pt x="11" y="5"/>
                </a:lnTo>
                <a:lnTo>
                  <a:pt x="1" y="0"/>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22">
            <a:extLst>
              <a:ext uri="{FF2B5EF4-FFF2-40B4-BE49-F238E27FC236}">
                <a16:creationId xmlns:a16="http://schemas.microsoft.com/office/drawing/2014/main" id="{00000000-0008-0000-0500-00000B000000}"/>
              </a:ext>
            </a:extLst>
          </xdr:cNvPr>
          <xdr:cNvSpPr>
            <a:spLocks/>
          </xdr:cNvSpPr>
        </xdr:nvSpPr>
        <xdr:spPr bwMode="auto">
          <a:xfrm>
            <a:off x="801" y="2296"/>
            <a:ext cx="200" cy="180"/>
          </a:xfrm>
          <a:custGeom>
            <a:avLst/>
            <a:gdLst>
              <a:gd name="T0" fmla="*/ 2147483647 w 10"/>
              <a:gd name="T1" fmla="*/ 2147483647 h 9"/>
              <a:gd name="T2" fmla="*/ 2147483647 w 10"/>
              <a:gd name="T3" fmla="*/ 2147483647 h 9"/>
              <a:gd name="T4" fmla="*/ 2147483647 w 10"/>
              <a:gd name="T5" fmla="*/ 0 h 9"/>
              <a:gd name="T6" fmla="*/ 0 w 10"/>
              <a:gd name="T7" fmla="*/ 2147483647 h 9"/>
              <a:gd name="T8" fmla="*/ 2147483647 w 10"/>
              <a:gd name="T9" fmla="*/ 2147483647 h 9"/>
              <a:gd name="T10" fmla="*/ 0 60000 65536"/>
              <a:gd name="T11" fmla="*/ 0 60000 65536"/>
              <a:gd name="T12" fmla="*/ 0 60000 65536"/>
              <a:gd name="T13" fmla="*/ 0 60000 65536"/>
              <a:gd name="T14" fmla="*/ 0 60000 65536"/>
              <a:gd name="T15" fmla="*/ 0 w 10"/>
              <a:gd name="T16" fmla="*/ 0 h 9"/>
              <a:gd name="T17" fmla="*/ 10 w 10"/>
              <a:gd name="T18" fmla="*/ 9 h 9"/>
            </a:gdLst>
            <a:ahLst/>
            <a:cxnLst>
              <a:cxn ang="T10">
                <a:pos x="T0" y="T1"/>
              </a:cxn>
              <a:cxn ang="T11">
                <a:pos x="T2" y="T3"/>
              </a:cxn>
              <a:cxn ang="T12">
                <a:pos x="T4" y="T5"/>
              </a:cxn>
              <a:cxn ang="T13">
                <a:pos x="T6" y="T7"/>
              </a:cxn>
              <a:cxn ang="T14">
                <a:pos x="T8" y="T9"/>
              </a:cxn>
            </a:cxnLst>
            <a:rect l="T15" t="T16" r="T17" b="T18"/>
            <a:pathLst>
              <a:path w="10" h="9">
                <a:moveTo>
                  <a:pt x="9" y="9"/>
                </a:moveTo>
                <a:cubicBezTo>
                  <a:pt x="9" y="7"/>
                  <a:pt x="10" y="6"/>
                  <a:pt x="10" y="5"/>
                </a:cubicBezTo>
                <a:cubicBezTo>
                  <a:pt x="10" y="3"/>
                  <a:pt x="9" y="2"/>
                  <a:pt x="9" y="0"/>
                </a:cubicBezTo>
                <a:lnTo>
                  <a:pt x="0" y="5"/>
                </a:lnTo>
                <a:lnTo>
                  <a:pt x="9" y="9"/>
                </a:lnTo>
                <a:close/>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sp macro="" textlink="">
        <xdr:nvSpPr>
          <xdr:cNvPr id="12" name="Line 21">
            <a:extLst>
              <a:ext uri="{FF2B5EF4-FFF2-40B4-BE49-F238E27FC236}">
                <a16:creationId xmlns:a16="http://schemas.microsoft.com/office/drawing/2014/main" id="{00000000-0008-0000-0500-00000C000000}"/>
              </a:ext>
            </a:extLst>
          </xdr:cNvPr>
          <xdr:cNvSpPr>
            <a:spLocks noChangeShapeType="1"/>
          </xdr:cNvSpPr>
        </xdr:nvSpPr>
        <xdr:spPr bwMode="auto">
          <a:xfrm>
            <a:off x="761" y="2397"/>
            <a:ext cx="4474" cy="1"/>
          </a:xfrm>
          <a:prstGeom prst="line">
            <a:avLst/>
          </a:prstGeom>
          <a:noFill/>
          <a:ln w="12700">
            <a:solidFill>
              <a:srgbClr val="000000"/>
            </a:solidFill>
            <a:round/>
            <a:headEnd type="stealth" w="med" len="med"/>
            <a:tailEnd type="stealth" w="med" len="med"/>
          </a:ln>
          <a:extLst>
            <a:ext uri="{909E8E84-426E-40DD-AFC4-6F175D3DCCD1}">
              <a14:hiddenFill xmlns:a14="http://schemas.microsoft.com/office/drawing/2010/main">
                <a:noFill/>
              </a14:hiddenFill>
            </a:ext>
          </a:extLst>
        </xdr:spPr>
      </xdr:sp>
      <xdr:sp macro="" textlink="">
        <xdr:nvSpPr>
          <xdr:cNvPr id="13" name="Rectangle 20">
            <a:extLst>
              <a:ext uri="{FF2B5EF4-FFF2-40B4-BE49-F238E27FC236}">
                <a16:creationId xmlns:a16="http://schemas.microsoft.com/office/drawing/2014/main" id="{00000000-0008-0000-0500-00000D000000}"/>
              </a:ext>
            </a:extLst>
          </xdr:cNvPr>
          <xdr:cNvSpPr>
            <a:spLocks noChangeArrowheads="1"/>
          </xdr:cNvSpPr>
        </xdr:nvSpPr>
        <xdr:spPr bwMode="auto">
          <a:xfrm>
            <a:off x="2790" y="1920"/>
            <a:ext cx="1650" cy="345"/>
          </a:xfrm>
          <a:prstGeom prst="rect">
            <a:avLst/>
          </a:prstGeom>
          <a:noFill/>
          <a:ln w="9525">
            <a:noFill/>
            <a:miter lim="800000"/>
            <a:headEnd/>
            <a:tailEnd/>
          </a:ln>
        </xdr:spPr>
        <xdr:txBody>
          <a:bodyPr vertOverflow="clip" wrap="square" lIns="0" tIns="0" rIns="0" bIns="0" anchor="t" upright="1"/>
          <a:lstStyle/>
          <a:p>
            <a:pPr algn="l" rtl="0">
              <a:defRPr sz="1000"/>
            </a:pPr>
            <a:r>
              <a:rPr lang="es-ES" sz="1000" b="0" i="0" u="none" strike="noStrike" baseline="0">
                <a:solidFill>
                  <a:srgbClr val="000000"/>
                </a:solidFill>
                <a:latin typeface="Times New Roman"/>
                <a:cs typeface="Times New Roman"/>
              </a:rPr>
              <a:t>Salidas de fondos</a:t>
            </a:r>
          </a:p>
        </xdr:txBody>
      </xdr:sp>
      <xdr:sp macro="" textlink="">
        <xdr:nvSpPr>
          <xdr:cNvPr id="14" name="AutoShape 19">
            <a:extLst>
              <a:ext uri="{FF2B5EF4-FFF2-40B4-BE49-F238E27FC236}">
                <a16:creationId xmlns:a16="http://schemas.microsoft.com/office/drawing/2014/main" id="{00000000-0008-0000-0500-00000E000000}"/>
              </a:ext>
            </a:extLst>
          </xdr:cNvPr>
          <xdr:cNvSpPr>
            <a:spLocks/>
          </xdr:cNvSpPr>
        </xdr:nvSpPr>
        <xdr:spPr bwMode="auto">
          <a:xfrm rot="-5400000">
            <a:off x="3434" y="31"/>
            <a:ext cx="340" cy="3402"/>
          </a:xfrm>
          <a:prstGeom prst="leftBrace">
            <a:avLst>
              <a:gd name="adj1" fmla="val 83382"/>
              <a:gd name="adj2" fmla="val 500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361950</xdr:colOff>
      <xdr:row>40</xdr:row>
      <xdr:rowOff>28575</xdr:rowOff>
    </xdr:from>
    <xdr:to>
      <xdr:col>9</xdr:col>
      <xdr:colOff>66675</xdr:colOff>
      <xdr:row>48</xdr:row>
      <xdr:rowOff>114300</xdr:rowOff>
    </xdr:to>
    <xdr:pic>
      <xdr:nvPicPr>
        <xdr:cNvPr id="26" name="Picture 66">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5925" y="10020300"/>
          <a:ext cx="35147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361950</xdr:colOff>
      <xdr:row>83</xdr:row>
      <xdr:rowOff>133350</xdr:rowOff>
    </xdr:from>
    <xdr:to>
      <xdr:col>8</xdr:col>
      <xdr:colOff>695325</xdr:colOff>
      <xdr:row>92</xdr:row>
      <xdr:rowOff>28575</xdr:rowOff>
    </xdr:to>
    <xdr:pic>
      <xdr:nvPicPr>
        <xdr:cNvPr id="27" name="Picture 69">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5925" y="20716875"/>
          <a:ext cx="3381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260350</xdr:colOff>
          <xdr:row>4</xdr:row>
          <xdr:rowOff>0</xdr:rowOff>
        </xdr:from>
        <xdr:to>
          <xdr:col>9</xdr:col>
          <xdr:colOff>450850</xdr:colOff>
          <xdr:row>4</xdr:row>
          <xdr:rowOff>0</xdr:rowOff>
        </xdr:to>
        <xdr:sp macro="" textlink="">
          <xdr:nvSpPr>
            <xdr:cNvPr id="145409" name="Object 1" hidden="1">
              <a:extLst>
                <a:ext uri="{63B3BB69-23CF-44E3-9099-C40C66FF867C}">
                  <a14:compatExt spid="_x0000_s145409"/>
                </a:ext>
                <a:ext uri="{FF2B5EF4-FFF2-40B4-BE49-F238E27FC236}">
                  <a16:creationId xmlns:a16="http://schemas.microsoft.com/office/drawing/2014/main" id="{00000000-0008-0000-0500-000001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527050</xdr:colOff>
          <xdr:row>4</xdr:row>
          <xdr:rowOff>0</xdr:rowOff>
        </xdr:from>
        <xdr:to>
          <xdr:col>8</xdr:col>
          <xdr:colOff>304800</xdr:colOff>
          <xdr:row>4</xdr:row>
          <xdr:rowOff>0</xdr:rowOff>
        </xdr:to>
        <xdr:sp macro="" textlink="">
          <xdr:nvSpPr>
            <xdr:cNvPr id="145410" name="Object 2" hidden="1">
              <a:extLst>
                <a:ext uri="{63B3BB69-23CF-44E3-9099-C40C66FF867C}">
                  <a14:compatExt spid="_x0000_s145410"/>
                </a:ext>
                <a:ext uri="{FF2B5EF4-FFF2-40B4-BE49-F238E27FC236}">
                  <a16:creationId xmlns:a16="http://schemas.microsoft.com/office/drawing/2014/main" id="{00000000-0008-0000-0500-000002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4</xdr:row>
          <xdr:rowOff>0</xdr:rowOff>
        </xdr:from>
        <xdr:to>
          <xdr:col>8</xdr:col>
          <xdr:colOff>38100</xdr:colOff>
          <xdr:row>4</xdr:row>
          <xdr:rowOff>0</xdr:rowOff>
        </xdr:to>
        <xdr:sp macro="" textlink="">
          <xdr:nvSpPr>
            <xdr:cNvPr id="145411" name="Object 3" hidden="1">
              <a:extLst>
                <a:ext uri="{63B3BB69-23CF-44E3-9099-C40C66FF867C}">
                  <a14:compatExt spid="_x0000_s145411"/>
                </a:ext>
                <a:ext uri="{FF2B5EF4-FFF2-40B4-BE49-F238E27FC236}">
                  <a16:creationId xmlns:a16="http://schemas.microsoft.com/office/drawing/2014/main" id="{00000000-0008-0000-0500-000003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412750</xdr:colOff>
          <xdr:row>4</xdr:row>
          <xdr:rowOff>0</xdr:rowOff>
        </xdr:from>
        <xdr:to>
          <xdr:col>9</xdr:col>
          <xdr:colOff>336550</xdr:colOff>
          <xdr:row>4</xdr:row>
          <xdr:rowOff>0</xdr:rowOff>
        </xdr:to>
        <xdr:sp macro="" textlink="">
          <xdr:nvSpPr>
            <xdr:cNvPr id="145412" name="Object 4" hidden="1">
              <a:extLst>
                <a:ext uri="{63B3BB69-23CF-44E3-9099-C40C66FF867C}">
                  <a14:compatExt spid="_x0000_s145412"/>
                </a:ext>
                <a:ext uri="{FF2B5EF4-FFF2-40B4-BE49-F238E27FC236}">
                  <a16:creationId xmlns:a16="http://schemas.microsoft.com/office/drawing/2014/main" id="{00000000-0008-0000-0500-000004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336550</xdr:colOff>
          <xdr:row>4</xdr:row>
          <xdr:rowOff>0</xdr:rowOff>
        </xdr:from>
        <xdr:to>
          <xdr:col>7</xdr:col>
          <xdr:colOff>222250</xdr:colOff>
          <xdr:row>4</xdr:row>
          <xdr:rowOff>0</xdr:rowOff>
        </xdr:to>
        <xdr:sp macro="" textlink="">
          <xdr:nvSpPr>
            <xdr:cNvPr id="145413" name="Object 5" hidden="1">
              <a:extLst>
                <a:ext uri="{63B3BB69-23CF-44E3-9099-C40C66FF867C}">
                  <a14:compatExt spid="_x0000_s145413"/>
                </a:ext>
                <a:ext uri="{FF2B5EF4-FFF2-40B4-BE49-F238E27FC236}">
                  <a16:creationId xmlns:a16="http://schemas.microsoft.com/office/drawing/2014/main" id="{00000000-0008-0000-0500-000005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184150</xdr:colOff>
          <xdr:row>51</xdr:row>
          <xdr:rowOff>184150</xdr:rowOff>
        </xdr:from>
        <xdr:to>
          <xdr:col>10</xdr:col>
          <xdr:colOff>50800</xdr:colOff>
          <xdr:row>54</xdr:row>
          <xdr:rowOff>69850</xdr:rowOff>
        </xdr:to>
        <xdr:sp macro="" textlink="">
          <xdr:nvSpPr>
            <xdr:cNvPr id="145414" name="Object 6" hidden="1">
              <a:extLst>
                <a:ext uri="{63B3BB69-23CF-44E3-9099-C40C66FF867C}">
                  <a14:compatExt spid="_x0000_s145414"/>
                </a:ext>
                <a:ext uri="{FF2B5EF4-FFF2-40B4-BE49-F238E27FC236}">
                  <a16:creationId xmlns:a16="http://schemas.microsoft.com/office/drawing/2014/main" id="{00000000-0008-0000-0500-000006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69850</xdr:colOff>
          <xdr:row>62</xdr:row>
          <xdr:rowOff>12700</xdr:rowOff>
        </xdr:from>
        <xdr:to>
          <xdr:col>7</xdr:col>
          <xdr:colOff>260350</xdr:colOff>
          <xdr:row>64</xdr:row>
          <xdr:rowOff>31750</xdr:rowOff>
        </xdr:to>
        <xdr:sp macro="" textlink="">
          <xdr:nvSpPr>
            <xdr:cNvPr id="145415" name="Object 7" hidden="1">
              <a:extLst>
                <a:ext uri="{63B3BB69-23CF-44E3-9099-C40C66FF867C}">
                  <a14:compatExt spid="_x0000_s145415"/>
                </a:ext>
                <a:ext uri="{FF2B5EF4-FFF2-40B4-BE49-F238E27FC236}">
                  <a16:creationId xmlns:a16="http://schemas.microsoft.com/office/drawing/2014/main" id="{00000000-0008-0000-0500-000007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317500</xdr:colOff>
          <xdr:row>97</xdr:row>
          <xdr:rowOff>107950</xdr:rowOff>
        </xdr:from>
        <xdr:to>
          <xdr:col>8</xdr:col>
          <xdr:colOff>495300</xdr:colOff>
          <xdr:row>99</xdr:row>
          <xdr:rowOff>184150</xdr:rowOff>
        </xdr:to>
        <xdr:sp macro="" textlink="">
          <xdr:nvSpPr>
            <xdr:cNvPr id="145416" name="Object 8" hidden="1">
              <a:extLst>
                <a:ext uri="{63B3BB69-23CF-44E3-9099-C40C66FF867C}">
                  <a14:compatExt spid="_x0000_s145416"/>
                </a:ext>
                <a:ext uri="{FF2B5EF4-FFF2-40B4-BE49-F238E27FC236}">
                  <a16:creationId xmlns:a16="http://schemas.microsoft.com/office/drawing/2014/main" id="{00000000-0008-0000-0500-000008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698500</xdr:colOff>
          <xdr:row>105</xdr:row>
          <xdr:rowOff>152400</xdr:rowOff>
        </xdr:from>
        <xdr:to>
          <xdr:col>5</xdr:col>
          <xdr:colOff>698500</xdr:colOff>
          <xdr:row>108</xdr:row>
          <xdr:rowOff>31750</xdr:rowOff>
        </xdr:to>
        <xdr:sp macro="" textlink="">
          <xdr:nvSpPr>
            <xdr:cNvPr id="145417" name="Object 9" hidden="1">
              <a:extLst>
                <a:ext uri="{63B3BB69-23CF-44E3-9099-C40C66FF867C}">
                  <a14:compatExt spid="_x0000_s145417"/>
                </a:ext>
                <a:ext uri="{FF2B5EF4-FFF2-40B4-BE49-F238E27FC236}">
                  <a16:creationId xmlns:a16="http://schemas.microsoft.com/office/drawing/2014/main" id="{00000000-0008-0000-0500-000009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717550</xdr:colOff>
          <xdr:row>121</xdr:row>
          <xdr:rowOff>107950</xdr:rowOff>
        </xdr:from>
        <xdr:to>
          <xdr:col>8</xdr:col>
          <xdr:colOff>38100</xdr:colOff>
          <xdr:row>123</xdr:row>
          <xdr:rowOff>114300</xdr:rowOff>
        </xdr:to>
        <xdr:sp macro="" textlink="">
          <xdr:nvSpPr>
            <xdr:cNvPr id="145418" name="Object 10" hidden="1">
              <a:extLst>
                <a:ext uri="{63B3BB69-23CF-44E3-9099-C40C66FF867C}">
                  <a14:compatExt spid="_x0000_s145418"/>
                </a:ext>
                <a:ext uri="{FF2B5EF4-FFF2-40B4-BE49-F238E27FC236}">
                  <a16:creationId xmlns:a16="http://schemas.microsoft.com/office/drawing/2014/main" id="{00000000-0008-0000-0500-00000A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28574</xdr:colOff>
      <xdr:row>24</xdr:row>
      <xdr:rowOff>76200</xdr:rowOff>
    </xdr:from>
    <xdr:to>
      <xdr:col>13</xdr:col>
      <xdr:colOff>104775</xdr:colOff>
      <xdr:row>36</xdr:row>
      <xdr:rowOff>28575</xdr:rowOff>
    </xdr:to>
    <xdr:sp macro="" textlink="">
      <xdr:nvSpPr>
        <xdr:cNvPr id="2" name="Rectángulo 1">
          <a:extLst>
            <a:ext uri="{FF2B5EF4-FFF2-40B4-BE49-F238E27FC236}">
              <a16:creationId xmlns:a16="http://schemas.microsoft.com/office/drawing/2014/main" id="{00000000-0008-0000-0E00-000002000000}"/>
            </a:ext>
          </a:extLst>
        </xdr:cNvPr>
        <xdr:cNvSpPr/>
      </xdr:nvSpPr>
      <xdr:spPr>
        <a:xfrm>
          <a:off x="4686299" y="4648200"/>
          <a:ext cx="3124201" cy="2238375"/>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152287</xdr:colOff>
      <xdr:row>48</xdr:row>
      <xdr:rowOff>41224</xdr:rowOff>
    </xdr:from>
    <xdr:to>
      <xdr:col>8</xdr:col>
      <xdr:colOff>304800</xdr:colOff>
      <xdr:row>51</xdr:row>
      <xdr:rowOff>183670</xdr:rowOff>
    </xdr:to>
    <xdr:grpSp>
      <xdr:nvGrpSpPr>
        <xdr:cNvPr id="3" name="Grupo 2">
          <a:extLst>
            <a:ext uri="{FF2B5EF4-FFF2-40B4-BE49-F238E27FC236}">
              <a16:creationId xmlns:a16="http://schemas.microsoft.com/office/drawing/2014/main" id="{00000000-0008-0000-0E00-000003000000}"/>
            </a:ext>
          </a:extLst>
        </xdr:cNvPr>
        <xdr:cNvGrpSpPr/>
      </xdr:nvGrpSpPr>
      <xdr:grpSpPr>
        <a:xfrm>
          <a:off x="2209687" y="8880424"/>
          <a:ext cx="2438513" cy="694896"/>
          <a:chOff x="2095388" y="631774"/>
          <a:chExt cx="2886299" cy="713946"/>
        </a:xfrm>
      </xdr:grpSpPr>
      <xdr:grpSp>
        <xdr:nvGrpSpPr>
          <xdr:cNvPr id="4" name="Group 13">
            <a:extLst>
              <a:ext uri="{FF2B5EF4-FFF2-40B4-BE49-F238E27FC236}">
                <a16:creationId xmlns:a16="http://schemas.microsoft.com/office/drawing/2014/main" id="{00000000-0008-0000-0E00-000004000000}"/>
              </a:ext>
            </a:extLst>
          </xdr:cNvPr>
          <xdr:cNvGrpSpPr>
            <a:grpSpLocks/>
          </xdr:cNvGrpSpPr>
        </xdr:nvGrpSpPr>
        <xdr:grpSpPr bwMode="auto">
          <a:xfrm>
            <a:off x="2162868" y="631774"/>
            <a:ext cx="2748272" cy="713946"/>
            <a:chOff x="1266" y="2038"/>
            <a:chExt cx="3648" cy="650"/>
          </a:xfrm>
        </xdr:grpSpPr>
        <xdr:sp macro="" textlink="">
          <xdr:nvSpPr>
            <xdr:cNvPr id="11" name="Line 5">
              <a:extLst>
                <a:ext uri="{FF2B5EF4-FFF2-40B4-BE49-F238E27FC236}">
                  <a16:creationId xmlns:a16="http://schemas.microsoft.com/office/drawing/2014/main" id="{00000000-0008-0000-0E00-00000B000000}"/>
                </a:ext>
              </a:extLst>
            </xdr:cNvPr>
            <xdr:cNvSpPr>
              <a:spLocks noChangeShapeType="1"/>
            </xdr:cNvSpPr>
          </xdr:nvSpPr>
          <xdr:spPr bwMode="auto">
            <a:xfrm>
              <a:off x="1266" y="2365"/>
              <a:ext cx="3648"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6">
              <a:extLst>
                <a:ext uri="{FF2B5EF4-FFF2-40B4-BE49-F238E27FC236}">
                  <a16:creationId xmlns:a16="http://schemas.microsoft.com/office/drawing/2014/main" id="{00000000-0008-0000-0E00-00000C000000}"/>
                </a:ext>
              </a:extLst>
            </xdr:cNvPr>
            <xdr:cNvSpPr>
              <a:spLocks noChangeShapeType="1"/>
            </xdr:cNvSpPr>
          </xdr:nvSpPr>
          <xdr:spPr bwMode="auto">
            <a:xfrm>
              <a:off x="1271" y="2365"/>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7">
              <a:extLst>
                <a:ext uri="{FF2B5EF4-FFF2-40B4-BE49-F238E27FC236}">
                  <a16:creationId xmlns:a16="http://schemas.microsoft.com/office/drawing/2014/main" id="{00000000-0008-0000-0E00-00000D000000}"/>
                </a:ext>
              </a:extLst>
            </xdr:cNvPr>
            <xdr:cNvSpPr>
              <a:spLocks noChangeShapeType="1"/>
            </xdr:cNvSpPr>
          </xdr:nvSpPr>
          <xdr:spPr bwMode="auto">
            <a:xfrm flipV="1">
              <a:off x="2024"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00000000-0008-0000-0E00-00000E000000}"/>
                </a:ext>
              </a:extLst>
            </xdr:cNvPr>
            <xdr:cNvSpPr>
              <a:spLocks noChangeShapeType="1"/>
            </xdr:cNvSpPr>
          </xdr:nvSpPr>
          <xdr:spPr bwMode="auto">
            <a:xfrm flipV="1">
              <a:off x="2723"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0">
              <a:extLst>
                <a:ext uri="{FF2B5EF4-FFF2-40B4-BE49-F238E27FC236}">
                  <a16:creationId xmlns:a16="http://schemas.microsoft.com/office/drawing/2014/main" id="{00000000-0008-0000-0E00-00000F000000}"/>
                </a:ext>
              </a:extLst>
            </xdr:cNvPr>
            <xdr:cNvSpPr>
              <a:spLocks noChangeShapeType="1"/>
            </xdr:cNvSpPr>
          </xdr:nvSpPr>
          <xdr:spPr bwMode="auto">
            <a:xfrm flipV="1">
              <a:off x="3440" y="2041"/>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1">
              <a:extLst>
                <a:ext uri="{FF2B5EF4-FFF2-40B4-BE49-F238E27FC236}">
                  <a16:creationId xmlns:a16="http://schemas.microsoft.com/office/drawing/2014/main" id="{00000000-0008-0000-0E00-000010000000}"/>
                </a:ext>
              </a:extLst>
            </xdr:cNvPr>
            <xdr:cNvSpPr>
              <a:spLocks noChangeShapeType="1"/>
            </xdr:cNvSpPr>
          </xdr:nvSpPr>
          <xdr:spPr bwMode="auto">
            <a:xfrm flipV="1">
              <a:off x="4175"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7" name="Line 12">
              <a:extLst>
                <a:ext uri="{FF2B5EF4-FFF2-40B4-BE49-F238E27FC236}">
                  <a16:creationId xmlns:a16="http://schemas.microsoft.com/office/drawing/2014/main" id="{00000000-0008-0000-0E00-000011000000}"/>
                </a:ext>
              </a:extLst>
            </xdr:cNvPr>
            <xdr:cNvSpPr>
              <a:spLocks noChangeShapeType="1"/>
            </xdr:cNvSpPr>
          </xdr:nvSpPr>
          <xdr:spPr bwMode="auto">
            <a:xfrm flipV="1">
              <a:off x="4901"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5" name="Text Box 21">
            <a:extLst>
              <a:ext uri="{FF2B5EF4-FFF2-40B4-BE49-F238E27FC236}">
                <a16:creationId xmlns:a16="http://schemas.microsoft.com/office/drawing/2014/main" id="{00000000-0008-0000-0E00-000005000000}"/>
              </a:ext>
            </a:extLst>
          </xdr:cNvPr>
          <xdr:cNvSpPr txBox="1">
            <a:spLocks noChangeArrowheads="1"/>
          </xdr:cNvSpPr>
        </xdr:nvSpPr>
        <xdr:spPr bwMode="auto">
          <a:xfrm>
            <a:off x="2655676" y="999730"/>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1</a:t>
            </a:r>
          </a:p>
        </xdr:txBody>
      </xdr:sp>
      <xdr:sp macro="" textlink="">
        <xdr:nvSpPr>
          <xdr:cNvPr id="6" name="Text Box 22">
            <a:extLst>
              <a:ext uri="{FF2B5EF4-FFF2-40B4-BE49-F238E27FC236}">
                <a16:creationId xmlns:a16="http://schemas.microsoft.com/office/drawing/2014/main" id="{00000000-0008-0000-0E00-000006000000}"/>
              </a:ext>
            </a:extLst>
          </xdr:cNvPr>
          <xdr:cNvSpPr txBox="1">
            <a:spLocks noChangeArrowheads="1"/>
          </xdr:cNvSpPr>
        </xdr:nvSpPr>
        <xdr:spPr bwMode="auto">
          <a:xfrm>
            <a:off x="3178134"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2</a:t>
            </a:r>
          </a:p>
        </xdr:txBody>
      </xdr:sp>
      <xdr:sp macro="" textlink="">
        <xdr:nvSpPr>
          <xdr:cNvPr id="7" name="Text Box 23">
            <a:extLst>
              <a:ext uri="{FF2B5EF4-FFF2-40B4-BE49-F238E27FC236}">
                <a16:creationId xmlns:a16="http://schemas.microsoft.com/office/drawing/2014/main" id="{00000000-0008-0000-0E00-000007000000}"/>
              </a:ext>
            </a:extLst>
          </xdr:cNvPr>
          <xdr:cNvSpPr txBox="1">
            <a:spLocks noChangeArrowheads="1"/>
          </xdr:cNvSpPr>
        </xdr:nvSpPr>
        <xdr:spPr bwMode="auto">
          <a:xfrm>
            <a:off x="3699569" y="98105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3</a:t>
            </a:r>
          </a:p>
        </xdr:txBody>
      </xdr:sp>
      <xdr:sp macro="" textlink="">
        <xdr:nvSpPr>
          <xdr:cNvPr id="8" name="Text Box 24">
            <a:extLst>
              <a:ext uri="{FF2B5EF4-FFF2-40B4-BE49-F238E27FC236}">
                <a16:creationId xmlns:a16="http://schemas.microsoft.com/office/drawing/2014/main" id="{00000000-0008-0000-0E00-000008000000}"/>
              </a:ext>
            </a:extLst>
          </xdr:cNvPr>
          <xdr:cNvSpPr txBox="1">
            <a:spLocks noChangeArrowheads="1"/>
          </xdr:cNvSpPr>
        </xdr:nvSpPr>
        <xdr:spPr bwMode="auto">
          <a:xfrm>
            <a:off x="4270081"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4</a:t>
            </a:r>
          </a:p>
        </xdr:txBody>
      </xdr:sp>
      <xdr:sp macro="" textlink="">
        <xdr:nvSpPr>
          <xdr:cNvPr id="9" name="Text Box 25">
            <a:extLst>
              <a:ext uri="{FF2B5EF4-FFF2-40B4-BE49-F238E27FC236}">
                <a16:creationId xmlns:a16="http://schemas.microsoft.com/office/drawing/2014/main" id="{00000000-0008-0000-0E00-000009000000}"/>
              </a:ext>
            </a:extLst>
          </xdr:cNvPr>
          <xdr:cNvSpPr txBox="1">
            <a:spLocks noChangeArrowheads="1"/>
          </xdr:cNvSpPr>
        </xdr:nvSpPr>
        <xdr:spPr bwMode="auto">
          <a:xfrm>
            <a:off x="4810942"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5</a:t>
            </a:r>
          </a:p>
        </xdr:txBody>
      </xdr:sp>
      <xdr:sp macro="" textlink="">
        <xdr:nvSpPr>
          <xdr:cNvPr id="10" name="Text Box 26">
            <a:extLst>
              <a:ext uri="{FF2B5EF4-FFF2-40B4-BE49-F238E27FC236}">
                <a16:creationId xmlns:a16="http://schemas.microsoft.com/office/drawing/2014/main" id="{00000000-0008-0000-0E00-00000A000000}"/>
              </a:ext>
            </a:extLst>
          </xdr:cNvPr>
          <xdr:cNvSpPr txBox="1">
            <a:spLocks noChangeArrowheads="1"/>
          </xdr:cNvSpPr>
        </xdr:nvSpPr>
        <xdr:spPr bwMode="auto">
          <a:xfrm>
            <a:off x="2095388" y="79103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0</a:t>
            </a:r>
          </a:p>
        </xdr:txBody>
      </xdr:sp>
    </xdr:grpSp>
    <xdr:clientData/>
  </xdr:twoCellAnchor>
  <xdr:twoCellAnchor>
    <xdr:from>
      <xdr:col>3</xdr:col>
      <xdr:colOff>171450</xdr:colOff>
      <xdr:row>59</xdr:row>
      <xdr:rowOff>47625</xdr:rowOff>
    </xdr:from>
    <xdr:to>
      <xdr:col>8</xdr:col>
      <xdr:colOff>266700</xdr:colOff>
      <xdr:row>62</xdr:row>
      <xdr:rowOff>190071</xdr:rowOff>
    </xdr:to>
    <xdr:grpSp>
      <xdr:nvGrpSpPr>
        <xdr:cNvPr id="18" name="Grupo 17">
          <a:extLst>
            <a:ext uri="{FF2B5EF4-FFF2-40B4-BE49-F238E27FC236}">
              <a16:creationId xmlns:a16="http://schemas.microsoft.com/office/drawing/2014/main" id="{00000000-0008-0000-0E00-000012000000}"/>
            </a:ext>
          </a:extLst>
        </xdr:cNvPr>
        <xdr:cNvGrpSpPr/>
      </xdr:nvGrpSpPr>
      <xdr:grpSpPr>
        <a:xfrm>
          <a:off x="2228850" y="10912475"/>
          <a:ext cx="2381250" cy="688546"/>
          <a:chOff x="2095388" y="631774"/>
          <a:chExt cx="2886299" cy="713946"/>
        </a:xfrm>
      </xdr:grpSpPr>
      <xdr:grpSp>
        <xdr:nvGrpSpPr>
          <xdr:cNvPr id="19" name="Group 13">
            <a:extLst>
              <a:ext uri="{FF2B5EF4-FFF2-40B4-BE49-F238E27FC236}">
                <a16:creationId xmlns:a16="http://schemas.microsoft.com/office/drawing/2014/main" id="{00000000-0008-0000-0E00-000013000000}"/>
              </a:ext>
            </a:extLst>
          </xdr:cNvPr>
          <xdr:cNvGrpSpPr>
            <a:grpSpLocks/>
          </xdr:cNvGrpSpPr>
        </xdr:nvGrpSpPr>
        <xdr:grpSpPr bwMode="auto">
          <a:xfrm>
            <a:off x="2162868" y="631774"/>
            <a:ext cx="2748272" cy="713946"/>
            <a:chOff x="1266" y="2038"/>
            <a:chExt cx="3648" cy="650"/>
          </a:xfrm>
        </xdr:grpSpPr>
        <xdr:sp macro="" textlink="">
          <xdr:nvSpPr>
            <xdr:cNvPr id="26" name="Line 5">
              <a:extLst>
                <a:ext uri="{FF2B5EF4-FFF2-40B4-BE49-F238E27FC236}">
                  <a16:creationId xmlns:a16="http://schemas.microsoft.com/office/drawing/2014/main" id="{00000000-0008-0000-0E00-00001A000000}"/>
                </a:ext>
              </a:extLst>
            </xdr:cNvPr>
            <xdr:cNvSpPr>
              <a:spLocks noChangeShapeType="1"/>
            </xdr:cNvSpPr>
          </xdr:nvSpPr>
          <xdr:spPr bwMode="auto">
            <a:xfrm>
              <a:off x="1266" y="2365"/>
              <a:ext cx="3648"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00000000-0008-0000-0E00-00001B000000}"/>
                </a:ext>
              </a:extLst>
            </xdr:cNvPr>
            <xdr:cNvSpPr>
              <a:spLocks noChangeShapeType="1"/>
            </xdr:cNvSpPr>
          </xdr:nvSpPr>
          <xdr:spPr bwMode="auto">
            <a:xfrm>
              <a:off x="1271" y="2365"/>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8" name="Line 7">
              <a:extLst>
                <a:ext uri="{FF2B5EF4-FFF2-40B4-BE49-F238E27FC236}">
                  <a16:creationId xmlns:a16="http://schemas.microsoft.com/office/drawing/2014/main" id="{00000000-0008-0000-0E00-00001C000000}"/>
                </a:ext>
              </a:extLst>
            </xdr:cNvPr>
            <xdr:cNvSpPr>
              <a:spLocks noChangeShapeType="1"/>
            </xdr:cNvSpPr>
          </xdr:nvSpPr>
          <xdr:spPr bwMode="auto">
            <a:xfrm flipV="1">
              <a:off x="2024"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9" name="Line 8">
              <a:extLst>
                <a:ext uri="{FF2B5EF4-FFF2-40B4-BE49-F238E27FC236}">
                  <a16:creationId xmlns:a16="http://schemas.microsoft.com/office/drawing/2014/main" id="{00000000-0008-0000-0E00-00001D000000}"/>
                </a:ext>
              </a:extLst>
            </xdr:cNvPr>
            <xdr:cNvSpPr>
              <a:spLocks noChangeShapeType="1"/>
            </xdr:cNvSpPr>
          </xdr:nvSpPr>
          <xdr:spPr bwMode="auto">
            <a:xfrm flipV="1">
              <a:off x="2723"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30" name="Line 10">
              <a:extLst>
                <a:ext uri="{FF2B5EF4-FFF2-40B4-BE49-F238E27FC236}">
                  <a16:creationId xmlns:a16="http://schemas.microsoft.com/office/drawing/2014/main" id="{00000000-0008-0000-0E00-00001E000000}"/>
                </a:ext>
              </a:extLst>
            </xdr:cNvPr>
            <xdr:cNvSpPr>
              <a:spLocks noChangeShapeType="1"/>
            </xdr:cNvSpPr>
          </xdr:nvSpPr>
          <xdr:spPr bwMode="auto">
            <a:xfrm flipV="1">
              <a:off x="3440" y="2041"/>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31" name="Line 11">
              <a:extLst>
                <a:ext uri="{FF2B5EF4-FFF2-40B4-BE49-F238E27FC236}">
                  <a16:creationId xmlns:a16="http://schemas.microsoft.com/office/drawing/2014/main" id="{00000000-0008-0000-0E00-00001F000000}"/>
                </a:ext>
              </a:extLst>
            </xdr:cNvPr>
            <xdr:cNvSpPr>
              <a:spLocks noChangeShapeType="1"/>
            </xdr:cNvSpPr>
          </xdr:nvSpPr>
          <xdr:spPr bwMode="auto">
            <a:xfrm flipV="1">
              <a:off x="4175"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32" name="Line 12">
              <a:extLst>
                <a:ext uri="{FF2B5EF4-FFF2-40B4-BE49-F238E27FC236}">
                  <a16:creationId xmlns:a16="http://schemas.microsoft.com/office/drawing/2014/main" id="{00000000-0008-0000-0E00-000020000000}"/>
                </a:ext>
              </a:extLst>
            </xdr:cNvPr>
            <xdr:cNvSpPr>
              <a:spLocks noChangeShapeType="1"/>
            </xdr:cNvSpPr>
          </xdr:nvSpPr>
          <xdr:spPr bwMode="auto">
            <a:xfrm flipV="1">
              <a:off x="4901"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0" name="Text Box 21">
            <a:extLst>
              <a:ext uri="{FF2B5EF4-FFF2-40B4-BE49-F238E27FC236}">
                <a16:creationId xmlns:a16="http://schemas.microsoft.com/office/drawing/2014/main" id="{00000000-0008-0000-0E00-000014000000}"/>
              </a:ext>
            </a:extLst>
          </xdr:cNvPr>
          <xdr:cNvSpPr txBox="1">
            <a:spLocks noChangeArrowheads="1"/>
          </xdr:cNvSpPr>
        </xdr:nvSpPr>
        <xdr:spPr bwMode="auto">
          <a:xfrm>
            <a:off x="2655676" y="999730"/>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1</a:t>
            </a:r>
          </a:p>
        </xdr:txBody>
      </xdr:sp>
      <xdr:sp macro="" textlink="">
        <xdr:nvSpPr>
          <xdr:cNvPr id="21" name="Text Box 22">
            <a:extLst>
              <a:ext uri="{FF2B5EF4-FFF2-40B4-BE49-F238E27FC236}">
                <a16:creationId xmlns:a16="http://schemas.microsoft.com/office/drawing/2014/main" id="{00000000-0008-0000-0E00-000015000000}"/>
              </a:ext>
            </a:extLst>
          </xdr:cNvPr>
          <xdr:cNvSpPr txBox="1">
            <a:spLocks noChangeArrowheads="1"/>
          </xdr:cNvSpPr>
        </xdr:nvSpPr>
        <xdr:spPr bwMode="auto">
          <a:xfrm>
            <a:off x="3178134"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2</a:t>
            </a:r>
          </a:p>
        </xdr:txBody>
      </xdr:sp>
      <xdr:sp macro="" textlink="">
        <xdr:nvSpPr>
          <xdr:cNvPr id="22" name="Text Box 23">
            <a:extLst>
              <a:ext uri="{FF2B5EF4-FFF2-40B4-BE49-F238E27FC236}">
                <a16:creationId xmlns:a16="http://schemas.microsoft.com/office/drawing/2014/main" id="{00000000-0008-0000-0E00-000016000000}"/>
              </a:ext>
            </a:extLst>
          </xdr:cNvPr>
          <xdr:cNvSpPr txBox="1">
            <a:spLocks noChangeArrowheads="1"/>
          </xdr:cNvSpPr>
        </xdr:nvSpPr>
        <xdr:spPr bwMode="auto">
          <a:xfrm>
            <a:off x="3699569" y="98105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3</a:t>
            </a:r>
          </a:p>
        </xdr:txBody>
      </xdr:sp>
      <xdr:sp macro="" textlink="">
        <xdr:nvSpPr>
          <xdr:cNvPr id="23" name="Text Box 24">
            <a:extLst>
              <a:ext uri="{FF2B5EF4-FFF2-40B4-BE49-F238E27FC236}">
                <a16:creationId xmlns:a16="http://schemas.microsoft.com/office/drawing/2014/main" id="{00000000-0008-0000-0E00-000017000000}"/>
              </a:ext>
            </a:extLst>
          </xdr:cNvPr>
          <xdr:cNvSpPr txBox="1">
            <a:spLocks noChangeArrowheads="1"/>
          </xdr:cNvSpPr>
        </xdr:nvSpPr>
        <xdr:spPr bwMode="auto">
          <a:xfrm>
            <a:off x="4270081"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4</a:t>
            </a:r>
          </a:p>
        </xdr:txBody>
      </xdr:sp>
      <xdr:sp macro="" textlink="">
        <xdr:nvSpPr>
          <xdr:cNvPr id="24" name="Text Box 25">
            <a:extLst>
              <a:ext uri="{FF2B5EF4-FFF2-40B4-BE49-F238E27FC236}">
                <a16:creationId xmlns:a16="http://schemas.microsoft.com/office/drawing/2014/main" id="{00000000-0008-0000-0E00-000018000000}"/>
              </a:ext>
            </a:extLst>
          </xdr:cNvPr>
          <xdr:cNvSpPr txBox="1">
            <a:spLocks noChangeArrowheads="1"/>
          </xdr:cNvSpPr>
        </xdr:nvSpPr>
        <xdr:spPr bwMode="auto">
          <a:xfrm>
            <a:off x="4810942"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5</a:t>
            </a:r>
          </a:p>
        </xdr:txBody>
      </xdr:sp>
      <xdr:sp macro="" textlink="">
        <xdr:nvSpPr>
          <xdr:cNvPr id="25" name="Text Box 26">
            <a:extLst>
              <a:ext uri="{FF2B5EF4-FFF2-40B4-BE49-F238E27FC236}">
                <a16:creationId xmlns:a16="http://schemas.microsoft.com/office/drawing/2014/main" id="{00000000-0008-0000-0E00-000019000000}"/>
              </a:ext>
            </a:extLst>
          </xdr:cNvPr>
          <xdr:cNvSpPr txBox="1">
            <a:spLocks noChangeArrowheads="1"/>
          </xdr:cNvSpPr>
        </xdr:nvSpPr>
        <xdr:spPr bwMode="auto">
          <a:xfrm>
            <a:off x="2095388" y="79103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0</a:t>
            </a:r>
          </a:p>
        </xdr:txBody>
      </xdr:sp>
    </xdr:grpSp>
    <xdr:clientData/>
  </xdr:twoCellAnchor>
  <xdr:oneCellAnchor>
    <xdr:from>
      <xdr:col>9</xdr:col>
      <xdr:colOff>38100</xdr:colOff>
      <xdr:row>38</xdr:row>
      <xdr:rowOff>57150</xdr:rowOff>
    </xdr:from>
    <xdr:ext cx="3114675" cy="264560"/>
    <xdr:sp macro="" textlink="">
      <xdr:nvSpPr>
        <xdr:cNvPr id="33" name="CuadroTexto 32">
          <a:extLst>
            <a:ext uri="{FF2B5EF4-FFF2-40B4-BE49-F238E27FC236}">
              <a16:creationId xmlns:a16="http://schemas.microsoft.com/office/drawing/2014/main" id="{00000000-0008-0000-0E00-000021000000}"/>
            </a:ext>
          </a:extLst>
        </xdr:cNvPr>
        <xdr:cNvSpPr txBox="1"/>
      </xdr:nvSpPr>
      <xdr:spPr>
        <a:xfrm>
          <a:off x="4695825" y="7296150"/>
          <a:ext cx="3114675" cy="264560"/>
        </a:xfrm>
        <a:prstGeom prst="rect">
          <a:avLst/>
        </a:prstGeom>
        <a:solidFill>
          <a:srgbClr val="CC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100" b="1"/>
            <a:t>Tipo de descuento</a:t>
          </a:r>
        </a:p>
      </xdr:txBody>
    </xdr:sp>
    <xdr:clientData/>
  </xdr:oneCellAnchor>
  <xdr:twoCellAnchor>
    <xdr:from>
      <xdr:col>9</xdr:col>
      <xdr:colOff>190500</xdr:colOff>
      <xdr:row>26</xdr:row>
      <xdr:rowOff>152400</xdr:rowOff>
    </xdr:from>
    <xdr:to>
      <xdr:col>12</xdr:col>
      <xdr:colOff>687617</xdr:colOff>
      <xdr:row>33</xdr:row>
      <xdr:rowOff>178835</xdr:rowOff>
    </xdr:to>
    <xdr:grpSp>
      <xdr:nvGrpSpPr>
        <xdr:cNvPr id="34" name="Grupo 33">
          <a:extLst>
            <a:ext uri="{FF2B5EF4-FFF2-40B4-BE49-F238E27FC236}">
              <a16:creationId xmlns:a16="http://schemas.microsoft.com/office/drawing/2014/main" id="{00000000-0008-0000-0E00-000022000000}"/>
            </a:ext>
          </a:extLst>
        </xdr:cNvPr>
        <xdr:cNvGrpSpPr/>
      </xdr:nvGrpSpPr>
      <xdr:grpSpPr>
        <a:xfrm>
          <a:off x="4991100" y="4940300"/>
          <a:ext cx="2897417" cy="1315485"/>
          <a:chOff x="4838700" y="5105400"/>
          <a:chExt cx="2783117" cy="1359935"/>
        </a:xfrm>
      </xdr:grpSpPr>
      <xdr:grpSp>
        <xdr:nvGrpSpPr>
          <xdr:cNvPr id="35" name="Grupo 34">
            <a:extLst>
              <a:ext uri="{FF2B5EF4-FFF2-40B4-BE49-F238E27FC236}">
                <a16:creationId xmlns:a16="http://schemas.microsoft.com/office/drawing/2014/main" id="{00000000-0008-0000-0E00-000023000000}"/>
              </a:ext>
            </a:extLst>
          </xdr:cNvPr>
          <xdr:cNvGrpSpPr/>
        </xdr:nvGrpSpPr>
        <xdr:grpSpPr>
          <a:xfrm>
            <a:off x="5029200" y="5429250"/>
            <a:ext cx="2390888" cy="713946"/>
            <a:chOff x="2095388" y="631774"/>
            <a:chExt cx="2886299" cy="713946"/>
          </a:xfrm>
        </xdr:grpSpPr>
        <xdr:grpSp>
          <xdr:nvGrpSpPr>
            <xdr:cNvPr id="42" name="Group 13">
              <a:extLst>
                <a:ext uri="{FF2B5EF4-FFF2-40B4-BE49-F238E27FC236}">
                  <a16:creationId xmlns:a16="http://schemas.microsoft.com/office/drawing/2014/main" id="{00000000-0008-0000-0E00-00002A000000}"/>
                </a:ext>
              </a:extLst>
            </xdr:cNvPr>
            <xdr:cNvGrpSpPr>
              <a:grpSpLocks/>
            </xdr:cNvGrpSpPr>
          </xdr:nvGrpSpPr>
          <xdr:grpSpPr bwMode="auto">
            <a:xfrm>
              <a:off x="2162868" y="631774"/>
              <a:ext cx="2748272" cy="713946"/>
              <a:chOff x="1266" y="2038"/>
              <a:chExt cx="3648" cy="650"/>
            </a:xfrm>
          </xdr:grpSpPr>
          <xdr:sp macro="" textlink="">
            <xdr:nvSpPr>
              <xdr:cNvPr id="49" name="Line 5">
                <a:extLst>
                  <a:ext uri="{FF2B5EF4-FFF2-40B4-BE49-F238E27FC236}">
                    <a16:creationId xmlns:a16="http://schemas.microsoft.com/office/drawing/2014/main" id="{00000000-0008-0000-0E00-000031000000}"/>
                  </a:ext>
                </a:extLst>
              </xdr:cNvPr>
              <xdr:cNvSpPr>
                <a:spLocks noChangeShapeType="1"/>
              </xdr:cNvSpPr>
            </xdr:nvSpPr>
            <xdr:spPr bwMode="auto">
              <a:xfrm>
                <a:off x="1266" y="2365"/>
                <a:ext cx="3648"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 name="Line 6">
                <a:extLst>
                  <a:ext uri="{FF2B5EF4-FFF2-40B4-BE49-F238E27FC236}">
                    <a16:creationId xmlns:a16="http://schemas.microsoft.com/office/drawing/2014/main" id="{00000000-0008-0000-0E00-000032000000}"/>
                  </a:ext>
                </a:extLst>
              </xdr:cNvPr>
              <xdr:cNvSpPr>
                <a:spLocks noChangeShapeType="1"/>
              </xdr:cNvSpPr>
            </xdr:nvSpPr>
            <xdr:spPr bwMode="auto">
              <a:xfrm>
                <a:off x="1271" y="2365"/>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7">
                <a:extLst>
                  <a:ext uri="{FF2B5EF4-FFF2-40B4-BE49-F238E27FC236}">
                    <a16:creationId xmlns:a16="http://schemas.microsoft.com/office/drawing/2014/main" id="{00000000-0008-0000-0E00-000033000000}"/>
                  </a:ext>
                </a:extLst>
              </xdr:cNvPr>
              <xdr:cNvSpPr>
                <a:spLocks noChangeShapeType="1"/>
              </xdr:cNvSpPr>
            </xdr:nvSpPr>
            <xdr:spPr bwMode="auto">
              <a:xfrm flipV="1">
                <a:off x="2024"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2" name="Line 8">
                <a:extLst>
                  <a:ext uri="{FF2B5EF4-FFF2-40B4-BE49-F238E27FC236}">
                    <a16:creationId xmlns:a16="http://schemas.microsoft.com/office/drawing/2014/main" id="{00000000-0008-0000-0E00-000034000000}"/>
                  </a:ext>
                </a:extLst>
              </xdr:cNvPr>
              <xdr:cNvSpPr>
                <a:spLocks noChangeShapeType="1"/>
              </xdr:cNvSpPr>
            </xdr:nvSpPr>
            <xdr:spPr bwMode="auto">
              <a:xfrm flipV="1">
                <a:off x="2723"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10">
                <a:extLst>
                  <a:ext uri="{FF2B5EF4-FFF2-40B4-BE49-F238E27FC236}">
                    <a16:creationId xmlns:a16="http://schemas.microsoft.com/office/drawing/2014/main" id="{00000000-0008-0000-0E00-000035000000}"/>
                  </a:ext>
                </a:extLst>
              </xdr:cNvPr>
              <xdr:cNvSpPr>
                <a:spLocks noChangeShapeType="1"/>
              </xdr:cNvSpPr>
            </xdr:nvSpPr>
            <xdr:spPr bwMode="auto">
              <a:xfrm flipV="1">
                <a:off x="3440" y="2041"/>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11">
                <a:extLst>
                  <a:ext uri="{FF2B5EF4-FFF2-40B4-BE49-F238E27FC236}">
                    <a16:creationId xmlns:a16="http://schemas.microsoft.com/office/drawing/2014/main" id="{00000000-0008-0000-0E00-000036000000}"/>
                  </a:ext>
                </a:extLst>
              </xdr:cNvPr>
              <xdr:cNvSpPr>
                <a:spLocks noChangeShapeType="1"/>
              </xdr:cNvSpPr>
            </xdr:nvSpPr>
            <xdr:spPr bwMode="auto">
              <a:xfrm flipV="1">
                <a:off x="4175" y="2038"/>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12">
                <a:extLst>
                  <a:ext uri="{FF2B5EF4-FFF2-40B4-BE49-F238E27FC236}">
                    <a16:creationId xmlns:a16="http://schemas.microsoft.com/office/drawing/2014/main" id="{00000000-0008-0000-0E00-000037000000}"/>
                  </a:ext>
                </a:extLst>
              </xdr:cNvPr>
              <xdr:cNvSpPr>
                <a:spLocks noChangeShapeType="1"/>
              </xdr:cNvSpPr>
            </xdr:nvSpPr>
            <xdr:spPr bwMode="auto">
              <a:xfrm flipV="1">
                <a:off x="4901" y="2044"/>
                <a:ext cx="0" cy="323"/>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43" name="Text Box 21">
              <a:extLst>
                <a:ext uri="{FF2B5EF4-FFF2-40B4-BE49-F238E27FC236}">
                  <a16:creationId xmlns:a16="http://schemas.microsoft.com/office/drawing/2014/main" id="{00000000-0008-0000-0E00-00002B000000}"/>
                </a:ext>
              </a:extLst>
            </xdr:cNvPr>
            <xdr:cNvSpPr txBox="1">
              <a:spLocks noChangeArrowheads="1"/>
            </xdr:cNvSpPr>
          </xdr:nvSpPr>
          <xdr:spPr bwMode="auto">
            <a:xfrm>
              <a:off x="2655676" y="999730"/>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1</a:t>
              </a:r>
            </a:p>
          </xdr:txBody>
        </xdr:sp>
        <xdr:sp macro="" textlink="">
          <xdr:nvSpPr>
            <xdr:cNvPr id="44" name="Text Box 22">
              <a:extLst>
                <a:ext uri="{FF2B5EF4-FFF2-40B4-BE49-F238E27FC236}">
                  <a16:creationId xmlns:a16="http://schemas.microsoft.com/office/drawing/2014/main" id="{00000000-0008-0000-0E00-00002C000000}"/>
                </a:ext>
              </a:extLst>
            </xdr:cNvPr>
            <xdr:cNvSpPr txBox="1">
              <a:spLocks noChangeArrowheads="1"/>
            </xdr:cNvSpPr>
          </xdr:nvSpPr>
          <xdr:spPr bwMode="auto">
            <a:xfrm>
              <a:off x="3178134"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2</a:t>
              </a:r>
            </a:p>
          </xdr:txBody>
        </xdr:sp>
        <xdr:sp macro="" textlink="">
          <xdr:nvSpPr>
            <xdr:cNvPr id="45" name="Text Box 23">
              <a:extLst>
                <a:ext uri="{FF2B5EF4-FFF2-40B4-BE49-F238E27FC236}">
                  <a16:creationId xmlns:a16="http://schemas.microsoft.com/office/drawing/2014/main" id="{00000000-0008-0000-0E00-00002D000000}"/>
                </a:ext>
              </a:extLst>
            </xdr:cNvPr>
            <xdr:cNvSpPr txBox="1">
              <a:spLocks noChangeArrowheads="1"/>
            </xdr:cNvSpPr>
          </xdr:nvSpPr>
          <xdr:spPr bwMode="auto">
            <a:xfrm>
              <a:off x="3699569" y="98105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3</a:t>
              </a:r>
            </a:p>
          </xdr:txBody>
        </xdr:sp>
        <xdr:sp macro="" textlink="">
          <xdr:nvSpPr>
            <xdr:cNvPr id="46" name="Text Box 24">
              <a:extLst>
                <a:ext uri="{FF2B5EF4-FFF2-40B4-BE49-F238E27FC236}">
                  <a16:creationId xmlns:a16="http://schemas.microsoft.com/office/drawing/2014/main" id="{00000000-0008-0000-0E00-00002E000000}"/>
                </a:ext>
              </a:extLst>
            </xdr:cNvPr>
            <xdr:cNvSpPr txBox="1">
              <a:spLocks noChangeArrowheads="1"/>
            </xdr:cNvSpPr>
          </xdr:nvSpPr>
          <xdr:spPr bwMode="auto">
            <a:xfrm>
              <a:off x="4270081"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4</a:t>
              </a:r>
            </a:p>
          </xdr:txBody>
        </xdr:sp>
        <xdr:sp macro="" textlink="">
          <xdr:nvSpPr>
            <xdr:cNvPr id="47" name="Text Box 25">
              <a:extLst>
                <a:ext uri="{FF2B5EF4-FFF2-40B4-BE49-F238E27FC236}">
                  <a16:creationId xmlns:a16="http://schemas.microsoft.com/office/drawing/2014/main" id="{00000000-0008-0000-0E00-00002F000000}"/>
                </a:ext>
              </a:extLst>
            </xdr:cNvPr>
            <xdr:cNvSpPr txBox="1">
              <a:spLocks noChangeArrowheads="1"/>
            </xdr:cNvSpPr>
          </xdr:nvSpPr>
          <xdr:spPr bwMode="auto">
            <a:xfrm>
              <a:off x="4810942" y="990943"/>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5</a:t>
              </a:r>
            </a:p>
          </xdr:txBody>
        </xdr:sp>
        <xdr:sp macro="" textlink="">
          <xdr:nvSpPr>
            <xdr:cNvPr id="48" name="Text Box 26">
              <a:extLst>
                <a:ext uri="{FF2B5EF4-FFF2-40B4-BE49-F238E27FC236}">
                  <a16:creationId xmlns:a16="http://schemas.microsoft.com/office/drawing/2014/main" id="{00000000-0008-0000-0E00-000030000000}"/>
                </a:ext>
              </a:extLst>
            </xdr:cNvPr>
            <xdr:cNvSpPr txBox="1">
              <a:spLocks noChangeArrowheads="1"/>
            </xdr:cNvSpPr>
          </xdr:nvSpPr>
          <xdr:spPr bwMode="auto">
            <a:xfrm>
              <a:off x="2095388" y="791038"/>
              <a:ext cx="170745"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tx1"/>
                  </a:solidFill>
                  <a:latin typeface="Arial" panose="020B0604020202020204" pitchFamily="34" charset="0"/>
                </a:rPr>
                <a:t>0</a:t>
              </a:r>
            </a:p>
          </xdr:txBody>
        </xdr:sp>
      </xdr:grpSp>
      <xdr:sp macro="" textlink="">
        <xdr:nvSpPr>
          <xdr:cNvPr id="36" name="CuadroTexto 35">
            <a:extLst>
              <a:ext uri="{FF2B5EF4-FFF2-40B4-BE49-F238E27FC236}">
                <a16:creationId xmlns:a16="http://schemas.microsoft.com/office/drawing/2014/main" id="{00000000-0008-0000-0E00-000024000000}"/>
              </a:ext>
            </a:extLst>
          </xdr:cNvPr>
          <xdr:cNvSpPr txBox="1"/>
        </xdr:nvSpPr>
        <xdr:spPr>
          <a:xfrm>
            <a:off x="4838700" y="6200775"/>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0</a:t>
            </a:r>
            <a:endParaRPr lang="es-ES" sz="1100" b="1"/>
          </a:p>
        </xdr:txBody>
      </xdr:sp>
      <xdr:sp macro="" textlink="">
        <xdr:nvSpPr>
          <xdr:cNvPr id="37" name="CuadroTexto 36">
            <a:extLst>
              <a:ext uri="{FF2B5EF4-FFF2-40B4-BE49-F238E27FC236}">
                <a16:creationId xmlns:a16="http://schemas.microsoft.com/office/drawing/2014/main" id="{00000000-0008-0000-0E00-000025000000}"/>
              </a:ext>
            </a:extLst>
          </xdr:cNvPr>
          <xdr:cNvSpPr txBox="1"/>
        </xdr:nvSpPr>
        <xdr:spPr>
          <a:xfrm>
            <a:off x="5753100" y="5105400"/>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2</a:t>
            </a:r>
            <a:endParaRPr lang="es-ES" sz="1100" b="1"/>
          </a:p>
        </xdr:txBody>
      </xdr:sp>
      <xdr:sp macro="" textlink="">
        <xdr:nvSpPr>
          <xdr:cNvPr id="38" name="CuadroTexto 37">
            <a:extLst>
              <a:ext uri="{FF2B5EF4-FFF2-40B4-BE49-F238E27FC236}">
                <a16:creationId xmlns:a16="http://schemas.microsoft.com/office/drawing/2014/main" id="{00000000-0008-0000-0E00-000026000000}"/>
              </a:ext>
            </a:extLst>
          </xdr:cNvPr>
          <xdr:cNvSpPr txBox="1"/>
        </xdr:nvSpPr>
        <xdr:spPr>
          <a:xfrm>
            <a:off x="6191250" y="5105400"/>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3</a:t>
            </a:r>
            <a:endParaRPr lang="es-ES" sz="1100" b="1"/>
          </a:p>
        </xdr:txBody>
      </xdr:sp>
      <xdr:sp macro="" textlink="">
        <xdr:nvSpPr>
          <xdr:cNvPr id="39" name="CuadroTexto 38">
            <a:extLst>
              <a:ext uri="{FF2B5EF4-FFF2-40B4-BE49-F238E27FC236}">
                <a16:creationId xmlns:a16="http://schemas.microsoft.com/office/drawing/2014/main" id="{00000000-0008-0000-0E00-000027000000}"/>
              </a:ext>
            </a:extLst>
          </xdr:cNvPr>
          <xdr:cNvSpPr txBox="1"/>
        </xdr:nvSpPr>
        <xdr:spPr>
          <a:xfrm>
            <a:off x="6657975" y="5105400"/>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4</a:t>
            </a:r>
            <a:endParaRPr lang="es-ES" sz="1100" b="1"/>
          </a:p>
        </xdr:txBody>
      </xdr:sp>
      <xdr:sp macro="" textlink="">
        <xdr:nvSpPr>
          <xdr:cNvPr id="40" name="CuadroTexto 39">
            <a:extLst>
              <a:ext uri="{FF2B5EF4-FFF2-40B4-BE49-F238E27FC236}">
                <a16:creationId xmlns:a16="http://schemas.microsoft.com/office/drawing/2014/main" id="{00000000-0008-0000-0E00-000028000000}"/>
              </a:ext>
            </a:extLst>
          </xdr:cNvPr>
          <xdr:cNvSpPr txBox="1"/>
        </xdr:nvSpPr>
        <xdr:spPr>
          <a:xfrm>
            <a:off x="7105650" y="5105400"/>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5</a:t>
            </a:r>
            <a:endParaRPr lang="es-ES" sz="1100" b="1"/>
          </a:p>
        </xdr:txBody>
      </xdr:sp>
      <xdr:sp macro="" textlink="">
        <xdr:nvSpPr>
          <xdr:cNvPr id="41" name="CuadroTexto 40">
            <a:extLst>
              <a:ext uri="{FF2B5EF4-FFF2-40B4-BE49-F238E27FC236}">
                <a16:creationId xmlns:a16="http://schemas.microsoft.com/office/drawing/2014/main" id="{00000000-0008-0000-0E00-000029000000}"/>
              </a:ext>
            </a:extLst>
          </xdr:cNvPr>
          <xdr:cNvSpPr txBox="1"/>
        </xdr:nvSpPr>
        <xdr:spPr>
          <a:xfrm>
            <a:off x="5314950" y="5105400"/>
            <a:ext cx="51616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b="1"/>
              <a:t>TINV</a:t>
            </a:r>
            <a:r>
              <a:rPr lang="es-ES" sz="1100" b="1" baseline="-25000"/>
              <a:t>1</a:t>
            </a:r>
            <a:endParaRPr lang="es-ES" sz="1100" b="1"/>
          </a:p>
        </xdr:txBody>
      </xdr:sp>
    </xdr:grpSp>
    <xdr:clientData/>
  </xdr:twoCellAnchor>
  <xdr:twoCellAnchor>
    <xdr:from>
      <xdr:col>13</xdr:col>
      <xdr:colOff>295275</xdr:colOff>
      <xdr:row>24</xdr:row>
      <xdr:rowOff>76200</xdr:rowOff>
    </xdr:from>
    <xdr:to>
      <xdr:col>13</xdr:col>
      <xdr:colOff>361949</xdr:colOff>
      <xdr:row>39</xdr:row>
      <xdr:rowOff>161925</xdr:rowOff>
    </xdr:to>
    <xdr:sp macro="" textlink="">
      <xdr:nvSpPr>
        <xdr:cNvPr id="56" name="Cerrar llave 55">
          <a:extLst>
            <a:ext uri="{FF2B5EF4-FFF2-40B4-BE49-F238E27FC236}">
              <a16:creationId xmlns:a16="http://schemas.microsoft.com/office/drawing/2014/main" id="{00000000-0008-0000-0E00-000038000000}"/>
            </a:ext>
          </a:extLst>
        </xdr:cNvPr>
        <xdr:cNvSpPr/>
      </xdr:nvSpPr>
      <xdr:spPr>
        <a:xfrm>
          <a:off x="8001000" y="4648200"/>
          <a:ext cx="66674" cy="2943225"/>
        </a:xfrm>
        <a:prstGeom prst="rightBrace">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ES" sz="1100"/>
        </a:p>
      </xdr:txBody>
    </xdr:sp>
    <xdr:clientData/>
  </xdr:twoCellAnchor>
  <xdr:oneCellAnchor>
    <xdr:from>
      <xdr:col>13</xdr:col>
      <xdr:colOff>590550</xdr:colOff>
      <xdr:row>30</xdr:row>
      <xdr:rowOff>85725</xdr:rowOff>
    </xdr:from>
    <xdr:ext cx="714375" cy="264560"/>
    <xdr:sp macro="" textlink="">
      <xdr:nvSpPr>
        <xdr:cNvPr id="57" name="CuadroTexto 56">
          <a:extLst>
            <a:ext uri="{FF2B5EF4-FFF2-40B4-BE49-F238E27FC236}">
              <a16:creationId xmlns:a16="http://schemas.microsoft.com/office/drawing/2014/main" id="{00000000-0008-0000-0E00-000039000000}"/>
            </a:ext>
          </a:extLst>
        </xdr:cNvPr>
        <xdr:cNvSpPr txBox="1"/>
      </xdr:nvSpPr>
      <xdr:spPr>
        <a:xfrm>
          <a:off x="8296275" y="5800725"/>
          <a:ext cx="714375"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100" b="1">
              <a:solidFill>
                <a:schemeClr val="bg1"/>
              </a:solidFill>
            </a:rPr>
            <a:t>VAN</a:t>
          </a:r>
        </a:p>
      </xdr:txBody>
    </xdr:sp>
    <xdr:clientData/>
  </xdr:oneCellAnchor>
  <xdr:oneCellAnchor>
    <xdr:from>
      <xdr:col>13</xdr:col>
      <xdr:colOff>590550</xdr:colOff>
      <xdr:row>32</xdr:row>
      <xdr:rowOff>104775</xdr:rowOff>
    </xdr:from>
    <xdr:ext cx="714375" cy="264560"/>
    <xdr:sp macro="" textlink="">
      <xdr:nvSpPr>
        <xdr:cNvPr id="58" name="CuadroTexto 57">
          <a:extLst>
            <a:ext uri="{FF2B5EF4-FFF2-40B4-BE49-F238E27FC236}">
              <a16:creationId xmlns:a16="http://schemas.microsoft.com/office/drawing/2014/main" id="{00000000-0008-0000-0E00-00003A000000}"/>
            </a:ext>
          </a:extLst>
        </xdr:cNvPr>
        <xdr:cNvSpPr txBox="1"/>
      </xdr:nvSpPr>
      <xdr:spPr>
        <a:xfrm>
          <a:off x="8296275" y="6200775"/>
          <a:ext cx="714375" cy="264560"/>
        </a:xfrm>
        <a:prstGeom prst="rect">
          <a:avLst/>
        </a:prstGeom>
        <a:solidFill>
          <a:schemeClr val="accent3">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100" b="1">
              <a:solidFill>
                <a:schemeClr val="bg1"/>
              </a:solidFill>
            </a:rPr>
            <a:t>TRI</a:t>
          </a:r>
        </a:p>
      </xdr:txBody>
    </xdr:sp>
    <xdr:clientData/>
  </xdr:oneCellAnchor>
  <xdr:oneCellAnchor>
    <xdr:from>
      <xdr:col>5</xdr:col>
      <xdr:colOff>38100</xdr:colOff>
      <xdr:row>24</xdr:row>
      <xdr:rowOff>66674</xdr:rowOff>
    </xdr:from>
    <xdr:ext cx="1476375" cy="248851"/>
    <xdr:sp macro="" textlink="">
      <xdr:nvSpPr>
        <xdr:cNvPr id="59" name="CuadroTexto 58">
          <a:extLst>
            <a:ext uri="{FF2B5EF4-FFF2-40B4-BE49-F238E27FC236}">
              <a16:creationId xmlns:a16="http://schemas.microsoft.com/office/drawing/2014/main" id="{00000000-0008-0000-0E00-00003B000000}"/>
            </a:ext>
          </a:extLst>
        </xdr:cNvPr>
        <xdr:cNvSpPr txBox="1"/>
      </xdr:nvSpPr>
      <xdr:spPr>
        <a:xfrm>
          <a:off x="2905125" y="4638674"/>
          <a:ext cx="1476375" cy="248851"/>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000" b="1">
              <a:solidFill>
                <a:sysClr val="windowText" lastClr="000000"/>
              </a:solidFill>
            </a:rPr>
            <a:t>Ventas</a:t>
          </a:r>
        </a:p>
      </xdr:txBody>
    </xdr:sp>
    <xdr:clientData/>
  </xdr:oneCellAnchor>
  <xdr:oneCellAnchor>
    <xdr:from>
      <xdr:col>5</xdr:col>
      <xdr:colOff>38100</xdr:colOff>
      <xdr:row>25</xdr:row>
      <xdr:rowOff>171450</xdr:rowOff>
    </xdr:from>
    <xdr:ext cx="1476375" cy="405367"/>
    <xdr:sp macro="" textlink="">
      <xdr:nvSpPr>
        <xdr:cNvPr id="60" name="CuadroTexto 59">
          <a:extLst>
            <a:ext uri="{FF2B5EF4-FFF2-40B4-BE49-F238E27FC236}">
              <a16:creationId xmlns:a16="http://schemas.microsoft.com/office/drawing/2014/main" id="{00000000-0008-0000-0E00-00003C000000}"/>
            </a:ext>
          </a:extLst>
        </xdr:cNvPr>
        <xdr:cNvSpPr txBox="1"/>
      </xdr:nvSpPr>
      <xdr:spPr>
        <a:xfrm>
          <a:off x="2905125" y="4933950"/>
          <a:ext cx="1476375" cy="405367"/>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000" b="1">
              <a:solidFill>
                <a:sysClr val="windowText" lastClr="000000"/>
              </a:solidFill>
            </a:rPr>
            <a:t>Costes</a:t>
          </a:r>
          <a:r>
            <a:rPr lang="es-ES" sz="1000" b="1" baseline="0">
              <a:solidFill>
                <a:sysClr val="windowText" lastClr="000000"/>
              </a:solidFill>
            </a:rPr>
            <a:t> </a:t>
          </a:r>
          <a:r>
            <a:rPr lang="es-ES" sz="1000" b="1">
              <a:solidFill>
                <a:sysClr val="windowText" lastClr="000000"/>
              </a:solidFill>
            </a:rPr>
            <a:t>operativos</a:t>
          </a:r>
        </a:p>
        <a:p>
          <a:pPr algn="ctr"/>
          <a:r>
            <a:rPr lang="es-ES" sz="1000" b="1">
              <a:solidFill>
                <a:sysClr val="windowText" lastClr="000000"/>
              </a:solidFill>
            </a:rPr>
            <a:t>con desembolso</a:t>
          </a:r>
        </a:p>
      </xdr:txBody>
    </xdr:sp>
    <xdr:clientData/>
  </xdr:oneCellAnchor>
  <xdr:oneCellAnchor>
    <xdr:from>
      <xdr:col>5</xdr:col>
      <xdr:colOff>38100</xdr:colOff>
      <xdr:row>28</xdr:row>
      <xdr:rowOff>57150</xdr:rowOff>
    </xdr:from>
    <xdr:ext cx="1476375" cy="248851"/>
    <xdr:sp macro="" textlink="">
      <xdr:nvSpPr>
        <xdr:cNvPr id="61" name="CuadroTexto 60">
          <a:extLst>
            <a:ext uri="{FF2B5EF4-FFF2-40B4-BE49-F238E27FC236}">
              <a16:creationId xmlns:a16="http://schemas.microsoft.com/office/drawing/2014/main" id="{00000000-0008-0000-0E00-00003D000000}"/>
            </a:ext>
          </a:extLst>
        </xdr:cNvPr>
        <xdr:cNvSpPr txBox="1"/>
      </xdr:nvSpPr>
      <xdr:spPr>
        <a:xfrm>
          <a:off x="2905125" y="5391150"/>
          <a:ext cx="1476375" cy="248851"/>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000" b="1">
              <a:solidFill>
                <a:sysClr val="windowText" lastClr="000000"/>
              </a:solidFill>
            </a:rPr>
            <a:t>Amortizaciones</a:t>
          </a:r>
        </a:p>
      </xdr:txBody>
    </xdr:sp>
    <xdr:clientData/>
  </xdr:oneCellAnchor>
  <xdr:oneCellAnchor>
    <xdr:from>
      <xdr:col>5</xdr:col>
      <xdr:colOff>38100</xdr:colOff>
      <xdr:row>29</xdr:row>
      <xdr:rowOff>171450</xdr:rowOff>
    </xdr:from>
    <xdr:ext cx="1476375" cy="405367"/>
    <xdr:sp macro="" textlink="">
      <xdr:nvSpPr>
        <xdr:cNvPr id="62" name="CuadroTexto 61">
          <a:extLst>
            <a:ext uri="{FF2B5EF4-FFF2-40B4-BE49-F238E27FC236}">
              <a16:creationId xmlns:a16="http://schemas.microsoft.com/office/drawing/2014/main" id="{00000000-0008-0000-0E00-00003E000000}"/>
            </a:ext>
          </a:extLst>
        </xdr:cNvPr>
        <xdr:cNvSpPr txBox="1"/>
      </xdr:nvSpPr>
      <xdr:spPr>
        <a:xfrm>
          <a:off x="2905125" y="5695950"/>
          <a:ext cx="1476375" cy="405367"/>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000" b="1">
              <a:solidFill>
                <a:sysClr val="windowText" lastClr="000000"/>
              </a:solidFill>
            </a:rPr>
            <a:t>Plazos</a:t>
          </a:r>
          <a:r>
            <a:rPr lang="es-ES" sz="1000" b="1" baseline="0">
              <a:solidFill>
                <a:sysClr val="windowText" lastClr="000000"/>
              </a:solidFill>
            </a:rPr>
            <a:t> de</a:t>
          </a:r>
        </a:p>
        <a:p>
          <a:pPr algn="ctr"/>
          <a:r>
            <a:rPr lang="es-ES" sz="1000" b="1" baseline="0">
              <a:solidFill>
                <a:sysClr val="windowText" lastClr="000000"/>
              </a:solidFill>
            </a:rPr>
            <a:t>cobro y pago</a:t>
          </a:r>
        </a:p>
      </xdr:txBody>
    </xdr:sp>
    <xdr:clientData/>
  </xdr:oneCellAnchor>
  <xdr:oneCellAnchor>
    <xdr:from>
      <xdr:col>5</xdr:col>
      <xdr:colOff>38100</xdr:colOff>
      <xdr:row>38</xdr:row>
      <xdr:rowOff>47625</xdr:rowOff>
    </xdr:from>
    <xdr:ext cx="1476375" cy="266700"/>
    <xdr:sp macro="" textlink="">
      <xdr:nvSpPr>
        <xdr:cNvPr id="63" name="CuadroTexto 62">
          <a:extLst>
            <a:ext uri="{FF2B5EF4-FFF2-40B4-BE49-F238E27FC236}">
              <a16:creationId xmlns:a16="http://schemas.microsoft.com/office/drawing/2014/main" id="{00000000-0008-0000-0E00-00003F000000}"/>
            </a:ext>
          </a:extLst>
        </xdr:cNvPr>
        <xdr:cNvSpPr txBox="1"/>
      </xdr:nvSpPr>
      <xdr:spPr>
        <a:xfrm>
          <a:off x="2905125" y="7286625"/>
          <a:ext cx="1476375" cy="266700"/>
        </a:xfrm>
        <a:prstGeom prst="rect">
          <a:avLst/>
        </a:prstGeom>
        <a:solidFill>
          <a:schemeClr val="accent3">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000" b="1">
              <a:solidFill>
                <a:sysClr val="windowText" lastClr="000000"/>
              </a:solidFill>
            </a:rPr>
            <a:t>Coste de oportunidad</a:t>
          </a:r>
          <a:endParaRPr lang="es-ES" sz="1000" b="1" baseline="0">
            <a:solidFill>
              <a:sysClr val="windowText" lastClr="000000"/>
            </a:solidFill>
          </a:endParaRPr>
        </a:p>
      </xdr:txBody>
    </xdr:sp>
    <xdr:clientData/>
  </xdr:oneCellAnchor>
  <xdr:oneCellAnchor>
    <xdr:from>
      <xdr:col>5</xdr:col>
      <xdr:colOff>38100</xdr:colOff>
      <xdr:row>32</xdr:row>
      <xdr:rowOff>76199</xdr:rowOff>
    </xdr:from>
    <xdr:ext cx="1476375" cy="718402"/>
    <xdr:sp macro="" textlink="">
      <xdr:nvSpPr>
        <xdr:cNvPr id="64" name="CuadroTexto 63">
          <a:extLst>
            <a:ext uri="{FF2B5EF4-FFF2-40B4-BE49-F238E27FC236}">
              <a16:creationId xmlns:a16="http://schemas.microsoft.com/office/drawing/2014/main" id="{00000000-0008-0000-0E00-000040000000}"/>
            </a:ext>
          </a:extLst>
        </xdr:cNvPr>
        <xdr:cNvSpPr txBox="1"/>
      </xdr:nvSpPr>
      <xdr:spPr>
        <a:xfrm>
          <a:off x="2905125" y="6172199"/>
          <a:ext cx="1476375" cy="718402"/>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1000" b="1">
              <a:solidFill>
                <a:sysClr val="windowText" lastClr="000000"/>
              </a:solidFill>
            </a:rPr>
            <a:t>Otros (precios</a:t>
          </a:r>
          <a:r>
            <a:rPr lang="es-ES" sz="1000" b="1" baseline="0">
              <a:solidFill>
                <a:sysClr val="windowText" lastClr="000000"/>
              </a:solidFill>
            </a:rPr>
            <a:t> de inmovilizados, inversiones en stocks, etc.)</a:t>
          </a:r>
          <a:endParaRPr lang="es-ES" sz="1000" b="1">
            <a:solidFill>
              <a:sysClr val="windowText" lastClr="000000"/>
            </a:solidFill>
          </a:endParaRPr>
        </a:p>
      </xdr:txBody>
    </xdr:sp>
    <xdr:clientData/>
  </xdr:oneCellAnchor>
  <xdr:oneCellAnchor>
    <xdr:from>
      <xdr:col>1</xdr:col>
      <xdr:colOff>304800</xdr:colOff>
      <xdr:row>24</xdr:row>
      <xdr:rowOff>76201</xdr:rowOff>
    </xdr:from>
    <xdr:ext cx="1476375" cy="2228849"/>
    <xdr:sp macro="" textlink="">
      <xdr:nvSpPr>
        <xdr:cNvPr id="65" name="CuadroTexto 64">
          <a:extLst>
            <a:ext uri="{FF2B5EF4-FFF2-40B4-BE49-F238E27FC236}">
              <a16:creationId xmlns:a16="http://schemas.microsoft.com/office/drawing/2014/main" id="{00000000-0008-0000-0E00-000041000000}"/>
            </a:ext>
          </a:extLst>
        </xdr:cNvPr>
        <xdr:cNvSpPr txBox="1"/>
      </xdr:nvSpPr>
      <xdr:spPr>
        <a:xfrm>
          <a:off x="1066800" y="4648201"/>
          <a:ext cx="1476375" cy="2228849"/>
        </a:xfrm>
        <a:prstGeom prst="rect">
          <a:avLst/>
        </a:prstGeom>
        <a:solidFill>
          <a:srgbClr val="FFCC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noAutofit/>
        </a:bodyPr>
        <a:lstStyle/>
        <a:p>
          <a:pPr algn="ctr"/>
          <a:r>
            <a:rPr lang="es-ES" sz="1000" b="1">
              <a:solidFill>
                <a:sysClr val="windowText" lastClr="000000"/>
              </a:solidFill>
            </a:rPr>
            <a:t>Impacto incremental</a:t>
          </a:r>
        </a:p>
        <a:p>
          <a:pPr algn="ctr"/>
          <a:r>
            <a:rPr lang="es-ES" sz="1000" b="1">
              <a:solidFill>
                <a:sysClr val="windowText" lastClr="000000"/>
              </a:solidFill>
            </a:rPr>
            <a:t>en la empresa</a:t>
          </a:r>
        </a:p>
      </xdr:txBody>
    </xdr:sp>
    <xdr:clientData/>
  </xdr:oneCellAnchor>
  <xdr:oneCellAnchor>
    <xdr:from>
      <xdr:col>1</xdr:col>
      <xdr:colOff>295275</xdr:colOff>
      <xdr:row>38</xdr:row>
      <xdr:rowOff>47625</xdr:rowOff>
    </xdr:from>
    <xdr:ext cx="1476375" cy="266700"/>
    <xdr:sp macro="" textlink="">
      <xdr:nvSpPr>
        <xdr:cNvPr id="66" name="CuadroTexto 65">
          <a:extLst>
            <a:ext uri="{FF2B5EF4-FFF2-40B4-BE49-F238E27FC236}">
              <a16:creationId xmlns:a16="http://schemas.microsoft.com/office/drawing/2014/main" id="{00000000-0008-0000-0E00-000042000000}"/>
            </a:ext>
          </a:extLst>
        </xdr:cNvPr>
        <xdr:cNvSpPr txBox="1"/>
      </xdr:nvSpPr>
      <xdr:spPr>
        <a:xfrm>
          <a:off x="1057275" y="7286625"/>
          <a:ext cx="1476375" cy="266700"/>
        </a:xfrm>
        <a:prstGeom prst="rect">
          <a:avLst/>
        </a:prstGeom>
        <a:solidFill>
          <a:schemeClr val="accent3">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000" b="1">
              <a:solidFill>
                <a:sysClr val="windowText" lastClr="000000"/>
              </a:solidFill>
            </a:rPr>
            <a:t>Mercado</a:t>
          </a:r>
          <a:endParaRPr lang="es-ES" sz="1000" b="1" baseline="0">
            <a:solidFill>
              <a:sysClr val="windowText" lastClr="000000"/>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9</xdr:col>
      <xdr:colOff>476249</xdr:colOff>
      <xdr:row>27</xdr:row>
      <xdr:rowOff>152400</xdr:rowOff>
    </xdr:from>
    <xdr:to>
      <xdr:col>13</xdr:col>
      <xdr:colOff>276224</xdr:colOff>
      <xdr:row>50</xdr:row>
      <xdr:rowOff>114299</xdr:rowOff>
    </xdr:to>
    <xdr:sp macro="" textlink="">
      <xdr:nvSpPr>
        <xdr:cNvPr id="2" name="Rectángulo 1">
          <a:extLst>
            <a:ext uri="{FF2B5EF4-FFF2-40B4-BE49-F238E27FC236}">
              <a16:creationId xmlns:a16="http://schemas.microsoft.com/office/drawing/2014/main" id="{00000000-0008-0000-1600-000002000000}"/>
            </a:ext>
          </a:extLst>
        </xdr:cNvPr>
        <xdr:cNvSpPr/>
      </xdr:nvSpPr>
      <xdr:spPr>
        <a:xfrm>
          <a:off x="6248399" y="5295900"/>
          <a:ext cx="2847975" cy="4343399"/>
        </a:xfrm>
        <a:prstGeom prst="rect">
          <a:avLst/>
        </a:prstGeom>
        <a:solidFill>
          <a:schemeClr val="accent5">
            <a:lumMod val="20000"/>
            <a:lumOff val="8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209549</xdr:colOff>
      <xdr:row>43</xdr:row>
      <xdr:rowOff>47626</xdr:rowOff>
    </xdr:from>
    <xdr:to>
      <xdr:col>9</xdr:col>
      <xdr:colOff>104774</xdr:colOff>
      <xdr:row>50</xdr:row>
      <xdr:rowOff>104775</xdr:rowOff>
    </xdr:to>
    <xdr:sp macro="" textlink="">
      <xdr:nvSpPr>
        <xdr:cNvPr id="3" name="Rectángulo 2">
          <a:extLst>
            <a:ext uri="{FF2B5EF4-FFF2-40B4-BE49-F238E27FC236}">
              <a16:creationId xmlns:a16="http://schemas.microsoft.com/office/drawing/2014/main" id="{00000000-0008-0000-1600-000003000000}"/>
            </a:ext>
          </a:extLst>
        </xdr:cNvPr>
        <xdr:cNvSpPr/>
      </xdr:nvSpPr>
      <xdr:spPr>
        <a:xfrm>
          <a:off x="3047999" y="8239126"/>
          <a:ext cx="2828925" cy="1390649"/>
        </a:xfrm>
        <a:prstGeom prst="rect">
          <a:avLst/>
        </a:prstGeom>
        <a:solidFill>
          <a:srgbClr val="CC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190499</xdr:colOff>
      <xdr:row>27</xdr:row>
      <xdr:rowOff>133351</xdr:rowOff>
    </xdr:from>
    <xdr:to>
      <xdr:col>9</xdr:col>
      <xdr:colOff>104774</xdr:colOff>
      <xdr:row>42</xdr:row>
      <xdr:rowOff>28575</xdr:rowOff>
    </xdr:to>
    <xdr:sp macro="" textlink="">
      <xdr:nvSpPr>
        <xdr:cNvPr id="4" name="Rectángulo 3">
          <a:extLst>
            <a:ext uri="{FF2B5EF4-FFF2-40B4-BE49-F238E27FC236}">
              <a16:creationId xmlns:a16="http://schemas.microsoft.com/office/drawing/2014/main" id="{00000000-0008-0000-1600-000004000000}"/>
            </a:ext>
          </a:extLst>
        </xdr:cNvPr>
        <xdr:cNvSpPr/>
      </xdr:nvSpPr>
      <xdr:spPr>
        <a:xfrm>
          <a:off x="3028949" y="5276851"/>
          <a:ext cx="2847975" cy="2752724"/>
        </a:xfrm>
        <a:prstGeom prst="rect">
          <a:avLst/>
        </a:prstGeom>
        <a:solidFill>
          <a:srgbClr val="CC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66675</xdr:colOff>
      <xdr:row>43</xdr:row>
      <xdr:rowOff>57151</xdr:rowOff>
    </xdr:from>
    <xdr:to>
      <xdr:col>4</xdr:col>
      <xdr:colOff>428625</xdr:colOff>
      <xdr:row>50</xdr:row>
      <xdr:rowOff>114300</xdr:rowOff>
    </xdr:to>
    <xdr:sp macro="" textlink="">
      <xdr:nvSpPr>
        <xdr:cNvPr id="5" name="Rectángulo 4">
          <a:extLst>
            <a:ext uri="{FF2B5EF4-FFF2-40B4-BE49-F238E27FC236}">
              <a16:creationId xmlns:a16="http://schemas.microsoft.com/office/drawing/2014/main" id="{00000000-0008-0000-1600-000005000000}"/>
            </a:ext>
          </a:extLst>
        </xdr:cNvPr>
        <xdr:cNvSpPr/>
      </xdr:nvSpPr>
      <xdr:spPr>
        <a:xfrm>
          <a:off x="314325" y="8248651"/>
          <a:ext cx="2305050" cy="1390649"/>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37</xdr:row>
      <xdr:rowOff>19051</xdr:rowOff>
    </xdr:from>
    <xdr:to>
      <xdr:col>4</xdr:col>
      <xdr:colOff>447675</xdr:colOff>
      <xdr:row>42</xdr:row>
      <xdr:rowOff>28575</xdr:rowOff>
    </xdr:to>
    <xdr:sp macro="" textlink="">
      <xdr:nvSpPr>
        <xdr:cNvPr id="6" name="Rectángulo 5">
          <a:extLst>
            <a:ext uri="{FF2B5EF4-FFF2-40B4-BE49-F238E27FC236}">
              <a16:creationId xmlns:a16="http://schemas.microsoft.com/office/drawing/2014/main" id="{00000000-0008-0000-1600-000006000000}"/>
            </a:ext>
          </a:extLst>
        </xdr:cNvPr>
        <xdr:cNvSpPr/>
      </xdr:nvSpPr>
      <xdr:spPr>
        <a:xfrm>
          <a:off x="333375" y="7067551"/>
          <a:ext cx="2305050" cy="962024"/>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104775</xdr:colOff>
      <xdr:row>27</xdr:row>
      <xdr:rowOff>133351</xdr:rowOff>
    </xdr:from>
    <xdr:to>
      <xdr:col>4</xdr:col>
      <xdr:colOff>466725</xdr:colOff>
      <xdr:row>36</xdr:row>
      <xdr:rowOff>19051</xdr:rowOff>
    </xdr:to>
    <xdr:sp macro="" textlink="">
      <xdr:nvSpPr>
        <xdr:cNvPr id="7" name="Rectángulo 6">
          <a:extLst>
            <a:ext uri="{FF2B5EF4-FFF2-40B4-BE49-F238E27FC236}">
              <a16:creationId xmlns:a16="http://schemas.microsoft.com/office/drawing/2014/main" id="{00000000-0008-0000-1600-000007000000}"/>
            </a:ext>
          </a:extLst>
        </xdr:cNvPr>
        <xdr:cNvSpPr/>
      </xdr:nvSpPr>
      <xdr:spPr>
        <a:xfrm>
          <a:off x="352425" y="5276851"/>
          <a:ext cx="2305050" cy="1600200"/>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497417</xdr:colOff>
      <xdr:row>9</xdr:row>
      <xdr:rowOff>136526</xdr:rowOff>
    </xdr:from>
    <xdr:to>
      <xdr:col>9</xdr:col>
      <xdr:colOff>486834</xdr:colOff>
      <xdr:row>19</xdr:row>
      <xdr:rowOff>105811</xdr:rowOff>
    </xdr:to>
    <xdr:grpSp>
      <xdr:nvGrpSpPr>
        <xdr:cNvPr id="8" name="Grupo 7">
          <a:extLst>
            <a:ext uri="{FF2B5EF4-FFF2-40B4-BE49-F238E27FC236}">
              <a16:creationId xmlns:a16="http://schemas.microsoft.com/office/drawing/2014/main" id="{00000000-0008-0000-1600-000008000000}"/>
            </a:ext>
          </a:extLst>
        </xdr:cNvPr>
        <xdr:cNvGrpSpPr/>
      </xdr:nvGrpSpPr>
      <xdr:grpSpPr>
        <a:xfrm>
          <a:off x="3425473" y="1794582"/>
          <a:ext cx="3051528" cy="1803729"/>
          <a:chOff x="1123950" y="723900"/>
          <a:chExt cx="2933700" cy="1874285"/>
        </a:xfrm>
      </xdr:grpSpPr>
      <xdr:grpSp>
        <xdr:nvGrpSpPr>
          <xdr:cNvPr id="9" name="Grupo 8">
            <a:extLst>
              <a:ext uri="{FF2B5EF4-FFF2-40B4-BE49-F238E27FC236}">
                <a16:creationId xmlns:a16="http://schemas.microsoft.com/office/drawing/2014/main" id="{00000000-0008-0000-1600-000009000000}"/>
              </a:ext>
            </a:extLst>
          </xdr:cNvPr>
          <xdr:cNvGrpSpPr/>
        </xdr:nvGrpSpPr>
        <xdr:grpSpPr>
          <a:xfrm>
            <a:off x="1968881" y="723900"/>
            <a:ext cx="1393267" cy="1874285"/>
            <a:chOff x="1968881" y="723900"/>
            <a:chExt cx="1393267" cy="1874285"/>
          </a:xfrm>
        </xdr:grpSpPr>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968881" y="723900"/>
              <a:ext cx="1393267"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No afrontar (VAN=0)</a:t>
              </a:r>
            </a:p>
          </xdr:txBody>
        </xdr:sp>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2166083" y="2333625"/>
              <a:ext cx="998864"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Autoventistas</a:t>
              </a:r>
            </a:p>
          </xdr:txBody>
        </xdr:sp>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2079009" y="1790700"/>
              <a:ext cx="1173014"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Alquiler almacén</a:t>
              </a:r>
            </a:p>
          </xdr:txBody>
        </xdr:sp>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2079617" y="1266825"/>
              <a:ext cx="1171796"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Compra almacén</a:t>
              </a:r>
            </a:p>
          </xdr:txBody>
        </xdr:sp>
      </xdr:grpSp>
      <xdr:grpSp>
        <xdr:nvGrpSpPr>
          <xdr:cNvPr id="10" name="Grupo 9">
            <a:extLst>
              <a:ext uri="{FF2B5EF4-FFF2-40B4-BE49-F238E27FC236}">
                <a16:creationId xmlns:a16="http://schemas.microsoft.com/office/drawing/2014/main" id="{00000000-0008-0000-1600-00000A000000}"/>
              </a:ext>
            </a:extLst>
          </xdr:cNvPr>
          <xdr:cNvGrpSpPr/>
        </xdr:nvGrpSpPr>
        <xdr:grpSpPr>
          <a:xfrm>
            <a:off x="1123950" y="723900"/>
            <a:ext cx="2933700" cy="1752600"/>
            <a:chOff x="1123950" y="723900"/>
            <a:chExt cx="2933700" cy="1752600"/>
          </a:xfrm>
        </xdr:grpSpPr>
        <xdr:sp macro="" textlink="">
          <xdr:nvSpPr>
            <xdr:cNvPr id="11" name="Forma libre 10">
              <a:extLst>
                <a:ext uri="{FF2B5EF4-FFF2-40B4-BE49-F238E27FC236}">
                  <a16:creationId xmlns:a16="http://schemas.microsoft.com/office/drawing/2014/main" id="{00000000-0008-0000-1600-00000B000000}"/>
                </a:ext>
              </a:extLst>
            </xdr:cNvPr>
            <xdr:cNvSpPr/>
          </xdr:nvSpPr>
          <xdr:spPr>
            <a:xfrm flipV="1">
              <a:off x="1685925" y="981075"/>
              <a:ext cx="180975" cy="46672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chemeClr val="tx1"/>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Forma libre 11">
              <a:extLst>
                <a:ext uri="{FF2B5EF4-FFF2-40B4-BE49-F238E27FC236}">
                  <a16:creationId xmlns:a16="http://schemas.microsoft.com/office/drawing/2014/main" id="{00000000-0008-0000-1600-00000C000000}"/>
                </a:ext>
              </a:extLst>
            </xdr:cNvPr>
            <xdr:cNvSpPr/>
          </xdr:nvSpPr>
          <xdr:spPr>
            <a:xfrm flipV="1">
              <a:off x="1409700" y="847724"/>
              <a:ext cx="457200" cy="109537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chemeClr val="tx1"/>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Forma libre 12">
              <a:extLst>
                <a:ext uri="{FF2B5EF4-FFF2-40B4-BE49-F238E27FC236}">
                  <a16:creationId xmlns:a16="http://schemas.microsoft.com/office/drawing/2014/main" id="{00000000-0008-0000-1600-00000D000000}"/>
                </a:ext>
              </a:extLst>
            </xdr:cNvPr>
            <xdr:cNvSpPr/>
          </xdr:nvSpPr>
          <xdr:spPr>
            <a:xfrm flipV="1">
              <a:off x="1123950" y="723900"/>
              <a:ext cx="771525" cy="174307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chemeClr val="tx1"/>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Forma libre 13">
              <a:extLst>
                <a:ext uri="{FF2B5EF4-FFF2-40B4-BE49-F238E27FC236}">
                  <a16:creationId xmlns:a16="http://schemas.microsoft.com/office/drawing/2014/main" id="{00000000-0008-0000-1600-00000E000000}"/>
                </a:ext>
              </a:extLst>
            </xdr:cNvPr>
            <xdr:cNvSpPr/>
          </xdr:nvSpPr>
          <xdr:spPr>
            <a:xfrm>
              <a:off x="3467101" y="847725"/>
              <a:ext cx="85724" cy="571500"/>
            </a:xfrm>
            <a:custGeom>
              <a:avLst/>
              <a:gdLst>
                <a:gd name="connsiteX0" fmla="*/ 47625 w 324167"/>
                <a:gd name="connsiteY0" fmla="*/ 571500 h 571500"/>
                <a:gd name="connsiteX1" fmla="*/ 323850 w 324167"/>
                <a:gd name="connsiteY1" fmla="*/ 200025 h 571500"/>
                <a:gd name="connsiteX2" fmla="*/ 0 w 324167"/>
                <a:gd name="connsiteY2" fmla="*/ 0 h 571500"/>
              </a:gdLst>
              <a:ahLst/>
              <a:cxnLst>
                <a:cxn ang="0">
                  <a:pos x="connsiteX0" y="connsiteY0"/>
                </a:cxn>
                <a:cxn ang="0">
                  <a:pos x="connsiteX1" y="connsiteY1"/>
                </a:cxn>
                <a:cxn ang="0">
                  <a:pos x="connsiteX2" y="connsiteY2"/>
                </a:cxn>
              </a:cxnLst>
              <a:rect l="l" t="t" r="r" b="b"/>
              <a:pathLst>
                <a:path w="324167" h="571500">
                  <a:moveTo>
                    <a:pt x="47625" y="571500"/>
                  </a:moveTo>
                  <a:cubicBezTo>
                    <a:pt x="189706" y="433387"/>
                    <a:pt x="331787" y="295275"/>
                    <a:pt x="323850" y="200025"/>
                  </a:cubicBezTo>
                  <a:cubicBezTo>
                    <a:pt x="315913" y="104775"/>
                    <a:pt x="157956" y="52387"/>
                    <a:pt x="0" y="0"/>
                  </a:cubicBezTo>
                </a:path>
              </a:pathLst>
            </a:custGeom>
            <a:noFill/>
            <a:ln w="9525">
              <a:solidFill>
                <a:schemeClr val="tx1"/>
              </a:solidFill>
              <a:headEnd type="none"/>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 name="Forma libre 14">
              <a:extLst>
                <a:ext uri="{FF2B5EF4-FFF2-40B4-BE49-F238E27FC236}">
                  <a16:creationId xmlns:a16="http://schemas.microsoft.com/office/drawing/2014/main" id="{00000000-0008-0000-1600-00000F000000}"/>
                </a:ext>
              </a:extLst>
            </xdr:cNvPr>
            <xdr:cNvSpPr/>
          </xdr:nvSpPr>
          <xdr:spPr>
            <a:xfrm>
              <a:off x="3495677" y="1057275"/>
              <a:ext cx="276224" cy="895350"/>
            </a:xfrm>
            <a:custGeom>
              <a:avLst/>
              <a:gdLst>
                <a:gd name="connsiteX0" fmla="*/ 0 w 918283"/>
                <a:gd name="connsiteY0" fmla="*/ 895350 h 895350"/>
                <a:gd name="connsiteX1" fmla="*/ 904875 w 918283"/>
                <a:gd name="connsiteY1" fmla="*/ 361950 h 895350"/>
                <a:gd name="connsiteX2" fmla="*/ 457200 w 918283"/>
                <a:gd name="connsiteY2" fmla="*/ 0 h 895350"/>
              </a:gdLst>
              <a:ahLst/>
              <a:cxnLst>
                <a:cxn ang="0">
                  <a:pos x="connsiteX0" y="connsiteY0"/>
                </a:cxn>
                <a:cxn ang="0">
                  <a:pos x="connsiteX1" y="connsiteY1"/>
                </a:cxn>
                <a:cxn ang="0">
                  <a:pos x="connsiteX2" y="connsiteY2"/>
                </a:cxn>
              </a:cxnLst>
              <a:rect l="l" t="t" r="r" b="b"/>
              <a:pathLst>
                <a:path w="918283" h="895350">
                  <a:moveTo>
                    <a:pt x="0" y="895350"/>
                  </a:moveTo>
                  <a:cubicBezTo>
                    <a:pt x="414337" y="703262"/>
                    <a:pt x="828675" y="511175"/>
                    <a:pt x="904875" y="361950"/>
                  </a:cubicBezTo>
                  <a:cubicBezTo>
                    <a:pt x="981075" y="212725"/>
                    <a:pt x="719137" y="106362"/>
                    <a:pt x="457200" y="0"/>
                  </a:cubicBezTo>
                </a:path>
              </a:pathLst>
            </a:custGeom>
            <a:noFill/>
            <a:ln w="9525">
              <a:solidFill>
                <a:schemeClr val="tx1"/>
              </a:solidFill>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Forma libre 15">
              <a:extLst>
                <a:ext uri="{FF2B5EF4-FFF2-40B4-BE49-F238E27FC236}">
                  <a16:creationId xmlns:a16="http://schemas.microsoft.com/office/drawing/2014/main" id="{00000000-0008-0000-1600-000010000000}"/>
                </a:ext>
              </a:extLst>
            </xdr:cNvPr>
            <xdr:cNvSpPr/>
          </xdr:nvSpPr>
          <xdr:spPr>
            <a:xfrm>
              <a:off x="3486151" y="1381125"/>
              <a:ext cx="571499" cy="1095375"/>
            </a:xfrm>
            <a:custGeom>
              <a:avLst/>
              <a:gdLst>
                <a:gd name="connsiteX0" fmla="*/ 0 w 1855334"/>
                <a:gd name="connsiteY0" fmla="*/ 1095375 h 1095375"/>
                <a:gd name="connsiteX1" fmla="*/ 238125 w 1855334"/>
                <a:gd name="connsiteY1" fmla="*/ 990600 h 1095375"/>
                <a:gd name="connsiteX2" fmla="*/ 1819275 w 1855334"/>
                <a:gd name="connsiteY2" fmla="*/ 295275 h 1095375"/>
                <a:gd name="connsiteX3" fmla="*/ 1190625 w 1855334"/>
                <a:gd name="connsiteY3" fmla="*/ 0 h 1095375"/>
              </a:gdLst>
              <a:ahLst/>
              <a:cxnLst>
                <a:cxn ang="0">
                  <a:pos x="connsiteX0" y="connsiteY0"/>
                </a:cxn>
                <a:cxn ang="0">
                  <a:pos x="connsiteX1" y="connsiteY1"/>
                </a:cxn>
                <a:cxn ang="0">
                  <a:pos x="connsiteX2" y="connsiteY2"/>
                </a:cxn>
                <a:cxn ang="0">
                  <a:pos x="connsiteX3" y="connsiteY3"/>
                </a:cxn>
              </a:cxnLst>
              <a:rect l="l" t="t" r="r" b="b"/>
              <a:pathLst>
                <a:path w="1855334" h="1095375">
                  <a:moveTo>
                    <a:pt x="0" y="1095375"/>
                  </a:moveTo>
                  <a:lnTo>
                    <a:pt x="238125" y="990600"/>
                  </a:lnTo>
                  <a:cubicBezTo>
                    <a:pt x="541338" y="857250"/>
                    <a:pt x="1660525" y="460375"/>
                    <a:pt x="1819275" y="295275"/>
                  </a:cubicBezTo>
                  <a:cubicBezTo>
                    <a:pt x="1978025" y="130175"/>
                    <a:pt x="1584325" y="65087"/>
                    <a:pt x="1190625" y="0"/>
                  </a:cubicBezTo>
                </a:path>
              </a:pathLst>
            </a:custGeom>
            <a:noFill/>
            <a:ln w="9525">
              <a:solidFill>
                <a:schemeClr val="tx1"/>
              </a:solidFill>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oneCellAnchor>
    <xdr:from>
      <xdr:col>1</xdr:col>
      <xdr:colOff>567005</xdr:colOff>
      <xdr:row>30</xdr:row>
      <xdr:rowOff>89636</xdr:rowOff>
    </xdr:from>
    <xdr:ext cx="1376595" cy="25673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814655" y="5804636"/>
          <a:ext cx="137659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Inversión en almacén</a:t>
          </a:r>
        </a:p>
      </xdr:txBody>
    </xdr:sp>
    <xdr:clientData/>
  </xdr:oneCellAnchor>
  <xdr:oneCellAnchor>
    <xdr:from>
      <xdr:col>1</xdr:col>
      <xdr:colOff>437326</xdr:colOff>
      <xdr:row>32</xdr:row>
      <xdr:rowOff>14494</xdr:rowOff>
    </xdr:from>
    <xdr:ext cx="1635961" cy="256737"/>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684976" y="6110494"/>
          <a:ext cx="1635961"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Amortización del almacén</a:t>
          </a:r>
        </a:p>
      </xdr:txBody>
    </xdr:sp>
    <xdr:clientData/>
  </xdr:oneCellAnchor>
  <xdr:oneCellAnchor>
    <xdr:from>
      <xdr:col>1</xdr:col>
      <xdr:colOff>643537</xdr:colOff>
      <xdr:row>33</xdr:row>
      <xdr:rowOff>128794</xdr:rowOff>
    </xdr:from>
    <xdr:ext cx="1223540" cy="256737"/>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891187" y="6415294"/>
          <a:ext cx="1223540"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 del almacén</a:t>
          </a:r>
        </a:p>
      </xdr:txBody>
    </xdr:sp>
    <xdr:clientData/>
  </xdr:oneCellAnchor>
  <xdr:oneCellAnchor>
    <xdr:from>
      <xdr:col>1</xdr:col>
      <xdr:colOff>324062</xdr:colOff>
      <xdr:row>39</xdr:row>
      <xdr:rowOff>137261</xdr:rowOff>
    </xdr:from>
    <xdr:ext cx="1862497" cy="25673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571712" y="7566761"/>
          <a:ext cx="1862497"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Coste del alquiler del almacén</a:t>
          </a:r>
        </a:p>
      </xdr:txBody>
    </xdr:sp>
    <xdr:clientData/>
  </xdr:oneCellAnchor>
  <xdr:oneCellAnchor>
    <xdr:from>
      <xdr:col>5</xdr:col>
      <xdr:colOff>312837</xdr:colOff>
      <xdr:row>32</xdr:row>
      <xdr:rowOff>70586</xdr:rowOff>
    </xdr:from>
    <xdr:ext cx="2589812" cy="256737"/>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3151287" y="6166586"/>
          <a:ext cx="2589812"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Ventas de mercaderías (Compra o Alquiler)</a:t>
          </a:r>
        </a:p>
      </xdr:txBody>
    </xdr:sp>
    <xdr:clientData/>
  </xdr:oneCellAnchor>
  <xdr:oneCellAnchor>
    <xdr:from>
      <xdr:col>5</xdr:col>
      <xdr:colOff>620559</xdr:colOff>
      <xdr:row>34</xdr:row>
      <xdr:rowOff>37776</xdr:rowOff>
    </xdr:from>
    <xdr:ext cx="1974387" cy="256737"/>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3459009" y="6514776"/>
          <a:ext cx="1974387"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Margen sobre el precio de coste</a:t>
          </a:r>
        </a:p>
      </xdr:txBody>
    </xdr:sp>
    <xdr:clientData/>
  </xdr:oneCellAnchor>
  <xdr:oneCellAnchor>
    <xdr:from>
      <xdr:col>5</xdr:col>
      <xdr:colOff>275948</xdr:colOff>
      <xdr:row>37</xdr:row>
      <xdr:rowOff>171126</xdr:rowOff>
    </xdr:from>
    <xdr:ext cx="2663614" cy="256737"/>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3114398" y="7219626"/>
          <a:ext cx="266361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Inversiones en Fondo de maniobra </a:t>
          </a:r>
          <a:r>
            <a:rPr lang="es-ES" sz="1050" b="1" baseline="0"/>
            <a:t>(clientes)</a:t>
          </a:r>
          <a:endParaRPr lang="es-ES" sz="1050" b="1"/>
        </a:p>
      </xdr:txBody>
    </xdr:sp>
    <xdr:clientData/>
  </xdr:oneCellAnchor>
  <xdr:oneCellAnchor>
    <xdr:from>
      <xdr:col>6</xdr:col>
      <xdr:colOff>130393</xdr:colOff>
      <xdr:row>45</xdr:row>
      <xdr:rowOff>150309</xdr:rowOff>
    </xdr:from>
    <xdr:ext cx="1659300" cy="421141"/>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3616543" y="8722809"/>
          <a:ext cx="1659300" cy="421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Ventas de mercaderías</a:t>
          </a:r>
        </a:p>
        <a:p>
          <a:pPr algn="ctr"/>
          <a:r>
            <a:rPr lang="es-ES" sz="1050" b="1"/>
            <a:t>(50% s/Compra o Alquiler)</a:t>
          </a:r>
        </a:p>
      </xdr:txBody>
    </xdr:sp>
    <xdr:clientData/>
  </xdr:oneCellAnchor>
  <xdr:oneCellAnchor>
    <xdr:from>
      <xdr:col>5</xdr:col>
      <xdr:colOff>480201</xdr:colOff>
      <xdr:row>48</xdr:row>
      <xdr:rowOff>13436</xdr:rowOff>
    </xdr:from>
    <xdr:ext cx="2255105" cy="25673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3318651" y="9157436"/>
          <a:ext cx="225510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Margen sobre el precio de coste (5%)</a:t>
          </a:r>
        </a:p>
      </xdr:txBody>
    </xdr:sp>
    <xdr:clientData/>
  </xdr:oneCellAnchor>
  <xdr:oneCellAnchor>
    <xdr:from>
      <xdr:col>5</xdr:col>
      <xdr:colOff>265220</xdr:colOff>
      <xdr:row>36</xdr:row>
      <xdr:rowOff>9201</xdr:rowOff>
    </xdr:from>
    <xdr:ext cx="2685094" cy="256737"/>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3103670" y="6867201"/>
          <a:ext cx="268509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Coste incremental empleado (sueldo+dietas)</a:t>
          </a:r>
        </a:p>
      </xdr:txBody>
    </xdr:sp>
    <xdr:clientData/>
  </xdr:oneCellAnchor>
  <xdr:oneCellAnchor>
    <xdr:from>
      <xdr:col>1</xdr:col>
      <xdr:colOff>147139</xdr:colOff>
      <xdr:row>27</xdr:row>
      <xdr:rowOff>161925</xdr:rowOff>
    </xdr:from>
    <xdr:ext cx="1187633" cy="264560"/>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4789" y="5305425"/>
          <a:ext cx="1187633"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 Almacén</a:t>
          </a:r>
        </a:p>
      </xdr:txBody>
    </xdr:sp>
    <xdr:clientData/>
  </xdr:oneCellAnchor>
  <xdr:oneCellAnchor>
    <xdr:from>
      <xdr:col>1</xdr:col>
      <xdr:colOff>127482</xdr:colOff>
      <xdr:row>37</xdr:row>
      <xdr:rowOff>47625</xdr:rowOff>
    </xdr:from>
    <xdr:ext cx="1188852" cy="264560"/>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375132" y="7096125"/>
          <a:ext cx="1188852"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Alquiler Almacén</a:t>
          </a:r>
        </a:p>
      </xdr:txBody>
    </xdr:sp>
    <xdr:clientData/>
  </xdr:oneCellAnchor>
  <xdr:oneCellAnchor>
    <xdr:from>
      <xdr:col>1</xdr:col>
      <xdr:colOff>203430</xdr:colOff>
      <xdr:row>43</xdr:row>
      <xdr:rowOff>85725</xdr:rowOff>
    </xdr:from>
    <xdr:ext cx="998864" cy="264560"/>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451080" y="8277225"/>
          <a:ext cx="998864"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Autoventistas</a:t>
          </a:r>
        </a:p>
      </xdr:txBody>
    </xdr:sp>
    <xdr:clientData/>
  </xdr:oneCellAnchor>
  <xdr:oneCellAnchor>
    <xdr:from>
      <xdr:col>5</xdr:col>
      <xdr:colOff>225500</xdr:colOff>
      <xdr:row>27</xdr:row>
      <xdr:rowOff>161925</xdr:rowOff>
    </xdr:from>
    <xdr:ext cx="2002471" cy="264560"/>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3063950" y="5305425"/>
          <a:ext cx="2002471"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 o Alquiler del Almacén</a:t>
          </a:r>
        </a:p>
      </xdr:txBody>
    </xdr:sp>
    <xdr:clientData/>
  </xdr:oneCellAnchor>
  <xdr:oneCellAnchor>
    <xdr:from>
      <xdr:col>5</xdr:col>
      <xdr:colOff>346305</xdr:colOff>
      <xdr:row>43</xdr:row>
      <xdr:rowOff>76200</xdr:rowOff>
    </xdr:from>
    <xdr:ext cx="998864" cy="264560"/>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3184755" y="8267700"/>
          <a:ext cx="998864"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Autoventistas</a:t>
          </a:r>
        </a:p>
      </xdr:txBody>
    </xdr:sp>
    <xdr:clientData/>
  </xdr:oneCellAnchor>
  <xdr:oneCellAnchor>
    <xdr:from>
      <xdr:col>9</xdr:col>
      <xdr:colOff>514452</xdr:colOff>
      <xdr:row>27</xdr:row>
      <xdr:rowOff>171450</xdr:rowOff>
    </xdr:from>
    <xdr:ext cx="2129430" cy="264560"/>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6286602" y="5314950"/>
          <a:ext cx="2129430"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a:t>
          </a:r>
          <a:r>
            <a:rPr lang="es-ES" sz="1100" b="1" baseline="0">
              <a:solidFill>
                <a:schemeClr val="bg1"/>
              </a:solidFill>
            </a:rPr>
            <a:t> Alquiler o Autoventistas</a:t>
          </a:r>
          <a:endParaRPr lang="es-ES" sz="1100" b="1">
            <a:solidFill>
              <a:schemeClr val="bg1"/>
            </a:solidFill>
          </a:endParaRPr>
        </a:p>
      </xdr:txBody>
    </xdr:sp>
    <xdr:clientData/>
  </xdr:oneCellAnchor>
  <xdr:oneCellAnchor>
    <xdr:from>
      <xdr:col>11</xdr:col>
      <xdr:colOff>64317</xdr:colOff>
      <xdr:row>36</xdr:row>
      <xdr:rowOff>14231</xdr:rowOff>
    </xdr:from>
    <xdr:ext cx="669094" cy="256737"/>
    <xdr:sp macro="" textlink="">
      <xdr:nvSpPr>
        <xdr:cNvPr id="37" name="CuadroTexto 36">
          <a:extLst>
            <a:ext uri="{FF2B5EF4-FFF2-40B4-BE49-F238E27FC236}">
              <a16:creationId xmlns:a16="http://schemas.microsoft.com/office/drawing/2014/main" id="{00000000-0008-0000-1600-000025000000}"/>
            </a:ext>
          </a:extLst>
        </xdr:cNvPr>
        <xdr:cNvSpPr txBox="1"/>
      </xdr:nvSpPr>
      <xdr:spPr>
        <a:xfrm>
          <a:off x="7360467" y="6872231"/>
          <a:ext cx="66909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Inflación</a:t>
          </a:r>
        </a:p>
      </xdr:txBody>
    </xdr:sp>
    <xdr:clientData/>
  </xdr:oneCellAnchor>
  <xdr:oneCellAnchor>
    <xdr:from>
      <xdr:col>10</xdr:col>
      <xdr:colOff>636117</xdr:colOff>
      <xdr:row>37</xdr:row>
      <xdr:rowOff>182504</xdr:rowOff>
    </xdr:from>
    <xdr:ext cx="1049518" cy="25673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7170267" y="7231004"/>
          <a:ext cx="1049518"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Tipo impositivo</a:t>
          </a:r>
        </a:p>
      </xdr:txBody>
    </xdr:sp>
    <xdr:clientData/>
  </xdr:oneCellAnchor>
  <xdr:oneCellAnchor>
    <xdr:from>
      <xdr:col>10</xdr:col>
      <xdr:colOff>498327</xdr:colOff>
      <xdr:row>41</xdr:row>
      <xdr:rowOff>125354</xdr:rowOff>
    </xdr:from>
    <xdr:ext cx="1325106" cy="256737"/>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7032477" y="7935854"/>
          <a:ext cx="1325106"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Rentabilidad</a:t>
          </a:r>
          <a:r>
            <a:rPr lang="es-ES" sz="1050" b="1" baseline="0"/>
            <a:t> exigida</a:t>
          </a:r>
          <a:endParaRPr lang="es-ES" sz="1050" b="1"/>
        </a:p>
      </xdr:txBody>
    </xdr:sp>
    <xdr:clientData/>
  </xdr:oneCellAnchor>
  <xdr:oneCellAnchor>
    <xdr:from>
      <xdr:col>10</xdr:col>
      <xdr:colOff>596088</xdr:colOff>
      <xdr:row>39</xdr:row>
      <xdr:rowOff>153929</xdr:rowOff>
    </xdr:from>
    <xdr:ext cx="1129605" cy="256737"/>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7130238" y="7583429"/>
          <a:ext cx="112960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Vida útil (5 años)</a:t>
          </a:r>
        </a:p>
      </xdr:txBody>
    </xdr:sp>
    <xdr:clientData/>
  </xdr:oneCellAnchor>
  <xdr:twoCellAnchor>
    <xdr:from>
      <xdr:col>4</xdr:col>
      <xdr:colOff>560912</xdr:colOff>
      <xdr:row>27</xdr:row>
      <xdr:rowOff>126999</xdr:rowOff>
    </xdr:from>
    <xdr:to>
      <xdr:col>5</xdr:col>
      <xdr:colOff>88408</xdr:colOff>
      <xdr:row>42</xdr:row>
      <xdr:rowOff>10582</xdr:rowOff>
    </xdr:to>
    <xdr:sp macro="" textlink="">
      <xdr:nvSpPr>
        <xdr:cNvPr id="41" name="Cerrar llave 40">
          <a:extLst>
            <a:ext uri="{FF2B5EF4-FFF2-40B4-BE49-F238E27FC236}">
              <a16:creationId xmlns:a16="http://schemas.microsoft.com/office/drawing/2014/main" id="{00000000-0008-0000-1600-000029000000}"/>
            </a:ext>
          </a:extLst>
        </xdr:cNvPr>
        <xdr:cNvSpPr/>
      </xdr:nvSpPr>
      <xdr:spPr>
        <a:xfrm>
          <a:off x="2751662" y="5270499"/>
          <a:ext cx="175196" cy="2741083"/>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9</xdr:col>
      <xdr:colOff>205314</xdr:colOff>
      <xdr:row>27</xdr:row>
      <xdr:rowOff>173566</xdr:rowOff>
    </xdr:from>
    <xdr:to>
      <xdr:col>9</xdr:col>
      <xdr:colOff>381000</xdr:colOff>
      <xdr:row>50</xdr:row>
      <xdr:rowOff>95250</xdr:rowOff>
    </xdr:to>
    <xdr:sp macro="" textlink="">
      <xdr:nvSpPr>
        <xdr:cNvPr id="42" name="Cerrar llave 41">
          <a:extLst>
            <a:ext uri="{FF2B5EF4-FFF2-40B4-BE49-F238E27FC236}">
              <a16:creationId xmlns:a16="http://schemas.microsoft.com/office/drawing/2014/main" id="{00000000-0008-0000-1600-00002A000000}"/>
            </a:ext>
          </a:extLst>
        </xdr:cNvPr>
        <xdr:cNvSpPr/>
      </xdr:nvSpPr>
      <xdr:spPr>
        <a:xfrm>
          <a:off x="5977464" y="5317066"/>
          <a:ext cx="175686" cy="4303184"/>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4</xdr:col>
      <xdr:colOff>565146</xdr:colOff>
      <xdr:row>43</xdr:row>
      <xdr:rowOff>84667</xdr:rowOff>
    </xdr:from>
    <xdr:to>
      <xdr:col>5</xdr:col>
      <xdr:colOff>105833</xdr:colOff>
      <xdr:row>50</xdr:row>
      <xdr:rowOff>78315</xdr:rowOff>
    </xdr:to>
    <xdr:sp macro="" textlink="">
      <xdr:nvSpPr>
        <xdr:cNvPr id="43" name="Cerrar llave 42">
          <a:extLst>
            <a:ext uri="{FF2B5EF4-FFF2-40B4-BE49-F238E27FC236}">
              <a16:creationId xmlns:a16="http://schemas.microsoft.com/office/drawing/2014/main" id="{00000000-0008-0000-1600-00002B000000}"/>
            </a:ext>
          </a:extLst>
        </xdr:cNvPr>
        <xdr:cNvSpPr/>
      </xdr:nvSpPr>
      <xdr:spPr>
        <a:xfrm>
          <a:off x="2755896" y="8276167"/>
          <a:ext cx="188387" cy="1327148"/>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5</xdr:col>
      <xdr:colOff>190501</xdr:colOff>
      <xdr:row>58</xdr:row>
      <xdr:rowOff>31750</xdr:rowOff>
    </xdr:from>
    <xdr:to>
      <xdr:col>8</xdr:col>
      <xdr:colOff>644639</xdr:colOff>
      <xdr:row>61</xdr:row>
      <xdr:rowOff>174196</xdr:rowOff>
    </xdr:to>
    <xdr:grpSp>
      <xdr:nvGrpSpPr>
        <xdr:cNvPr id="44" name="Grupo 43">
          <a:extLst>
            <a:ext uri="{FF2B5EF4-FFF2-40B4-BE49-F238E27FC236}">
              <a16:creationId xmlns:a16="http://schemas.microsoft.com/office/drawing/2014/main" id="{00000000-0008-0000-1600-00002C000000}"/>
            </a:ext>
          </a:extLst>
        </xdr:cNvPr>
        <xdr:cNvGrpSpPr/>
      </xdr:nvGrpSpPr>
      <xdr:grpSpPr>
        <a:xfrm>
          <a:off x="3118557" y="10678583"/>
          <a:ext cx="2718971" cy="692780"/>
          <a:chOff x="698500" y="10509250"/>
          <a:chExt cx="2390888" cy="713946"/>
        </a:xfrm>
      </xdr:grpSpPr>
      <xdr:grpSp>
        <xdr:nvGrpSpPr>
          <xdr:cNvPr id="45" name="Group 13">
            <a:extLst>
              <a:ext uri="{FF2B5EF4-FFF2-40B4-BE49-F238E27FC236}">
                <a16:creationId xmlns:a16="http://schemas.microsoft.com/office/drawing/2014/main" id="{00000000-0008-0000-1600-00002D000000}"/>
              </a:ext>
            </a:extLst>
          </xdr:cNvPr>
          <xdr:cNvGrpSpPr>
            <a:grpSpLocks/>
          </xdr:cNvGrpSpPr>
        </xdr:nvGrpSpPr>
        <xdr:grpSpPr bwMode="auto">
          <a:xfrm>
            <a:off x="754398" y="10509250"/>
            <a:ext cx="2276552" cy="713946"/>
            <a:chOff x="1266" y="2038"/>
            <a:chExt cx="3648" cy="650"/>
          </a:xfrm>
        </xdr:grpSpPr>
        <xdr:sp macro="" textlink="">
          <xdr:nvSpPr>
            <xdr:cNvPr id="53" name="Line 5">
              <a:extLst>
                <a:ext uri="{FF2B5EF4-FFF2-40B4-BE49-F238E27FC236}">
                  <a16:creationId xmlns:a16="http://schemas.microsoft.com/office/drawing/2014/main" id="{00000000-0008-0000-1600-000035000000}"/>
                </a:ext>
              </a:extLst>
            </xdr:cNvPr>
            <xdr:cNvSpPr>
              <a:spLocks noChangeShapeType="1"/>
            </xdr:cNvSpPr>
          </xdr:nvSpPr>
          <xdr:spPr bwMode="auto">
            <a:xfrm>
              <a:off x="1266" y="2365"/>
              <a:ext cx="3648" cy="0"/>
            </a:xfrm>
            <a:prstGeom prst="line">
              <a:avLst/>
            </a:prstGeom>
            <a:noFill/>
            <a:ln w="28575">
              <a:solidFill>
                <a:schemeClr val="bg1"/>
              </a:solidFill>
              <a:round/>
              <a:headEnd/>
              <a:tailEnd/>
            </a:ln>
            <a:extLst>
              <a:ext uri="{909E8E84-426E-40DD-AFC4-6F175D3DCCD1}">
                <a14:hiddenFill xmlns:a14="http://schemas.microsoft.com/office/drawing/2010/main">
                  <a:noFill/>
                </a14:hiddenFill>
              </a:ext>
            </a:extLst>
          </xdr:spPr>
        </xdr:sp>
        <xdr:sp macro="" textlink="">
          <xdr:nvSpPr>
            <xdr:cNvPr id="54" name="Line 6">
              <a:extLst>
                <a:ext uri="{FF2B5EF4-FFF2-40B4-BE49-F238E27FC236}">
                  <a16:creationId xmlns:a16="http://schemas.microsoft.com/office/drawing/2014/main" id="{00000000-0008-0000-1600-000036000000}"/>
                </a:ext>
              </a:extLst>
            </xdr:cNvPr>
            <xdr:cNvSpPr>
              <a:spLocks noChangeShapeType="1"/>
            </xdr:cNvSpPr>
          </xdr:nvSpPr>
          <xdr:spPr bwMode="auto">
            <a:xfrm>
              <a:off x="1271" y="2365"/>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7">
              <a:extLst>
                <a:ext uri="{FF2B5EF4-FFF2-40B4-BE49-F238E27FC236}">
                  <a16:creationId xmlns:a16="http://schemas.microsoft.com/office/drawing/2014/main" id="{00000000-0008-0000-1600-000037000000}"/>
                </a:ext>
              </a:extLst>
            </xdr:cNvPr>
            <xdr:cNvSpPr>
              <a:spLocks noChangeShapeType="1"/>
            </xdr:cNvSpPr>
          </xdr:nvSpPr>
          <xdr:spPr bwMode="auto">
            <a:xfrm flipV="1">
              <a:off x="2024"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6" name="Line 8">
              <a:extLst>
                <a:ext uri="{FF2B5EF4-FFF2-40B4-BE49-F238E27FC236}">
                  <a16:creationId xmlns:a16="http://schemas.microsoft.com/office/drawing/2014/main" id="{00000000-0008-0000-1600-000038000000}"/>
                </a:ext>
              </a:extLst>
            </xdr:cNvPr>
            <xdr:cNvSpPr>
              <a:spLocks noChangeShapeType="1"/>
            </xdr:cNvSpPr>
          </xdr:nvSpPr>
          <xdr:spPr bwMode="auto">
            <a:xfrm flipV="1">
              <a:off x="2723"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10">
              <a:extLst>
                <a:ext uri="{FF2B5EF4-FFF2-40B4-BE49-F238E27FC236}">
                  <a16:creationId xmlns:a16="http://schemas.microsoft.com/office/drawing/2014/main" id="{00000000-0008-0000-1600-000039000000}"/>
                </a:ext>
              </a:extLst>
            </xdr:cNvPr>
            <xdr:cNvSpPr>
              <a:spLocks noChangeShapeType="1"/>
            </xdr:cNvSpPr>
          </xdr:nvSpPr>
          <xdr:spPr bwMode="auto">
            <a:xfrm flipV="1">
              <a:off x="3440" y="2041"/>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11">
              <a:extLst>
                <a:ext uri="{FF2B5EF4-FFF2-40B4-BE49-F238E27FC236}">
                  <a16:creationId xmlns:a16="http://schemas.microsoft.com/office/drawing/2014/main" id="{00000000-0008-0000-1600-00003A000000}"/>
                </a:ext>
              </a:extLst>
            </xdr:cNvPr>
            <xdr:cNvSpPr>
              <a:spLocks noChangeShapeType="1"/>
            </xdr:cNvSpPr>
          </xdr:nvSpPr>
          <xdr:spPr bwMode="auto">
            <a:xfrm flipV="1">
              <a:off x="4175"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9" name="Line 12">
              <a:extLst>
                <a:ext uri="{FF2B5EF4-FFF2-40B4-BE49-F238E27FC236}">
                  <a16:creationId xmlns:a16="http://schemas.microsoft.com/office/drawing/2014/main" id="{00000000-0008-0000-1600-00003B000000}"/>
                </a:ext>
              </a:extLst>
            </xdr:cNvPr>
            <xdr:cNvSpPr>
              <a:spLocks noChangeShapeType="1"/>
            </xdr:cNvSpPr>
          </xdr:nvSpPr>
          <xdr:spPr bwMode="auto">
            <a:xfrm flipV="1">
              <a:off x="4901"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grpSp>
      <xdr:grpSp>
        <xdr:nvGrpSpPr>
          <xdr:cNvPr id="46" name="Grupo 45">
            <a:extLst>
              <a:ext uri="{FF2B5EF4-FFF2-40B4-BE49-F238E27FC236}">
                <a16:creationId xmlns:a16="http://schemas.microsoft.com/office/drawing/2014/main" id="{00000000-0008-0000-1600-00002E000000}"/>
              </a:ext>
            </a:extLst>
          </xdr:cNvPr>
          <xdr:cNvGrpSpPr/>
        </xdr:nvGrpSpPr>
        <xdr:grpSpPr>
          <a:xfrm>
            <a:off x="698500" y="10668514"/>
            <a:ext cx="2390888" cy="389924"/>
            <a:chOff x="698500" y="10668514"/>
            <a:chExt cx="2390888" cy="389924"/>
          </a:xfrm>
        </xdr:grpSpPr>
        <xdr:sp macro="" textlink="">
          <xdr:nvSpPr>
            <xdr:cNvPr id="47" name="Text Box 21">
              <a:extLst>
                <a:ext uri="{FF2B5EF4-FFF2-40B4-BE49-F238E27FC236}">
                  <a16:creationId xmlns:a16="http://schemas.microsoft.com/office/drawing/2014/main" id="{00000000-0008-0000-1600-00002F000000}"/>
                </a:ext>
              </a:extLst>
            </xdr:cNvPr>
            <xdr:cNvSpPr txBox="1">
              <a:spLocks noChangeArrowheads="1"/>
            </xdr:cNvSpPr>
          </xdr:nvSpPr>
          <xdr:spPr bwMode="auto">
            <a:xfrm>
              <a:off x="1162619" y="10877206"/>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1</a:t>
              </a:r>
            </a:p>
          </xdr:txBody>
        </xdr:sp>
        <xdr:sp macro="" textlink="">
          <xdr:nvSpPr>
            <xdr:cNvPr id="48" name="Text Box 22">
              <a:extLst>
                <a:ext uri="{FF2B5EF4-FFF2-40B4-BE49-F238E27FC236}">
                  <a16:creationId xmlns:a16="http://schemas.microsoft.com/office/drawing/2014/main" id="{00000000-0008-0000-1600-000030000000}"/>
                </a:ext>
              </a:extLst>
            </xdr:cNvPr>
            <xdr:cNvSpPr txBox="1">
              <a:spLocks noChangeArrowheads="1"/>
            </xdr:cNvSpPr>
          </xdr:nvSpPr>
          <xdr:spPr bwMode="auto">
            <a:xfrm>
              <a:off x="1595401"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2</a:t>
              </a:r>
            </a:p>
          </xdr:txBody>
        </xdr:sp>
        <xdr:sp macro="" textlink="">
          <xdr:nvSpPr>
            <xdr:cNvPr id="49" name="Text Box 23">
              <a:extLst>
                <a:ext uri="{FF2B5EF4-FFF2-40B4-BE49-F238E27FC236}">
                  <a16:creationId xmlns:a16="http://schemas.microsoft.com/office/drawing/2014/main" id="{00000000-0008-0000-1600-000031000000}"/>
                </a:ext>
              </a:extLst>
            </xdr:cNvPr>
            <xdr:cNvSpPr txBox="1">
              <a:spLocks noChangeArrowheads="1"/>
            </xdr:cNvSpPr>
          </xdr:nvSpPr>
          <xdr:spPr bwMode="auto">
            <a:xfrm>
              <a:off x="2027336" y="10858534"/>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3</a:t>
              </a:r>
            </a:p>
          </xdr:txBody>
        </xdr:sp>
        <xdr:sp macro="" textlink="">
          <xdr:nvSpPr>
            <xdr:cNvPr id="50" name="Text Box 24">
              <a:extLst>
                <a:ext uri="{FF2B5EF4-FFF2-40B4-BE49-F238E27FC236}">
                  <a16:creationId xmlns:a16="http://schemas.microsoft.com/office/drawing/2014/main" id="{00000000-0008-0000-1600-000032000000}"/>
                </a:ext>
              </a:extLst>
            </xdr:cNvPr>
            <xdr:cNvSpPr txBox="1">
              <a:spLocks noChangeArrowheads="1"/>
            </xdr:cNvSpPr>
          </xdr:nvSpPr>
          <xdr:spPr bwMode="auto">
            <a:xfrm>
              <a:off x="2499924"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4</a:t>
              </a:r>
            </a:p>
          </xdr:txBody>
        </xdr:sp>
        <xdr:sp macro="" textlink="">
          <xdr:nvSpPr>
            <xdr:cNvPr id="51" name="Text Box 25">
              <a:extLst>
                <a:ext uri="{FF2B5EF4-FFF2-40B4-BE49-F238E27FC236}">
                  <a16:creationId xmlns:a16="http://schemas.microsoft.com/office/drawing/2014/main" id="{00000000-0008-0000-1600-000033000000}"/>
                </a:ext>
              </a:extLst>
            </xdr:cNvPr>
            <xdr:cNvSpPr txBox="1">
              <a:spLocks noChangeArrowheads="1"/>
            </xdr:cNvSpPr>
          </xdr:nvSpPr>
          <xdr:spPr bwMode="auto">
            <a:xfrm>
              <a:off x="2947950"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5</a:t>
              </a:r>
            </a:p>
          </xdr:txBody>
        </xdr:sp>
        <xdr:sp macro="" textlink="">
          <xdr:nvSpPr>
            <xdr:cNvPr id="52" name="Text Box 26">
              <a:extLst>
                <a:ext uri="{FF2B5EF4-FFF2-40B4-BE49-F238E27FC236}">
                  <a16:creationId xmlns:a16="http://schemas.microsoft.com/office/drawing/2014/main" id="{00000000-0008-0000-1600-000034000000}"/>
                </a:ext>
              </a:extLst>
            </xdr:cNvPr>
            <xdr:cNvSpPr txBox="1">
              <a:spLocks noChangeArrowheads="1"/>
            </xdr:cNvSpPr>
          </xdr:nvSpPr>
          <xdr:spPr bwMode="auto">
            <a:xfrm>
              <a:off x="698500" y="10668514"/>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0</a:t>
              </a:r>
            </a:p>
          </xdr:txBody>
        </xdr:sp>
      </xdr:grpSp>
    </xdr:grpSp>
    <xdr:clientData/>
  </xdr:twoCellAnchor>
  <xdr:twoCellAnchor>
    <xdr:from>
      <xdr:col>5</xdr:col>
      <xdr:colOff>199080</xdr:colOff>
      <xdr:row>66</xdr:row>
      <xdr:rowOff>122817</xdr:rowOff>
    </xdr:from>
    <xdr:to>
      <xdr:col>8</xdr:col>
      <xdr:colOff>635001</xdr:colOff>
      <xdr:row>70</xdr:row>
      <xdr:rowOff>74763</xdr:rowOff>
    </xdr:to>
    <xdr:grpSp>
      <xdr:nvGrpSpPr>
        <xdr:cNvPr id="60" name="Grupo 59">
          <a:extLst>
            <a:ext uri="{FF2B5EF4-FFF2-40B4-BE49-F238E27FC236}">
              <a16:creationId xmlns:a16="http://schemas.microsoft.com/office/drawing/2014/main" id="{00000000-0008-0000-1600-00003C000000}"/>
            </a:ext>
          </a:extLst>
        </xdr:cNvPr>
        <xdr:cNvGrpSpPr/>
      </xdr:nvGrpSpPr>
      <xdr:grpSpPr>
        <a:xfrm>
          <a:off x="3127136" y="12237206"/>
          <a:ext cx="2700754" cy="685724"/>
          <a:chOff x="707079" y="12124317"/>
          <a:chExt cx="2372671" cy="713946"/>
        </a:xfrm>
      </xdr:grpSpPr>
      <xdr:grpSp>
        <xdr:nvGrpSpPr>
          <xdr:cNvPr id="61" name="Group 13">
            <a:extLst>
              <a:ext uri="{FF2B5EF4-FFF2-40B4-BE49-F238E27FC236}">
                <a16:creationId xmlns:a16="http://schemas.microsoft.com/office/drawing/2014/main" id="{00000000-0008-0000-1600-00003D000000}"/>
              </a:ext>
            </a:extLst>
          </xdr:cNvPr>
          <xdr:cNvGrpSpPr>
            <a:grpSpLocks/>
          </xdr:cNvGrpSpPr>
        </xdr:nvGrpSpPr>
        <xdr:grpSpPr bwMode="auto">
          <a:xfrm>
            <a:off x="762551" y="12124317"/>
            <a:ext cx="2259206" cy="713946"/>
            <a:chOff x="1266" y="2038"/>
            <a:chExt cx="3648" cy="650"/>
          </a:xfrm>
        </xdr:grpSpPr>
        <xdr:sp macro="" textlink="">
          <xdr:nvSpPr>
            <xdr:cNvPr id="69" name="Line 5">
              <a:extLst>
                <a:ext uri="{FF2B5EF4-FFF2-40B4-BE49-F238E27FC236}">
                  <a16:creationId xmlns:a16="http://schemas.microsoft.com/office/drawing/2014/main" id="{00000000-0008-0000-1600-000045000000}"/>
                </a:ext>
              </a:extLst>
            </xdr:cNvPr>
            <xdr:cNvSpPr>
              <a:spLocks noChangeShapeType="1"/>
            </xdr:cNvSpPr>
          </xdr:nvSpPr>
          <xdr:spPr bwMode="auto">
            <a:xfrm>
              <a:off x="1266" y="2365"/>
              <a:ext cx="3648" cy="0"/>
            </a:xfrm>
            <a:prstGeom prst="line">
              <a:avLst/>
            </a:prstGeom>
            <a:noFill/>
            <a:ln w="28575">
              <a:solidFill>
                <a:schemeClr val="bg1"/>
              </a:solidFill>
              <a:round/>
              <a:headEnd/>
              <a:tailEnd/>
            </a:ln>
            <a:extLst>
              <a:ext uri="{909E8E84-426E-40DD-AFC4-6F175D3DCCD1}">
                <a14:hiddenFill xmlns:a14="http://schemas.microsoft.com/office/drawing/2010/main">
                  <a:noFill/>
                </a14:hiddenFill>
              </a:ext>
            </a:extLst>
          </xdr:spPr>
        </xdr:sp>
        <xdr:sp macro="" textlink="">
          <xdr:nvSpPr>
            <xdr:cNvPr id="70" name="Line 6">
              <a:extLst>
                <a:ext uri="{FF2B5EF4-FFF2-40B4-BE49-F238E27FC236}">
                  <a16:creationId xmlns:a16="http://schemas.microsoft.com/office/drawing/2014/main" id="{00000000-0008-0000-1600-000046000000}"/>
                </a:ext>
              </a:extLst>
            </xdr:cNvPr>
            <xdr:cNvSpPr>
              <a:spLocks noChangeShapeType="1"/>
            </xdr:cNvSpPr>
          </xdr:nvSpPr>
          <xdr:spPr bwMode="auto">
            <a:xfrm>
              <a:off x="1271" y="2365"/>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1" name="Line 7">
              <a:extLst>
                <a:ext uri="{FF2B5EF4-FFF2-40B4-BE49-F238E27FC236}">
                  <a16:creationId xmlns:a16="http://schemas.microsoft.com/office/drawing/2014/main" id="{00000000-0008-0000-1600-000047000000}"/>
                </a:ext>
              </a:extLst>
            </xdr:cNvPr>
            <xdr:cNvSpPr>
              <a:spLocks noChangeShapeType="1"/>
            </xdr:cNvSpPr>
          </xdr:nvSpPr>
          <xdr:spPr bwMode="auto">
            <a:xfrm flipV="1">
              <a:off x="2024"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2" name="Line 8">
              <a:extLst>
                <a:ext uri="{FF2B5EF4-FFF2-40B4-BE49-F238E27FC236}">
                  <a16:creationId xmlns:a16="http://schemas.microsoft.com/office/drawing/2014/main" id="{00000000-0008-0000-1600-000048000000}"/>
                </a:ext>
              </a:extLst>
            </xdr:cNvPr>
            <xdr:cNvSpPr>
              <a:spLocks noChangeShapeType="1"/>
            </xdr:cNvSpPr>
          </xdr:nvSpPr>
          <xdr:spPr bwMode="auto">
            <a:xfrm flipV="1">
              <a:off x="2723"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3" name="Line 10">
              <a:extLst>
                <a:ext uri="{FF2B5EF4-FFF2-40B4-BE49-F238E27FC236}">
                  <a16:creationId xmlns:a16="http://schemas.microsoft.com/office/drawing/2014/main" id="{00000000-0008-0000-1600-000049000000}"/>
                </a:ext>
              </a:extLst>
            </xdr:cNvPr>
            <xdr:cNvSpPr>
              <a:spLocks noChangeShapeType="1"/>
            </xdr:cNvSpPr>
          </xdr:nvSpPr>
          <xdr:spPr bwMode="auto">
            <a:xfrm flipV="1">
              <a:off x="3440" y="2041"/>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4" name="Line 11">
              <a:extLst>
                <a:ext uri="{FF2B5EF4-FFF2-40B4-BE49-F238E27FC236}">
                  <a16:creationId xmlns:a16="http://schemas.microsoft.com/office/drawing/2014/main" id="{00000000-0008-0000-1600-00004A000000}"/>
                </a:ext>
              </a:extLst>
            </xdr:cNvPr>
            <xdr:cNvSpPr>
              <a:spLocks noChangeShapeType="1"/>
            </xdr:cNvSpPr>
          </xdr:nvSpPr>
          <xdr:spPr bwMode="auto">
            <a:xfrm flipV="1">
              <a:off x="4175"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5" name="Line 12">
              <a:extLst>
                <a:ext uri="{FF2B5EF4-FFF2-40B4-BE49-F238E27FC236}">
                  <a16:creationId xmlns:a16="http://schemas.microsoft.com/office/drawing/2014/main" id="{00000000-0008-0000-1600-00004B000000}"/>
                </a:ext>
              </a:extLst>
            </xdr:cNvPr>
            <xdr:cNvSpPr>
              <a:spLocks noChangeShapeType="1"/>
            </xdr:cNvSpPr>
          </xdr:nvSpPr>
          <xdr:spPr bwMode="auto">
            <a:xfrm flipV="1">
              <a:off x="4901"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grpSp>
      <xdr:grpSp>
        <xdr:nvGrpSpPr>
          <xdr:cNvPr id="62" name="Grupo 61">
            <a:extLst>
              <a:ext uri="{FF2B5EF4-FFF2-40B4-BE49-F238E27FC236}">
                <a16:creationId xmlns:a16="http://schemas.microsoft.com/office/drawing/2014/main" id="{00000000-0008-0000-1600-00003E000000}"/>
              </a:ext>
            </a:extLst>
          </xdr:cNvPr>
          <xdr:cNvGrpSpPr/>
        </xdr:nvGrpSpPr>
        <xdr:grpSpPr>
          <a:xfrm>
            <a:off x="707079" y="12283581"/>
            <a:ext cx="2372671" cy="389924"/>
            <a:chOff x="707079" y="12283581"/>
            <a:chExt cx="2372671" cy="389924"/>
          </a:xfrm>
        </xdr:grpSpPr>
        <xdr:sp macro="" textlink="">
          <xdr:nvSpPr>
            <xdr:cNvPr id="63" name="Text Box 21">
              <a:extLst>
                <a:ext uri="{FF2B5EF4-FFF2-40B4-BE49-F238E27FC236}">
                  <a16:creationId xmlns:a16="http://schemas.microsoft.com/office/drawing/2014/main" id="{00000000-0008-0000-1600-00003F000000}"/>
                </a:ext>
              </a:extLst>
            </xdr:cNvPr>
            <xdr:cNvSpPr txBox="1">
              <a:spLocks noChangeArrowheads="1"/>
            </xdr:cNvSpPr>
          </xdr:nvSpPr>
          <xdr:spPr bwMode="auto">
            <a:xfrm>
              <a:off x="1167662" y="12492273"/>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1</a:t>
              </a:r>
            </a:p>
          </xdr:txBody>
        </xdr:sp>
        <xdr:sp macro="" textlink="">
          <xdr:nvSpPr>
            <xdr:cNvPr id="64" name="Text Box 22">
              <a:extLst>
                <a:ext uri="{FF2B5EF4-FFF2-40B4-BE49-F238E27FC236}">
                  <a16:creationId xmlns:a16="http://schemas.microsoft.com/office/drawing/2014/main" id="{00000000-0008-0000-1600-000040000000}"/>
                </a:ext>
              </a:extLst>
            </xdr:cNvPr>
            <xdr:cNvSpPr txBox="1">
              <a:spLocks noChangeArrowheads="1"/>
            </xdr:cNvSpPr>
          </xdr:nvSpPr>
          <xdr:spPr bwMode="auto">
            <a:xfrm>
              <a:off x="1597146"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2</a:t>
              </a:r>
            </a:p>
          </xdr:txBody>
        </xdr:sp>
        <xdr:sp macro="" textlink="">
          <xdr:nvSpPr>
            <xdr:cNvPr id="65" name="Text Box 23">
              <a:extLst>
                <a:ext uri="{FF2B5EF4-FFF2-40B4-BE49-F238E27FC236}">
                  <a16:creationId xmlns:a16="http://schemas.microsoft.com/office/drawing/2014/main" id="{00000000-0008-0000-1600-000041000000}"/>
                </a:ext>
              </a:extLst>
            </xdr:cNvPr>
            <xdr:cNvSpPr txBox="1">
              <a:spLocks noChangeArrowheads="1"/>
            </xdr:cNvSpPr>
          </xdr:nvSpPr>
          <xdr:spPr bwMode="auto">
            <a:xfrm>
              <a:off x="2025790" y="12473601"/>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3</a:t>
              </a:r>
            </a:p>
          </xdr:txBody>
        </xdr:sp>
        <xdr:sp macro="" textlink="">
          <xdr:nvSpPr>
            <xdr:cNvPr id="66" name="Text Box 24">
              <a:extLst>
                <a:ext uri="{FF2B5EF4-FFF2-40B4-BE49-F238E27FC236}">
                  <a16:creationId xmlns:a16="http://schemas.microsoft.com/office/drawing/2014/main" id="{00000000-0008-0000-1600-000042000000}"/>
                </a:ext>
              </a:extLst>
            </xdr:cNvPr>
            <xdr:cNvSpPr txBox="1">
              <a:spLocks noChangeArrowheads="1"/>
            </xdr:cNvSpPr>
          </xdr:nvSpPr>
          <xdr:spPr bwMode="auto">
            <a:xfrm>
              <a:off x="2494777"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4</a:t>
              </a:r>
            </a:p>
          </xdr:txBody>
        </xdr:sp>
        <xdr:sp macro="" textlink="">
          <xdr:nvSpPr>
            <xdr:cNvPr id="67" name="Text Box 25">
              <a:extLst>
                <a:ext uri="{FF2B5EF4-FFF2-40B4-BE49-F238E27FC236}">
                  <a16:creationId xmlns:a16="http://schemas.microsoft.com/office/drawing/2014/main" id="{00000000-0008-0000-1600-000043000000}"/>
                </a:ext>
              </a:extLst>
            </xdr:cNvPr>
            <xdr:cNvSpPr txBox="1">
              <a:spLocks noChangeArrowheads="1"/>
            </xdr:cNvSpPr>
          </xdr:nvSpPr>
          <xdr:spPr bwMode="auto">
            <a:xfrm>
              <a:off x="2939390"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5</a:t>
              </a:r>
            </a:p>
          </xdr:txBody>
        </xdr:sp>
        <xdr:sp macro="" textlink="">
          <xdr:nvSpPr>
            <xdr:cNvPr id="68" name="Text Box 26">
              <a:extLst>
                <a:ext uri="{FF2B5EF4-FFF2-40B4-BE49-F238E27FC236}">
                  <a16:creationId xmlns:a16="http://schemas.microsoft.com/office/drawing/2014/main" id="{00000000-0008-0000-1600-000044000000}"/>
                </a:ext>
              </a:extLst>
            </xdr:cNvPr>
            <xdr:cNvSpPr txBox="1">
              <a:spLocks noChangeArrowheads="1"/>
            </xdr:cNvSpPr>
          </xdr:nvSpPr>
          <xdr:spPr bwMode="auto">
            <a:xfrm>
              <a:off x="707079" y="12283581"/>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0</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476249</xdr:colOff>
      <xdr:row>24</xdr:row>
      <xdr:rowOff>152400</xdr:rowOff>
    </xdr:from>
    <xdr:to>
      <xdr:col>13</xdr:col>
      <xdr:colOff>276224</xdr:colOff>
      <xdr:row>47</xdr:row>
      <xdr:rowOff>114299</xdr:rowOff>
    </xdr:to>
    <xdr:sp macro="" textlink="">
      <xdr:nvSpPr>
        <xdr:cNvPr id="2" name="Rectángulo 1">
          <a:extLst>
            <a:ext uri="{FF2B5EF4-FFF2-40B4-BE49-F238E27FC236}">
              <a16:creationId xmlns:a16="http://schemas.microsoft.com/office/drawing/2014/main" id="{00000000-0008-0000-1700-000002000000}"/>
            </a:ext>
          </a:extLst>
        </xdr:cNvPr>
        <xdr:cNvSpPr/>
      </xdr:nvSpPr>
      <xdr:spPr>
        <a:xfrm>
          <a:off x="6248399" y="4724400"/>
          <a:ext cx="2847975" cy="4343399"/>
        </a:xfrm>
        <a:prstGeom prst="rect">
          <a:avLst/>
        </a:prstGeom>
        <a:solidFill>
          <a:schemeClr val="accent5">
            <a:lumMod val="20000"/>
            <a:lumOff val="8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209549</xdr:colOff>
      <xdr:row>40</xdr:row>
      <xdr:rowOff>47626</xdr:rowOff>
    </xdr:from>
    <xdr:to>
      <xdr:col>9</xdr:col>
      <xdr:colOff>104774</xdr:colOff>
      <xdr:row>47</xdr:row>
      <xdr:rowOff>104775</xdr:rowOff>
    </xdr:to>
    <xdr:sp macro="" textlink="">
      <xdr:nvSpPr>
        <xdr:cNvPr id="3" name="Rectángulo 2">
          <a:extLst>
            <a:ext uri="{FF2B5EF4-FFF2-40B4-BE49-F238E27FC236}">
              <a16:creationId xmlns:a16="http://schemas.microsoft.com/office/drawing/2014/main" id="{00000000-0008-0000-1700-000003000000}"/>
            </a:ext>
          </a:extLst>
        </xdr:cNvPr>
        <xdr:cNvSpPr/>
      </xdr:nvSpPr>
      <xdr:spPr>
        <a:xfrm>
          <a:off x="3047999" y="7667626"/>
          <a:ext cx="2828925" cy="1390649"/>
        </a:xfrm>
        <a:prstGeom prst="rect">
          <a:avLst/>
        </a:prstGeom>
        <a:solidFill>
          <a:srgbClr val="CC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190499</xdr:colOff>
      <xdr:row>24</xdr:row>
      <xdr:rowOff>133351</xdr:rowOff>
    </xdr:from>
    <xdr:to>
      <xdr:col>9</xdr:col>
      <xdr:colOff>104774</xdr:colOff>
      <xdr:row>39</xdr:row>
      <xdr:rowOff>28575</xdr:rowOff>
    </xdr:to>
    <xdr:sp macro="" textlink="">
      <xdr:nvSpPr>
        <xdr:cNvPr id="4" name="Rectángulo 3">
          <a:extLst>
            <a:ext uri="{FF2B5EF4-FFF2-40B4-BE49-F238E27FC236}">
              <a16:creationId xmlns:a16="http://schemas.microsoft.com/office/drawing/2014/main" id="{00000000-0008-0000-1700-000004000000}"/>
            </a:ext>
          </a:extLst>
        </xdr:cNvPr>
        <xdr:cNvSpPr/>
      </xdr:nvSpPr>
      <xdr:spPr>
        <a:xfrm>
          <a:off x="3028949" y="4705351"/>
          <a:ext cx="2847975" cy="2752724"/>
        </a:xfrm>
        <a:prstGeom prst="rect">
          <a:avLst/>
        </a:prstGeom>
        <a:solidFill>
          <a:srgbClr val="CC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66675</xdr:colOff>
      <xdr:row>40</xdr:row>
      <xdr:rowOff>57151</xdr:rowOff>
    </xdr:from>
    <xdr:to>
      <xdr:col>4</xdr:col>
      <xdr:colOff>428625</xdr:colOff>
      <xdr:row>47</xdr:row>
      <xdr:rowOff>114300</xdr:rowOff>
    </xdr:to>
    <xdr:sp macro="" textlink="">
      <xdr:nvSpPr>
        <xdr:cNvPr id="5" name="Rectángulo 4">
          <a:extLst>
            <a:ext uri="{FF2B5EF4-FFF2-40B4-BE49-F238E27FC236}">
              <a16:creationId xmlns:a16="http://schemas.microsoft.com/office/drawing/2014/main" id="{00000000-0008-0000-1700-000005000000}"/>
            </a:ext>
          </a:extLst>
        </xdr:cNvPr>
        <xdr:cNvSpPr/>
      </xdr:nvSpPr>
      <xdr:spPr>
        <a:xfrm>
          <a:off x="314325" y="7677151"/>
          <a:ext cx="2305050" cy="1390649"/>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85725</xdr:colOff>
      <xdr:row>34</xdr:row>
      <xdr:rowOff>19051</xdr:rowOff>
    </xdr:from>
    <xdr:to>
      <xdr:col>4</xdr:col>
      <xdr:colOff>447675</xdr:colOff>
      <xdr:row>39</xdr:row>
      <xdr:rowOff>28575</xdr:rowOff>
    </xdr:to>
    <xdr:sp macro="" textlink="">
      <xdr:nvSpPr>
        <xdr:cNvPr id="6" name="Rectángulo 5">
          <a:extLst>
            <a:ext uri="{FF2B5EF4-FFF2-40B4-BE49-F238E27FC236}">
              <a16:creationId xmlns:a16="http://schemas.microsoft.com/office/drawing/2014/main" id="{00000000-0008-0000-1700-000006000000}"/>
            </a:ext>
          </a:extLst>
        </xdr:cNvPr>
        <xdr:cNvSpPr/>
      </xdr:nvSpPr>
      <xdr:spPr>
        <a:xfrm>
          <a:off x="333375" y="6496051"/>
          <a:ext cx="2305050" cy="962024"/>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104775</xdr:colOff>
      <xdr:row>24</xdr:row>
      <xdr:rowOff>133351</xdr:rowOff>
    </xdr:from>
    <xdr:to>
      <xdr:col>4</xdr:col>
      <xdr:colOff>466725</xdr:colOff>
      <xdr:row>33</xdr:row>
      <xdr:rowOff>19051</xdr:rowOff>
    </xdr:to>
    <xdr:sp macro="" textlink="">
      <xdr:nvSpPr>
        <xdr:cNvPr id="7" name="Rectángulo 6">
          <a:extLst>
            <a:ext uri="{FF2B5EF4-FFF2-40B4-BE49-F238E27FC236}">
              <a16:creationId xmlns:a16="http://schemas.microsoft.com/office/drawing/2014/main" id="{00000000-0008-0000-1700-000007000000}"/>
            </a:ext>
          </a:extLst>
        </xdr:cNvPr>
        <xdr:cNvSpPr/>
      </xdr:nvSpPr>
      <xdr:spPr>
        <a:xfrm>
          <a:off x="352425" y="4705351"/>
          <a:ext cx="2305050" cy="1600200"/>
        </a:xfrm>
        <a:prstGeom prst="rect">
          <a:avLst/>
        </a:prstGeom>
        <a:solidFill>
          <a:srgbClr val="FFFFCC"/>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190500</xdr:colOff>
      <xdr:row>7</xdr:row>
      <xdr:rowOff>94192</xdr:rowOff>
    </xdr:from>
    <xdr:to>
      <xdr:col>5</xdr:col>
      <xdr:colOff>285750</xdr:colOff>
      <xdr:row>17</xdr:row>
      <xdr:rowOff>63477</xdr:rowOff>
    </xdr:to>
    <xdr:grpSp>
      <xdr:nvGrpSpPr>
        <xdr:cNvPr id="8" name="Grupo 7">
          <a:extLst>
            <a:ext uri="{FF2B5EF4-FFF2-40B4-BE49-F238E27FC236}">
              <a16:creationId xmlns:a16="http://schemas.microsoft.com/office/drawing/2014/main" id="{00000000-0008-0000-1700-000008000000}"/>
            </a:ext>
          </a:extLst>
        </xdr:cNvPr>
        <xdr:cNvGrpSpPr/>
      </xdr:nvGrpSpPr>
      <xdr:grpSpPr>
        <a:xfrm>
          <a:off x="190500" y="1385359"/>
          <a:ext cx="3023306" cy="1803729"/>
          <a:chOff x="1123950" y="723900"/>
          <a:chExt cx="2933700" cy="1874285"/>
        </a:xfrm>
      </xdr:grpSpPr>
      <xdr:grpSp>
        <xdr:nvGrpSpPr>
          <xdr:cNvPr id="9" name="Grupo 8">
            <a:extLst>
              <a:ext uri="{FF2B5EF4-FFF2-40B4-BE49-F238E27FC236}">
                <a16:creationId xmlns:a16="http://schemas.microsoft.com/office/drawing/2014/main" id="{00000000-0008-0000-1700-000009000000}"/>
              </a:ext>
            </a:extLst>
          </xdr:cNvPr>
          <xdr:cNvGrpSpPr/>
        </xdr:nvGrpSpPr>
        <xdr:grpSpPr>
          <a:xfrm>
            <a:off x="1968881" y="723900"/>
            <a:ext cx="1393267" cy="1874285"/>
            <a:chOff x="1968881" y="723900"/>
            <a:chExt cx="1393267" cy="1874285"/>
          </a:xfrm>
        </xdr:grpSpPr>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968881" y="723900"/>
              <a:ext cx="1393267"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No afrontar (VAN=0)</a:t>
              </a:r>
            </a:p>
          </xdr:txBody>
        </xdr:sp>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2166083" y="2333625"/>
              <a:ext cx="998864"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Autoventistas</a:t>
              </a:r>
            </a:p>
          </xdr:txBody>
        </xdr:sp>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2079009" y="1790700"/>
              <a:ext cx="1173014"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Alquiler almacén</a:t>
              </a:r>
            </a:p>
          </xdr:txBody>
        </xdr:sp>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2079617" y="1266825"/>
              <a:ext cx="1171796" cy="264560"/>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ES" sz="1100" b="1">
                  <a:solidFill>
                    <a:schemeClr val="bg1"/>
                  </a:solidFill>
                </a:rPr>
                <a:t>Compra almacén</a:t>
              </a:r>
            </a:p>
          </xdr:txBody>
        </xdr:sp>
      </xdr:grpSp>
      <xdr:grpSp>
        <xdr:nvGrpSpPr>
          <xdr:cNvPr id="10" name="Grupo 9">
            <a:extLst>
              <a:ext uri="{FF2B5EF4-FFF2-40B4-BE49-F238E27FC236}">
                <a16:creationId xmlns:a16="http://schemas.microsoft.com/office/drawing/2014/main" id="{00000000-0008-0000-1700-00000A000000}"/>
              </a:ext>
            </a:extLst>
          </xdr:cNvPr>
          <xdr:cNvGrpSpPr/>
        </xdr:nvGrpSpPr>
        <xdr:grpSpPr>
          <a:xfrm>
            <a:off x="1123950" y="723900"/>
            <a:ext cx="2933700" cy="1752600"/>
            <a:chOff x="1123950" y="723900"/>
            <a:chExt cx="2933700" cy="1752600"/>
          </a:xfrm>
        </xdr:grpSpPr>
        <xdr:sp macro="" textlink="">
          <xdr:nvSpPr>
            <xdr:cNvPr id="11" name="Forma libre 7">
              <a:extLst>
                <a:ext uri="{FF2B5EF4-FFF2-40B4-BE49-F238E27FC236}">
                  <a16:creationId xmlns:a16="http://schemas.microsoft.com/office/drawing/2014/main" id="{00000000-0008-0000-1700-00000B000000}"/>
                </a:ext>
              </a:extLst>
            </xdr:cNvPr>
            <xdr:cNvSpPr/>
          </xdr:nvSpPr>
          <xdr:spPr>
            <a:xfrm flipV="1">
              <a:off x="1685925" y="981075"/>
              <a:ext cx="180975" cy="46672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rgbClr val="00B050"/>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2" name="Forma libre 8">
              <a:extLst>
                <a:ext uri="{FF2B5EF4-FFF2-40B4-BE49-F238E27FC236}">
                  <a16:creationId xmlns:a16="http://schemas.microsoft.com/office/drawing/2014/main" id="{00000000-0008-0000-1700-00000C000000}"/>
                </a:ext>
              </a:extLst>
            </xdr:cNvPr>
            <xdr:cNvSpPr/>
          </xdr:nvSpPr>
          <xdr:spPr>
            <a:xfrm flipV="1">
              <a:off x="1409700" y="847724"/>
              <a:ext cx="457200" cy="109537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rgbClr val="00B050"/>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Forma libre 9">
              <a:extLst>
                <a:ext uri="{FF2B5EF4-FFF2-40B4-BE49-F238E27FC236}">
                  <a16:creationId xmlns:a16="http://schemas.microsoft.com/office/drawing/2014/main" id="{00000000-0008-0000-1700-00000D000000}"/>
                </a:ext>
              </a:extLst>
            </xdr:cNvPr>
            <xdr:cNvSpPr/>
          </xdr:nvSpPr>
          <xdr:spPr>
            <a:xfrm flipV="1">
              <a:off x="1123950" y="723900"/>
              <a:ext cx="771525" cy="1743075"/>
            </a:xfrm>
            <a:custGeom>
              <a:avLst/>
              <a:gdLst>
                <a:gd name="connsiteX0" fmla="*/ 209550 w 209550"/>
                <a:gd name="connsiteY0" fmla="*/ 552450 h 552450"/>
                <a:gd name="connsiteX1" fmla="*/ 0 w 209550"/>
                <a:gd name="connsiteY1" fmla="*/ 295275 h 552450"/>
                <a:gd name="connsiteX2" fmla="*/ 209550 w 209550"/>
                <a:gd name="connsiteY2" fmla="*/ 0 h 552450"/>
              </a:gdLst>
              <a:ahLst/>
              <a:cxnLst>
                <a:cxn ang="0">
                  <a:pos x="connsiteX0" y="connsiteY0"/>
                </a:cxn>
                <a:cxn ang="0">
                  <a:pos x="connsiteX1" y="connsiteY1"/>
                </a:cxn>
                <a:cxn ang="0">
                  <a:pos x="connsiteX2" y="connsiteY2"/>
                </a:cxn>
              </a:cxnLst>
              <a:rect l="l" t="t" r="r" b="b"/>
              <a:pathLst>
                <a:path w="209550" h="552450">
                  <a:moveTo>
                    <a:pt x="209550" y="552450"/>
                  </a:moveTo>
                  <a:cubicBezTo>
                    <a:pt x="104775" y="469900"/>
                    <a:pt x="0" y="387350"/>
                    <a:pt x="0" y="295275"/>
                  </a:cubicBezTo>
                  <a:cubicBezTo>
                    <a:pt x="0" y="203200"/>
                    <a:pt x="104775" y="101600"/>
                    <a:pt x="209550" y="0"/>
                  </a:cubicBezTo>
                </a:path>
              </a:pathLst>
            </a:custGeom>
            <a:noFill/>
            <a:ln w="9525">
              <a:solidFill>
                <a:srgbClr val="00B050"/>
              </a:solidFill>
              <a:head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Forma libre 10">
              <a:extLst>
                <a:ext uri="{FF2B5EF4-FFF2-40B4-BE49-F238E27FC236}">
                  <a16:creationId xmlns:a16="http://schemas.microsoft.com/office/drawing/2014/main" id="{00000000-0008-0000-1700-00000E000000}"/>
                </a:ext>
              </a:extLst>
            </xdr:cNvPr>
            <xdr:cNvSpPr/>
          </xdr:nvSpPr>
          <xdr:spPr>
            <a:xfrm>
              <a:off x="3467101" y="847725"/>
              <a:ext cx="85724" cy="571500"/>
            </a:xfrm>
            <a:custGeom>
              <a:avLst/>
              <a:gdLst>
                <a:gd name="connsiteX0" fmla="*/ 47625 w 324167"/>
                <a:gd name="connsiteY0" fmla="*/ 571500 h 571500"/>
                <a:gd name="connsiteX1" fmla="*/ 323850 w 324167"/>
                <a:gd name="connsiteY1" fmla="*/ 200025 h 571500"/>
                <a:gd name="connsiteX2" fmla="*/ 0 w 324167"/>
                <a:gd name="connsiteY2" fmla="*/ 0 h 571500"/>
              </a:gdLst>
              <a:ahLst/>
              <a:cxnLst>
                <a:cxn ang="0">
                  <a:pos x="connsiteX0" y="connsiteY0"/>
                </a:cxn>
                <a:cxn ang="0">
                  <a:pos x="connsiteX1" y="connsiteY1"/>
                </a:cxn>
                <a:cxn ang="0">
                  <a:pos x="connsiteX2" y="connsiteY2"/>
                </a:cxn>
              </a:cxnLst>
              <a:rect l="l" t="t" r="r" b="b"/>
              <a:pathLst>
                <a:path w="324167" h="571500">
                  <a:moveTo>
                    <a:pt x="47625" y="571500"/>
                  </a:moveTo>
                  <a:cubicBezTo>
                    <a:pt x="189706" y="433387"/>
                    <a:pt x="331787" y="295275"/>
                    <a:pt x="323850" y="200025"/>
                  </a:cubicBezTo>
                  <a:cubicBezTo>
                    <a:pt x="315913" y="104775"/>
                    <a:pt x="157956" y="52387"/>
                    <a:pt x="0" y="0"/>
                  </a:cubicBezTo>
                </a:path>
              </a:pathLst>
            </a:custGeom>
            <a:noFill/>
            <a:ln w="9525">
              <a:solidFill>
                <a:srgbClr val="7030A0"/>
              </a:solidFill>
              <a:headEnd type="none"/>
              <a:tailEnd type="arrow"/>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5" name="Forma libre 11">
              <a:extLst>
                <a:ext uri="{FF2B5EF4-FFF2-40B4-BE49-F238E27FC236}">
                  <a16:creationId xmlns:a16="http://schemas.microsoft.com/office/drawing/2014/main" id="{00000000-0008-0000-1700-00000F000000}"/>
                </a:ext>
              </a:extLst>
            </xdr:cNvPr>
            <xdr:cNvSpPr/>
          </xdr:nvSpPr>
          <xdr:spPr>
            <a:xfrm>
              <a:off x="3495677" y="1057275"/>
              <a:ext cx="276224" cy="895350"/>
            </a:xfrm>
            <a:custGeom>
              <a:avLst/>
              <a:gdLst>
                <a:gd name="connsiteX0" fmla="*/ 0 w 918283"/>
                <a:gd name="connsiteY0" fmla="*/ 895350 h 895350"/>
                <a:gd name="connsiteX1" fmla="*/ 904875 w 918283"/>
                <a:gd name="connsiteY1" fmla="*/ 361950 h 895350"/>
                <a:gd name="connsiteX2" fmla="*/ 457200 w 918283"/>
                <a:gd name="connsiteY2" fmla="*/ 0 h 895350"/>
              </a:gdLst>
              <a:ahLst/>
              <a:cxnLst>
                <a:cxn ang="0">
                  <a:pos x="connsiteX0" y="connsiteY0"/>
                </a:cxn>
                <a:cxn ang="0">
                  <a:pos x="connsiteX1" y="connsiteY1"/>
                </a:cxn>
                <a:cxn ang="0">
                  <a:pos x="connsiteX2" y="connsiteY2"/>
                </a:cxn>
              </a:cxnLst>
              <a:rect l="l" t="t" r="r" b="b"/>
              <a:pathLst>
                <a:path w="918283" h="895350">
                  <a:moveTo>
                    <a:pt x="0" y="895350"/>
                  </a:moveTo>
                  <a:cubicBezTo>
                    <a:pt x="414337" y="703262"/>
                    <a:pt x="828675" y="511175"/>
                    <a:pt x="904875" y="361950"/>
                  </a:cubicBezTo>
                  <a:cubicBezTo>
                    <a:pt x="981075" y="212725"/>
                    <a:pt x="719137" y="106362"/>
                    <a:pt x="457200" y="0"/>
                  </a:cubicBezTo>
                </a:path>
              </a:pathLst>
            </a:custGeom>
            <a:noFill/>
            <a:ln w="9525">
              <a:solidFill>
                <a:srgbClr val="7030A0"/>
              </a:solidFill>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6" name="Forma libre 12">
              <a:extLst>
                <a:ext uri="{FF2B5EF4-FFF2-40B4-BE49-F238E27FC236}">
                  <a16:creationId xmlns:a16="http://schemas.microsoft.com/office/drawing/2014/main" id="{00000000-0008-0000-1700-000010000000}"/>
                </a:ext>
              </a:extLst>
            </xdr:cNvPr>
            <xdr:cNvSpPr/>
          </xdr:nvSpPr>
          <xdr:spPr>
            <a:xfrm>
              <a:off x="3486151" y="1381125"/>
              <a:ext cx="571499" cy="1095375"/>
            </a:xfrm>
            <a:custGeom>
              <a:avLst/>
              <a:gdLst>
                <a:gd name="connsiteX0" fmla="*/ 0 w 1855334"/>
                <a:gd name="connsiteY0" fmla="*/ 1095375 h 1095375"/>
                <a:gd name="connsiteX1" fmla="*/ 238125 w 1855334"/>
                <a:gd name="connsiteY1" fmla="*/ 990600 h 1095375"/>
                <a:gd name="connsiteX2" fmla="*/ 1819275 w 1855334"/>
                <a:gd name="connsiteY2" fmla="*/ 295275 h 1095375"/>
                <a:gd name="connsiteX3" fmla="*/ 1190625 w 1855334"/>
                <a:gd name="connsiteY3" fmla="*/ 0 h 1095375"/>
              </a:gdLst>
              <a:ahLst/>
              <a:cxnLst>
                <a:cxn ang="0">
                  <a:pos x="connsiteX0" y="connsiteY0"/>
                </a:cxn>
                <a:cxn ang="0">
                  <a:pos x="connsiteX1" y="connsiteY1"/>
                </a:cxn>
                <a:cxn ang="0">
                  <a:pos x="connsiteX2" y="connsiteY2"/>
                </a:cxn>
                <a:cxn ang="0">
                  <a:pos x="connsiteX3" y="connsiteY3"/>
                </a:cxn>
              </a:cxnLst>
              <a:rect l="l" t="t" r="r" b="b"/>
              <a:pathLst>
                <a:path w="1855334" h="1095375">
                  <a:moveTo>
                    <a:pt x="0" y="1095375"/>
                  </a:moveTo>
                  <a:lnTo>
                    <a:pt x="238125" y="990600"/>
                  </a:lnTo>
                  <a:cubicBezTo>
                    <a:pt x="541338" y="857250"/>
                    <a:pt x="1660525" y="460375"/>
                    <a:pt x="1819275" y="295275"/>
                  </a:cubicBezTo>
                  <a:cubicBezTo>
                    <a:pt x="1978025" y="130175"/>
                    <a:pt x="1584325" y="65087"/>
                    <a:pt x="1190625" y="0"/>
                  </a:cubicBezTo>
                </a:path>
              </a:pathLst>
            </a:custGeom>
            <a:noFill/>
            <a:ln w="9525">
              <a:solidFill>
                <a:srgbClr val="7030A0"/>
              </a:solidFill>
              <a:tailEnd type="stealt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grpSp>
    <xdr:clientData/>
  </xdr:twoCellAnchor>
  <xdr:oneCellAnchor>
    <xdr:from>
      <xdr:col>1</xdr:col>
      <xdr:colOff>567005</xdr:colOff>
      <xdr:row>27</xdr:row>
      <xdr:rowOff>89636</xdr:rowOff>
    </xdr:from>
    <xdr:ext cx="1376595" cy="25673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814655" y="5233136"/>
          <a:ext cx="137659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Inversión en almacén</a:t>
          </a:r>
        </a:p>
      </xdr:txBody>
    </xdr:sp>
    <xdr:clientData/>
  </xdr:oneCellAnchor>
  <xdr:oneCellAnchor>
    <xdr:from>
      <xdr:col>1</xdr:col>
      <xdr:colOff>437326</xdr:colOff>
      <xdr:row>29</xdr:row>
      <xdr:rowOff>14494</xdr:rowOff>
    </xdr:from>
    <xdr:ext cx="1635961" cy="256737"/>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684976" y="5538994"/>
          <a:ext cx="1635961"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Amortización del almacén</a:t>
          </a:r>
        </a:p>
      </xdr:txBody>
    </xdr:sp>
    <xdr:clientData/>
  </xdr:oneCellAnchor>
  <xdr:oneCellAnchor>
    <xdr:from>
      <xdr:col>1</xdr:col>
      <xdr:colOff>643537</xdr:colOff>
      <xdr:row>30</xdr:row>
      <xdr:rowOff>128794</xdr:rowOff>
    </xdr:from>
    <xdr:ext cx="1223540" cy="256737"/>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891187" y="5843794"/>
          <a:ext cx="1223540"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 del almacén</a:t>
          </a:r>
        </a:p>
      </xdr:txBody>
    </xdr:sp>
    <xdr:clientData/>
  </xdr:oneCellAnchor>
  <xdr:oneCellAnchor>
    <xdr:from>
      <xdr:col>1</xdr:col>
      <xdr:colOff>324062</xdr:colOff>
      <xdr:row>36</xdr:row>
      <xdr:rowOff>137261</xdr:rowOff>
    </xdr:from>
    <xdr:ext cx="1862497" cy="25673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571712" y="6995261"/>
          <a:ext cx="1862497"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Coste del alquiler del almacén</a:t>
          </a:r>
        </a:p>
      </xdr:txBody>
    </xdr:sp>
    <xdr:clientData/>
  </xdr:oneCellAnchor>
  <xdr:oneCellAnchor>
    <xdr:from>
      <xdr:col>5</xdr:col>
      <xdr:colOff>312837</xdr:colOff>
      <xdr:row>29</xdr:row>
      <xdr:rowOff>70586</xdr:rowOff>
    </xdr:from>
    <xdr:ext cx="2589812" cy="256737"/>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3151287" y="5595086"/>
          <a:ext cx="2589812"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Ventas de mercaderías (Compra o Alquiler)</a:t>
          </a:r>
        </a:p>
      </xdr:txBody>
    </xdr:sp>
    <xdr:clientData/>
  </xdr:oneCellAnchor>
  <xdr:oneCellAnchor>
    <xdr:from>
      <xdr:col>5</xdr:col>
      <xdr:colOff>620559</xdr:colOff>
      <xdr:row>31</xdr:row>
      <xdr:rowOff>37776</xdr:rowOff>
    </xdr:from>
    <xdr:ext cx="1974387" cy="256737"/>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3459009" y="5943276"/>
          <a:ext cx="1974387"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Margen sobre el precio de coste</a:t>
          </a:r>
        </a:p>
      </xdr:txBody>
    </xdr:sp>
    <xdr:clientData/>
  </xdr:oneCellAnchor>
  <xdr:oneCellAnchor>
    <xdr:from>
      <xdr:col>5</xdr:col>
      <xdr:colOff>275948</xdr:colOff>
      <xdr:row>34</xdr:row>
      <xdr:rowOff>171126</xdr:rowOff>
    </xdr:from>
    <xdr:ext cx="2663614" cy="256737"/>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3114398" y="6648126"/>
          <a:ext cx="266361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Inversiones en Fondo de maniobra </a:t>
          </a:r>
          <a:r>
            <a:rPr lang="es-ES" sz="1050" b="1" baseline="0"/>
            <a:t>(clientes)</a:t>
          </a:r>
          <a:endParaRPr lang="es-ES" sz="1050" b="1"/>
        </a:p>
      </xdr:txBody>
    </xdr:sp>
    <xdr:clientData/>
  </xdr:oneCellAnchor>
  <xdr:oneCellAnchor>
    <xdr:from>
      <xdr:col>6</xdr:col>
      <xdr:colOff>130393</xdr:colOff>
      <xdr:row>42</xdr:row>
      <xdr:rowOff>150309</xdr:rowOff>
    </xdr:from>
    <xdr:ext cx="1659300" cy="421141"/>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3616543" y="8151309"/>
          <a:ext cx="1659300" cy="421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Ventas de mercaderías</a:t>
          </a:r>
        </a:p>
        <a:p>
          <a:pPr algn="ctr"/>
          <a:r>
            <a:rPr lang="es-ES" sz="1050" b="1"/>
            <a:t>(50% s/Compra o Alquiler)</a:t>
          </a:r>
        </a:p>
      </xdr:txBody>
    </xdr:sp>
    <xdr:clientData/>
  </xdr:oneCellAnchor>
  <xdr:oneCellAnchor>
    <xdr:from>
      <xdr:col>5</xdr:col>
      <xdr:colOff>480201</xdr:colOff>
      <xdr:row>45</xdr:row>
      <xdr:rowOff>13436</xdr:rowOff>
    </xdr:from>
    <xdr:ext cx="2255105" cy="25673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3318651" y="8585936"/>
          <a:ext cx="225510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Margen sobre el precio de coste (5%)</a:t>
          </a:r>
        </a:p>
      </xdr:txBody>
    </xdr:sp>
    <xdr:clientData/>
  </xdr:oneCellAnchor>
  <xdr:oneCellAnchor>
    <xdr:from>
      <xdr:col>5</xdr:col>
      <xdr:colOff>265220</xdr:colOff>
      <xdr:row>33</xdr:row>
      <xdr:rowOff>9201</xdr:rowOff>
    </xdr:from>
    <xdr:ext cx="2685094" cy="256737"/>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3103670" y="6295701"/>
          <a:ext cx="268509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Coste incremental empleado (sueldo+dietas)</a:t>
          </a:r>
        </a:p>
      </xdr:txBody>
    </xdr:sp>
    <xdr:clientData/>
  </xdr:oneCellAnchor>
  <xdr:oneCellAnchor>
    <xdr:from>
      <xdr:col>1</xdr:col>
      <xdr:colOff>147139</xdr:colOff>
      <xdr:row>24</xdr:row>
      <xdr:rowOff>161925</xdr:rowOff>
    </xdr:from>
    <xdr:ext cx="1187633" cy="264560"/>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4789" y="4733925"/>
          <a:ext cx="1187633"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 Almacén</a:t>
          </a:r>
        </a:p>
      </xdr:txBody>
    </xdr:sp>
    <xdr:clientData/>
  </xdr:oneCellAnchor>
  <xdr:oneCellAnchor>
    <xdr:from>
      <xdr:col>1</xdr:col>
      <xdr:colOff>127482</xdr:colOff>
      <xdr:row>34</xdr:row>
      <xdr:rowOff>47625</xdr:rowOff>
    </xdr:from>
    <xdr:ext cx="1188852" cy="264560"/>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375132" y="6524625"/>
          <a:ext cx="1188852"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Alquiler Almacén</a:t>
          </a:r>
        </a:p>
      </xdr:txBody>
    </xdr:sp>
    <xdr:clientData/>
  </xdr:oneCellAnchor>
  <xdr:oneCellAnchor>
    <xdr:from>
      <xdr:col>1</xdr:col>
      <xdr:colOff>203430</xdr:colOff>
      <xdr:row>40</xdr:row>
      <xdr:rowOff>85725</xdr:rowOff>
    </xdr:from>
    <xdr:ext cx="998864" cy="264560"/>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451080" y="7705725"/>
          <a:ext cx="998864"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Autoventistas</a:t>
          </a:r>
        </a:p>
      </xdr:txBody>
    </xdr:sp>
    <xdr:clientData/>
  </xdr:oneCellAnchor>
  <xdr:oneCellAnchor>
    <xdr:from>
      <xdr:col>5</xdr:col>
      <xdr:colOff>225500</xdr:colOff>
      <xdr:row>24</xdr:row>
      <xdr:rowOff>161925</xdr:rowOff>
    </xdr:from>
    <xdr:ext cx="2002471" cy="264560"/>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3063950" y="4733925"/>
          <a:ext cx="2002471"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 o Alquiler del Almacén</a:t>
          </a:r>
        </a:p>
      </xdr:txBody>
    </xdr:sp>
    <xdr:clientData/>
  </xdr:oneCellAnchor>
  <xdr:oneCellAnchor>
    <xdr:from>
      <xdr:col>5</xdr:col>
      <xdr:colOff>346305</xdr:colOff>
      <xdr:row>40</xdr:row>
      <xdr:rowOff>76200</xdr:rowOff>
    </xdr:from>
    <xdr:ext cx="998864" cy="264560"/>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3184755" y="7696200"/>
          <a:ext cx="998864"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Autoventistas</a:t>
          </a:r>
        </a:p>
      </xdr:txBody>
    </xdr:sp>
    <xdr:clientData/>
  </xdr:oneCellAnchor>
  <xdr:oneCellAnchor>
    <xdr:from>
      <xdr:col>9</xdr:col>
      <xdr:colOff>514452</xdr:colOff>
      <xdr:row>24</xdr:row>
      <xdr:rowOff>171450</xdr:rowOff>
    </xdr:from>
    <xdr:ext cx="2129430" cy="264560"/>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6286602" y="4743450"/>
          <a:ext cx="2129430" cy="264560"/>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100" b="1">
              <a:solidFill>
                <a:schemeClr val="bg1"/>
              </a:solidFill>
            </a:rPr>
            <a:t>Compra,</a:t>
          </a:r>
          <a:r>
            <a:rPr lang="es-ES" sz="1100" b="1" baseline="0">
              <a:solidFill>
                <a:schemeClr val="bg1"/>
              </a:solidFill>
            </a:rPr>
            <a:t> Alquiler o Autoventistas</a:t>
          </a:r>
          <a:endParaRPr lang="es-ES" sz="1100" b="1">
            <a:solidFill>
              <a:schemeClr val="bg1"/>
            </a:solidFill>
          </a:endParaRPr>
        </a:p>
      </xdr:txBody>
    </xdr:sp>
    <xdr:clientData/>
  </xdr:oneCellAnchor>
  <xdr:oneCellAnchor>
    <xdr:from>
      <xdr:col>11</xdr:col>
      <xdr:colOff>64317</xdr:colOff>
      <xdr:row>33</xdr:row>
      <xdr:rowOff>14231</xdr:rowOff>
    </xdr:from>
    <xdr:ext cx="669094" cy="256737"/>
    <xdr:sp macro="" textlink="">
      <xdr:nvSpPr>
        <xdr:cNvPr id="37" name="CuadroTexto 36">
          <a:extLst>
            <a:ext uri="{FF2B5EF4-FFF2-40B4-BE49-F238E27FC236}">
              <a16:creationId xmlns:a16="http://schemas.microsoft.com/office/drawing/2014/main" id="{00000000-0008-0000-1700-000025000000}"/>
            </a:ext>
          </a:extLst>
        </xdr:cNvPr>
        <xdr:cNvSpPr txBox="1"/>
      </xdr:nvSpPr>
      <xdr:spPr>
        <a:xfrm>
          <a:off x="7360467" y="6300731"/>
          <a:ext cx="669094"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Inflación</a:t>
          </a:r>
        </a:p>
      </xdr:txBody>
    </xdr:sp>
    <xdr:clientData/>
  </xdr:oneCellAnchor>
  <xdr:oneCellAnchor>
    <xdr:from>
      <xdr:col>10</xdr:col>
      <xdr:colOff>636117</xdr:colOff>
      <xdr:row>34</xdr:row>
      <xdr:rowOff>182504</xdr:rowOff>
    </xdr:from>
    <xdr:ext cx="1049518" cy="25673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7170267" y="6659504"/>
          <a:ext cx="1049518"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Tipo impositivo</a:t>
          </a:r>
        </a:p>
      </xdr:txBody>
    </xdr:sp>
    <xdr:clientData/>
  </xdr:oneCellAnchor>
  <xdr:oneCellAnchor>
    <xdr:from>
      <xdr:col>10</xdr:col>
      <xdr:colOff>498327</xdr:colOff>
      <xdr:row>38</xdr:row>
      <xdr:rowOff>125354</xdr:rowOff>
    </xdr:from>
    <xdr:ext cx="1325106" cy="256737"/>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7032477" y="7364354"/>
          <a:ext cx="1325106"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Rentabilidad</a:t>
          </a:r>
          <a:r>
            <a:rPr lang="es-ES" sz="1050" b="1" baseline="0"/>
            <a:t> exigida</a:t>
          </a:r>
          <a:endParaRPr lang="es-ES" sz="1050" b="1"/>
        </a:p>
      </xdr:txBody>
    </xdr:sp>
    <xdr:clientData/>
  </xdr:oneCellAnchor>
  <xdr:oneCellAnchor>
    <xdr:from>
      <xdr:col>10</xdr:col>
      <xdr:colOff>596088</xdr:colOff>
      <xdr:row>36</xdr:row>
      <xdr:rowOff>153929</xdr:rowOff>
    </xdr:from>
    <xdr:ext cx="1129605" cy="256737"/>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7130238" y="7011929"/>
          <a:ext cx="1129605" cy="256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ES" sz="1050" b="1"/>
            <a:t>Vida útil (5 años)</a:t>
          </a:r>
        </a:p>
      </xdr:txBody>
    </xdr:sp>
    <xdr:clientData/>
  </xdr:oneCellAnchor>
  <xdr:twoCellAnchor>
    <xdr:from>
      <xdr:col>4</xdr:col>
      <xdr:colOff>560912</xdr:colOff>
      <xdr:row>24</xdr:row>
      <xdr:rowOff>126999</xdr:rowOff>
    </xdr:from>
    <xdr:to>
      <xdr:col>5</xdr:col>
      <xdr:colOff>88408</xdr:colOff>
      <xdr:row>39</xdr:row>
      <xdr:rowOff>10582</xdr:rowOff>
    </xdr:to>
    <xdr:sp macro="" textlink="">
      <xdr:nvSpPr>
        <xdr:cNvPr id="41" name="Cerrar llave 40">
          <a:extLst>
            <a:ext uri="{FF2B5EF4-FFF2-40B4-BE49-F238E27FC236}">
              <a16:creationId xmlns:a16="http://schemas.microsoft.com/office/drawing/2014/main" id="{00000000-0008-0000-1700-000029000000}"/>
            </a:ext>
          </a:extLst>
        </xdr:cNvPr>
        <xdr:cNvSpPr/>
      </xdr:nvSpPr>
      <xdr:spPr>
        <a:xfrm>
          <a:off x="2751662" y="4698999"/>
          <a:ext cx="175196" cy="2741083"/>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9</xdr:col>
      <xdr:colOff>205314</xdr:colOff>
      <xdr:row>24</xdr:row>
      <xdr:rowOff>173566</xdr:rowOff>
    </xdr:from>
    <xdr:to>
      <xdr:col>9</xdr:col>
      <xdr:colOff>381000</xdr:colOff>
      <xdr:row>47</xdr:row>
      <xdr:rowOff>95250</xdr:rowOff>
    </xdr:to>
    <xdr:sp macro="" textlink="">
      <xdr:nvSpPr>
        <xdr:cNvPr id="42" name="Cerrar llave 41">
          <a:extLst>
            <a:ext uri="{FF2B5EF4-FFF2-40B4-BE49-F238E27FC236}">
              <a16:creationId xmlns:a16="http://schemas.microsoft.com/office/drawing/2014/main" id="{00000000-0008-0000-1700-00002A000000}"/>
            </a:ext>
          </a:extLst>
        </xdr:cNvPr>
        <xdr:cNvSpPr/>
      </xdr:nvSpPr>
      <xdr:spPr>
        <a:xfrm>
          <a:off x="5977464" y="4745566"/>
          <a:ext cx="175686" cy="4303184"/>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4</xdr:col>
      <xdr:colOff>565146</xdr:colOff>
      <xdr:row>40</xdr:row>
      <xdr:rowOff>84667</xdr:rowOff>
    </xdr:from>
    <xdr:to>
      <xdr:col>5</xdr:col>
      <xdr:colOff>105833</xdr:colOff>
      <xdr:row>47</xdr:row>
      <xdr:rowOff>78315</xdr:rowOff>
    </xdr:to>
    <xdr:sp macro="" textlink="">
      <xdr:nvSpPr>
        <xdr:cNvPr id="43" name="Cerrar llave 42">
          <a:extLst>
            <a:ext uri="{FF2B5EF4-FFF2-40B4-BE49-F238E27FC236}">
              <a16:creationId xmlns:a16="http://schemas.microsoft.com/office/drawing/2014/main" id="{00000000-0008-0000-1700-00002B000000}"/>
            </a:ext>
          </a:extLst>
        </xdr:cNvPr>
        <xdr:cNvSpPr/>
      </xdr:nvSpPr>
      <xdr:spPr>
        <a:xfrm>
          <a:off x="2755896" y="7704667"/>
          <a:ext cx="188387" cy="1327148"/>
        </a:xfrm>
        <a:prstGeom prst="rightBrac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ES" sz="1100"/>
        </a:p>
      </xdr:txBody>
    </xdr:sp>
    <xdr:clientData/>
  </xdr:twoCellAnchor>
  <xdr:twoCellAnchor>
    <xdr:from>
      <xdr:col>3</xdr:col>
      <xdr:colOff>190501</xdr:colOff>
      <xdr:row>55</xdr:row>
      <xdr:rowOff>31750</xdr:rowOff>
    </xdr:from>
    <xdr:to>
      <xdr:col>6</xdr:col>
      <xdr:colOff>644639</xdr:colOff>
      <xdr:row>58</xdr:row>
      <xdr:rowOff>174196</xdr:rowOff>
    </xdr:to>
    <xdr:grpSp>
      <xdr:nvGrpSpPr>
        <xdr:cNvPr id="44" name="Grupo 43">
          <a:extLst>
            <a:ext uri="{FF2B5EF4-FFF2-40B4-BE49-F238E27FC236}">
              <a16:creationId xmlns:a16="http://schemas.microsoft.com/office/drawing/2014/main" id="{00000000-0008-0000-1700-00002C000000}"/>
            </a:ext>
          </a:extLst>
        </xdr:cNvPr>
        <xdr:cNvGrpSpPr/>
      </xdr:nvGrpSpPr>
      <xdr:grpSpPr>
        <a:xfrm>
          <a:off x="1778001" y="10128250"/>
          <a:ext cx="2464971" cy="692779"/>
          <a:chOff x="698500" y="10509250"/>
          <a:chExt cx="2390888" cy="713946"/>
        </a:xfrm>
      </xdr:grpSpPr>
      <xdr:grpSp>
        <xdr:nvGrpSpPr>
          <xdr:cNvPr id="45" name="Group 13">
            <a:extLst>
              <a:ext uri="{FF2B5EF4-FFF2-40B4-BE49-F238E27FC236}">
                <a16:creationId xmlns:a16="http://schemas.microsoft.com/office/drawing/2014/main" id="{00000000-0008-0000-1700-00002D000000}"/>
              </a:ext>
            </a:extLst>
          </xdr:cNvPr>
          <xdr:cNvGrpSpPr>
            <a:grpSpLocks/>
          </xdr:cNvGrpSpPr>
        </xdr:nvGrpSpPr>
        <xdr:grpSpPr bwMode="auto">
          <a:xfrm>
            <a:off x="754398" y="10509250"/>
            <a:ext cx="2276552" cy="713946"/>
            <a:chOff x="1266" y="2038"/>
            <a:chExt cx="3648" cy="650"/>
          </a:xfrm>
        </xdr:grpSpPr>
        <xdr:sp macro="" textlink="">
          <xdr:nvSpPr>
            <xdr:cNvPr id="53" name="Line 5">
              <a:extLst>
                <a:ext uri="{FF2B5EF4-FFF2-40B4-BE49-F238E27FC236}">
                  <a16:creationId xmlns:a16="http://schemas.microsoft.com/office/drawing/2014/main" id="{00000000-0008-0000-1700-000035000000}"/>
                </a:ext>
              </a:extLst>
            </xdr:cNvPr>
            <xdr:cNvSpPr>
              <a:spLocks noChangeShapeType="1"/>
            </xdr:cNvSpPr>
          </xdr:nvSpPr>
          <xdr:spPr bwMode="auto">
            <a:xfrm>
              <a:off x="1266" y="2365"/>
              <a:ext cx="3648" cy="0"/>
            </a:xfrm>
            <a:prstGeom prst="line">
              <a:avLst/>
            </a:prstGeom>
            <a:noFill/>
            <a:ln w="28575">
              <a:solidFill>
                <a:schemeClr val="bg1"/>
              </a:solidFill>
              <a:round/>
              <a:headEnd/>
              <a:tailEnd/>
            </a:ln>
            <a:extLst>
              <a:ext uri="{909E8E84-426E-40DD-AFC4-6F175D3DCCD1}">
                <a14:hiddenFill xmlns:a14="http://schemas.microsoft.com/office/drawing/2010/main">
                  <a:noFill/>
                </a14:hiddenFill>
              </a:ext>
            </a:extLst>
          </xdr:spPr>
        </xdr:sp>
        <xdr:sp macro="" textlink="">
          <xdr:nvSpPr>
            <xdr:cNvPr id="54" name="Line 6">
              <a:extLst>
                <a:ext uri="{FF2B5EF4-FFF2-40B4-BE49-F238E27FC236}">
                  <a16:creationId xmlns:a16="http://schemas.microsoft.com/office/drawing/2014/main" id="{00000000-0008-0000-1700-000036000000}"/>
                </a:ext>
              </a:extLst>
            </xdr:cNvPr>
            <xdr:cNvSpPr>
              <a:spLocks noChangeShapeType="1"/>
            </xdr:cNvSpPr>
          </xdr:nvSpPr>
          <xdr:spPr bwMode="auto">
            <a:xfrm>
              <a:off x="1271" y="2365"/>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7">
              <a:extLst>
                <a:ext uri="{FF2B5EF4-FFF2-40B4-BE49-F238E27FC236}">
                  <a16:creationId xmlns:a16="http://schemas.microsoft.com/office/drawing/2014/main" id="{00000000-0008-0000-1700-000037000000}"/>
                </a:ext>
              </a:extLst>
            </xdr:cNvPr>
            <xdr:cNvSpPr>
              <a:spLocks noChangeShapeType="1"/>
            </xdr:cNvSpPr>
          </xdr:nvSpPr>
          <xdr:spPr bwMode="auto">
            <a:xfrm flipV="1">
              <a:off x="2024"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6" name="Line 8">
              <a:extLst>
                <a:ext uri="{FF2B5EF4-FFF2-40B4-BE49-F238E27FC236}">
                  <a16:creationId xmlns:a16="http://schemas.microsoft.com/office/drawing/2014/main" id="{00000000-0008-0000-1700-000038000000}"/>
                </a:ext>
              </a:extLst>
            </xdr:cNvPr>
            <xdr:cNvSpPr>
              <a:spLocks noChangeShapeType="1"/>
            </xdr:cNvSpPr>
          </xdr:nvSpPr>
          <xdr:spPr bwMode="auto">
            <a:xfrm flipV="1">
              <a:off x="2723"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10">
              <a:extLst>
                <a:ext uri="{FF2B5EF4-FFF2-40B4-BE49-F238E27FC236}">
                  <a16:creationId xmlns:a16="http://schemas.microsoft.com/office/drawing/2014/main" id="{00000000-0008-0000-1700-000039000000}"/>
                </a:ext>
              </a:extLst>
            </xdr:cNvPr>
            <xdr:cNvSpPr>
              <a:spLocks noChangeShapeType="1"/>
            </xdr:cNvSpPr>
          </xdr:nvSpPr>
          <xdr:spPr bwMode="auto">
            <a:xfrm flipV="1">
              <a:off x="3440" y="2041"/>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11">
              <a:extLst>
                <a:ext uri="{FF2B5EF4-FFF2-40B4-BE49-F238E27FC236}">
                  <a16:creationId xmlns:a16="http://schemas.microsoft.com/office/drawing/2014/main" id="{00000000-0008-0000-1700-00003A000000}"/>
                </a:ext>
              </a:extLst>
            </xdr:cNvPr>
            <xdr:cNvSpPr>
              <a:spLocks noChangeShapeType="1"/>
            </xdr:cNvSpPr>
          </xdr:nvSpPr>
          <xdr:spPr bwMode="auto">
            <a:xfrm flipV="1">
              <a:off x="4175"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59" name="Line 12">
              <a:extLst>
                <a:ext uri="{FF2B5EF4-FFF2-40B4-BE49-F238E27FC236}">
                  <a16:creationId xmlns:a16="http://schemas.microsoft.com/office/drawing/2014/main" id="{00000000-0008-0000-1700-00003B000000}"/>
                </a:ext>
              </a:extLst>
            </xdr:cNvPr>
            <xdr:cNvSpPr>
              <a:spLocks noChangeShapeType="1"/>
            </xdr:cNvSpPr>
          </xdr:nvSpPr>
          <xdr:spPr bwMode="auto">
            <a:xfrm flipV="1">
              <a:off x="4901"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grpSp>
      <xdr:grpSp>
        <xdr:nvGrpSpPr>
          <xdr:cNvPr id="46" name="Grupo 45">
            <a:extLst>
              <a:ext uri="{FF2B5EF4-FFF2-40B4-BE49-F238E27FC236}">
                <a16:creationId xmlns:a16="http://schemas.microsoft.com/office/drawing/2014/main" id="{00000000-0008-0000-1700-00002E000000}"/>
              </a:ext>
            </a:extLst>
          </xdr:cNvPr>
          <xdr:cNvGrpSpPr/>
        </xdr:nvGrpSpPr>
        <xdr:grpSpPr>
          <a:xfrm>
            <a:off x="698500" y="10668514"/>
            <a:ext cx="2390888" cy="389924"/>
            <a:chOff x="698500" y="10668514"/>
            <a:chExt cx="2390888" cy="389924"/>
          </a:xfrm>
        </xdr:grpSpPr>
        <xdr:sp macro="" textlink="">
          <xdr:nvSpPr>
            <xdr:cNvPr id="47" name="Text Box 21">
              <a:extLst>
                <a:ext uri="{FF2B5EF4-FFF2-40B4-BE49-F238E27FC236}">
                  <a16:creationId xmlns:a16="http://schemas.microsoft.com/office/drawing/2014/main" id="{00000000-0008-0000-1700-00002F000000}"/>
                </a:ext>
              </a:extLst>
            </xdr:cNvPr>
            <xdr:cNvSpPr txBox="1">
              <a:spLocks noChangeArrowheads="1"/>
            </xdr:cNvSpPr>
          </xdr:nvSpPr>
          <xdr:spPr bwMode="auto">
            <a:xfrm>
              <a:off x="1162619" y="10877206"/>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1</a:t>
              </a:r>
            </a:p>
          </xdr:txBody>
        </xdr:sp>
        <xdr:sp macro="" textlink="">
          <xdr:nvSpPr>
            <xdr:cNvPr id="48" name="Text Box 22">
              <a:extLst>
                <a:ext uri="{FF2B5EF4-FFF2-40B4-BE49-F238E27FC236}">
                  <a16:creationId xmlns:a16="http://schemas.microsoft.com/office/drawing/2014/main" id="{00000000-0008-0000-1700-000030000000}"/>
                </a:ext>
              </a:extLst>
            </xdr:cNvPr>
            <xdr:cNvSpPr txBox="1">
              <a:spLocks noChangeArrowheads="1"/>
            </xdr:cNvSpPr>
          </xdr:nvSpPr>
          <xdr:spPr bwMode="auto">
            <a:xfrm>
              <a:off x="1595401"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2</a:t>
              </a:r>
            </a:p>
          </xdr:txBody>
        </xdr:sp>
        <xdr:sp macro="" textlink="">
          <xdr:nvSpPr>
            <xdr:cNvPr id="49" name="Text Box 23">
              <a:extLst>
                <a:ext uri="{FF2B5EF4-FFF2-40B4-BE49-F238E27FC236}">
                  <a16:creationId xmlns:a16="http://schemas.microsoft.com/office/drawing/2014/main" id="{00000000-0008-0000-1700-000031000000}"/>
                </a:ext>
              </a:extLst>
            </xdr:cNvPr>
            <xdr:cNvSpPr txBox="1">
              <a:spLocks noChangeArrowheads="1"/>
            </xdr:cNvSpPr>
          </xdr:nvSpPr>
          <xdr:spPr bwMode="auto">
            <a:xfrm>
              <a:off x="2027336" y="10858534"/>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3</a:t>
              </a:r>
            </a:p>
          </xdr:txBody>
        </xdr:sp>
        <xdr:sp macro="" textlink="">
          <xdr:nvSpPr>
            <xdr:cNvPr id="50" name="Text Box 24">
              <a:extLst>
                <a:ext uri="{FF2B5EF4-FFF2-40B4-BE49-F238E27FC236}">
                  <a16:creationId xmlns:a16="http://schemas.microsoft.com/office/drawing/2014/main" id="{00000000-0008-0000-1700-000032000000}"/>
                </a:ext>
              </a:extLst>
            </xdr:cNvPr>
            <xdr:cNvSpPr txBox="1">
              <a:spLocks noChangeArrowheads="1"/>
            </xdr:cNvSpPr>
          </xdr:nvSpPr>
          <xdr:spPr bwMode="auto">
            <a:xfrm>
              <a:off x="2499924"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4</a:t>
              </a:r>
            </a:p>
          </xdr:txBody>
        </xdr:sp>
        <xdr:sp macro="" textlink="">
          <xdr:nvSpPr>
            <xdr:cNvPr id="51" name="Text Box 25">
              <a:extLst>
                <a:ext uri="{FF2B5EF4-FFF2-40B4-BE49-F238E27FC236}">
                  <a16:creationId xmlns:a16="http://schemas.microsoft.com/office/drawing/2014/main" id="{00000000-0008-0000-1700-000033000000}"/>
                </a:ext>
              </a:extLst>
            </xdr:cNvPr>
            <xdr:cNvSpPr txBox="1">
              <a:spLocks noChangeArrowheads="1"/>
            </xdr:cNvSpPr>
          </xdr:nvSpPr>
          <xdr:spPr bwMode="auto">
            <a:xfrm>
              <a:off x="2947950" y="10868419"/>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5</a:t>
              </a:r>
            </a:p>
          </xdr:txBody>
        </xdr:sp>
        <xdr:sp macro="" textlink="">
          <xdr:nvSpPr>
            <xdr:cNvPr id="52" name="Text Box 26">
              <a:extLst>
                <a:ext uri="{FF2B5EF4-FFF2-40B4-BE49-F238E27FC236}">
                  <a16:creationId xmlns:a16="http://schemas.microsoft.com/office/drawing/2014/main" id="{00000000-0008-0000-1700-000034000000}"/>
                </a:ext>
              </a:extLst>
            </xdr:cNvPr>
            <xdr:cNvSpPr txBox="1">
              <a:spLocks noChangeArrowheads="1"/>
            </xdr:cNvSpPr>
          </xdr:nvSpPr>
          <xdr:spPr bwMode="auto">
            <a:xfrm>
              <a:off x="698500" y="10668514"/>
              <a:ext cx="141438"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0</a:t>
              </a:r>
            </a:p>
          </xdr:txBody>
        </xdr:sp>
      </xdr:grpSp>
    </xdr:grpSp>
    <xdr:clientData/>
  </xdr:twoCellAnchor>
  <xdr:twoCellAnchor>
    <xdr:from>
      <xdr:col>3</xdr:col>
      <xdr:colOff>199080</xdr:colOff>
      <xdr:row>63</xdr:row>
      <xdr:rowOff>122817</xdr:rowOff>
    </xdr:from>
    <xdr:to>
      <xdr:col>6</xdr:col>
      <xdr:colOff>635001</xdr:colOff>
      <xdr:row>67</xdr:row>
      <xdr:rowOff>74763</xdr:rowOff>
    </xdr:to>
    <xdr:grpSp>
      <xdr:nvGrpSpPr>
        <xdr:cNvPr id="60" name="Grupo 59">
          <a:extLst>
            <a:ext uri="{FF2B5EF4-FFF2-40B4-BE49-F238E27FC236}">
              <a16:creationId xmlns:a16="http://schemas.microsoft.com/office/drawing/2014/main" id="{00000000-0008-0000-1700-00003C000000}"/>
            </a:ext>
          </a:extLst>
        </xdr:cNvPr>
        <xdr:cNvGrpSpPr/>
      </xdr:nvGrpSpPr>
      <xdr:grpSpPr>
        <a:xfrm>
          <a:off x="1786580" y="11686873"/>
          <a:ext cx="2446754" cy="685723"/>
          <a:chOff x="707079" y="12124317"/>
          <a:chExt cx="2372671" cy="713946"/>
        </a:xfrm>
      </xdr:grpSpPr>
      <xdr:grpSp>
        <xdr:nvGrpSpPr>
          <xdr:cNvPr id="61" name="Group 13">
            <a:extLst>
              <a:ext uri="{FF2B5EF4-FFF2-40B4-BE49-F238E27FC236}">
                <a16:creationId xmlns:a16="http://schemas.microsoft.com/office/drawing/2014/main" id="{00000000-0008-0000-1700-00003D000000}"/>
              </a:ext>
            </a:extLst>
          </xdr:cNvPr>
          <xdr:cNvGrpSpPr>
            <a:grpSpLocks/>
          </xdr:cNvGrpSpPr>
        </xdr:nvGrpSpPr>
        <xdr:grpSpPr bwMode="auto">
          <a:xfrm>
            <a:off x="762551" y="12124317"/>
            <a:ext cx="2259206" cy="713946"/>
            <a:chOff x="1266" y="2038"/>
            <a:chExt cx="3648" cy="650"/>
          </a:xfrm>
        </xdr:grpSpPr>
        <xdr:sp macro="" textlink="">
          <xdr:nvSpPr>
            <xdr:cNvPr id="69" name="Line 5">
              <a:extLst>
                <a:ext uri="{FF2B5EF4-FFF2-40B4-BE49-F238E27FC236}">
                  <a16:creationId xmlns:a16="http://schemas.microsoft.com/office/drawing/2014/main" id="{00000000-0008-0000-1700-000045000000}"/>
                </a:ext>
              </a:extLst>
            </xdr:cNvPr>
            <xdr:cNvSpPr>
              <a:spLocks noChangeShapeType="1"/>
            </xdr:cNvSpPr>
          </xdr:nvSpPr>
          <xdr:spPr bwMode="auto">
            <a:xfrm>
              <a:off x="1266" y="2365"/>
              <a:ext cx="3648" cy="0"/>
            </a:xfrm>
            <a:prstGeom prst="line">
              <a:avLst/>
            </a:prstGeom>
            <a:noFill/>
            <a:ln w="28575">
              <a:solidFill>
                <a:schemeClr val="bg1"/>
              </a:solidFill>
              <a:round/>
              <a:headEnd/>
              <a:tailEnd/>
            </a:ln>
            <a:extLst>
              <a:ext uri="{909E8E84-426E-40DD-AFC4-6F175D3DCCD1}">
                <a14:hiddenFill xmlns:a14="http://schemas.microsoft.com/office/drawing/2010/main">
                  <a:noFill/>
                </a14:hiddenFill>
              </a:ext>
            </a:extLst>
          </xdr:spPr>
        </xdr:sp>
        <xdr:sp macro="" textlink="">
          <xdr:nvSpPr>
            <xdr:cNvPr id="70" name="Line 6">
              <a:extLst>
                <a:ext uri="{FF2B5EF4-FFF2-40B4-BE49-F238E27FC236}">
                  <a16:creationId xmlns:a16="http://schemas.microsoft.com/office/drawing/2014/main" id="{00000000-0008-0000-1700-000046000000}"/>
                </a:ext>
              </a:extLst>
            </xdr:cNvPr>
            <xdr:cNvSpPr>
              <a:spLocks noChangeShapeType="1"/>
            </xdr:cNvSpPr>
          </xdr:nvSpPr>
          <xdr:spPr bwMode="auto">
            <a:xfrm>
              <a:off x="1271" y="2365"/>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1" name="Line 7">
              <a:extLst>
                <a:ext uri="{FF2B5EF4-FFF2-40B4-BE49-F238E27FC236}">
                  <a16:creationId xmlns:a16="http://schemas.microsoft.com/office/drawing/2014/main" id="{00000000-0008-0000-1700-000047000000}"/>
                </a:ext>
              </a:extLst>
            </xdr:cNvPr>
            <xdr:cNvSpPr>
              <a:spLocks noChangeShapeType="1"/>
            </xdr:cNvSpPr>
          </xdr:nvSpPr>
          <xdr:spPr bwMode="auto">
            <a:xfrm flipV="1">
              <a:off x="2024"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2" name="Line 8">
              <a:extLst>
                <a:ext uri="{FF2B5EF4-FFF2-40B4-BE49-F238E27FC236}">
                  <a16:creationId xmlns:a16="http://schemas.microsoft.com/office/drawing/2014/main" id="{00000000-0008-0000-1700-000048000000}"/>
                </a:ext>
              </a:extLst>
            </xdr:cNvPr>
            <xdr:cNvSpPr>
              <a:spLocks noChangeShapeType="1"/>
            </xdr:cNvSpPr>
          </xdr:nvSpPr>
          <xdr:spPr bwMode="auto">
            <a:xfrm flipV="1">
              <a:off x="2723"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3" name="Line 10">
              <a:extLst>
                <a:ext uri="{FF2B5EF4-FFF2-40B4-BE49-F238E27FC236}">
                  <a16:creationId xmlns:a16="http://schemas.microsoft.com/office/drawing/2014/main" id="{00000000-0008-0000-1700-000049000000}"/>
                </a:ext>
              </a:extLst>
            </xdr:cNvPr>
            <xdr:cNvSpPr>
              <a:spLocks noChangeShapeType="1"/>
            </xdr:cNvSpPr>
          </xdr:nvSpPr>
          <xdr:spPr bwMode="auto">
            <a:xfrm flipV="1">
              <a:off x="3440" y="2041"/>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4" name="Line 11">
              <a:extLst>
                <a:ext uri="{FF2B5EF4-FFF2-40B4-BE49-F238E27FC236}">
                  <a16:creationId xmlns:a16="http://schemas.microsoft.com/office/drawing/2014/main" id="{00000000-0008-0000-1700-00004A000000}"/>
                </a:ext>
              </a:extLst>
            </xdr:cNvPr>
            <xdr:cNvSpPr>
              <a:spLocks noChangeShapeType="1"/>
            </xdr:cNvSpPr>
          </xdr:nvSpPr>
          <xdr:spPr bwMode="auto">
            <a:xfrm flipV="1">
              <a:off x="4175" y="2038"/>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sp macro="" textlink="">
          <xdr:nvSpPr>
            <xdr:cNvPr id="75" name="Line 12">
              <a:extLst>
                <a:ext uri="{FF2B5EF4-FFF2-40B4-BE49-F238E27FC236}">
                  <a16:creationId xmlns:a16="http://schemas.microsoft.com/office/drawing/2014/main" id="{00000000-0008-0000-1700-00004B000000}"/>
                </a:ext>
              </a:extLst>
            </xdr:cNvPr>
            <xdr:cNvSpPr>
              <a:spLocks noChangeShapeType="1"/>
            </xdr:cNvSpPr>
          </xdr:nvSpPr>
          <xdr:spPr bwMode="auto">
            <a:xfrm flipV="1">
              <a:off x="4901" y="2044"/>
              <a:ext cx="0" cy="323"/>
            </a:xfrm>
            <a:prstGeom prst="line">
              <a:avLst/>
            </a:prstGeom>
            <a:noFill/>
            <a:ln w="28575">
              <a:solidFill>
                <a:schemeClr val="bg1"/>
              </a:solidFill>
              <a:round/>
              <a:headEnd/>
              <a:tailEnd type="triangle" w="med" len="med"/>
            </a:ln>
            <a:extLst>
              <a:ext uri="{909E8E84-426E-40DD-AFC4-6F175D3DCCD1}">
                <a14:hiddenFill xmlns:a14="http://schemas.microsoft.com/office/drawing/2010/main">
                  <a:noFill/>
                </a14:hiddenFill>
              </a:ext>
            </a:extLst>
          </xdr:spPr>
        </xdr:sp>
      </xdr:grpSp>
      <xdr:grpSp>
        <xdr:nvGrpSpPr>
          <xdr:cNvPr id="62" name="Grupo 61">
            <a:extLst>
              <a:ext uri="{FF2B5EF4-FFF2-40B4-BE49-F238E27FC236}">
                <a16:creationId xmlns:a16="http://schemas.microsoft.com/office/drawing/2014/main" id="{00000000-0008-0000-1700-00003E000000}"/>
              </a:ext>
            </a:extLst>
          </xdr:cNvPr>
          <xdr:cNvGrpSpPr/>
        </xdr:nvGrpSpPr>
        <xdr:grpSpPr>
          <a:xfrm>
            <a:off x="707079" y="12283581"/>
            <a:ext cx="2372671" cy="389924"/>
            <a:chOff x="707079" y="12283581"/>
            <a:chExt cx="2372671" cy="389924"/>
          </a:xfrm>
        </xdr:grpSpPr>
        <xdr:sp macro="" textlink="">
          <xdr:nvSpPr>
            <xdr:cNvPr id="63" name="Text Box 21">
              <a:extLst>
                <a:ext uri="{FF2B5EF4-FFF2-40B4-BE49-F238E27FC236}">
                  <a16:creationId xmlns:a16="http://schemas.microsoft.com/office/drawing/2014/main" id="{00000000-0008-0000-1700-00003F000000}"/>
                </a:ext>
              </a:extLst>
            </xdr:cNvPr>
            <xdr:cNvSpPr txBox="1">
              <a:spLocks noChangeArrowheads="1"/>
            </xdr:cNvSpPr>
          </xdr:nvSpPr>
          <xdr:spPr bwMode="auto">
            <a:xfrm>
              <a:off x="1167662" y="12492273"/>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1</a:t>
              </a:r>
            </a:p>
          </xdr:txBody>
        </xdr:sp>
        <xdr:sp macro="" textlink="">
          <xdr:nvSpPr>
            <xdr:cNvPr id="64" name="Text Box 22">
              <a:extLst>
                <a:ext uri="{FF2B5EF4-FFF2-40B4-BE49-F238E27FC236}">
                  <a16:creationId xmlns:a16="http://schemas.microsoft.com/office/drawing/2014/main" id="{00000000-0008-0000-1700-000040000000}"/>
                </a:ext>
              </a:extLst>
            </xdr:cNvPr>
            <xdr:cNvSpPr txBox="1">
              <a:spLocks noChangeArrowheads="1"/>
            </xdr:cNvSpPr>
          </xdr:nvSpPr>
          <xdr:spPr bwMode="auto">
            <a:xfrm>
              <a:off x="1597146"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2</a:t>
              </a:r>
            </a:p>
          </xdr:txBody>
        </xdr:sp>
        <xdr:sp macro="" textlink="">
          <xdr:nvSpPr>
            <xdr:cNvPr id="65" name="Text Box 23">
              <a:extLst>
                <a:ext uri="{FF2B5EF4-FFF2-40B4-BE49-F238E27FC236}">
                  <a16:creationId xmlns:a16="http://schemas.microsoft.com/office/drawing/2014/main" id="{00000000-0008-0000-1700-000041000000}"/>
                </a:ext>
              </a:extLst>
            </xdr:cNvPr>
            <xdr:cNvSpPr txBox="1">
              <a:spLocks noChangeArrowheads="1"/>
            </xdr:cNvSpPr>
          </xdr:nvSpPr>
          <xdr:spPr bwMode="auto">
            <a:xfrm>
              <a:off x="2025790" y="12473601"/>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3</a:t>
              </a:r>
            </a:p>
          </xdr:txBody>
        </xdr:sp>
        <xdr:sp macro="" textlink="">
          <xdr:nvSpPr>
            <xdr:cNvPr id="66" name="Text Box 24">
              <a:extLst>
                <a:ext uri="{FF2B5EF4-FFF2-40B4-BE49-F238E27FC236}">
                  <a16:creationId xmlns:a16="http://schemas.microsoft.com/office/drawing/2014/main" id="{00000000-0008-0000-1700-000042000000}"/>
                </a:ext>
              </a:extLst>
            </xdr:cNvPr>
            <xdr:cNvSpPr txBox="1">
              <a:spLocks noChangeArrowheads="1"/>
            </xdr:cNvSpPr>
          </xdr:nvSpPr>
          <xdr:spPr bwMode="auto">
            <a:xfrm>
              <a:off x="2494777"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4</a:t>
              </a:r>
            </a:p>
          </xdr:txBody>
        </xdr:sp>
        <xdr:sp macro="" textlink="">
          <xdr:nvSpPr>
            <xdr:cNvPr id="67" name="Text Box 25">
              <a:extLst>
                <a:ext uri="{FF2B5EF4-FFF2-40B4-BE49-F238E27FC236}">
                  <a16:creationId xmlns:a16="http://schemas.microsoft.com/office/drawing/2014/main" id="{00000000-0008-0000-1700-000043000000}"/>
                </a:ext>
              </a:extLst>
            </xdr:cNvPr>
            <xdr:cNvSpPr txBox="1">
              <a:spLocks noChangeArrowheads="1"/>
            </xdr:cNvSpPr>
          </xdr:nvSpPr>
          <xdr:spPr bwMode="auto">
            <a:xfrm>
              <a:off x="2939390" y="12483486"/>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5</a:t>
              </a:r>
            </a:p>
          </xdr:txBody>
        </xdr:sp>
        <xdr:sp macro="" textlink="">
          <xdr:nvSpPr>
            <xdr:cNvPr id="68" name="Text Box 26">
              <a:extLst>
                <a:ext uri="{FF2B5EF4-FFF2-40B4-BE49-F238E27FC236}">
                  <a16:creationId xmlns:a16="http://schemas.microsoft.com/office/drawing/2014/main" id="{00000000-0008-0000-1700-000044000000}"/>
                </a:ext>
              </a:extLst>
            </xdr:cNvPr>
            <xdr:cNvSpPr txBox="1">
              <a:spLocks noChangeArrowheads="1"/>
            </xdr:cNvSpPr>
          </xdr:nvSpPr>
          <xdr:spPr bwMode="auto">
            <a:xfrm>
              <a:off x="707079" y="12283581"/>
              <a:ext cx="140360" cy="1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es-ES"/>
              </a:defPPr>
              <a:lvl1pPr algn="l" rtl="0" fontAlgn="base">
                <a:spcBef>
                  <a:spcPct val="0"/>
                </a:spcBef>
                <a:spcAft>
                  <a:spcPct val="0"/>
                </a:spcAft>
                <a:defRPr kern="1200">
                  <a:solidFill>
                    <a:schemeClr val="tx1"/>
                  </a:solidFill>
                  <a:latin typeface="Arial" panose="020B0604020202020204" pitchFamily="34" charset="0"/>
                  <a:ea typeface="+mn-ea"/>
                  <a:cs typeface="+mn-cs"/>
                </a:defRPr>
              </a:lvl1pPr>
              <a:lvl2pPr marL="457200" algn="l" rtl="0" fontAlgn="base">
                <a:spcBef>
                  <a:spcPct val="0"/>
                </a:spcBef>
                <a:spcAft>
                  <a:spcPct val="0"/>
                </a:spcAft>
                <a:defRPr kern="1200">
                  <a:solidFill>
                    <a:schemeClr val="tx1"/>
                  </a:solidFill>
                  <a:latin typeface="Arial" panose="020B0604020202020204" pitchFamily="34" charset="0"/>
                  <a:ea typeface="+mn-ea"/>
                  <a:cs typeface="+mn-cs"/>
                </a:defRPr>
              </a:lvl2pPr>
              <a:lvl3pPr marL="914400" algn="l" rtl="0" fontAlgn="base">
                <a:spcBef>
                  <a:spcPct val="0"/>
                </a:spcBef>
                <a:spcAft>
                  <a:spcPct val="0"/>
                </a:spcAft>
                <a:defRPr kern="1200">
                  <a:solidFill>
                    <a:schemeClr val="tx1"/>
                  </a:solidFill>
                  <a:latin typeface="Arial" panose="020B0604020202020204" pitchFamily="34" charset="0"/>
                  <a:ea typeface="+mn-ea"/>
                  <a:cs typeface="+mn-cs"/>
                </a:defRPr>
              </a:lvl3pPr>
              <a:lvl4pPr marL="1371600" algn="l" rtl="0" fontAlgn="base">
                <a:spcBef>
                  <a:spcPct val="0"/>
                </a:spcBef>
                <a:spcAft>
                  <a:spcPct val="0"/>
                </a:spcAft>
                <a:defRPr kern="1200">
                  <a:solidFill>
                    <a:schemeClr val="tx1"/>
                  </a:solidFill>
                  <a:latin typeface="Arial" panose="020B0604020202020204" pitchFamily="34" charset="0"/>
                  <a:ea typeface="+mn-ea"/>
                  <a:cs typeface="+mn-cs"/>
                </a:defRPr>
              </a:lvl4pPr>
              <a:lvl5pPr marL="1828800" algn="l" rtl="0" fontAlgn="base">
                <a:spcBef>
                  <a:spcPct val="0"/>
                </a:spcBef>
                <a:spcAft>
                  <a:spcPct val="0"/>
                </a:spcAft>
                <a:defRPr kern="1200">
                  <a:solidFill>
                    <a:schemeClr val="tx1"/>
                  </a:solidFill>
                  <a:latin typeface="Arial" panose="020B0604020202020204" pitchFamily="34" charset="0"/>
                  <a:ea typeface="+mn-ea"/>
                  <a:cs typeface="+mn-cs"/>
                </a:defRPr>
              </a:lvl5pPr>
              <a:lvl6pPr marL="2286000" algn="l" defTabSz="914400" rtl="0" eaLnBrk="1" latinLnBrk="0" hangingPunct="1">
                <a:defRPr kern="1200">
                  <a:solidFill>
                    <a:schemeClr val="tx1"/>
                  </a:solidFill>
                  <a:latin typeface="Arial" panose="020B0604020202020204" pitchFamily="34" charset="0"/>
                  <a:ea typeface="+mn-ea"/>
                  <a:cs typeface="+mn-cs"/>
                </a:defRPr>
              </a:lvl6pPr>
              <a:lvl7pPr marL="2743200" algn="l" defTabSz="914400" rtl="0" eaLnBrk="1" latinLnBrk="0" hangingPunct="1">
                <a:defRPr kern="1200">
                  <a:solidFill>
                    <a:schemeClr val="tx1"/>
                  </a:solidFill>
                  <a:latin typeface="Arial" panose="020B0604020202020204" pitchFamily="34" charset="0"/>
                  <a:ea typeface="+mn-ea"/>
                  <a:cs typeface="+mn-cs"/>
                </a:defRPr>
              </a:lvl7pPr>
              <a:lvl8pPr marL="3200400" algn="l" defTabSz="914400" rtl="0" eaLnBrk="1" latinLnBrk="0" hangingPunct="1">
                <a:defRPr kern="1200">
                  <a:solidFill>
                    <a:schemeClr val="tx1"/>
                  </a:solidFill>
                  <a:latin typeface="Arial" panose="020B0604020202020204" pitchFamily="34" charset="0"/>
                  <a:ea typeface="+mn-ea"/>
                  <a:cs typeface="+mn-cs"/>
                </a:defRPr>
              </a:lvl8pPr>
              <a:lvl9pPr marL="3657600" algn="l" defTabSz="914400" rtl="0" eaLnBrk="1" latinLnBrk="0" hangingPunct="1">
                <a:defRPr kern="1200">
                  <a:solidFill>
                    <a:schemeClr val="tx1"/>
                  </a:solidFill>
                  <a:latin typeface="Arial" panose="020B0604020202020204" pitchFamily="34" charset="0"/>
                  <a:ea typeface="+mn-ea"/>
                  <a:cs typeface="+mn-cs"/>
                </a:defRPr>
              </a:lvl9pPr>
            </a:lstStyle>
            <a:p>
              <a:pPr algn="ctr" eaLnBrk="1" hangingPunct="1">
                <a:spcBef>
                  <a:spcPct val="0"/>
                </a:spcBef>
                <a:buFontTx/>
                <a:buNone/>
              </a:pPr>
              <a:r>
                <a:rPr lang="es-ES" altLang="es-ES" sz="800">
                  <a:solidFill>
                    <a:schemeClr val="bg1"/>
                  </a:solidFill>
                  <a:latin typeface="Arial" panose="020B0604020202020204" pitchFamily="34" charset="0"/>
                </a:rPr>
                <a:t>0</a:t>
              </a:r>
            </a:p>
          </xdr:txBody>
        </xdr:sp>
      </xdr:grpSp>
    </xdr:grpSp>
    <xdr:clientData/>
  </xdr:twoCellAnchor>
  <xdr:twoCellAnchor>
    <xdr:from>
      <xdr:col>1</xdr:col>
      <xdr:colOff>0</xdr:colOff>
      <xdr:row>6</xdr:row>
      <xdr:rowOff>10584</xdr:rowOff>
    </xdr:from>
    <xdr:to>
      <xdr:col>1</xdr:col>
      <xdr:colOff>635001</xdr:colOff>
      <xdr:row>7</xdr:row>
      <xdr:rowOff>52917</xdr:rowOff>
    </xdr:to>
    <xdr:sp macro="" textlink="">
      <xdr:nvSpPr>
        <xdr:cNvPr id="76" name="CuadroTexto 75">
          <a:extLst>
            <a:ext uri="{FF2B5EF4-FFF2-40B4-BE49-F238E27FC236}">
              <a16:creationId xmlns:a16="http://schemas.microsoft.com/office/drawing/2014/main" id="{00000000-0008-0000-1700-00004C000000}"/>
            </a:ext>
          </a:extLst>
        </xdr:cNvPr>
        <xdr:cNvSpPr txBox="1"/>
      </xdr:nvSpPr>
      <xdr:spPr>
        <a:xfrm>
          <a:off x="247650" y="1153584"/>
          <a:ext cx="635001" cy="232833"/>
        </a:xfrm>
        <a:prstGeom prst="rect">
          <a:avLst/>
        </a:prstGeom>
        <a:solidFill>
          <a:srgbClr val="00B05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000" b="1">
              <a:solidFill>
                <a:schemeClr val="bg1"/>
              </a:solidFill>
            </a:rPr>
            <a:t>Camino 1</a:t>
          </a:r>
          <a:endParaRPr lang="es-ES" sz="1100" b="1">
            <a:solidFill>
              <a:schemeClr val="bg1"/>
            </a:solidFill>
          </a:endParaRPr>
        </a:p>
      </xdr:txBody>
    </xdr:sp>
    <xdr:clientData/>
  </xdr:twoCellAnchor>
  <xdr:twoCellAnchor>
    <xdr:from>
      <xdr:col>4</xdr:col>
      <xdr:colOff>342902</xdr:colOff>
      <xdr:row>6</xdr:row>
      <xdr:rowOff>10583</xdr:rowOff>
    </xdr:from>
    <xdr:to>
      <xdr:col>5</xdr:col>
      <xdr:colOff>306918</xdr:colOff>
      <xdr:row>7</xdr:row>
      <xdr:rowOff>52916</xdr:rowOff>
    </xdr:to>
    <xdr:sp macro="" textlink="">
      <xdr:nvSpPr>
        <xdr:cNvPr id="77" name="CuadroTexto 76">
          <a:extLst>
            <a:ext uri="{FF2B5EF4-FFF2-40B4-BE49-F238E27FC236}">
              <a16:creationId xmlns:a16="http://schemas.microsoft.com/office/drawing/2014/main" id="{00000000-0008-0000-1700-00004D000000}"/>
            </a:ext>
          </a:extLst>
        </xdr:cNvPr>
        <xdr:cNvSpPr txBox="1"/>
      </xdr:nvSpPr>
      <xdr:spPr>
        <a:xfrm>
          <a:off x="2533652" y="1153583"/>
          <a:ext cx="611716" cy="232833"/>
        </a:xfrm>
        <a:prstGeom prst="rect">
          <a:avLst/>
        </a:prstGeom>
        <a:solidFill>
          <a:srgbClr val="7030A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000" b="1">
              <a:solidFill>
                <a:schemeClr val="bg1"/>
              </a:solidFill>
            </a:rPr>
            <a:t>Camino 2</a:t>
          </a:r>
          <a:endParaRPr lang="es-ES" sz="1100" b="1">
            <a:solidFill>
              <a:schemeClr val="bg1"/>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8.bin"/><Relationship Id="rId1" Type="http://schemas.openxmlformats.org/officeDocument/2006/relationships/hyperlink" Target="http://www.eumed.net/libros-gratis/2013a/1290/inflacion.html" TargetMode="External"/><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eumed.net/libros-gratis/2013a/1290/riesgo.html" TargetMode="External"/><Relationship Id="rId18" Type="http://schemas.openxmlformats.org/officeDocument/2006/relationships/hyperlink" Target="https://www.eumed.net/cursecon/libreria/lgc/ped-lgc.htm" TargetMode="External"/><Relationship Id="rId26" Type="http://schemas.openxmlformats.org/officeDocument/2006/relationships/hyperlink" Target="https://www.eumed.net/cursecon/libreria/lgc/09.htm" TargetMode="External"/><Relationship Id="rId21" Type="http://schemas.openxmlformats.org/officeDocument/2006/relationships/hyperlink" Target="https://www.eumed.net/cursecon/libreria/lgc/04.htm" TargetMode="External"/><Relationship Id="rId34" Type="http://schemas.openxmlformats.org/officeDocument/2006/relationships/hyperlink" Target="https://www.eumed.net/libros-gratis/2013a/1290/vap.html" TargetMode="External"/><Relationship Id="rId7" Type="http://schemas.openxmlformats.org/officeDocument/2006/relationships/hyperlink" Target="http://www.eumed.net/libros-gratis/2013a/1290/ratios.html" TargetMode="External"/><Relationship Id="rId12" Type="http://schemas.openxmlformats.org/officeDocument/2006/relationships/hyperlink" Target="http://www.eumed.net/libros-gratis/2013a/1290/nuevo-pgc.html" TargetMode="External"/><Relationship Id="rId17" Type="http://schemas.openxmlformats.org/officeDocument/2006/relationships/hyperlink" Target="https://www.eumed.net/cursecon/libreria/lgc/01.htm" TargetMode="External"/><Relationship Id="rId25" Type="http://schemas.openxmlformats.org/officeDocument/2006/relationships/hyperlink" Target="https://www.eumed.net/cursecon/libreria/lgc/08.htm" TargetMode="External"/><Relationship Id="rId33" Type="http://schemas.openxmlformats.org/officeDocument/2006/relationships/hyperlink" Target="https://www.eumed.net/libros-gratis/2013a/1290/empresa.html" TargetMode="External"/><Relationship Id="rId2" Type="http://schemas.openxmlformats.org/officeDocument/2006/relationships/hyperlink" Target="http://www.eumed.net/libros-gratis/2013a/1290/contabilidad.html" TargetMode="External"/><Relationship Id="rId16" Type="http://schemas.openxmlformats.org/officeDocument/2006/relationships/hyperlink" Target="http://www.eumed.net/libros-gratis/2013a/1290/dividendos.html" TargetMode="External"/><Relationship Id="rId20" Type="http://schemas.openxmlformats.org/officeDocument/2006/relationships/hyperlink" Target="https://www.eumed.net/cursecon/libreria/lgc/03.htm" TargetMode="External"/><Relationship Id="rId29" Type="http://schemas.openxmlformats.org/officeDocument/2006/relationships/hyperlink" Target="https://www.eumed.net/cursecon/libreria/lgc/12.htm" TargetMode="External"/><Relationship Id="rId1" Type="http://schemas.openxmlformats.org/officeDocument/2006/relationships/hyperlink" Target="https://www.eumed.net/libros-gratis/2013a/1290/index.htm" TargetMode="External"/><Relationship Id="rId6" Type="http://schemas.openxmlformats.org/officeDocument/2006/relationships/hyperlink" Target="http://www.eumed.net/libros-gratis/2013a/1290/empleos-fondos.html" TargetMode="External"/><Relationship Id="rId11" Type="http://schemas.openxmlformats.org/officeDocument/2006/relationships/hyperlink" Target="http://www.eumed.net/libros-gratis/2013a/1290/inflacion.html" TargetMode="External"/><Relationship Id="rId24" Type="http://schemas.openxmlformats.org/officeDocument/2006/relationships/hyperlink" Target="https://www.eumed.net/cursecon/libreria/lgc/07.htm" TargetMode="External"/><Relationship Id="rId32" Type="http://schemas.openxmlformats.org/officeDocument/2006/relationships/hyperlink" Target="https://www.eumed.net/libros-gratis/2013a/1290/inversion.html" TargetMode="External"/><Relationship Id="rId37" Type="http://schemas.openxmlformats.org/officeDocument/2006/relationships/printerSettings" Target="../printerSettings/printerSettings2.bin"/><Relationship Id="rId5" Type="http://schemas.openxmlformats.org/officeDocument/2006/relationships/hyperlink" Target="http://www.eumed.net/libros-gratis/2013a/1290/eficiencia.html" TargetMode="External"/><Relationship Id="rId15" Type="http://schemas.openxmlformats.org/officeDocument/2006/relationships/hyperlink" Target="http://www.eumed.net/libros-gratis/2013a/1290/financiacion-empresarial.html" TargetMode="External"/><Relationship Id="rId23" Type="http://schemas.openxmlformats.org/officeDocument/2006/relationships/hyperlink" Target="https://www.eumed.net/cursecon/libreria/lgc/06.htm" TargetMode="External"/><Relationship Id="rId28" Type="http://schemas.openxmlformats.org/officeDocument/2006/relationships/hyperlink" Target="https://www.eumed.net/cursecon/libreria/lgc/11.htm" TargetMode="External"/><Relationship Id="rId36" Type="http://schemas.openxmlformats.org/officeDocument/2006/relationships/hyperlink" Target="https://www.eumed.net/libros-gratis/2013a/1290/02-Nota-critica.pdf" TargetMode="External"/><Relationship Id="rId10" Type="http://schemas.openxmlformats.org/officeDocument/2006/relationships/hyperlink" Target="http://www.eumed.net/libros-gratis/2013a/1290/van.html" TargetMode="External"/><Relationship Id="rId19" Type="http://schemas.openxmlformats.org/officeDocument/2006/relationships/hyperlink" Target="https://www.eumed.net/cursecon/libreria/lgc/02.htm" TargetMode="External"/><Relationship Id="rId31" Type="http://schemas.openxmlformats.org/officeDocument/2006/relationships/hyperlink" Target="https://www.eumed.net/libros-gratis/2013a/1290/valor.html" TargetMode="External"/><Relationship Id="rId4" Type="http://schemas.openxmlformats.org/officeDocument/2006/relationships/hyperlink" Target="http://www.eumed.net/libros-gratis/2013a/1290/etica.html" TargetMode="External"/><Relationship Id="rId9" Type="http://schemas.openxmlformats.org/officeDocument/2006/relationships/hyperlink" Target="http://www.eumed.net/libros-gratis/2013a/1290/finanzas.html" TargetMode="External"/><Relationship Id="rId14" Type="http://schemas.openxmlformats.org/officeDocument/2006/relationships/hyperlink" Target="http://www.eumed.net/libros-gratis/2013a/1290/patrimonio.html" TargetMode="External"/><Relationship Id="rId22" Type="http://schemas.openxmlformats.org/officeDocument/2006/relationships/hyperlink" Target="https://www.eumed.net/cursecon/libreria/lgc/05.htm" TargetMode="External"/><Relationship Id="rId27" Type="http://schemas.openxmlformats.org/officeDocument/2006/relationships/hyperlink" Target="https://www.eumed.net/cursecon/libreria/lgc/10.htm" TargetMode="External"/><Relationship Id="rId30" Type="http://schemas.openxmlformats.org/officeDocument/2006/relationships/hyperlink" Target="https://www.eumed.net/cursecon/libreria/lgc/13.htm" TargetMode="External"/><Relationship Id="rId35" Type="http://schemas.openxmlformats.org/officeDocument/2006/relationships/hyperlink" Target="https://www.eumed.net/libros-gratis/2013a/1290/mercados.html" TargetMode="External"/><Relationship Id="rId8" Type="http://schemas.openxmlformats.org/officeDocument/2006/relationships/hyperlink" Target="http://www.eumed.net/libros-gratis/2013a/1290/piramide-ratios.html" TargetMode="External"/><Relationship Id="rId3" Type="http://schemas.openxmlformats.org/officeDocument/2006/relationships/hyperlink" Target="http://www.eumed.net/libros-gratis/2013a/1290/teoria-financiera.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3" Type="http://schemas.openxmlformats.org/officeDocument/2006/relationships/vmlDrawing" Target="../drawings/vmlDrawing2.vml"/><Relationship Id="rId7" Type="http://schemas.openxmlformats.org/officeDocument/2006/relationships/image" Target="../media/image2.w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w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5.wmf"/><Relationship Id="rId18" Type="http://schemas.openxmlformats.org/officeDocument/2006/relationships/oleObject" Target="../embeddings/oleObject13.bin"/><Relationship Id="rId3" Type="http://schemas.openxmlformats.org/officeDocument/2006/relationships/vmlDrawing" Target="../drawings/vmlDrawing3.vml"/><Relationship Id="rId21" Type="http://schemas.openxmlformats.org/officeDocument/2006/relationships/image" Target="../media/image11.wmf"/><Relationship Id="rId7" Type="http://schemas.openxmlformats.org/officeDocument/2006/relationships/image" Target="../media/image2.wmf"/><Relationship Id="rId12" Type="http://schemas.openxmlformats.org/officeDocument/2006/relationships/oleObject" Target="../embeddings/oleObject10.bin"/><Relationship Id="rId17" Type="http://schemas.openxmlformats.org/officeDocument/2006/relationships/image" Target="../media/image9.wmf"/><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4.bin"/><Relationship Id="rId1" Type="http://schemas.openxmlformats.org/officeDocument/2006/relationships/printerSettings" Target="../printerSettings/printerSettings6.bin"/><Relationship Id="rId6" Type="http://schemas.openxmlformats.org/officeDocument/2006/relationships/oleObject" Target="../embeddings/oleObject7.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8.wmf"/><Relationship Id="rId23" Type="http://schemas.openxmlformats.org/officeDocument/2006/relationships/image" Target="../media/image12.wmf"/><Relationship Id="rId10" Type="http://schemas.openxmlformats.org/officeDocument/2006/relationships/oleObject" Target="../embeddings/oleObject9.bin"/><Relationship Id="rId19" Type="http://schemas.openxmlformats.org/officeDocument/2006/relationships/image" Target="../media/image10.wmf"/><Relationship Id="rId4" Type="http://schemas.openxmlformats.org/officeDocument/2006/relationships/oleObject" Target="../embeddings/oleObject6.bin"/><Relationship Id="rId9" Type="http://schemas.openxmlformats.org/officeDocument/2006/relationships/image" Target="../media/image3.wmf"/><Relationship Id="rId14" Type="http://schemas.openxmlformats.org/officeDocument/2006/relationships/oleObject" Target="../embeddings/oleObject11.bin"/><Relationship Id="rId22" Type="http://schemas.openxmlformats.org/officeDocument/2006/relationships/oleObject" Target="../embeddings/oleObject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59F6-D357-4B2C-8E88-9A43998096D5}">
  <dimension ref="A1:P42"/>
  <sheetViews>
    <sheetView showGridLines="0" workbookViewId="0"/>
  </sheetViews>
  <sheetFormatPr baseColWidth="10" defaultColWidth="10.81640625" defaultRowHeight="15" customHeight="1"/>
  <cols>
    <col min="1" max="1" width="10.453125" style="895" customWidth="1"/>
    <col min="2" max="3" width="10.81640625" style="895"/>
    <col min="4" max="4" width="68.81640625" style="895" customWidth="1"/>
    <col min="5" max="6" width="10.81640625" style="896"/>
    <col min="7" max="10" width="11.54296875" style="895" customWidth="1"/>
    <col min="11" max="16384" width="10.81640625" style="895"/>
  </cols>
  <sheetData>
    <row r="1" spans="1:16" ht="15" customHeight="1">
      <c r="A1" s="896"/>
    </row>
    <row r="3" spans="1:16" ht="15" customHeight="1">
      <c r="C3" s="896">
        <f>1+B3</f>
        <v>1</v>
      </c>
      <c r="D3" s="896">
        <f t="shared" ref="D3:P3" si="0">1+C3</f>
        <v>2</v>
      </c>
      <c r="E3" s="896">
        <f t="shared" si="0"/>
        <v>3</v>
      </c>
      <c r="F3" s="896">
        <f t="shared" si="0"/>
        <v>4</v>
      </c>
      <c r="G3" s="896">
        <f t="shared" si="0"/>
        <v>5</v>
      </c>
      <c r="H3" s="896">
        <f t="shared" si="0"/>
        <v>6</v>
      </c>
      <c r="I3" s="896">
        <f t="shared" si="0"/>
        <v>7</v>
      </c>
      <c r="J3" s="896">
        <f t="shared" si="0"/>
        <v>8</v>
      </c>
      <c r="K3" s="896">
        <f t="shared" si="0"/>
        <v>9</v>
      </c>
      <c r="L3" s="896">
        <f t="shared" si="0"/>
        <v>10</v>
      </c>
      <c r="M3" s="896">
        <f t="shared" si="0"/>
        <v>11</v>
      </c>
      <c r="N3" s="896">
        <f t="shared" si="0"/>
        <v>12</v>
      </c>
      <c r="O3" s="896">
        <f t="shared" si="0"/>
        <v>13</v>
      </c>
      <c r="P3" s="896">
        <f t="shared" si="0"/>
        <v>14</v>
      </c>
    </row>
    <row r="5" spans="1:16" ht="15" customHeight="1">
      <c r="E5" s="896" t="s">
        <v>3952</v>
      </c>
      <c r="F5" s="896" t="s">
        <v>3953</v>
      </c>
      <c r="G5" s="895" t="s">
        <v>3954</v>
      </c>
      <c r="H5" s="895" t="s">
        <v>3955</v>
      </c>
      <c r="I5" s="895" t="s">
        <v>3956</v>
      </c>
      <c r="J5" s="895" t="s">
        <v>3957</v>
      </c>
    </row>
    <row r="6" spans="1:16" ht="15" customHeight="1">
      <c r="A6" s="895">
        <f>LEN(G6)</f>
        <v>0</v>
      </c>
      <c r="B6" s="895">
        <f>1+B5</f>
        <v>1</v>
      </c>
      <c r="C6" s="895">
        <f>MAX($C$5:C5)+IF(E6="SI",1,0)</f>
        <v>0</v>
      </c>
      <c r="D6" s="895" t="s">
        <v>3958</v>
      </c>
      <c r="E6" s="896" t="s">
        <v>520</v>
      </c>
      <c r="F6" s="896">
        <f>4-COUNTIF(G6:J6,"")</f>
        <v>0</v>
      </c>
    </row>
    <row r="7" spans="1:16" ht="15" customHeight="1">
      <c r="A7" s="895">
        <f t="shared" ref="A7:A42" si="1">LEN(G7)</f>
        <v>778</v>
      </c>
      <c r="B7" s="895">
        <f t="shared" ref="B7:B42" si="2">1+B6</f>
        <v>2</v>
      </c>
      <c r="C7" s="895">
        <f>MAX($C$5:C6)+IF(E7="SI",1,0)</f>
        <v>1</v>
      </c>
      <c r="D7" s="895" t="s">
        <v>3959</v>
      </c>
      <c r="E7" s="896" t="s">
        <v>486</v>
      </c>
      <c r="F7" s="896">
        <f t="shared" ref="F7:F42" si="3">4-COUNTIF(G7:J7,"")</f>
        <v>1</v>
      </c>
      <c r="G7" s="897" t="s">
        <v>3960</v>
      </c>
      <c r="H7" s="897"/>
      <c r="I7" s="897"/>
      <c r="J7" s="897"/>
    </row>
    <row r="8" spans="1:16" ht="15" customHeight="1">
      <c r="A8" s="895">
        <f t="shared" si="1"/>
        <v>1713</v>
      </c>
      <c r="B8" s="895">
        <f t="shared" si="2"/>
        <v>3</v>
      </c>
      <c r="C8" s="895">
        <f>MAX($C$5:C7)+IF(E8="SI",1,0)</f>
        <v>2</v>
      </c>
      <c r="D8" s="895" t="s">
        <v>3961</v>
      </c>
      <c r="E8" s="896" t="s">
        <v>486</v>
      </c>
      <c r="F8" s="896">
        <f t="shared" si="3"/>
        <v>3</v>
      </c>
      <c r="G8" s="897" t="s">
        <v>3962</v>
      </c>
      <c r="H8" s="897" t="s">
        <v>3963</v>
      </c>
      <c r="I8" s="897" t="s">
        <v>3964</v>
      </c>
      <c r="J8" s="897"/>
    </row>
    <row r="9" spans="1:16" ht="15" customHeight="1">
      <c r="A9" s="895">
        <f t="shared" si="1"/>
        <v>1075</v>
      </c>
      <c r="B9" s="895">
        <f t="shared" si="2"/>
        <v>4</v>
      </c>
      <c r="C9" s="895">
        <f>MAX($C$5:C8)+IF(E9="SI",1,0)</f>
        <v>3</v>
      </c>
      <c r="D9" s="895" t="s">
        <v>3965</v>
      </c>
      <c r="E9" s="896" t="s">
        <v>486</v>
      </c>
      <c r="F9" s="896">
        <f t="shared" si="3"/>
        <v>1</v>
      </c>
      <c r="G9" s="897" t="s">
        <v>4148</v>
      </c>
      <c r="H9" s="897"/>
      <c r="I9" s="897"/>
      <c r="J9" s="897"/>
    </row>
    <row r="10" spans="1:16" ht="15" customHeight="1">
      <c r="A10" s="895">
        <f t="shared" si="1"/>
        <v>2868</v>
      </c>
      <c r="B10" s="895">
        <f t="shared" si="2"/>
        <v>5</v>
      </c>
      <c r="C10" s="895">
        <f>MAX($C$5:C9)+IF(E10="SI",1,0)</f>
        <v>4</v>
      </c>
      <c r="D10" s="895" t="s">
        <v>3966</v>
      </c>
      <c r="E10" s="896" t="s">
        <v>486</v>
      </c>
      <c r="F10" s="896">
        <f t="shared" si="3"/>
        <v>1</v>
      </c>
      <c r="G10" s="897" t="s">
        <v>3967</v>
      </c>
      <c r="H10" s="897"/>
      <c r="I10" s="897"/>
      <c r="J10" s="897"/>
    </row>
    <row r="11" spans="1:16" ht="15" customHeight="1">
      <c r="A11" s="895">
        <f t="shared" si="1"/>
        <v>1473</v>
      </c>
      <c r="B11" s="895">
        <f t="shared" si="2"/>
        <v>6</v>
      </c>
      <c r="C11" s="895">
        <f>MAX($C$5:C10)+IF(E11="SI",1,0)</f>
        <v>5</v>
      </c>
      <c r="D11" s="895" t="s">
        <v>3968</v>
      </c>
      <c r="E11" s="896" t="s">
        <v>486</v>
      </c>
      <c r="F11" s="896">
        <f t="shared" si="3"/>
        <v>1</v>
      </c>
      <c r="G11" s="897" t="s">
        <v>3969</v>
      </c>
      <c r="H11" s="897"/>
      <c r="I11" s="897"/>
      <c r="J11" s="897"/>
    </row>
    <row r="12" spans="1:16" ht="15" customHeight="1">
      <c r="A12" s="895">
        <f t="shared" si="1"/>
        <v>1191</v>
      </c>
      <c r="B12" s="895">
        <f t="shared" si="2"/>
        <v>7</v>
      </c>
      <c r="C12" s="895">
        <f>MAX($C$5:C11)+IF(E12="SI",1,0)</f>
        <v>6</v>
      </c>
      <c r="D12" s="895" t="s">
        <v>3970</v>
      </c>
      <c r="E12" s="896" t="s">
        <v>486</v>
      </c>
      <c r="F12" s="896">
        <f t="shared" si="3"/>
        <v>1</v>
      </c>
      <c r="G12" s="897" t="s">
        <v>3971</v>
      </c>
      <c r="H12" s="897"/>
      <c r="I12" s="897"/>
      <c r="J12" s="897"/>
    </row>
    <row r="13" spans="1:16" ht="15" customHeight="1">
      <c r="A13" s="895">
        <f t="shared" si="1"/>
        <v>880</v>
      </c>
      <c r="B13" s="895">
        <f t="shared" si="2"/>
        <v>8</v>
      </c>
      <c r="C13" s="895">
        <f>MAX($C$5:C12)+IF(E13="SI",1,0)</f>
        <v>7</v>
      </c>
      <c r="D13" s="895" t="s">
        <v>3972</v>
      </c>
      <c r="E13" s="896" t="s">
        <v>486</v>
      </c>
      <c r="F13" s="896">
        <f t="shared" si="3"/>
        <v>1</v>
      </c>
      <c r="G13" s="897" t="s">
        <v>3973</v>
      </c>
      <c r="H13" s="897"/>
      <c r="I13" s="897"/>
      <c r="J13" s="897"/>
    </row>
    <row r="14" spans="1:16" ht="15" customHeight="1">
      <c r="A14" s="895">
        <f t="shared" si="1"/>
        <v>567</v>
      </c>
      <c r="B14" s="895">
        <f t="shared" si="2"/>
        <v>9</v>
      </c>
      <c r="C14" s="895">
        <f>MAX($C$5:C13)+IF(E14="SI",1,0)</f>
        <v>8</v>
      </c>
      <c r="D14" s="895" t="s">
        <v>3974</v>
      </c>
      <c r="E14" s="896" t="s">
        <v>486</v>
      </c>
      <c r="F14" s="896">
        <f t="shared" si="3"/>
        <v>1</v>
      </c>
      <c r="G14" s="897" t="s">
        <v>3975</v>
      </c>
      <c r="H14" s="897"/>
      <c r="I14" s="897"/>
      <c r="J14" s="897"/>
    </row>
    <row r="15" spans="1:16" ht="15" customHeight="1">
      <c r="A15" s="895">
        <f t="shared" si="1"/>
        <v>1222</v>
      </c>
      <c r="B15" s="895">
        <f t="shared" si="2"/>
        <v>10</v>
      </c>
      <c r="C15" s="895">
        <f>MAX($C$5:C14)+IF(E15="SI",1,0)</f>
        <v>9</v>
      </c>
      <c r="D15" s="895" t="s">
        <v>3976</v>
      </c>
      <c r="E15" s="896" t="s">
        <v>486</v>
      </c>
      <c r="F15" s="896">
        <f t="shared" si="3"/>
        <v>1</v>
      </c>
      <c r="G15" s="897" t="s">
        <v>3977</v>
      </c>
      <c r="H15" s="897"/>
      <c r="I15" s="897"/>
      <c r="J15" s="897"/>
    </row>
    <row r="16" spans="1:16" ht="15" customHeight="1">
      <c r="A16" s="895">
        <f t="shared" si="1"/>
        <v>3011</v>
      </c>
      <c r="B16" s="895">
        <f t="shared" si="2"/>
        <v>11</v>
      </c>
      <c r="C16" s="895">
        <f>MAX($C$5:C15)+IF(E16="SI",1,0)</f>
        <v>10</v>
      </c>
      <c r="D16" s="895" t="s">
        <v>3978</v>
      </c>
      <c r="E16" s="896" t="s">
        <v>486</v>
      </c>
      <c r="F16" s="896">
        <f t="shared" si="3"/>
        <v>1</v>
      </c>
      <c r="G16" s="897" t="s">
        <v>3979</v>
      </c>
      <c r="H16" s="897"/>
      <c r="I16" s="897"/>
      <c r="J16" s="897"/>
    </row>
    <row r="17" spans="1:10" ht="15" customHeight="1">
      <c r="A17" s="895">
        <f t="shared" si="1"/>
        <v>2741</v>
      </c>
      <c r="B17" s="895">
        <f t="shared" si="2"/>
        <v>12</v>
      </c>
      <c r="C17" s="895">
        <f>MAX($C$5:C16)+IF(E17="SI",1,0)</f>
        <v>11</v>
      </c>
      <c r="D17" s="895" t="s">
        <v>3980</v>
      </c>
      <c r="E17" s="896" t="s">
        <v>486</v>
      </c>
      <c r="F17" s="896">
        <f t="shared" si="3"/>
        <v>2</v>
      </c>
      <c r="G17" s="897" t="s">
        <v>3981</v>
      </c>
      <c r="H17" s="897" t="s">
        <v>3982</v>
      </c>
      <c r="I17" s="897"/>
      <c r="J17" s="897"/>
    </row>
    <row r="18" spans="1:10" ht="15" customHeight="1">
      <c r="A18" s="895">
        <f t="shared" si="1"/>
        <v>474</v>
      </c>
      <c r="B18" s="895">
        <f t="shared" si="2"/>
        <v>13</v>
      </c>
      <c r="C18" s="895">
        <f>MAX($C$5:C17)+IF(E18="SI",1,0)</f>
        <v>12</v>
      </c>
      <c r="D18" s="895" t="s">
        <v>3983</v>
      </c>
      <c r="E18" s="896" t="s">
        <v>486</v>
      </c>
      <c r="F18" s="896">
        <f t="shared" si="3"/>
        <v>1</v>
      </c>
      <c r="G18" s="897" t="s">
        <v>3984</v>
      </c>
      <c r="H18" s="897"/>
      <c r="I18" s="897"/>
      <c r="J18" s="897"/>
    </row>
    <row r="19" spans="1:10" ht="15" customHeight="1">
      <c r="A19" s="895">
        <f t="shared" si="1"/>
        <v>1358</v>
      </c>
      <c r="B19" s="895">
        <f t="shared" si="2"/>
        <v>14</v>
      </c>
      <c r="C19" s="895">
        <f>MAX($C$5:C18)+IF(E19="SI",1,0)</f>
        <v>13</v>
      </c>
      <c r="D19" s="895" t="s">
        <v>3985</v>
      </c>
      <c r="E19" s="896" t="s">
        <v>486</v>
      </c>
      <c r="F19" s="896">
        <f t="shared" si="3"/>
        <v>1</v>
      </c>
      <c r="G19" s="897" t="s">
        <v>3986</v>
      </c>
      <c r="H19" s="897"/>
      <c r="I19" s="897"/>
      <c r="J19" s="897"/>
    </row>
    <row r="20" spans="1:10" ht="15" customHeight="1">
      <c r="A20" s="895">
        <f t="shared" si="1"/>
        <v>1935</v>
      </c>
      <c r="B20" s="895">
        <f t="shared" si="2"/>
        <v>15</v>
      </c>
      <c r="C20" s="895">
        <f>MAX($C$5:C19)+IF(E20="SI",1,0)</f>
        <v>14</v>
      </c>
      <c r="D20" s="895" t="s">
        <v>3987</v>
      </c>
      <c r="E20" s="896" t="s">
        <v>486</v>
      </c>
      <c r="F20" s="896">
        <f t="shared" si="3"/>
        <v>1</v>
      </c>
      <c r="G20" s="897" t="s">
        <v>3988</v>
      </c>
      <c r="H20" s="897"/>
      <c r="I20" s="897"/>
      <c r="J20" s="897"/>
    </row>
    <row r="21" spans="1:10" ht="15" customHeight="1">
      <c r="A21" s="895">
        <f t="shared" si="1"/>
        <v>1840</v>
      </c>
      <c r="B21" s="895">
        <f t="shared" si="2"/>
        <v>16</v>
      </c>
      <c r="C21" s="895">
        <f>MAX($C$5:C20)+IF(E21="SI",1,0)</f>
        <v>15</v>
      </c>
      <c r="D21" s="895" t="s">
        <v>3989</v>
      </c>
      <c r="E21" s="896" t="s">
        <v>486</v>
      </c>
      <c r="F21" s="896">
        <f t="shared" si="3"/>
        <v>1</v>
      </c>
      <c r="G21" s="897" t="s">
        <v>3990</v>
      </c>
      <c r="H21" s="897"/>
      <c r="I21" s="897"/>
      <c r="J21" s="897"/>
    </row>
    <row r="22" spans="1:10" ht="15" customHeight="1">
      <c r="A22" s="895">
        <f t="shared" si="1"/>
        <v>1409</v>
      </c>
      <c r="B22" s="895">
        <f t="shared" si="2"/>
        <v>17</v>
      </c>
      <c r="C22" s="895">
        <f>MAX($C$5:C21)+IF(E22="SI",1,0)</f>
        <v>16</v>
      </c>
      <c r="D22" s="895" t="s">
        <v>3991</v>
      </c>
      <c r="E22" s="896" t="s">
        <v>486</v>
      </c>
      <c r="F22" s="896">
        <f t="shared" si="3"/>
        <v>1</v>
      </c>
      <c r="G22" s="897" t="s">
        <v>3992</v>
      </c>
      <c r="H22" s="897"/>
      <c r="I22" s="897"/>
      <c r="J22" s="897"/>
    </row>
    <row r="23" spans="1:10" ht="15" customHeight="1">
      <c r="A23" s="895">
        <f t="shared" si="1"/>
        <v>977</v>
      </c>
      <c r="B23" s="895">
        <f t="shared" si="2"/>
        <v>18</v>
      </c>
      <c r="C23" s="895">
        <f>MAX($C$5:C22)+IF(E23="SI",1,0)</f>
        <v>17</v>
      </c>
      <c r="D23" s="895" t="s">
        <v>3993</v>
      </c>
      <c r="E23" s="896" t="s">
        <v>486</v>
      </c>
      <c r="F23" s="896">
        <f t="shared" si="3"/>
        <v>1</v>
      </c>
      <c r="G23" s="897" t="s">
        <v>3994</v>
      </c>
      <c r="H23" s="897"/>
      <c r="I23" s="897"/>
      <c r="J23" s="897"/>
    </row>
    <row r="24" spans="1:10" ht="15" customHeight="1">
      <c r="A24" s="895">
        <f t="shared" si="1"/>
        <v>1807</v>
      </c>
      <c r="B24" s="895">
        <f t="shared" si="2"/>
        <v>19</v>
      </c>
      <c r="C24" s="895">
        <f>MAX($C$5:C23)+IF(E24="SI",1,0)</f>
        <v>18</v>
      </c>
      <c r="D24" s="895" t="s">
        <v>3995</v>
      </c>
      <c r="E24" s="896" t="s">
        <v>486</v>
      </c>
      <c r="F24" s="896">
        <f t="shared" si="3"/>
        <v>1</v>
      </c>
      <c r="G24" s="897" t="s">
        <v>3996</v>
      </c>
      <c r="H24" s="897"/>
      <c r="I24" s="897"/>
      <c r="J24" s="897"/>
    </row>
    <row r="25" spans="1:10" ht="15" customHeight="1">
      <c r="A25" s="895">
        <f t="shared" si="1"/>
        <v>1785</v>
      </c>
      <c r="B25" s="895">
        <f t="shared" si="2"/>
        <v>20</v>
      </c>
      <c r="C25" s="895">
        <f>MAX($C$5:C24)+IF(E25="SI",1,0)</f>
        <v>19</v>
      </c>
      <c r="D25" s="895" t="s">
        <v>3997</v>
      </c>
      <c r="E25" s="896" t="s">
        <v>486</v>
      </c>
      <c r="F25" s="896">
        <f t="shared" si="3"/>
        <v>1</v>
      </c>
      <c r="G25" s="897" t="s">
        <v>3998</v>
      </c>
      <c r="H25" s="897"/>
      <c r="I25" s="897"/>
      <c r="J25" s="897"/>
    </row>
    <row r="26" spans="1:10" ht="15" customHeight="1">
      <c r="A26" s="895">
        <f t="shared" si="1"/>
        <v>1691</v>
      </c>
      <c r="B26" s="895">
        <f t="shared" si="2"/>
        <v>21</v>
      </c>
      <c r="C26" s="895">
        <f>MAX($C$5:C25)+IF(E26="SI",1,0)</f>
        <v>20</v>
      </c>
      <c r="D26" s="895" t="s">
        <v>3999</v>
      </c>
      <c r="E26" s="896" t="s">
        <v>486</v>
      </c>
      <c r="F26" s="896">
        <f t="shared" si="3"/>
        <v>1</v>
      </c>
      <c r="G26" s="897" t="s">
        <v>4000</v>
      </c>
      <c r="H26" s="897"/>
      <c r="I26" s="897"/>
      <c r="J26" s="897"/>
    </row>
    <row r="27" spans="1:10" ht="15" customHeight="1">
      <c r="A27" s="895">
        <f t="shared" si="1"/>
        <v>1385</v>
      </c>
      <c r="B27" s="895">
        <f t="shared" si="2"/>
        <v>22</v>
      </c>
      <c r="C27" s="895">
        <f>MAX($C$5:C26)+IF(E27="SI",1,0)</f>
        <v>21</v>
      </c>
      <c r="D27" s="895" t="s">
        <v>4001</v>
      </c>
      <c r="E27" s="896" t="s">
        <v>486</v>
      </c>
      <c r="F27" s="896">
        <f t="shared" si="3"/>
        <v>1</v>
      </c>
      <c r="G27" s="897" t="s">
        <v>4002</v>
      </c>
      <c r="H27" s="897"/>
      <c r="I27" s="897"/>
      <c r="J27" s="897"/>
    </row>
    <row r="28" spans="1:10" ht="15" customHeight="1">
      <c r="A28" s="895">
        <f t="shared" si="1"/>
        <v>1806</v>
      </c>
      <c r="B28" s="895">
        <f t="shared" si="2"/>
        <v>23</v>
      </c>
      <c r="C28" s="895">
        <f>MAX($C$5:C27)+IF(E28="SI",1,0)</f>
        <v>22</v>
      </c>
      <c r="D28" s="895" t="s">
        <v>4003</v>
      </c>
      <c r="E28" s="896" t="s">
        <v>486</v>
      </c>
      <c r="F28" s="896">
        <f t="shared" si="3"/>
        <v>2</v>
      </c>
      <c r="G28" s="897" t="s">
        <v>4004</v>
      </c>
      <c r="H28" s="897" t="s">
        <v>4005</v>
      </c>
      <c r="I28" s="897"/>
      <c r="J28" s="897"/>
    </row>
    <row r="29" spans="1:10" ht="15" customHeight="1">
      <c r="A29" s="895">
        <f t="shared" si="1"/>
        <v>580</v>
      </c>
      <c r="B29" s="895">
        <f t="shared" si="2"/>
        <v>24</v>
      </c>
      <c r="C29" s="895">
        <f>MAX($C$5:C28)+IF(E29="SI",1,0)</f>
        <v>23</v>
      </c>
      <c r="D29" s="895" t="s">
        <v>4006</v>
      </c>
      <c r="E29" s="896" t="s">
        <v>486</v>
      </c>
      <c r="F29" s="896">
        <f t="shared" si="3"/>
        <v>1</v>
      </c>
      <c r="G29" s="897" t="s">
        <v>4007</v>
      </c>
      <c r="H29" s="897"/>
      <c r="I29" s="897"/>
      <c r="J29" s="897"/>
    </row>
    <row r="30" spans="1:10" ht="15" customHeight="1">
      <c r="A30" s="895">
        <f t="shared" si="1"/>
        <v>1939</v>
      </c>
      <c r="B30" s="895">
        <f t="shared" si="2"/>
        <v>25</v>
      </c>
      <c r="C30" s="895">
        <f>MAX($C$5:C29)+IF(E30="SI",1,0)</f>
        <v>24</v>
      </c>
      <c r="D30" s="895" t="s">
        <v>4008</v>
      </c>
      <c r="E30" s="896" t="s">
        <v>486</v>
      </c>
      <c r="F30" s="896">
        <f t="shared" si="3"/>
        <v>4</v>
      </c>
      <c r="G30" s="897" t="s">
        <v>4009</v>
      </c>
      <c r="H30" s="897" t="s">
        <v>4010</v>
      </c>
      <c r="I30" s="897" t="s">
        <v>4011</v>
      </c>
      <c r="J30" s="897" t="s">
        <v>4012</v>
      </c>
    </row>
    <row r="31" spans="1:10" ht="15" customHeight="1">
      <c r="A31" s="895">
        <f t="shared" si="1"/>
        <v>830</v>
      </c>
      <c r="B31" s="895">
        <f t="shared" si="2"/>
        <v>26</v>
      </c>
      <c r="C31" s="895">
        <f>MAX($C$5:C30)+IF(E31="SI",1,0)</f>
        <v>25</v>
      </c>
      <c r="D31" s="895" t="s">
        <v>4013</v>
      </c>
      <c r="E31" s="896" t="s">
        <v>486</v>
      </c>
      <c r="F31" s="896">
        <f t="shared" si="3"/>
        <v>1</v>
      </c>
      <c r="G31" s="897" t="s">
        <v>4014</v>
      </c>
      <c r="H31" s="897"/>
      <c r="I31" s="897"/>
      <c r="J31" s="897"/>
    </row>
    <row r="32" spans="1:10" ht="15" customHeight="1">
      <c r="A32" s="895">
        <f t="shared" si="1"/>
        <v>219</v>
      </c>
      <c r="B32" s="895">
        <f t="shared" si="2"/>
        <v>27</v>
      </c>
      <c r="C32" s="895">
        <f>MAX($C$5:C31)+IF(E32="SI",1,0)</f>
        <v>26</v>
      </c>
      <c r="D32" s="895" t="s">
        <v>4015</v>
      </c>
      <c r="E32" s="896" t="s">
        <v>486</v>
      </c>
      <c r="F32" s="896">
        <f t="shared" si="3"/>
        <v>1</v>
      </c>
      <c r="G32" s="897" t="s">
        <v>4016</v>
      </c>
      <c r="H32" s="897"/>
      <c r="I32" s="897"/>
      <c r="J32" s="897"/>
    </row>
    <row r="33" spans="1:10" ht="15" customHeight="1">
      <c r="A33" s="895">
        <f t="shared" si="1"/>
        <v>2402</v>
      </c>
      <c r="B33" s="895">
        <f t="shared" si="2"/>
        <v>28</v>
      </c>
      <c r="C33" s="895">
        <f>MAX($C$5:C32)+IF(E33="SI",1,0)</f>
        <v>27</v>
      </c>
      <c r="D33" s="895" t="s">
        <v>4017</v>
      </c>
      <c r="E33" s="896" t="s">
        <v>486</v>
      </c>
      <c r="F33" s="896">
        <f t="shared" si="3"/>
        <v>1</v>
      </c>
      <c r="G33" s="897" t="s">
        <v>4018</v>
      </c>
      <c r="H33" s="897"/>
      <c r="I33" s="897"/>
      <c r="J33" s="897"/>
    </row>
    <row r="34" spans="1:10" ht="15" customHeight="1">
      <c r="A34" s="895">
        <f t="shared" si="1"/>
        <v>640</v>
      </c>
      <c r="B34" s="895">
        <f t="shared" si="2"/>
        <v>29</v>
      </c>
      <c r="C34" s="895">
        <f>MAX($C$5:C33)+IF(E34="SI",1,0)</f>
        <v>28</v>
      </c>
      <c r="D34" s="895" t="s">
        <v>4019</v>
      </c>
      <c r="E34" s="896" t="s">
        <v>486</v>
      </c>
      <c r="F34" s="896">
        <f t="shared" si="3"/>
        <v>1</v>
      </c>
      <c r="G34" s="897" t="s">
        <v>4020</v>
      </c>
      <c r="H34" s="897"/>
      <c r="I34" s="897"/>
      <c r="J34" s="897"/>
    </row>
    <row r="35" spans="1:10" ht="15" customHeight="1">
      <c r="A35" s="895">
        <f t="shared" si="1"/>
        <v>1979</v>
      </c>
      <c r="B35" s="895">
        <f t="shared" si="2"/>
        <v>30</v>
      </c>
      <c r="C35" s="895">
        <f>MAX($C$5:C34)+IF(E35="SI",1,0)</f>
        <v>29</v>
      </c>
      <c r="D35" s="895" t="s">
        <v>4021</v>
      </c>
      <c r="E35" s="896" t="s">
        <v>486</v>
      </c>
      <c r="F35" s="896">
        <f t="shared" si="3"/>
        <v>1</v>
      </c>
      <c r="G35" s="897" t="s">
        <v>4022</v>
      </c>
      <c r="H35" s="897"/>
      <c r="I35" s="897"/>
      <c r="J35" s="897"/>
    </row>
    <row r="36" spans="1:10" ht="15" customHeight="1">
      <c r="A36" s="895">
        <f t="shared" si="1"/>
        <v>638</v>
      </c>
      <c r="B36" s="895">
        <f t="shared" si="2"/>
        <v>31</v>
      </c>
      <c r="C36" s="895">
        <f>MAX($C$5:C35)+IF(E36="SI",1,0)</f>
        <v>30</v>
      </c>
      <c r="D36" s="895" t="s">
        <v>4023</v>
      </c>
      <c r="E36" s="896" t="s">
        <v>486</v>
      </c>
      <c r="F36" s="896">
        <f t="shared" si="3"/>
        <v>1</v>
      </c>
      <c r="G36" s="897" t="s">
        <v>4024</v>
      </c>
      <c r="H36" s="897"/>
      <c r="I36" s="897"/>
      <c r="J36" s="897"/>
    </row>
    <row r="37" spans="1:10" ht="15" customHeight="1">
      <c r="A37" s="895">
        <f t="shared" si="1"/>
        <v>341</v>
      </c>
      <c r="B37" s="895">
        <f t="shared" si="2"/>
        <v>32</v>
      </c>
      <c r="C37" s="895">
        <f>MAX($C$5:C36)+IF(E37="SI",1,0)</f>
        <v>31</v>
      </c>
      <c r="D37" s="895" t="s">
        <v>4025</v>
      </c>
      <c r="E37" s="896" t="s">
        <v>486</v>
      </c>
      <c r="F37" s="896">
        <f t="shared" si="3"/>
        <v>1</v>
      </c>
      <c r="G37" s="897" t="s">
        <v>4026</v>
      </c>
      <c r="H37" s="897"/>
      <c r="I37" s="897"/>
      <c r="J37" s="897"/>
    </row>
    <row r="38" spans="1:10" ht="15" customHeight="1">
      <c r="A38" s="895">
        <f t="shared" si="1"/>
        <v>3084</v>
      </c>
      <c r="B38" s="895">
        <f t="shared" si="2"/>
        <v>33</v>
      </c>
      <c r="C38" s="895">
        <f>MAX($C$5:C37)+IF(E38="SI",1,0)</f>
        <v>32</v>
      </c>
      <c r="D38" s="895" t="s">
        <v>4027</v>
      </c>
      <c r="E38" s="896" t="s">
        <v>486</v>
      </c>
      <c r="F38" s="896">
        <f t="shared" si="3"/>
        <v>4</v>
      </c>
      <c r="G38" s="897" t="s">
        <v>4028</v>
      </c>
      <c r="H38" s="897" t="s">
        <v>4029</v>
      </c>
      <c r="I38" s="897" t="s">
        <v>4030</v>
      </c>
      <c r="J38" s="897" t="s">
        <v>4031</v>
      </c>
    </row>
    <row r="39" spans="1:10" ht="15" customHeight="1">
      <c r="A39" s="895">
        <f t="shared" si="1"/>
        <v>639</v>
      </c>
      <c r="B39" s="895">
        <f t="shared" si="2"/>
        <v>34</v>
      </c>
      <c r="C39" s="895">
        <f>MAX($C$5:C38)+IF(E39="SI",1,0)</f>
        <v>33</v>
      </c>
      <c r="D39" s="895" t="s">
        <v>4032</v>
      </c>
      <c r="E39" s="896" t="s">
        <v>486</v>
      </c>
      <c r="F39" s="896">
        <f t="shared" si="3"/>
        <v>1</v>
      </c>
      <c r="G39" s="897" t="s">
        <v>4033</v>
      </c>
      <c r="H39" s="897"/>
      <c r="I39" s="897"/>
      <c r="J39" s="897"/>
    </row>
    <row r="40" spans="1:10" ht="15" customHeight="1">
      <c r="A40" s="895">
        <f t="shared" si="1"/>
        <v>0</v>
      </c>
      <c r="B40" s="895">
        <f t="shared" si="2"/>
        <v>35</v>
      </c>
      <c r="C40" s="895">
        <f>MAX($C$5:C39)+IF(E40="SI",1,0)</f>
        <v>33</v>
      </c>
      <c r="F40" s="896">
        <f t="shared" si="3"/>
        <v>0</v>
      </c>
      <c r="G40" s="897"/>
      <c r="H40" s="897"/>
      <c r="I40" s="897"/>
      <c r="J40" s="897"/>
    </row>
    <row r="41" spans="1:10" ht="15" customHeight="1">
      <c r="A41" s="895">
        <f t="shared" si="1"/>
        <v>0</v>
      </c>
      <c r="B41" s="895">
        <f t="shared" si="2"/>
        <v>36</v>
      </c>
      <c r="C41" s="895">
        <f>MAX($C$5:C40)+IF(E41="SI",1,0)</f>
        <v>33</v>
      </c>
      <c r="F41" s="896">
        <f t="shared" si="3"/>
        <v>0</v>
      </c>
      <c r="G41" s="897"/>
      <c r="H41" s="897"/>
      <c r="I41" s="897"/>
      <c r="J41" s="897"/>
    </row>
    <row r="42" spans="1:10" ht="15" customHeight="1">
      <c r="A42" s="895">
        <f t="shared" si="1"/>
        <v>0</v>
      </c>
      <c r="B42" s="895">
        <f t="shared" si="2"/>
        <v>37</v>
      </c>
      <c r="C42" s="895">
        <f>MAX($C$5:C41)+IF(E42="SI",1,0)</f>
        <v>33</v>
      </c>
      <c r="F42" s="896">
        <f t="shared" si="3"/>
        <v>0</v>
      </c>
      <c r="G42" s="897"/>
      <c r="H42" s="897"/>
      <c r="I42" s="897"/>
      <c r="J42" s="897"/>
    </row>
  </sheetData>
  <sheetProtection algorithmName="SHA-512" hashValue="61kZk2MLibpgzh5zeJLQF0LRvBdtMfVgXx5VwmQsVCdGLesavtc+uggCOpdcQBg6JgEYfN19OKE1gJpIWcTvwQ==" saltValue="rQ9ay18IjQnRJtmhosA6TA==" spinCount="100000" sheet="1" objects="1" scenarios="1" selectLockedCells="1"/>
  <conditionalFormatting sqref="A1:XFD1048576">
    <cfRule type="expression" dxfId="285" priority="1" stopIfTrue="1">
      <formula>NOT($A$1="javi")</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E4F38-75CC-4093-A00C-28C13BFA7784}">
  <dimension ref="A1:AB1192"/>
  <sheetViews>
    <sheetView showGridLines="0" topLeftCell="B13" zoomScale="90" zoomScaleNormal="90" workbookViewId="0">
      <selection activeCell="E34" sqref="E34"/>
    </sheetView>
  </sheetViews>
  <sheetFormatPr baseColWidth="10" defaultColWidth="11.453125" defaultRowHeight="14.5"/>
  <cols>
    <col min="1" max="1" width="0" style="60" hidden="1" customWidth="1"/>
    <col min="2" max="2" width="11.453125" style="60"/>
    <col min="3" max="3" width="15.81640625" style="60" customWidth="1"/>
    <col min="4" max="5" width="11.453125" style="60"/>
    <col min="6" max="6" width="3.54296875" style="60" customWidth="1"/>
    <col min="7" max="7" width="11.453125" style="60"/>
    <col min="8" max="8" width="16.81640625" style="60" customWidth="1"/>
    <col min="9" max="11" width="15.54296875" style="60" customWidth="1"/>
    <col min="12" max="12" width="16.54296875" style="60" customWidth="1"/>
    <col min="13" max="15" width="15.54296875" style="60" customWidth="1"/>
    <col min="16" max="16" width="7.453125" style="60" customWidth="1"/>
    <col min="17" max="17" width="3.54296875" style="60" customWidth="1"/>
    <col min="18" max="18" width="12.453125" style="60" customWidth="1"/>
    <col min="19" max="16384" width="11.453125" style="60"/>
  </cols>
  <sheetData>
    <row r="1" spans="1:28">
      <c r="A1" s="65"/>
      <c r="B1" s="960" t="s">
        <v>19</v>
      </c>
      <c r="C1" s="960"/>
      <c r="D1" s="14" t="str">
        <f>'Instrucciones de uso'!$H$15</f>
        <v>contraseña</v>
      </c>
      <c r="E1" s="14" t="str">
        <f>IF(OR('Enunciado (sin infla)'!$G$2="",NOT('Enunciado (sin infla)'!$H$2="")),"",'Enunciado (sin infla)'!$G$2)</f>
        <v/>
      </c>
      <c r="H1" s="10" t="s">
        <v>24</v>
      </c>
    </row>
    <row r="2" spans="1:28">
      <c r="A2" s="65"/>
      <c r="B2" s="286" t="s">
        <v>3951</v>
      </c>
      <c r="D2" s="14" t="str">
        <f>'Instrucciones de uso'!$J$15</f>
        <v>contraseña</v>
      </c>
      <c r="E2" s="345" t="str">
        <f>'Instrucciones de uso'!$I$33</f>
        <v/>
      </c>
    </row>
    <row r="3" spans="1:28">
      <c r="A3" s="65" t="e">
        <f>1+$E$1*1000</f>
        <v>#VALUE!</v>
      </c>
      <c r="C3" s="257" t="e">
        <f>VLOOKUP($A3,$A$175:$AC$1191,C$48,FALSE)</f>
        <v>#VALUE!</v>
      </c>
      <c r="D3" s="258" t="e">
        <f>VLOOKUP($A3,$A$175:$AC$1191,D$48,FALSE)</f>
        <v>#VALUE!</v>
      </c>
      <c r="H3" s="106" t="e">
        <f t="shared" ref="H3:I3" si="0">VLOOKUP($A3,$A$175:$AC$1191,H$48,FALSE)</f>
        <v>#VALUE!</v>
      </c>
      <c r="I3" s="17" t="e">
        <f t="shared" si="0"/>
        <v>#VALUE!</v>
      </c>
      <c r="J3" s="11" t="str">
        <f>CONCATENATE("= ",IF($E$35="N",J99,IF($E$35="T",N99,"")))</f>
        <v xml:space="preserve">= </v>
      </c>
      <c r="S3" s="1"/>
    </row>
    <row r="4" spans="1:28">
      <c r="A4" s="65" t="e">
        <f>1+A3</f>
        <v>#VALUE!</v>
      </c>
      <c r="C4" s="1"/>
      <c r="D4" s="1"/>
      <c r="S4" s="1"/>
    </row>
    <row r="5" spans="1:28">
      <c r="A5" s="65" t="e">
        <f t="shared" ref="A5:A68" si="1">1+A4</f>
        <v>#VALUE!</v>
      </c>
      <c r="C5" s="255" t="e">
        <f t="shared" ref="C5:D8" si="2">VLOOKUP($A5,$A$175:$AC$1191,C$48,FALSE)</f>
        <v>#VALUE!</v>
      </c>
      <c r="D5" s="256"/>
      <c r="H5" s="10" t="s">
        <v>21</v>
      </c>
      <c r="N5" s="276" t="str">
        <f>IF(AND(OR($E$35="N",$E$35="T"),NOT(K6=""),NOT(L6="ERROR")),CONCATENATE(VLOOKUP(K6,$G$50:$I$90,2,FALSE)," (",VLOOKUP(K6,$G$50:$I$90,3,FALSE),")"),"")</f>
        <v/>
      </c>
      <c r="AA5" s="1"/>
    </row>
    <row r="6" spans="1:28">
      <c r="A6" s="65" t="e">
        <f t="shared" si="1"/>
        <v>#VALUE!</v>
      </c>
      <c r="C6" s="110" t="e">
        <f t="shared" si="2"/>
        <v>#VALUE!</v>
      </c>
      <c r="D6" s="20" t="e">
        <f t="shared" si="2"/>
        <v>#VALUE!</v>
      </c>
      <c r="H6" s="10" t="s">
        <v>454</v>
      </c>
      <c r="K6" s="15"/>
      <c r="L6" s="26" t="str">
        <f>IF(K6="","",IF(ISERROR(VLOOKUP(K6,$K$50:$K$70,1,FALSE)),"ERROR",""))</f>
        <v/>
      </c>
      <c r="M6" s="12" t="str">
        <f>IF(AND(OR($E$35="N",$E$35="T"),NOT(K6=""),NOT(L6="ERROR")),"Explicación","")</f>
        <v/>
      </c>
      <c r="N6" s="16" t="str">
        <f>IF(OR(K6="",L6="ERROR"),"",TEXT(VLOOKUP(K6,$G$117:$I$167,3,FALSE),"#.##0"))</f>
        <v/>
      </c>
      <c r="O6" s="11" t="str">
        <f>IF(OR(K6="",L6="ERROR"),"",TEXT(VLOOKUP(K6,$K$50:$L$70,2,FALSE),"#.##0"))</f>
        <v/>
      </c>
      <c r="S6" s="1"/>
    </row>
    <row r="7" spans="1:28">
      <c r="A7" s="65" t="e">
        <f t="shared" si="1"/>
        <v>#VALUE!</v>
      </c>
      <c r="C7" s="110" t="e">
        <f t="shared" si="2"/>
        <v>#VALUE!</v>
      </c>
      <c r="D7" s="190" t="e">
        <f t="shared" si="2"/>
        <v>#VALUE!</v>
      </c>
      <c r="I7" s="63"/>
      <c r="J7" s="63"/>
      <c r="K7" s="44"/>
      <c r="L7" s="63"/>
      <c r="M7" s="63"/>
      <c r="N7" s="63"/>
      <c r="O7" s="63"/>
      <c r="S7" s="1"/>
      <c r="T7" s="63"/>
    </row>
    <row r="8" spans="1:28">
      <c r="A8" s="65" t="e">
        <f t="shared" si="1"/>
        <v>#VALUE!</v>
      </c>
      <c r="C8" s="110" t="e">
        <f t="shared" si="2"/>
        <v>#VALUE!</v>
      </c>
      <c r="D8" s="20" t="e">
        <f t="shared" si="2"/>
        <v>#VALUE!</v>
      </c>
      <c r="H8" s="107" t="e">
        <f t="shared" ref="H8:O11" si="3">VLOOKUP($A8,$A$175:$AC$1191,H$48,FALSE)</f>
        <v>#VALUE!</v>
      </c>
      <c r="I8" s="108" t="e">
        <f t="shared" si="3"/>
        <v>#VALUE!</v>
      </c>
      <c r="J8" s="108" t="e">
        <f t="shared" si="3"/>
        <v>#VALUE!</v>
      </c>
      <c r="K8" s="108" t="e">
        <f t="shared" si="3"/>
        <v>#VALUE!</v>
      </c>
      <c r="L8" s="108" t="e">
        <f t="shared" si="3"/>
        <v>#VALUE!</v>
      </c>
      <c r="M8" s="108" t="e">
        <f t="shared" si="3"/>
        <v>#VALUE!</v>
      </c>
      <c r="N8" s="108" t="e">
        <f t="shared" si="3"/>
        <v>#VALUE!</v>
      </c>
      <c r="O8" s="108" t="e">
        <f t="shared" si="3"/>
        <v>#VALUE!</v>
      </c>
      <c r="P8" s="1"/>
      <c r="Q8" s="1"/>
      <c r="S8" s="1"/>
      <c r="T8" s="63"/>
      <c r="Y8" s="1"/>
      <c r="Z8" s="1"/>
      <c r="AA8" s="1"/>
      <c r="AB8" s="1"/>
    </row>
    <row r="9" spans="1:28">
      <c r="A9" s="65" t="e">
        <f t="shared" si="1"/>
        <v>#VALUE!</v>
      </c>
      <c r="C9" s="8"/>
      <c r="D9" s="1"/>
      <c r="H9" s="112" t="e">
        <f t="shared" si="3"/>
        <v>#VALUE!</v>
      </c>
      <c r="I9" s="20" t="e">
        <f t="shared" si="3"/>
        <v>#VALUE!</v>
      </c>
      <c r="J9" s="20" t="e">
        <f t="shared" si="3"/>
        <v>#VALUE!</v>
      </c>
      <c r="K9" s="20" t="e">
        <f t="shared" si="3"/>
        <v>#VALUE!</v>
      </c>
      <c r="L9" s="20" t="e">
        <f t="shared" si="3"/>
        <v>#VALUE!</v>
      </c>
      <c r="M9" s="20" t="e">
        <f t="shared" si="3"/>
        <v>#VALUE!</v>
      </c>
      <c r="N9" s="20" t="e">
        <f t="shared" si="3"/>
        <v>#VALUE!</v>
      </c>
      <c r="O9" s="20" t="e">
        <f t="shared" si="3"/>
        <v>#VALUE!</v>
      </c>
      <c r="P9" s="1"/>
      <c r="Q9" s="1"/>
      <c r="S9" s="1"/>
      <c r="T9" s="63"/>
      <c r="Y9" s="1"/>
      <c r="Z9" s="1"/>
      <c r="AA9" s="1"/>
      <c r="AB9" s="1"/>
    </row>
    <row r="10" spans="1:28">
      <c r="A10" s="65" t="e">
        <f t="shared" si="1"/>
        <v>#VALUE!</v>
      </c>
      <c r="C10" s="110" t="e">
        <f t="shared" ref="C10:D11" si="4">VLOOKUP($A10,$A$175:$AC$1191,C$48,FALSE)</f>
        <v>#VALUE!</v>
      </c>
      <c r="D10" s="20" t="e">
        <f t="shared" si="4"/>
        <v>#VALUE!</v>
      </c>
      <c r="H10" s="112" t="e">
        <f t="shared" si="3"/>
        <v>#VALUE!</v>
      </c>
      <c r="I10" s="20" t="e">
        <f t="shared" si="3"/>
        <v>#VALUE!</v>
      </c>
      <c r="J10" s="20" t="e">
        <f t="shared" si="3"/>
        <v>#VALUE!</v>
      </c>
      <c r="K10" s="20" t="e">
        <f t="shared" si="3"/>
        <v>#VALUE!</v>
      </c>
      <c r="L10" s="20" t="e">
        <f t="shared" si="3"/>
        <v>#VALUE!</v>
      </c>
      <c r="M10" s="20" t="e">
        <f t="shared" si="3"/>
        <v>#VALUE!</v>
      </c>
      <c r="N10" s="20" t="e">
        <f t="shared" si="3"/>
        <v>#VALUE!</v>
      </c>
      <c r="O10" s="20" t="e">
        <f t="shared" si="3"/>
        <v>#VALUE!</v>
      </c>
      <c r="S10" s="1"/>
      <c r="T10" s="63"/>
      <c r="Y10" s="1"/>
      <c r="Z10" s="1"/>
      <c r="AA10" s="1"/>
      <c r="AB10" s="1"/>
    </row>
    <row r="11" spans="1:28">
      <c r="A11" s="65" t="e">
        <f t="shared" si="1"/>
        <v>#VALUE!</v>
      </c>
      <c r="C11" s="110" t="e">
        <f t="shared" si="4"/>
        <v>#VALUE!</v>
      </c>
      <c r="D11" s="20" t="e">
        <f t="shared" si="4"/>
        <v>#VALUE!</v>
      </c>
      <c r="H11" s="112" t="e">
        <f t="shared" si="3"/>
        <v>#VALUE!</v>
      </c>
      <c r="I11" s="20" t="e">
        <f t="shared" si="3"/>
        <v>#VALUE!</v>
      </c>
      <c r="J11" s="20" t="e">
        <f t="shared" si="3"/>
        <v>#VALUE!</v>
      </c>
      <c r="K11" s="20" t="e">
        <f t="shared" si="3"/>
        <v>#VALUE!</v>
      </c>
      <c r="L11" s="20" t="e">
        <f t="shared" si="3"/>
        <v>#VALUE!</v>
      </c>
      <c r="M11" s="20" t="e">
        <f t="shared" si="3"/>
        <v>#VALUE!</v>
      </c>
      <c r="N11" s="20" t="e">
        <f t="shared" si="3"/>
        <v>#VALUE!</v>
      </c>
      <c r="O11" s="20" t="e">
        <f t="shared" si="3"/>
        <v>#VALUE!</v>
      </c>
      <c r="S11" s="1"/>
      <c r="T11" s="63"/>
      <c r="Y11" s="1"/>
      <c r="Z11" s="1"/>
      <c r="AA11" s="1"/>
      <c r="AB11" s="1"/>
    </row>
    <row r="12" spans="1:28">
      <c r="A12" s="65" t="e">
        <f t="shared" si="1"/>
        <v>#VALUE!</v>
      </c>
      <c r="C12" s="8"/>
      <c r="D12" s="1"/>
      <c r="S12" s="1"/>
      <c r="T12" s="63"/>
      <c r="Y12" s="1"/>
      <c r="Z12" s="1"/>
      <c r="AA12" s="1"/>
      <c r="AB12" s="1"/>
    </row>
    <row r="13" spans="1:28">
      <c r="A13" s="65" t="e">
        <f t="shared" si="1"/>
        <v>#VALUE!</v>
      </c>
      <c r="C13" s="110" t="e">
        <f t="shared" ref="C13:D14" si="5">VLOOKUP($A13,$A$175:$AC$1191,C$48,FALSE)</f>
        <v>#VALUE!</v>
      </c>
      <c r="D13" s="190" t="e">
        <f t="shared" si="5"/>
        <v>#VALUE!</v>
      </c>
      <c r="H13" s="10" t="s">
        <v>22</v>
      </c>
      <c r="N13" s="276" t="str">
        <f>IF(AND(OR($E$35="N",$E$35="T"),NOT(K14=""),NOT(L14="ERROR")),CONCATENATE(VLOOKUP(K14,$G$50:$I$90,2,FALSE)," (",VLOOKUP(K14,$G$50:$I$90,3,FALSE),")"),"")</f>
        <v/>
      </c>
      <c r="S13" s="1"/>
      <c r="T13" s="63"/>
      <c r="Y13" s="1"/>
      <c r="Z13" s="1"/>
      <c r="AA13" s="1"/>
      <c r="AB13" s="1"/>
    </row>
    <row r="14" spans="1:28">
      <c r="A14" s="65" t="e">
        <f t="shared" si="1"/>
        <v>#VALUE!</v>
      </c>
      <c r="C14" s="110" t="e">
        <f t="shared" si="5"/>
        <v>#VALUE!</v>
      </c>
      <c r="D14" s="190" t="e">
        <f t="shared" si="5"/>
        <v>#VALUE!</v>
      </c>
      <c r="H14" s="10" t="s">
        <v>454</v>
      </c>
      <c r="K14" s="15"/>
      <c r="L14" s="26" t="str">
        <f>IF(K14="","",IF(ISERROR(VLOOKUP(K14,$K$75:$K$90,1,FALSE)),"ERROR",""))</f>
        <v/>
      </c>
      <c r="M14" s="12" t="str">
        <f>IF(AND(OR($E$35="N",$E$35="T"),NOT(K14=""),NOT(L14="ERROR")),"Explicación","")</f>
        <v/>
      </c>
      <c r="N14" s="16" t="str">
        <f>IF(OR(K14="",L14="ERROR"),"",TEXT(VLOOKUP(K14,$G$117:$I$167,3,FALSE),"#.##0"))</f>
        <v/>
      </c>
      <c r="O14" s="11" t="str">
        <f>IF(OR(K14="",L14="ERROR"),"",VLOOKUP(K14,$K$75:$L$90,2,FALSE))</f>
        <v/>
      </c>
      <c r="S14" s="1"/>
      <c r="T14" s="63"/>
      <c r="Y14" s="1"/>
      <c r="Z14" s="1"/>
      <c r="AA14" s="1"/>
      <c r="AB14" s="1"/>
    </row>
    <row r="15" spans="1:28">
      <c r="A15" s="65" t="e">
        <f t="shared" si="1"/>
        <v>#VALUE!</v>
      </c>
      <c r="C15" s="8"/>
      <c r="D15" s="1"/>
      <c r="K15" s="90"/>
      <c r="S15" s="1"/>
      <c r="T15" s="63"/>
      <c r="Y15" s="1"/>
      <c r="Z15" s="1"/>
      <c r="AA15" s="1"/>
      <c r="AB15" s="1"/>
    </row>
    <row r="16" spans="1:28">
      <c r="A16" s="65" t="e">
        <f t="shared" si="1"/>
        <v>#VALUE!</v>
      </c>
      <c r="C16" s="255" t="e">
        <f t="shared" ref="C16:D20" si="6">VLOOKUP($A16,$A$175:$AC$1191,C$48,FALSE)</f>
        <v>#VALUE!</v>
      </c>
      <c r="D16" s="256"/>
      <c r="H16" s="107" t="e">
        <f t="shared" ref="H16:L20" si="7">VLOOKUP($A16,$A$175:$AC$1191,H$48,FALSE)</f>
        <v>#VALUE!</v>
      </c>
      <c r="I16" s="108" t="e">
        <f t="shared" si="7"/>
        <v>#VALUE!</v>
      </c>
      <c r="J16" s="108" t="e">
        <f t="shared" si="7"/>
        <v>#VALUE!</v>
      </c>
      <c r="K16" s="108" t="e">
        <f t="shared" si="7"/>
        <v>#VALUE!</v>
      </c>
      <c r="L16" s="108" t="e">
        <f t="shared" si="7"/>
        <v>#VALUE!</v>
      </c>
      <c r="M16" s="1"/>
      <c r="N16" s="1"/>
      <c r="O16" s="1"/>
      <c r="S16" s="1"/>
      <c r="T16" s="63"/>
      <c r="Y16" s="1"/>
      <c r="Z16" s="1"/>
      <c r="AA16" s="1"/>
      <c r="AB16" s="1"/>
    </row>
    <row r="17" spans="1:28">
      <c r="A17" s="65" t="e">
        <f t="shared" si="1"/>
        <v>#VALUE!</v>
      </c>
      <c r="C17" s="110" t="e">
        <f t="shared" si="6"/>
        <v>#VALUE!</v>
      </c>
      <c r="D17" s="20" t="e">
        <f t="shared" si="6"/>
        <v>#VALUE!</v>
      </c>
      <c r="H17" s="112" t="e">
        <f t="shared" si="7"/>
        <v>#VALUE!</v>
      </c>
      <c r="I17" s="20" t="e">
        <f t="shared" si="7"/>
        <v>#VALUE!</v>
      </c>
      <c r="J17" s="20" t="e">
        <f t="shared" si="7"/>
        <v>#VALUE!</v>
      </c>
      <c r="K17" s="20" t="e">
        <f t="shared" si="7"/>
        <v>#VALUE!</v>
      </c>
      <c r="L17" s="20" t="e">
        <f t="shared" si="7"/>
        <v>#VALUE!</v>
      </c>
      <c r="M17" s="1"/>
      <c r="N17" s="1"/>
      <c r="O17" s="1"/>
      <c r="S17" s="1"/>
      <c r="T17" s="63"/>
      <c r="Y17" s="1"/>
      <c r="Z17" s="1"/>
      <c r="AA17" s="1"/>
      <c r="AB17" s="1"/>
    </row>
    <row r="18" spans="1:28">
      <c r="A18" s="65" t="e">
        <f t="shared" si="1"/>
        <v>#VALUE!</v>
      </c>
      <c r="C18" s="110" t="e">
        <f t="shared" si="6"/>
        <v>#VALUE!</v>
      </c>
      <c r="D18" s="20" t="e">
        <f t="shared" si="6"/>
        <v>#VALUE!</v>
      </c>
      <c r="H18" s="112" t="e">
        <f t="shared" si="7"/>
        <v>#VALUE!</v>
      </c>
      <c r="I18" s="20" t="e">
        <f t="shared" si="7"/>
        <v>#VALUE!</v>
      </c>
      <c r="J18" s="20" t="e">
        <f t="shared" si="7"/>
        <v>#VALUE!</v>
      </c>
      <c r="K18" s="20" t="e">
        <f t="shared" si="7"/>
        <v>#VALUE!</v>
      </c>
      <c r="L18" s="20" t="e">
        <f t="shared" si="7"/>
        <v>#VALUE!</v>
      </c>
      <c r="M18" s="1"/>
      <c r="N18" s="1"/>
      <c r="O18" s="1"/>
      <c r="S18" s="1"/>
      <c r="T18" s="63"/>
      <c r="Y18" s="1"/>
      <c r="Z18" s="1"/>
      <c r="AA18" s="1"/>
      <c r="AB18" s="1"/>
    </row>
    <row r="19" spans="1:28">
      <c r="A19" s="65" t="e">
        <f t="shared" si="1"/>
        <v>#VALUE!</v>
      </c>
      <c r="C19" s="110" t="e">
        <f t="shared" si="6"/>
        <v>#VALUE!</v>
      </c>
      <c r="D19" s="190" t="e">
        <f t="shared" si="6"/>
        <v>#VALUE!</v>
      </c>
      <c r="H19" s="112" t="e">
        <f t="shared" si="7"/>
        <v>#VALUE!</v>
      </c>
      <c r="I19" s="20" t="e">
        <f t="shared" si="7"/>
        <v>#VALUE!</v>
      </c>
      <c r="J19" s="20" t="e">
        <f t="shared" si="7"/>
        <v>#VALUE!</v>
      </c>
      <c r="K19" s="20" t="e">
        <f t="shared" si="7"/>
        <v>#VALUE!</v>
      </c>
      <c r="L19" s="20" t="e">
        <f t="shared" si="7"/>
        <v>#VALUE!</v>
      </c>
      <c r="M19" s="1"/>
      <c r="N19" s="1"/>
      <c r="O19" s="1"/>
      <c r="S19" s="1"/>
      <c r="T19" s="63"/>
      <c r="Y19" s="1"/>
      <c r="Z19" s="1"/>
      <c r="AA19" s="1"/>
      <c r="AB19" s="1"/>
    </row>
    <row r="20" spans="1:28">
      <c r="A20" s="65" t="e">
        <f t="shared" si="1"/>
        <v>#VALUE!</v>
      </c>
      <c r="C20" s="110" t="e">
        <f t="shared" si="6"/>
        <v>#VALUE!</v>
      </c>
      <c r="D20" s="20" t="e">
        <f t="shared" si="6"/>
        <v>#VALUE!</v>
      </c>
      <c r="H20" s="112" t="e">
        <f t="shared" si="7"/>
        <v>#VALUE!</v>
      </c>
      <c r="I20" s="20" t="e">
        <f t="shared" si="7"/>
        <v>#VALUE!</v>
      </c>
      <c r="J20" s="20" t="e">
        <f t="shared" si="7"/>
        <v>#VALUE!</v>
      </c>
      <c r="K20" s="20" t="e">
        <f t="shared" si="7"/>
        <v>#VALUE!</v>
      </c>
      <c r="L20" s="20" t="e">
        <f t="shared" si="7"/>
        <v>#VALUE!</v>
      </c>
      <c r="M20" s="1"/>
      <c r="N20" s="1"/>
      <c r="O20" s="1"/>
      <c r="S20" s="1"/>
      <c r="T20" s="63"/>
      <c r="Y20" s="1"/>
      <c r="Z20" s="1"/>
      <c r="AA20" s="1"/>
      <c r="AB20" s="1"/>
    </row>
    <row r="21" spans="1:28">
      <c r="A21" s="65" t="e">
        <f t="shared" si="1"/>
        <v>#VALUE!</v>
      </c>
      <c r="C21" s="8"/>
      <c r="D21" s="1"/>
      <c r="M21" s="1"/>
      <c r="N21" s="1"/>
      <c r="O21" s="1"/>
      <c r="S21" s="1"/>
      <c r="T21" s="63"/>
      <c r="AA21" s="1"/>
      <c r="AB21" s="1"/>
    </row>
    <row r="22" spans="1:28">
      <c r="A22" s="65" t="e">
        <f t="shared" si="1"/>
        <v>#VALUE!</v>
      </c>
      <c r="C22" s="110" t="e">
        <f>VLOOKUP($A22,$A$175:$AC$1191,C$48,FALSE)</f>
        <v>#VALUE!</v>
      </c>
      <c r="D22" s="191" t="e">
        <f t="shared" ref="D22:D23" si="8">VLOOKUP($A22,$A$175:$AC$1191,D$48,FALSE)</f>
        <v>#VALUE!</v>
      </c>
      <c r="H22" s="10" t="s">
        <v>23</v>
      </c>
      <c r="O22" s="1"/>
      <c r="S22" s="1"/>
      <c r="T22" s="63"/>
      <c r="Y22" s="1"/>
      <c r="Z22" s="1"/>
      <c r="AA22" s="1"/>
      <c r="AB22" s="1"/>
    </row>
    <row r="23" spans="1:28">
      <c r="A23" s="65" t="e">
        <f t="shared" si="1"/>
        <v>#VALUE!</v>
      </c>
      <c r="C23" s="314"/>
      <c r="D23" s="110" t="e">
        <f t="shared" si="8"/>
        <v>#VALUE!</v>
      </c>
      <c r="H23" s="1"/>
      <c r="I23" s="1"/>
      <c r="O23" s="1"/>
      <c r="S23" s="1"/>
      <c r="T23" s="63"/>
      <c r="Y23" s="1"/>
      <c r="Z23" s="1"/>
      <c r="AA23" s="1"/>
      <c r="AB23" s="1"/>
    </row>
    <row r="24" spans="1:28">
      <c r="A24" s="65" t="e">
        <f t="shared" si="1"/>
        <v>#VALUE!</v>
      </c>
      <c r="C24" s="8"/>
      <c r="D24" s="1"/>
      <c r="H24" s="106" t="e">
        <f t="shared" ref="H24:I26" si="9">VLOOKUP($A24,$A$175:$AC$1191,H$48,FALSE)</f>
        <v>#VALUE!</v>
      </c>
      <c r="I24" s="17" t="e">
        <f t="shared" si="9"/>
        <v>#VALUE!</v>
      </c>
      <c r="J24" s="11" t="str">
        <f>CONCATENATE("= ",IF($E$35="N",J101,IF($E$35="T",N101,"")))</f>
        <v xml:space="preserve">= </v>
      </c>
      <c r="O24" s="1"/>
      <c r="S24" s="1"/>
      <c r="T24" s="63"/>
      <c r="Y24" s="1"/>
      <c r="Z24" s="1"/>
      <c r="AA24" s="1"/>
      <c r="AB24" s="1"/>
    </row>
    <row r="25" spans="1:28">
      <c r="A25" s="65" t="e">
        <f t="shared" si="1"/>
        <v>#VALUE!</v>
      </c>
      <c r="C25" s="110" t="e">
        <f t="shared" ref="C25:D29" si="10">VLOOKUP($A25,$A$175:$AC$1191,C$48,FALSE)</f>
        <v>#VALUE!</v>
      </c>
      <c r="D25" s="20" t="e">
        <f t="shared" si="10"/>
        <v>#VALUE!</v>
      </c>
      <c r="H25" s="106" t="e">
        <f t="shared" si="9"/>
        <v>#VALUE!</v>
      </c>
      <c r="I25" s="17" t="e">
        <f t="shared" si="9"/>
        <v>#VALUE!</v>
      </c>
      <c r="J25" s="11" t="str">
        <f>CONCATENATE("= ",IF($E$35= "N",J102,IF($E$35="T",N102,"")))</f>
        <v xml:space="preserve">= </v>
      </c>
      <c r="O25" s="1"/>
      <c r="S25" s="1"/>
      <c r="T25" s="63"/>
      <c r="AA25" s="1"/>
      <c r="AB25" s="1"/>
    </row>
    <row r="26" spans="1:28">
      <c r="A26" s="65" t="e">
        <f t="shared" si="1"/>
        <v>#VALUE!</v>
      </c>
      <c r="C26" s="110" t="e">
        <f t="shared" si="10"/>
        <v>#VALUE!</v>
      </c>
      <c r="D26" s="20" t="e">
        <f t="shared" si="10"/>
        <v>#VALUE!</v>
      </c>
      <c r="H26" s="106" t="e">
        <f t="shared" si="9"/>
        <v>#VALUE!</v>
      </c>
      <c r="I26" s="17" t="e">
        <f t="shared" si="9"/>
        <v>#VALUE!</v>
      </c>
      <c r="J26" s="11" t="str">
        <f>CONCATENATE("= ",IF($E$35= "N",J103,IF($E$35="T",N103,"")))</f>
        <v xml:space="preserve">= </v>
      </c>
      <c r="O26" s="1"/>
      <c r="S26" s="1"/>
      <c r="T26" s="63"/>
      <c r="AA26" s="1"/>
      <c r="AB26" s="1"/>
    </row>
    <row r="27" spans="1:28">
      <c r="A27" s="65" t="e">
        <f t="shared" si="1"/>
        <v>#VALUE!</v>
      </c>
      <c r="C27" s="110" t="e">
        <f t="shared" si="10"/>
        <v>#VALUE!</v>
      </c>
      <c r="D27" s="192" t="e">
        <f t="shared" si="10"/>
        <v>#VALUE!</v>
      </c>
      <c r="O27" s="1"/>
      <c r="S27" s="1"/>
    </row>
    <row r="28" spans="1:28">
      <c r="A28" s="65" t="e">
        <f t="shared" si="1"/>
        <v>#VALUE!</v>
      </c>
      <c r="C28" s="110" t="e">
        <f t="shared" si="10"/>
        <v>#VALUE!</v>
      </c>
      <c r="D28" s="20" t="e">
        <f t="shared" si="10"/>
        <v>#VALUE!</v>
      </c>
      <c r="H28" s="10" t="s">
        <v>26</v>
      </c>
      <c r="S28" s="1"/>
    </row>
    <row r="29" spans="1:28">
      <c r="A29" s="65" t="e">
        <f t="shared" si="1"/>
        <v>#VALUE!</v>
      </c>
      <c r="C29" s="110" t="e">
        <f t="shared" si="10"/>
        <v>#VALUE!</v>
      </c>
      <c r="D29" s="20" t="e">
        <f t="shared" si="10"/>
        <v>#VALUE!</v>
      </c>
      <c r="L29" s="131" t="s">
        <v>81</v>
      </c>
      <c r="S29" s="1"/>
    </row>
    <row r="30" spans="1:28">
      <c r="A30" s="65" t="e">
        <f t="shared" si="1"/>
        <v>#VALUE!</v>
      </c>
      <c r="C30" s="1"/>
      <c r="D30" s="1"/>
      <c r="H30" s="107" t="e">
        <f t="shared" ref="H30:L34" si="11">VLOOKUP($A30,$A$175:$AC$1191,H$48,FALSE)</f>
        <v>#VALUE!</v>
      </c>
      <c r="I30" s="108" t="e">
        <f t="shared" si="11"/>
        <v>#VALUE!</v>
      </c>
      <c r="J30" s="108" t="e">
        <f t="shared" si="11"/>
        <v>#VALUE!</v>
      </c>
      <c r="K30" s="108" t="e">
        <f t="shared" si="11"/>
        <v>#VALUE!</v>
      </c>
      <c r="L30" s="108" t="e">
        <f t="shared" si="11"/>
        <v>#VALUE!</v>
      </c>
      <c r="N30" s="13" t="s">
        <v>31</v>
      </c>
      <c r="O30" s="27"/>
      <c r="S30" s="1"/>
    </row>
    <row r="31" spans="1:28">
      <c r="A31" s="65" t="e">
        <f t="shared" si="1"/>
        <v>#VALUE!</v>
      </c>
      <c r="C31" s="110" t="e">
        <f>VLOOKUP($A31,$A$175:$AC$1191,C$48,FALSE)</f>
        <v>#VALUE!</v>
      </c>
      <c r="D31" s="190" t="e">
        <f>VLOOKUP($A31,$A$175:$AC$1191,D$48,FALSE)</f>
        <v>#VALUE!</v>
      </c>
      <c r="H31" s="112" t="e">
        <f t="shared" si="11"/>
        <v>#VALUE!</v>
      </c>
      <c r="I31" s="110" t="e">
        <f t="shared" si="11"/>
        <v>#VALUE!</v>
      </c>
      <c r="J31" s="20" t="e">
        <f t="shared" si="11"/>
        <v>#VALUE!</v>
      </c>
      <c r="K31" s="20" t="e">
        <f t="shared" si="11"/>
        <v>#VALUE!</v>
      </c>
      <c r="L31" s="20" t="e">
        <f t="shared" si="11"/>
        <v>#VALUE!</v>
      </c>
      <c r="N31" s="28" t="e">
        <f>L31</f>
        <v>#VALUE!</v>
      </c>
      <c r="O31" s="27"/>
      <c r="S31" s="1"/>
    </row>
    <row r="32" spans="1:28">
      <c r="A32" s="65" t="e">
        <f t="shared" si="1"/>
        <v>#VALUE!</v>
      </c>
      <c r="H32" s="112" t="e">
        <f t="shared" si="11"/>
        <v>#VALUE!</v>
      </c>
      <c r="I32" s="20" t="e">
        <f t="shared" si="11"/>
        <v>#VALUE!</v>
      </c>
      <c r="J32" s="20" t="e">
        <f t="shared" si="11"/>
        <v>#VALUE!</v>
      </c>
      <c r="K32" s="20" t="e">
        <f t="shared" si="11"/>
        <v>#VALUE!</v>
      </c>
      <c r="L32" s="20" t="e">
        <f t="shared" si="11"/>
        <v>#VALUE!</v>
      </c>
      <c r="N32" s="28" t="e">
        <f>N31+L32</f>
        <v>#VALUE!</v>
      </c>
      <c r="O32" s="27" t="e">
        <f>IF(AND(N31&lt;0,NOT(N32&lt;0)),H32,"")</f>
        <v>#VALUE!</v>
      </c>
      <c r="S32" s="1"/>
    </row>
    <row r="33" spans="1:19">
      <c r="A33" s="65" t="e">
        <f t="shared" si="1"/>
        <v>#VALUE!</v>
      </c>
      <c r="E33" s="313" t="str">
        <f>IF(OR(AND(NOT(E34=""),NOT(E34="x")),AND(NOT(E35=""),NOT(E35="N"),NOT(E35="T"))),"ERROR","")</f>
        <v/>
      </c>
      <c r="H33" s="112" t="e">
        <f t="shared" si="11"/>
        <v>#VALUE!</v>
      </c>
      <c r="I33" s="20" t="e">
        <f t="shared" si="11"/>
        <v>#VALUE!</v>
      </c>
      <c r="J33" s="20" t="e">
        <f t="shared" si="11"/>
        <v>#VALUE!</v>
      </c>
      <c r="K33" s="20" t="e">
        <f t="shared" si="11"/>
        <v>#VALUE!</v>
      </c>
      <c r="L33" s="20" t="e">
        <f t="shared" si="11"/>
        <v>#VALUE!</v>
      </c>
      <c r="N33" s="28" t="e">
        <f>N32+L33</f>
        <v>#VALUE!</v>
      </c>
      <c r="O33" s="27" t="e">
        <f>IF(AND(N32&lt;0,NOT(N33&lt;0)),H33,"")</f>
        <v>#VALUE!</v>
      </c>
      <c r="S33" s="1"/>
    </row>
    <row r="34" spans="1:19">
      <c r="A34" s="65" t="e">
        <f t="shared" si="1"/>
        <v>#VALUE!</v>
      </c>
      <c r="D34" s="2" t="s">
        <v>20</v>
      </c>
      <c r="E34" s="3"/>
      <c r="H34" s="112" t="e">
        <f t="shared" si="11"/>
        <v>#VALUE!</v>
      </c>
      <c r="I34" s="20" t="e">
        <f t="shared" si="11"/>
        <v>#VALUE!</v>
      </c>
      <c r="J34" s="20" t="e">
        <f t="shared" si="11"/>
        <v>#VALUE!</v>
      </c>
      <c r="K34" s="20" t="e">
        <f t="shared" si="11"/>
        <v>#VALUE!</v>
      </c>
      <c r="L34" s="20" t="e">
        <f t="shared" si="11"/>
        <v>#VALUE!</v>
      </c>
      <c r="M34" s="1"/>
      <c r="N34" s="28" t="e">
        <f>N33+L34</f>
        <v>#VALUE!</v>
      </c>
      <c r="O34" s="27" t="e">
        <f>IF(AND(N33&lt;0,NOT(N34&lt;0)),H34,"")</f>
        <v>#VALUE!</v>
      </c>
      <c r="S34" s="1"/>
    </row>
    <row r="35" spans="1:19">
      <c r="A35" s="65" t="e">
        <f t="shared" si="1"/>
        <v>#VALUE!</v>
      </c>
      <c r="D35" s="2" t="s">
        <v>420</v>
      </c>
      <c r="E35" s="3"/>
      <c r="L35" s="1"/>
      <c r="M35" s="1"/>
      <c r="N35" s="1"/>
      <c r="O35" s="1"/>
      <c r="S35" s="1"/>
    </row>
    <row r="36" spans="1:19">
      <c r="A36" s="65" t="e">
        <f t="shared" si="1"/>
        <v>#VALUE!</v>
      </c>
      <c r="E36" s="44"/>
      <c r="H36" s="10" t="s">
        <v>25</v>
      </c>
      <c r="I36" s="1"/>
      <c r="L36" s="1"/>
      <c r="M36" s="1"/>
      <c r="N36" s="1"/>
      <c r="O36" s="1"/>
      <c r="S36" s="1"/>
    </row>
    <row r="37" spans="1:19">
      <c r="A37" s="65" t="e">
        <f t="shared" si="1"/>
        <v>#VALUE!</v>
      </c>
      <c r="B37" s="965"/>
      <c r="C37" s="965"/>
      <c r="D37" s="965"/>
      <c r="E37" s="965"/>
      <c r="H37" s="1"/>
      <c r="I37" s="1"/>
      <c r="L37" s="1"/>
      <c r="M37" s="1"/>
      <c r="N37" s="1"/>
      <c r="O37" s="1"/>
    </row>
    <row r="38" spans="1:19" ht="16.5">
      <c r="A38" s="65" t="e">
        <f t="shared" si="1"/>
        <v>#VALUE!</v>
      </c>
      <c r="H38" s="109" t="s">
        <v>66</v>
      </c>
      <c r="I38" s="111" t="e">
        <f t="shared" ref="I38:I40" si="12">VLOOKUP($A38,$A$175:$AC$1191,I$48,FALSE)</f>
        <v>#VALUE!</v>
      </c>
      <c r="J38" s="11" t="str">
        <f>CONCATENATE("= ",IF($E$35="N",J105,IF($E$35="T",N105,"")))</f>
        <v xml:space="preserve">= </v>
      </c>
      <c r="L38" s="1"/>
      <c r="M38" s="1"/>
      <c r="N38" s="1"/>
    </row>
    <row r="39" spans="1:19" ht="16.5">
      <c r="A39" s="65" t="e">
        <f t="shared" si="1"/>
        <v>#VALUE!</v>
      </c>
      <c r="B39" s="277"/>
      <c r="H39" s="109" t="s">
        <v>67</v>
      </c>
      <c r="I39" s="111" t="e">
        <f t="shared" si="12"/>
        <v>#VALUE!</v>
      </c>
      <c r="J39" s="11" t="str">
        <f>CONCATENATE("= ",IF($E$35="N",J106,IF($E$35="T",N106,"")))</f>
        <v xml:space="preserve">= </v>
      </c>
      <c r="L39" s="1"/>
      <c r="M39" s="1"/>
      <c r="N39" s="1"/>
    </row>
    <row r="40" spans="1:19" ht="16.5">
      <c r="A40" s="65" t="e">
        <f t="shared" si="1"/>
        <v>#VALUE!</v>
      </c>
      <c r="B40" s="277"/>
      <c r="H40" s="109" t="s">
        <v>68</v>
      </c>
      <c r="I40" s="111" t="e">
        <f t="shared" si="12"/>
        <v>#VALUE!</v>
      </c>
      <c r="J40" s="11" t="str">
        <f>CONCATENATE("= ",IF($E$35="N",J107,IF($E$35="T",N107,"")))</f>
        <v xml:space="preserve">= </v>
      </c>
      <c r="L40" s="1"/>
    </row>
    <row r="41" spans="1:19">
      <c r="A41" s="65" t="e">
        <f t="shared" si="1"/>
        <v>#VALUE!</v>
      </c>
      <c r="L41" s="1"/>
    </row>
    <row r="42" spans="1:19">
      <c r="A42" s="65" t="e">
        <f t="shared" si="1"/>
        <v>#VALUE!</v>
      </c>
      <c r="H42" s="10" t="s">
        <v>27</v>
      </c>
      <c r="K42" s="12" t="str">
        <f>IF(AND(OR($E$35="N",$E$35="T"),NOT(K43=""),NOT(L43="ERROR")),"Explicación","")</f>
        <v/>
      </c>
      <c r="L42" s="16" t="str">
        <f>IF(OR(K43="",NOT(L43="")),"",IF(K43="TRI",CONCATENATE(TEXT(VLOOKUP(K43,H44:I47,2,FALSE)*100,"#,00"),"%"),IF(OR(K43="VAN",K43="IR"),TEXT(VLOOKUP(K43,H44:I47,2,FALSE),"#.##0,00"),IF(I47="No recupera",I47,CONCATENATE(I47," años")))))</f>
        <v/>
      </c>
      <c r="M42" s="92" t="str">
        <f>IF(OR(K43="",NOT(L43="")),"",IF(E35="N",VLOOKUP(K43,K92:M95,2,FALSE),IF(E35="T",VLOOKUP(K43,K92:M95,3,FALSE),"")))</f>
        <v/>
      </c>
    </row>
    <row r="43" spans="1:19">
      <c r="A43" s="65" t="e">
        <f t="shared" si="1"/>
        <v>#VALUE!</v>
      </c>
      <c r="H43" s="10" t="s">
        <v>123</v>
      </c>
      <c r="K43" s="15"/>
      <c r="L43" s="26" t="str">
        <f>IF(K43="","",IF(ISERROR(VLOOKUP(K43,H44:H47,1,FALSE)),"ERROR: tiene que ser VAN, TRI, IR ó Pay-back",""))</f>
        <v/>
      </c>
    </row>
    <row r="44" spans="1:19">
      <c r="A44" s="65" t="e">
        <f t="shared" si="1"/>
        <v>#VALUE!</v>
      </c>
      <c r="G44" s="314"/>
      <c r="H44" s="17" t="s">
        <v>13</v>
      </c>
      <c r="I44" s="18" t="e">
        <f t="shared" ref="I44:J47" si="13">VLOOKUP($A44,$A$175:$AC$1191,I$48,FALSE)</f>
        <v>#VALUE!</v>
      </c>
      <c r="J44" s="19" t="e">
        <f t="shared" si="13"/>
        <v>#VALUE!</v>
      </c>
      <c r="K44" s="93"/>
      <c r="L44" s="20"/>
      <c r="M44" s="314"/>
      <c r="N44" s="314"/>
      <c r="O44" s="314"/>
      <c r="P44" s="314"/>
      <c r="Q44" s="314"/>
      <c r="R44" s="314"/>
    </row>
    <row r="45" spans="1:19">
      <c r="A45" s="65" t="e">
        <f t="shared" si="1"/>
        <v>#VALUE!</v>
      </c>
      <c r="G45" s="314"/>
      <c r="H45" s="21" t="s">
        <v>28</v>
      </c>
      <c r="I45" s="22" t="e">
        <f t="shared" si="13"/>
        <v>#VALUE!</v>
      </c>
      <c r="J45" s="19" t="e">
        <f t="shared" si="13"/>
        <v>#VALUE!</v>
      </c>
      <c r="K45" s="314"/>
      <c r="L45" s="20"/>
      <c r="M45" s="314"/>
      <c r="N45" s="314"/>
      <c r="O45" s="314"/>
      <c r="P45" s="314"/>
      <c r="Q45" s="314"/>
      <c r="R45" s="314"/>
    </row>
    <row r="46" spans="1:19">
      <c r="A46" s="65" t="e">
        <f t="shared" si="1"/>
        <v>#VALUE!</v>
      </c>
      <c r="G46" s="314"/>
      <c r="H46" s="21" t="s">
        <v>29</v>
      </c>
      <c r="I46" s="23" t="e">
        <f t="shared" si="13"/>
        <v>#VALUE!</v>
      </c>
      <c r="J46" s="19" t="e">
        <f t="shared" si="13"/>
        <v>#VALUE!</v>
      </c>
      <c r="K46" s="314"/>
      <c r="L46" s="20"/>
      <c r="M46" s="314"/>
      <c r="N46" s="314"/>
      <c r="O46" s="314"/>
      <c r="P46" s="314"/>
      <c r="Q46" s="314"/>
      <c r="R46" s="314"/>
    </row>
    <row r="47" spans="1:19">
      <c r="A47" s="65" t="e">
        <f t="shared" si="1"/>
        <v>#VALUE!</v>
      </c>
      <c r="G47" s="314"/>
      <c r="H47" s="21" t="s">
        <v>30</v>
      </c>
      <c r="I47" s="24" t="e">
        <f t="shared" si="13"/>
        <v>#VALUE!</v>
      </c>
      <c r="J47" s="25" t="e">
        <f t="shared" si="13"/>
        <v>#VALUE!</v>
      </c>
      <c r="K47" s="20"/>
      <c r="L47" s="20"/>
      <c r="M47" s="20"/>
      <c r="N47" s="20"/>
      <c r="O47" s="314"/>
      <c r="P47" s="314"/>
      <c r="Q47" s="314"/>
      <c r="R47" s="314"/>
    </row>
    <row r="48" spans="1:19" s="65" customFormat="1" hidden="1">
      <c r="A48" s="65" t="e">
        <f t="shared" si="1"/>
        <v>#VALUE!</v>
      </c>
      <c r="B48" s="14">
        <v>2</v>
      </c>
      <c r="C48" s="14">
        <f>1+B48</f>
        <v>3</v>
      </c>
      <c r="D48" s="14">
        <f t="shared" ref="D48:R48" si="14">1+C48</f>
        <v>4</v>
      </c>
      <c r="E48" s="14">
        <f t="shared" si="14"/>
        <v>5</v>
      </c>
      <c r="F48" s="14">
        <f t="shared" si="14"/>
        <v>6</v>
      </c>
      <c r="G48" s="14">
        <f t="shared" si="14"/>
        <v>7</v>
      </c>
      <c r="H48" s="14">
        <f t="shared" si="14"/>
        <v>8</v>
      </c>
      <c r="I48" s="14">
        <f t="shared" si="14"/>
        <v>9</v>
      </c>
      <c r="J48" s="14">
        <f t="shared" si="14"/>
        <v>10</v>
      </c>
      <c r="K48" s="14">
        <f t="shared" si="14"/>
        <v>11</v>
      </c>
      <c r="L48" s="14">
        <f t="shared" si="14"/>
        <v>12</v>
      </c>
      <c r="M48" s="14">
        <f t="shared" si="14"/>
        <v>13</v>
      </c>
      <c r="N48" s="14">
        <f t="shared" si="14"/>
        <v>14</v>
      </c>
      <c r="O48" s="14">
        <f t="shared" si="14"/>
        <v>15</v>
      </c>
      <c r="P48" s="14">
        <f t="shared" si="14"/>
        <v>16</v>
      </c>
      <c r="Q48" s="14">
        <f t="shared" si="14"/>
        <v>17</v>
      </c>
      <c r="R48" s="14">
        <f t="shared" si="14"/>
        <v>18</v>
      </c>
    </row>
    <row r="49" spans="1:14" s="324" customFormat="1" ht="0.65" hidden="1" customHeight="1">
      <c r="A49" s="324" t="e">
        <f t="shared" si="1"/>
        <v>#VALUE!</v>
      </c>
      <c r="M49" s="324" t="s">
        <v>452</v>
      </c>
      <c r="N49" s="324" t="s">
        <v>453</v>
      </c>
    </row>
    <row r="50" spans="1:14" s="324" customFormat="1" ht="0.65" hidden="1" customHeight="1">
      <c r="A50" s="324" t="e">
        <f t="shared" si="1"/>
        <v>#VALUE!</v>
      </c>
      <c r="G50" s="324" t="e">
        <f>K50</f>
        <v>#VALUE!</v>
      </c>
      <c r="H50" s="335" t="e">
        <f t="shared" ref="H50:K70" si="15">VLOOKUP($A50,$A$175:$AC$1191,H$48,FALSE)</f>
        <v>#VALUE!</v>
      </c>
      <c r="I50" s="336" t="e">
        <f t="shared" si="15"/>
        <v>#VALUE!</v>
      </c>
      <c r="J50" s="326" t="e">
        <f t="shared" si="15"/>
        <v>#VALUE!</v>
      </c>
      <c r="K50" s="326" t="e">
        <f t="shared" si="15"/>
        <v>#VALUE!</v>
      </c>
      <c r="L50" s="348" t="str">
        <f>IF($E$35="N",M50,IF($E$35="T",N50,""))</f>
        <v/>
      </c>
      <c r="M50" s="328" t="e">
        <f t="shared" ref="M50:N70" si="16">VLOOKUP($A50,$A$175:$AC$1191,M$48,FALSE)</f>
        <v>#VALUE!</v>
      </c>
      <c r="N50" s="328" t="e">
        <f t="shared" si="16"/>
        <v>#VALUE!</v>
      </c>
    </row>
    <row r="51" spans="1:14" s="324" customFormat="1" ht="0.65" hidden="1" customHeight="1">
      <c r="A51" s="324" t="e">
        <f t="shared" si="1"/>
        <v>#VALUE!</v>
      </c>
      <c r="G51" s="324" t="e">
        <f t="shared" ref="G51:G70" si="17">K51</f>
        <v>#VALUE!</v>
      </c>
      <c r="H51" s="335" t="e">
        <f t="shared" si="15"/>
        <v>#VALUE!</v>
      </c>
      <c r="I51" s="326" t="e">
        <f t="shared" si="15"/>
        <v>#VALUE!</v>
      </c>
      <c r="J51" s="326" t="e">
        <f t="shared" si="15"/>
        <v>#VALUE!</v>
      </c>
      <c r="K51" s="326" t="e">
        <f t="shared" si="15"/>
        <v>#VALUE!</v>
      </c>
      <c r="L51" s="348" t="str">
        <f t="shared" ref="L51:L70" si="18">IF($E$35="N",M51,IF($E$35="T",N51,""))</f>
        <v/>
      </c>
      <c r="M51" s="328" t="e">
        <f t="shared" si="16"/>
        <v>#VALUE!</v>
      </c>
      <c r="N51" s="328" t="e">
        <f t="shared" si="16"/>
        <v>#VALUE!</v>
      </c>
    </row>
    <row r="52" spans="1:14" s="324" customFormat="1" ht="0.65" hidden="1" customHeight="1">
      <c r="A52" s="324" t="e">
        <f t="shared" si="1"/>
        <v>#VALUE!</v>
      </c>
      <c r="G52" s="324" t="e">
        <f t="shared" si="17"/>
        <v>#VALUE!</v>
      </c>
      <c r="H52" s="335" t="e">
        <f t="shared" si="15"/>
        <v>#VALUE!</v>
      </c>
      <c r="I52" s="326" t="e">
        <f t="shared" si="15"/>
        <v>#VALUE!</v>
      </c>
      <c r="J52" s="326" t="e">
        <f t="shared" si="15"/>
        <v>#VALUE!</v>
      </c>
      <c r="K52" s="326" t="e">
        <f t="shared" si="15"/>
        <v>#VALUE!</v>
      </c>
      <c r="L52" s="349" t="str">
        <f t="shared" si="18"/>
        <v/>
      </c>
      <c r="M52" s="324" t="e">
        <f t="shared" si="16"/>
        <v>#VALUE!</v>
      </c>
      <c r="N52" s="324" t="e">
        <f t="shared" si="16"/>
        <v>#VALUE!</v>
      </c>
    </row>
    <row r="53" spans="1:14" s="324" customFormat="1" ht="0.65" hidden="1" customHeight="1">
      <c r="A53" s="324" t="e">
        <f t="shared" si="1"/>
        <v>#VALUE!</v>
      </c>
      <c r="G53" s="324" t="e">
        <f t="shared" si="17"/>
        <v>#VALUE!</v>
      </c>
      <c r="H53" s="335" t="e">
        <f t="shared" si="15"/>
        <v>#VALUE!</v>
      </c>
      <c r="I53" s="326" t="e">
        <f t="shared" si="15"/>
        <v>#VALUE!</v>
      </c>
      <c r="J53" s="326" t="e">
        <f t="shared" si="15"/>
        <v>#VALUE!</v>
      </c>
      <c r="K53" s="326" t="e">
        <f t="shared" si="15"/>
        <v>#VALUE!</v>
      </c>
      <c r="L53" s="349" t="str">
        <f t="shared" si="18"/>
        <v/>
      </c>
      <c r="M53" s="324" t="e">
        <f t="shared" si="16"/>
        <v>#VALUE!</v>
      </c>
      <c r="N53" s="324" t="e">
        <f t="shared" si="16"/>
        <v>#VALUE!</v>
      </c>
    </row>
    <row r="54" spans="1:14" s="324" customFormat="1" ht="0.65" hidden="1" customHeight="1">
      <c r="A54" s="324" t="e">
        <f t="shared" si="1"/>
        <v>#VALUE!</v>
      </c>
      <c r="G54" s="324" t="e">
        <f t="shared" si="17"/>
        <v>#VALUE!</v>
      </c>
      <c r="H54" s="335" t="e">
        <f t="shared" si="15"/>
        <v>#VALUE!</v>
      </c>
      <c r="I54" s="326" t="e">
        <f t="shared" si="15"/>
        <v>#VALUE!</v>
      </c>
      <c r="J54" s="326" t="e">
        <f t="shared" si="15"/>
        <v>#VALUE!</v>
      </c>
      <c r="K54" s="326" t="e">
        <f t="shared" si="15"/>
        <v>#VALUE!</v>
      </c>
      <c r="L54" s="349" t="str">
        <f t="shared" si="18"/>
        <v/>
      </c>
      <c r="M54" s="324" t="e">
        <f t="shared" si="16"/>
        <v>#VALUE!</v>
      </c>
      <c r="N54" s="324" t="e">
        <f t="shared" si="16"/>
        <v>#VALUE!</v>
      </c>
    </row>
    <row r="55" spans="1:14" s="324" customFormat="1" ht="0.65" hidden="1" customHeight="1">
      <c r="A55" s="324" t="e">
        <f t="shared" si="1"/>
        <v>#VALUE!</v>
      </c>
      <c r="G55" s="324" t="e">
        <f t="shared" si="17"/>
        <v>#VALUE!</v>
      </c>
      <c r="H55" s="335" t="e">
        <f t="shared" si="15"/>
        <v>#VALUE!</v>
      </c>
      <c r="I55" s="326" t="e">
        <f t="shared" si="15"/>
        <v>#VALUE!</v>
      </c>
      <c r="J55" s="326" t="e">
        <f t="shared" si="15"/>
        <v>#VALUE!</v>
      </c>
      <c r="K55" s="326" t="e">
        <f t="shared" si="15"/>
        <v>#VALUE!</v>
      </c>
      <c r="L55" s="349" t="str">
        <f t="shared" si="18"/>
        <v/>
      </c>
      <c r="M55" s="324" t="e">
        <f t="shared" si="16"/>
        <v>#VALUE!</v>
      </c>
      <c r="N55" s="324" t="e">
        <f t="shared" si="16"/>
        <v>#VALUE!</v>
      </c>
    </row>
    <row r="56" spans="1:14" s="324" customFormat="1" ht="0.65" hidden="1" customHeight="1">
      <c r="A56" s="324" t="e">
        <f t="shared" si="1"/>
        <v>#VALUE!</v>
      </c>
      <c r="G56" s="324" t="e">
        <f t="shared" si="17"/>
        <v>#VALUE!</v>
      </c>
      <c r="H56" s="335" t="e">
        <f t="shared" si="15"/>
        <v>#VALUE!</v>
      </c>
      <c r="I56" s="326" t="e">
        <f t="shared" si="15"/>
        <v>#VALUE!</v>
      </c>
      <c r="J56" s="326" t="e">
        <f t="shared" si="15"/>
        <v>#VALUE!</v>
      </c>
      <c r="K56" s="326" t="e">
        <f t="shared" si="15"/>
        <v>#VALUE!</v>
      </c>
      <c r="L56" s="349" t="str">
        <f t="shared" si="18"/>
        <v/>
      </c>
      <c r="M56" s="324" t="e">
        <f t="shared" si="16"/>
        <v>#VALUE!</v>
      </c>
      <c r="N56" s="324" t="e">
        <f t="shared" si="16"/>
        <v>#VALUE!</v>
      </c>
    </row>
    <row r="57" spans="1:14" s="324" customFormat="1" ht="0.65" hidden="1" customHeight="1">
      <c r="A57" s="324" t="e">
        <f t="shared" si="1"/>
        <v>#VALUE!</v>
      </c>
      <c r="G57" s="324" t="e">
        <f t="shared" si="17"/>
        <v>#VALUE!</v>
      </c>
      <c r="H57" s="327" t="e">
        <f t="shared" si="15"/>
        <v>#VALUE!</v>
      </c>
      <c r="I57" s="336" t="e">
        <f t="shared" si="15"/>
        <v>#VALUE!</v>
      </c>
      <c r="J57" s="326" t="e">
        <f t="shared" si="15"/>
        <v>#VALUE!</v>
      </c>
      <c r="K57" s="326" t="e">
        <f t="shared" si="15"/>
        <v>#VALUE!</v>
      </c>
      <c r="L57" s="348" t="str">
        <f t="shared" si="18"/>
        <v/>
      </c>
      <c r="M57" s="328" t="e">
        <f t="shared" si="16"/>
        <v>#VALUE!</v>
      </c>
      <c r="N57" s="328" t="e">
        <f t="shared" si="16"/>
        <v>#VALUE!</v>
      </c>
    </row>
    <row r="58" spans="1:14" s="324" customFormat="1" ht="0.65" hidden="1" customHeight="1">
      <c r="A58" s="324" t="e">
        <f t="shared" si="1"/>
        <v>#VALUE!</v>
      </c>
      <c r="G58" s="324" t="e">
        <f t="shared" si="17"/>
        <v>#VALUE!</v>
      </c>
      <c r="H58" s="335" t="e">
        <f t="shared" si="15"/>
        <v>#VALUE!</v>
      </c>
      <c r="I58" s="326" t="e">
        <f t="shared" si="15"/>
        <v>#VALUE!</v>
      </c>
      <c r="J58" s="326" t="e">
        <f t="shared" si="15"/>
        <v>#VALUE!</v>
      </c>
      <c r="K58" s="326" t="e">
        <f t="shared" si="15"/>
        <v>#VALUE!</v>
      </c>
      <c r="L58" s="348" t="str">
        <f t="shared" si="18"/>
        <v/>
      </c>
      <c r="M58" s="328" t="e">
        <f t="shared" si="16"/>
        <v>#VALUE!</v>
      </c>
      <c r="N58" s="328" t="e">
        <f t="shared" si="16"/>
        <v>#VALUE!</v>
      </c>
    </row>
    <row r="59" spans="1:14" s="324" customFormat="1" ht="0.65" hidden="1" customHeight="1">
      <c r="A59" s="324" t="e">
        <f t="shared" si="1"/>
        <v>#VALUE!</v>
      </c>
      <c r="G59" s="324" t="e">
        <f t="shared" si="17"/>
        <v>#VALUE!</v>
      </c>
      <c r="H59" s="327" t="e">
        <f t="shared" si="15"/>
        <v>#VALUE!</v>
      </c>
      <c r="I59" s="326" t="e">
        <f t="shared" si="15"/>
        <v>#VALUE!</v>
      </c>
      <c r="J59" s="326" t="e">
        <f t="shared" si="15"/>
        <v>#VALUE!</v>
      </c>
      <c r="K59" s="326" t="e">
        <f t="shared" si="15"/>
        <v>#VALUE!</v>
      </c>
      <c r="L59" s="349" t="str">
        <f t="shared" si="18"/>
        <v/>
      </c>
      <c r="M59" s="324" t="e">
        <f t="shared" si="16"/>
        <v>#VALUE!</v>
      </c>
      <c r="N59" s="324" t="e">
        <f t="shared" si="16"/>
        <v>#VALUE!</v>
      </c>
    </row>
    <row r="60" spans="1:14" s="324" customFormat="1" ht="0.65" hidden="1" customHeight="1">
      <c r="A60" s="324" t="e">
        <f t="shared" si="1"/>
        <v>#VALUE!</v>
      </c>
      <c r="G60" s="324" t="e">
        <f t="shared" si="17"/>
        <v>#VALUE!</v>
      </c>
      <c r="H60" s="327" t="e">
        <f t="shared" si="15"/>
        <v>#VALUE!</v>
      </c>
      <c r="I60" s="326" t="e">
        <f t="shared" si="15"/>
        <v>#VALUE!</v>
      </c>
      <c r="J60" s="326" t="e">
        <f t="shared" si="15"/>
        <v>#VALUE!</v>
      </c>
      <c r="K60" s="326" t="e">
        <f t="shared" si="15"/>
        <v>#VALUE!</v>
      </c>
      <c r="L60" s="349" t="str">
        <f t="shared" si="18"/>
        <v/>
      </c>
      <c r="M60" s="324" t="e">
        <f t="shared" si="16"/>
        <v>#VALUE!</v>
      </c>
      <c r="N60" s="324" t="e">
        <f t="shared" si="16"/>
        <v>#VALUE!</v>
      </c>
    </row>
    <row r="61" spans="1:14" s="324" customFormat="1" ht="0.65" hidden="1" customHeight="1">
      <c r="A61" s="324" t="e">
        <f t="shared" si="1"/>
        <v>#VALUE!</v>
      </c>
      <c r="G61" s="324" t="e">
        <f t="shared" si="17"/>
        <v>#VALUE!</v>
      </c>
      <c r="H61" s="327" t="e">
        <f t="shared" si="15"/>
        <v>#VALUE!</v>
      </c>
      <c r="I61" s="326" t="e">
        <f t="shared" si="15"/>
        <v>#VALUE!</v>
      </c>
      <c r="J61" s="326" t="e">
        <f t="shared" si="15"/>
        <v>#VALUE!</v>
      </c>
      <c r="K61" s="326" t="e">
        <f t="shared" si="15"/>
        <v>#VALUE!</v>
      </c>
      <c r="L61" s="349" t="str">
        <f t="shared" si="18"/>
        <v/>
      </c>
      <c r="M61" s="324" t="e">
        <f t="shared" si="16"/>
        <v>#VALUE!</v>
      </c>
      <c r="N61" s="324" t="e">
        <f t="shared" si="16"/>
        <v>#VALUE!</v>
      </c>
    </row>
    <row r="62" spans="1:14" s="324" customFormat="1" ht="0.65" hidden="1" customHeight="1">
      <c r="A62" s="324" t="e">
        <f t="shared" si="1"/>
        <v>#VALUE!</v>
      </c>
      <c r="G62" s="324" t="e">
        <f t="shared" si="17"/>
        <v>#VALUE!</v>
      </c>
      <c r="H62" s="327" t="e">
        <f t="shared" si="15"/>
        <v>#VALUE!</v>
      </c>
      <c r="I62" s="326" t="e">
        <f t="shared" si="15"/>
        <v>#VALUE!</v>
      </c>
      <c r="J62" s="326" t="e">
        <f t="shared" si="15"/>
        <v>#VALUE!</v>
      </c>
      <c r="K62" s="326" t="e">
        <f t="shared" si="15"/>
        <v>#VALUE!</v>
      </c>
      <c r="L62" s="349" t="str">
        <f t="shared" si="18"/>
        <v/>
      </c>
      <c r="M62" s="324" t="e">
        <f t="shared" si="16"/>
        <v>#VALUE!</v>
      </c>
      <c r="N62" s="324" t="e">
        <f t="shared" si="16"/>
        <v>#VALUE!</v>
      </c>
    </row>
    <row r="63" spans="1:14" s="324" customFormat="1" ht="0.65" hidden="1" customHeight="1">
      <c r="A63" s="324" t="e">
        <f t="shared" si="1"/>
        <v>#VALUE!</v>
      </c>
      <c r="G63" s="324" t="e">
        <f t="shared" si="17"/>
        <v>#VALUE!</v>
      </c>
      <c r="H63" s="335" t="e">
        <f t="shared" si="15"/>
        <v>#VALUE!</v>
      </c>
      <c r="I63" s="326" t="e">
        <f t="shared" si="15"/>
        <v>#VALUE!</v>
      </c>
      <c r="J63" s="326" t="e">
        <f t="shared" si="15"/>
        <v>#VALUE!</v>
      </c>
      <c r="K63" s="326" t="e">
        <f t="shared" si="15"/>
        <v>#VALUE!</v>
      </c>
      <c r="L63" s="349" t="str">
        <f t="shared" si="18"/>
        <v/>
      </c>
      <c r="M63" s="324" t="e">
        <f t="shared" si="16"/>
        <v>#VALUE!</v>
      </c>
      <c r="N63" s="324" t="e">
        <f t="shared" si="16"/>
        <v>#VALUE!</v>
      </c>
    </row>
    <row r="64" spans="1:14" s="324" customFormat="1" ht="0.65" hidden="1" customHeight="1">
      <c r="A64" s="324" t="e">
        <f t="shared" si="1"/>
        <v>#VALUE!</v>
      </c>
      <c r="G64" s="324" t="e">
        <f t="shared" si="17"/>
        <v>#VALUE!</v>
      </c>
      <c r="H64" s="327" t="e">
        <f t="shared" si="15"/>
        <v>#VALUE!</v>
      </c>
      <c r="I64" s="326" t="e">
        <f t="shared" si="15"/>
        <v>#VALUE!</v>
      </c>
      <c r="J64" s="326" t="e">
        <f t="shared" si="15"/>
        <v>#VALUE!</v>
      </c>
      <c r="K64" s="326" t="e">
        <f t="shared" si="15"/>
        <v>#VALUE!</v>
      </c>
      <c r="L64" s="348" t="str">
        <f t="shared" si="18"/>
        <v/>
      </c>
      <c r="M64" s="328" t="e">
        <f t="shared" si="16"/>
        <v>#VALUE!</v>
      </c>
      <c r="N64" s="328" t="e">
        <f t="shared" si="16"/>
        <v>#VALUE!</v>
      </c>
    </row>
    <row r="65" spans="1:14" s="324" customFormat="1" ht="0.65" hidden="1" customHeight="1">
      <c r="A65" s="324" t="e">
        <f t="shared" si="1"/>
        <v>#VALUE!</v>
      </c>
      <c r="G65" s="324" t="e">
        <f t="shared" si="17"/>
        <v>#VALUE!</v>
      </c>
      <c r="H65" s="335" t="e">
        <f t="shared" si="15"/>
        <v>#VALUE!</v>
      </c>
      <c r="I65" s="326" t="e">
        <f t="shared" si="15"/>
        <v>#VALUE!</v>
      </c>
      <c r="J65" s="326" t="e">
        <f t="shared" si="15"/>
        <v>#VALUE!</v>
      </c>
      <c r="K65" s="326" t="e">
        <f t="shared" si="15"/>
        <v>#VALUE!</v>
      </c>
      <c r="L65" s="348" t="str">
        <f t="shared" si="18"/>
        <v/>
      </c>
      <c r="M65" s="328" t="e">
        <f t="shared" si="16"/>
        <v>#VALUE!</v>
      </c>
      <c r="N65" s="328" t="e">
        <f t="shared" si="16"/>
        <v>#VALUE!</v>
      </c>
    </row>
    <row r="66" spans="1:14" s="324" customFormat="1" ht="0.65" hidden="1" customHeight="1">
      <c r="A66" s="324" t="e">
        <f t="shared" si="1"/>
        <v>#VALUE!</v>
      </c>
      <c r="G66" s="324" t="e">
        <f t="shared" si="17"/>
        <v>#VALUE!</v>
      </c>
      <c r="H66" s="327" t="e">
        <f t="shared" si="15"/>
        <v>#VALUE!</v>
      </c>
      <c r="I66" s="326" t="e">
        <f t="shared" si="15"/>
        <v>#VALUE!</v>
      </c>
      <c r="J66" s="326" t="e">
        <f t="shared" si="15"/>
        <v>#VALUE!</v>
      </c>
      <c r="K66" s="326" t="e">
        <f t="shared" si="15"/>
        <v>#VALUE!</v>
      </c>
      <c r="L66" s="349" t="str">
        <f t="shared" si="18"/>
        <v/>
      </c>
      <c r="M66" s="324" t="e">
        <f t="shared" si="16"/>
        <v>#VALUE!</v>
      </c>
      <c r="N66" s="324" t="e">
        <f t="shared" si="16"/>
        <v>#VALUE!</v>
      </c>
    </row>
    <row r="67" spans="1:14" s="324" customFormat="1" ht="0.65" hidden="1" customHeight="1">
      <c r="A67" s="324" t="e">
        <f t="shared" si="1"/>
        <v>#VALUE!</v>
      </c>
      <c r="G67" s="324" t="e">
        <f t="shared" si="17"/>
        <v>#VALUE!</v>
      </c>
      <c r="H67" s="327" t="e">
        <f t="shared" si="15"/>
        <v>#VALUE!</v>
      </c>
      <c r="I67" s="326" t="e">
        <f t="shared" si="15"/>
        <v>#VALUE!</v>
      </c>
      <c r="J67" s="326" t="e">
        <f t="shared" si="15"/>
        <v>#VALUE!</v>
      </c>
      <c r="K67" s="326" t="e">
        <f t="shared" si="15"/>
        <v>#VALUE!</v>
      </c>
      <c r="L67" s="349" t="str">
        <f t="shared" si="18"/>
        <v/>
      </c>
      <c r="M67" s="324" t="e">
        <f t="shared" si="16"/>
        <v>#VALUE!</v>
      </c>
      <c r="N67" s="324" t="e">
        <f t="shared" si="16"/>
        <v>#VALUE!</v>
      </c>
    </row>
    <row r="68" spans="1:14" s="324" customFormat="1" ht="0.65" hidden="1" customHeight="1">
      <c r="A68" s="324" t="e">
        <f t="shared" si="1"/>
        <v>#VALUE!</v>
      </c>
      <c r="G68" s="324" t="e">
        <f t="shared" si="17"/>
        <v>#VALUE!</v>
      </c>
      <c r="H68" s="327" t="e">
        <f t="shared" si="15"/>
        <v>#VALUE!</v>
      </c>
      <c r="I68" s="326" t="e">
        <f t="shared" si="15"/>
        <v>#VALUE!</v>
      </c>
      <c r="J68" s="326" t="e">
        <f t="shared" si="15"/>
        <v>#VALUE!</v>
      </c>
      <c r="K68" s="326" t="e">
        <f t="shared" si="15"/>
        <v>#VALUE!</v>
      </c>
      <c r="L68" s="349" t="str">
        <f t="shared" si="18"/>
        <v/>
      </c>
      <c r="M68" s="324" t="e">
        <f t="shared" si="16"/>
        <v>#VALUE!</v>
      </c>
      <c r="N68" s="324" t="e">
        <f t="shared" si="16"/>
        <v>#VALUE!</v>
      </c>
    </row>
    <row r="69" spans="1:14" s="324" customFormat="1" ht="0.65" hidden="1" customHeight="1">
      <c r="A69" s="324" t="e">
        <f t="shared" ref="A69:A132" si="19">1+A68</f>
        <v>#VALUE!</v>
      </c>
      <c r="G69" s="324" t="e">
        <f t="shared" si="17"/>
        <v>#VALUE!</v>
      </c>
      <c r="H69" s="327" t="e">
        <f t="shared" si="15"/>
        <v>#VALUE!</v>
      </c>
      <c r="I69" s="326" t="e">
        <f t="shared" si="15"/>
        <v>#VALUE!</v>
      </c>
      <c r="J69" s="326" t="e">
        <f t="shared" si="15"/>
        <v>#VALUE!</v>
      </c>
      <c r="K69" s="326" t="e">
        <f t="shared" si="15"/>
        <v>#VALUE!</v>
      </c>
      <c r="L69" s="349" t="str">
        <f t="shared" si="18"/>
        <v/>
      </c>
      <c r="M69" s="324" t="e">
        <f t="shared" si="16"/>
        <v>#VALUE!</v>
      </c>
      <c r="N69" s="324" t="e">
        <f t="shared" si="16"/>
        <v>#VALUE!</v>
      </c>
    </row>
    <row r="70" spans="1:14" s="324" customFormat="1" ht="0.65" hidden="1" customHeight="1">
      <c r="A70" s="324" t="e">
        <f t="shared" si="19"/>
        <v>#VALUE!</v>
      </c>
      <c r="G70" s="324" t="e">
        <f t="shared" si="17"/>
        <v>#VALUE!</v>
      </c>
      <c r="H70" s="335" t="e">
        <f t="shared" si="15"/>
        <v>#VALUE!</v>
      </c>
      <c r="I70" s="326" t="e">
        <f t="shared" si="15"/>
        <v>#VALUE!</v>
      </c>
      <c r="J70" s="326" t="e">
        <f t="shared" si="15"/>
        <v>#VALUE!</v>
      </c>
      <c r="K70" s="326" t="e">
        <f t="shared" si="15"/>
        <v>#VALUE!</v>
      </c>
      <c r="L70" s="349" t="str">
        <f t="shared" si="18"/>
        <v/>
      </c>
      <c r="M70" s="324" t="e">
        <f t="shared" si="16"/>
        <v>#VALUE!</v>
      </c>
      <c r="N70" s="324" t="e">
        <f t="shared" si="16"/>
        <v>#VALUE!</v>
      </c>
    </row>
    <row r="71" spans="1:14" s="324" customFormat="1" ht="0.65" hidden="1" customHeight="1">
      <c r="A71" s="324" t="e">
        <f t="shared" si="19"/>
        <v>#VALUE!</v>
      </c>
    </row>
    <row r="72" spans="1:14" s="324" customFormat="1" ht="0.65" hidden="1" customHeight="1">
      <c r="A72" s="324" t="e">
        <f t="shared" si="19"/>
        <v>#VALUE!</v>
      </c>
    </row>
    <row r="73" spans="1:14" s="324" customFormat="1" ht="0.65" hidden="1" customHeight="1">
      <c r="A73" s="324" t="e">
        <f t="shared" si="19"/>
        <v>#VALUE!</v>
      </c>
    </row>
    <row r="74" spans="1:14" s="324" customFormat="1" ht="0.65" hidden="1" customHeight="1">
      <c r="A74" s="324" t="e">
        <f t="shared" si="19"/>
        <v>#VALUE!</v>
      </c>
      <c r="M74" s="324" t="s">
        <v>452</v>
      </c>
      <c r="N74" s="324" t="s">
        <v>453</v>
      </c>
    </row>
    <row r="75" spans="1:14" s="324" customFormat="1" ht="0.65" hidden="1" customHeight="1">
      <c r="A75" s="324" t="e">
        <f t="shared" si="19"/>
        <v>#VALUE!</v>
      </c>
      <c r="H75" s="335" t="s">
        <v>436</v>
      </c>
      <c r="I75" s="336" t="e">
        <f t="shared" ref="I75:K90" si="20">VLOOKUP($A75,$A$175:$AC$1191,I$48,FALSE)</f>
        <v>#VALUE!</v>
      </c>
      <c r="J75" s="326" t="e">
        <f t="shared" si="20"/>
        <v>#VALUE!</v>
      </c>
      <c r="K75" s="326"/>
    </row>
    <row r="76" spans="1:14" s="324" customFormat="1" ht="0.65" hidden="1" customHeight="1">
      <c r="A76" s="324" t="e">
        <f t="shared" si="19"/>
        <v>#VALUE!</v>
      </c>
      <c r="H76" s="335" t="s">
        <v>437</v>
      </c>
      <c r="I76" s="326" t="e">
        <f t="shared" si="20"/>
        <v>#VALUE!</v>
      </c>
      <c r="J76" s="326" t="e">
        <f t="shared" si="20"/>
        <v>#VALUE!</v>
      </c>
      <c r="K76" s="326"/>
    </row>
    <row r="77" spans="1:14" s="324" customFormat="1" ht="0.65" hidden="1" customHeight="1">
      <c r="A77" s="324" t="e">
        <f t="shared" si="19"/>
        <v>#VALUE!</v>
      </c>
      <c r="H77" s="335" t="s">
        <v>438</v>
      </c>
      <c r="I77" s="326" t="e">
        <f t="shared" si="20"/>
        <v>#VALUE!</v>
      </c>
      <c r="J77" s="326" t="e">
        <f t="shared" si="20"/>
        <v>#VALUE!</v>
      </c>
      <c r="K77" s="326"/>
    </row>
    <row r="78" spans="1:14" s="324" customFormat="1" ht="0.65" hidden="1" customHeight="1">
      <c r="A78" s="324" t="e">
        <f t="shared" si="19"/>
        <v>#VALUE!</v>
      </c>
      <c r="H78" s="335" t="s">
        <v>439</v>
      </c>
      <c r="I78" s="326" t="e">
        <f t="shared" si="20"/>
        <v>#VALUE!</v>
      </c>
      <c r="J78" s="326" t="e">
        <f t="shared" si="20"/>
        <v>#VALUE!</v>
      </c>
      <c r="K78" s="326"/>
    </row>
    <row r="79" spans="1:14" s="324" customFormat="1" ht="0.65" hidden="1" customHeight="1">
      <c r="A79" s="324" t="e">
        <f t="shared" si="19"/>
        <v>#VALUE!</v>
      </c>
      <c r="G79" s="324" t="e">
        <f t="shared" ref="G79:G90" si="21">K79</f>
        <v>#VALUE!</v>
      </c>
      <c r="H79" s="327" t="s">
        <v>436</v>
      </c>
      <c r="I79" s="336" t="e">
        <f t="shared" si="20"/>
        <v>#VALUE!</v>
      </c>
      <c r="J79" s="326" t="e">
        <f t="shared" si="20"/>
        <v>#VALUE!</v>
      </c>
      <c r="K79" s="326" t="e">
        <f t="shared" si="20"/>
        <v>#VALUE!</v>
      </c>
      <c r="L79" s="350" t="str">
        <f t="shared" ref="L79:L90" si="22">IF($E$35="N",M79,IF($E$35="T",N79,""))</f>
        <v/>
      </c>
      <c r="M79" s="324" t="e">
        <f t="shared" ref="M79:N90" si="23">VLOOKUP($A79,$A$175:$AC$1191,M$48,FALSE)</f>
        <v>#VALUE!</v>
      </c>
      <c r="N79" s="324" t="e">
        <f t="shared" si="23"/>
        <v>#VALUE!</v>
      </c>
    </row>
    <row r="80" spans="1:14" s="324" customFormat="1" ht="0.65" hidden="1" customHeight="1">
      <c r="A80" s="324" t="e">
        <f t="shared" si="19"/>
        <v>#VALUE!</v>
      </c>
      <c r="G80" s="324" t="e">
        <f t="shared" si="21"/>
        <v>#VALUE!</v>
      </c>
      <c r="H80" s="327" t="s">
        <v>437</v>
      </c>
      <c r="I80" s="326" t="e">
        <f t="shared" si="20"/>
        <v>#VALUE!</v>
      </c>
      <c r="J80" s="326" t="e">
        <f t="shared" si="20"/>
        <v>#VALUE!</v>
      </c>
      <c r="K80" s="326" t="e">
        <f t="shared" si="20"/>
        <v>#VALUE!</v>
      </c>
      <c r="L80" s="350" t="str">
        <f t="shared" si="22"/>
        <v/>
      </c>
      <c r="M80" s="324" t="e">
        <f t="shared" si="23"/>
        <v>#VALUE!</v>
      </c>
      <c r="N80" s="324" t="e">
        <f t="shared" si="23"/>
        <v>#VALUE!</v>
      </c>
    </row>
    <row r="81" spans="1:14" s="324" customFormat="1" ht="0.65" hidden="1" customHeight="1">
      <c r="A81" s="324" t="e">
        <f t="shared" si="19"/>
        <v>#VALUE!</v>
      </c>
      <c r="G81" s="324" t="e">
        <f t="shared" si="21"/>
        <v>#VALUE!</v>
      </c>
      <c r="H81" s="327" t="s">
        <v>438</v>
      </c>
      <c r="I81" s="326" t="e">
        <f t="shared" si="20"/>
        <v>#VALUE!</v>
      </c>
      <c r="J81" s="326" t="e">
        <f t="shared" si="20"/>
        <v>#VALUE!</v>
      </c>
      <c r="K81" s="326" t="e">
        <f t="shared" si="20"/>
        <v>#VALUE!</v>
      </c>
      <c r="L81" s="350" t="str">
        <f t="shared" si="22"/>
        <v/>
      </c>
      <c r="M81" s="324" t="e">
        <f t="shared" si="23"/>
        <v>#VALUE!</v>
      </c>
      <c r="N81" s="324" t="e">
        <f t="shared" si="23"/>
        <v>#VALUE!</v>
      </c>
    </row>
    <row r="82" spans="1:14" s="324" customFormat="1" ht="0.65" hidden="1" customHeight="1">
      <c r="A82" s="324" t="e">
        <f t="shared" si="19"/>
        <v>#VALUE!</v>
      </c>
      <c r="G82" s="324" t="e">
        <f t="shared" si="21"/>
        <v>#VALUE!</v>
      </c>
      <c r="H82" s="327" t="s">
        <v>439</v>
      </c>
      <c r="I82" s="326" t="e">
        <f t="shared" si="20"/>
        <v>#VALUE!</v>
      </c>
      <c r="J82" s="326" t="e">
        <f t="shared" si="20"/>
        <v>#VALUE!</v>
      </c>
      <c r="K82" s="326" t="e">
        <f t="shared" si="20"/>
        <v>#VALUE!</v>
      </c>
      <c r="L82" s="350" t="str">
        <f t="shared" si="22"/>
        <v/>
      </c>
      <c r="M82" s="324" t="e">
        <f t="shared" si="23"/>
        <v>#VALUE!</v>
      </c>
      <c r="N82" s="324" t="e">
        <f t="shared" si="23"/>
        <v>#VALUE!</v>
      </c>
    </row>
    <row r="83" spans="1:14" s="324" customFormat="1" ht="0.65" hidden="1" customHeight="1">
      <c r="A83" s="324" t="e">
        <f t="shared" si="19"/>
        <v>#VALUE!</v>
      </c>
      <c r="G83" s="324" t="e">
        <f t="shared" si="21"/>
        <v>#VALUE!</v>
      </c>
      <c r="H83" s="327" t="s">
        <v>436</v>
      </c>
      <c r="I83" s="326" t="e">
        <f t="shared" si="20"/>
        <v>#VALUE!</v>
      </c>
      <c r="J83" s="326" t="e">
        <f t="shared" si="20"/>
        <v>#VALUE!</v>
      </c>
      <c r="K83" s="326" t="e">
        <f t="shared" si="20"/>
        <v>#VALUE!</v>
      </c>
      <c r="L83" s="350" t="str">
        <f t="shared" si="22"/>
        <v/>
      </c>
      <c r="M83" s="324" t="e">
        <f t="shared" si="23"/>
        <v>#VALUE!</v>
      </c>
      <c r="N83" s="324" t="e">
        <f t="shared" si="23"/>
        <v>#VALUE!</v>
      </c>
    </row>
    <row r="84" spans="1:14" s="324" customFormat="1" ht="0.65" hidden="1" customHeight="1">
      <c r="A84" s="324" t="e">
        <f t="shared" si="19"/>
        <v>#VALUE!</v>
      </c>
      <c r="G84" s="324" t="e">
        <f t="shared" si="21"/>
        <v>#VALUE!</v>
      </c>
      <c r="H84" s="327" t="s">
        <v>437</v>
      </c>
      <c r="I84" s="326" t="e">
        <f t="shared" si="20"/>
        <v>#VALUE!</v>
      </c>
      <c r="J84" s="326" t="e">
        <f t="shared" si="20"/>
        <v>#VALUE!</v>
      </c>
      <c r="K84" s="326" t="e">
        <f t="shared" si="20"/>
        <v>#VALUE!</v>
      </c>
      <c r="L84" s="350" t="str">
        <f t="shared" si="22"/>
        <v/>
      </c>
      <c r="M84" s="324" t="e">
        <f t="shared" si="23"/>
        <v>#VALUE!</v>
      </c>
      <c r="N84" s="324" t="e">
        <f t="shared" si="23"/>
        <v>#VALUE!</v>
      </c>
    </row>
    <row r="85" spans="1:14" s="324" customFormat="1" ht="0.65" hidden="1" customHeight="1">
      <c r="A85" s="324" t="e">
        <f t="shared" si="19"/>
        <v>#VALUE!</v>
      </c>
      <c r="G85" s="324" t="e">
        <f t="shared" si="21"/>
        <v>#VALUE!</v>
      </c>
      <c r="H85" s="327" t="s">
        <v>438</v>
      </c>
      <c r="I85" s="326" t="e">
        <f t="shared" si="20"/>
        <v>#VALUE!</v>
      </c>
      <c r="J85" s="326" t="e">
        <f t="shared" si="20"/>
        <v>#VALUE!</v>
      </c>
      <c r="K85" s="326" t="e">
        <f t="shared" si="20"/>
        <v>#VALUE!</v>
      </c>
      <c r="L85" s="350" t="str">
        <f t="shared" si="22"/>
        <v/>
      </c>
      <c r="M85" s="324" t="e">
        <f t="shared" si="23"/>
        <v>#VALUE!</v>
      </c>
      <c r="N85" s="324" t="e">
        <f t="shared" si="23"/>
        <v>#VALUE!</v>
      </c>
    </row>
    <row r="86" spans="1:14" s="324" customFormat="1" ht="0.65" hidden="1" customHeight="1">
      <c r="A86" s="324" t="e">
        <f t="shared" si="19"/>
        <v>#VALUE!</v>
      </c>
      <c r="G86" s="324" t="e">
        <f t="shared" si="21"/>
        <v>#VALUE!</v>
      </c>
      <c r="H86" s="327" t="s">
        <v>439</v>
      </c>
      <c r="I86" s="326" t="e">
        <f t="shared" si="20"/>
        <v>#VALUE!</v>
      </c>
      <c r="J86" s="326" t="e">
        <f t="shared" si="20"/>
        <v>#VALUE!</v>
      </c>
      <c r="K86" s="326" t="e">
        <f t="shared" si="20"/>
        <v>#VALUE!</v>
      </c>
      <c r="L86" s="350" t="str">
        <f t="shared" si="22"/>
        <v/>
      </c>
      <c r="M86" s="324" t="e">
        <f t="shared" si="23"/>
        <v>#VALUE!</v>
      </c>
      <c r="N86" s="324" t="e">
        <f t="shared" si="23"/>
        <v>#VALUE!</v>
      </c>
    </row>
    <row r="87" spans="1:14" s="324" customFormat="1" ht="0.65" hidden="1" customHeight="1">
      <c r="A87" s="324" t="e">
        <f t="shared" si="19"/>
        <v>#VALUE!</v>
      </c>
      <c r="G87" s="324" t="e">
        <f t="shared" si="21"/>
        <v>#VALUE!</v>
      </c>
      <c r="H87" s="327" t="s">
        <v>436</v>
      </c>
      <c r="I87" s="326" t="e">
        <f t="shared" si="20"/>
        <v>#VALUE!</v>
      </c>
      <c r="J87" s="326" t="e">
        <f t="shared" si="20"/>
        <v>#VALUE!</v>
      </c>
      <c r="K87" s="326" t="e">
        <f t="shared" si="20"/>
        <v>#VALUE!</v>
      </c>
      <c r="L87" s="350" t="str">
        <f t="shared" si="22"/>
        <v/>
      </c>
      <c r="M87" s="324" t="e">
        <f t="shared" si="23"/>
        <v>#VALUE!</v>
      </c>
      <c r="N87" s="324" t="e">
        <f t="shared" si="23"/>
        <v>#VALUE!</v>
      </c>
    </row>
    <row r="88" spans="1:14" s="324" customFormat="1" ht="0.65" hidden="1" customHeight="1">
      <c r="A88" s="324" t="e">
        <f t="shared" si="19"/>
        <v>#VALUE!</v>
      </c>
      <c r="G88" s="324" t="e">
        <f t="shared" si="21"/>
        <v>#VALUE!</v>
      </c>
      <c r="H88" s="327" t="s">
        <v>437</v>
      </c>
      <c r="I88" s="326" t="e">
        <f t="shared" si="20"/>
        <v>#VALUE!</v>
      </c>
      <c r="J88" s="326" t="e">
        <f t="shared" si="20"/>
        <v>#VALUE!</v>
      </c>
      <c r="K88" s="326" t="e">
        <f t="shared" si="20"/>
        <v>#VALUE!</v>
      </c>
      <c r="L88" s="350" t="str">
        <f t="shared" si="22"/>
        <v/>
      </c>
      <c r="M88" s="324" t="e">
        <f t="shared" si="23"/>
        <v>#VALUE!</v>
      </c>
      <c r="N88" s="324" t="e">
        <f t="shared" si="23"/>
        <v>#VALUE!</v>
      </c>
    </row>
    <row r="89" spans="1:14" s="324" customFormat="1" ht="0.65" hidden="1" customHeight="1">
      <c r="A89" s="324" t="e">
        <f t="shared" si="19"/>
        <v>#VALUE!</v>
      </c>
      <c r="G89" s="324" t="e">
        <f t="shared" si="21"/>
        <v>#VALUE!</v>
      </c>
      <c r="H89" s="327" t="s">
        <v>438</v>
      </c>
      <c r="I89" s="326" t="e">
        <f t="shared" si="20"/>
        <v>#VALUE!</v>
      </c>
      <c r="J89" s="326" t="e">
        <f t="shared" si="20"/>
        <v>#VALUE!</v>
      </c>
      <c r="K89" s="326" t="e">
        <f t="shared" si="20"/>
        <v>#VALUE!</v>
      </c>
      <c r="L89" s="350" t="str">
        <f t="shared" si="22"/>
        <v/>
      </c>
      <c r="M89" s="324" t="e">
        <f t="shared" si="23"/>
        <v>#VALUE!</v>
      </c>
      <c r="N89" s="324" t="e">
        <f t="shared" si="23"/>
        <v>#VALUE!</v>
      </c>
    </row>
    <row r="90" spans="1:14" s="324" customFormat="1" ht="0.65" hidden="1" customHeight="1">
      <c r="A90" s="324" t="e">
        <f t="shared" si="19"/>
        <v>#VALUE!</v>
      </c>
      <c r="G90" s="324" t="e">
        <f t="shared" si="21"/>
        <v>#VALUE!</v>
      </c>
      <c r="H90" s="327" t="s">
        <v>439</v>
      </c>
      <c r="I90" s="326" t="e">
        <f t="shared" si="20"/>
        <v>#VALUE!</v>
      </c>
      <c r="J90" s="326" t="e">
        <f t="shared" si="20"/>
        <v>#VALUE!</v>
      </c>
      <c r="K90" s="326" t="e">
        <f t="shared" si="20"/>
        <v>#VALUE!</v>
      </c>
      <c r="L90" s="350" t="str">
        <f t="shared" si="22"/>
        <v/>
      </c>
      <c r="M90" s="324" t="e">
        <f t="shared" si="23"/>
        <v>#VALUE!</v>
      </c>
      <c r="N90" s="324" t="e">
        <f t="shared" si="23"/>
        <v>#VALUE!</v>
      </c>
    </row>
    <row r="91" spans="1:14" s="324" customFormat="1" ht="0.65" hidden="1" customHeight="1">
      <c r="A91" s="324" t="e">
        <f t="shared" si="19"/>
        <v>#VALUE!</v>
      </c>
    </row>
    <row r="92" spans="1:14" s="324" customFormat="1" ht="0.65" hidden="1" customHeight="1">
      <c r="A92" s="324" t="e">
        <f t="shared" si="19"/>
        <v>#VALUE!</v>
      </c>
      <c r="K92" s="324" t="s">
        <v>13</v>
      </c>
      <c r="L92" s="350" t="e">
        <f t="shared" ref="L92:M95" si="24">VLOOKUP($A92,$A$175:$AC$1191,L$48,FALSE)</f>
        <v>#VALUE!</v>
      </c>
      <c r="M92" s="350" t="e">
        <f t="shared" si="24"/>
        <v>#VALUE!</v>
      </c>
    </row>
    <row r="93" spans="1:14" s="324" customFormat="1" ht="0.65" hidden="1" customHeight="1">
      <c r="A93" s="324" t="e">
        <f t="shared" si="19"/>
        <v>#VALUE!</v>
      </c>
      <c r="K93" s="324" t="s">
        <v>28</v>
      </c>
      <c r="L93" s="350" t="e">
        <f t="shared" si="24"/>
        <v>#VALUE!</v>
      </c>
      <c r="M93" s="350" t="e">
        <f t="shared" si="24"/>
        <v>#VALUE!</v>
      </c>
    </row>
    <row r="94" spans="1:14" s="324" customFormat="1" ht="0.65" hidden="1" customHeight="1">
      <c r="A94" s="324" t="e">
        <f t="shared" si="19"/>
        <v>#VALUE!</v>
      </c>
      <c r="K94" s="324" t="s">
        <v>29</v>
      </c>
      <c r="L94" s="350" t="e">
        <f t="shared" si="24"/>
        <v>#VALUE!</v>
      </c>
      <c r="M94" s="350" t="e">
        <f t="shared" si="24"/>
        <v>#VALUE!</v>
      </c>
    </row>
    <row r="95" spans="1:14" s="324" customFormat="1" ht="0.65" hidden="1" customHeight="1">
      <c r="A95" s="324" t="e">
        <f t="shared" si="19"/>
        <v>#VALUE!</v>
      </c>
      <c r="K95" s="324" t="s">
        <v>30</v>
      </c>
      <c r="L95" s="350" t="e">
        <f t="shared" si="24"/>
        <v>#VALUE!</v>
      </c>
      <c r="M95" s="350" t="e">
        <f t="shared" si="24"/>
        <v>#VALUE!</v>
      </c>
    </row>
    <row r="96" spans="1:14" s="324" customFormat="1" ht="0.65" hidden="1" customHeight="1">
      <c r="A96" s="324" t="e">
        <f t="shared" si="19"/>
        <v>#VALUE!</v>
      </c>
    </row>
    <row r="97" spans="1:14" s="324" customFormat="1" ht="0.65" hidden="1" customHeight="1">
      <c r="A97" s="324" t="e">
        <f t="shared" si="19"/>
        <v>#VALUE!</v>
      </c>
    </row>
    <row r="98" spans="1:14" s="324" customFormat="1" ht="0.65" hidden="1" customHeight="1">
      <c r="A98" s="324" t="e">
        <f t="shared" si="19"/>
        <v>#VALUE!</v>
      </c>
    </row>
    <row r="99" spans="1:14" s="324" customFormat="1" ht="0.65" hidden="1" customHeight="1">
      <c r="A99" s="324" t="e">
        <f t="shared" si="19"/>
        <v>#VALUE!</v>
      </c>
      <c r="J99" s="324" t="e">
        <f>VLOOKUP($A99,$A$175:$AC$1191,J$48,FALSE)</f>
        <v>#VALUE!</v>
      </c>
      <c r="N99" s="324" t="e">
        <f>VLOOKUP($A99,$A$175:$AC$1191,N$48,FALSE)</f>
        <v>#VALUE!</v>
      </c>
    </row>
    <row r="100" spans="1:14" s="324" customFormat="1" ht="0.65" hidden="1" customHeight="1">
      <c r="A100" s="324" t="e">
        <f t="shared" si="19"/>
        <v>#VALUE!</v>
      </c>
    </row>
    <row r="101" spans="1:14" s="324" customFormat="1" ht="0.65" hidden="1" customHeight="1">
      <c r="A101" s="324" t="e">
        <f t="shared" si="19"/>
        <v>#VALUE!</v>
      </c>
      <c r="J101" s="324" t="e">
        <f t="shared" ref="J101:J103" si="25">VLOOKUP($A101,$A$175:$AC$1191,J$48,FALSE)</f>
        <v>#VALUE!</v>
      </c>
      <c r="N101" s="324" t="e">
        <f t="shared" ref="N101:N103" si="26">VLOOKUP($A101,$A$175:$AC$1191,N$48,FALSE)</f>
        <v>#VALUE!</v>
      </c>
    </row>
    <row r="102" spans="1:14" s="324" customFormat="1" ht="0.65" hidden="1" customHeight="1">
      <c r="A102" s="324" t="e">
        <f t="shared" si="19"/>
        <v>#VALUE!</v>
      </c>
      <c r="J102" s="324" t="e">
        <f t="shared" si="25"/>
        <v>#VALUE!</v>
      </c>
      <c r="N102" s="324" t="e">
        <f t="shared" si="26"/>
        <v>#VALUE!</v>
      </c>
    </row>
    <row r="103" spans="1:14" s="324" customFormat="1" ht="0.65" hidden="1" customHeight="1">
      <c r="A103" s="324" t="e">
        <f t="shared" si="19"/>
        <v>#VALUE!</v>
      </c>
      <c r="J103" s="324" t="e">
        <f t="shared" si="25"/>
        <v>#VALUE!</v>
      </c>
      <c r="N103" s="324" t="e">
        <f t="shared" si="26"/>
        <v>#VALUE!</v>
      </c>
    </row>
    <row r="104" spans="1:14" s="324" customFormat="1" ht="0.65" hidden="1" customHeight="1">
      <c r="A104" s="324" t="e">
        <f t="shared" si="19"/>
        <v>#VALUE!</v>
      </c>
    </row>
    <row r="105" spans="1:14" s="324" customFormat="1" ht="0.65" hidden="1" customHeight="1">
      <c r="A105" s="324" t="e">
        <f t="shared" si="19"/>
        <v>#VALUE!</v>
      </c>
      <c r="J105" s="324" t="e">
        <f t="shared" ref="J105:J107" si="27">VLOOKUP($A105,$A$175:$AC$1191,J$48,FALSE)</f>
        <v>#VALUE!</v>
      </c>
      <c r="N105" s="324" t="e">
        <f t="shared" ref="N105:N107" si="28">VLOOKUP($A105,$A$175:$AC$1191,N$48,FALSE)</f>
        <v>#VALUE!</v>
      </c>
    </row>
    <row r="106" spans="1:14" s="324" customFormat="1" ht="0.65" hidden="1" customHeight="1">
      <c r="A106" s="324" t="e">
        <f t="shared" si="19"/>
        <v>#VALUE!</v>
      </c>
      <c r="J106" s="324" t="e">
        <f t="shared" si="27"/>
        <v>#VALUE!</v>
      </c>
      <c r="N106" s="324" t="e">
        <f t="shared" si="28"/>
        <v>#VALUE!</v>
      </c>
    </row>
    <row r="107" spans="1:14" s="324" customFormat="1" ht="0.65" hidden="1" customHeight="1">
      <c r="A107" s="324" t="e">
        <f t="shared" si="19"/>
        <v>#VALUE!</v>
      </c>
      <c r="J107" s="324" t="e">
        <f t="shared" si="27"/>
        <v>#VALUE!</v>
      </c>
      <c r="N107" s="324" t="e">
        <f t="shared" si="28"/>
        <v>#VALUE!</v>
      </c>
    </row>
    <row r="108" spans="1:14" s="324" customFormat="1" ht="0.65" hidden="1" customHeight="1">
      <c r="A108" s="324" t="e">
        <f t="shared" si="19"/>
        <v>#VALUE!</v>
      </c>
    </row>
    <row r="109" spans="1:14" s="324" customFormat="1" ht="0.65" hidden="1" customHeight="1">
      <c r="A109" s="324" t="e">
        <f t="shared" si="19"/>
        <v>#VALUE!</v>
      </c>
    </row>
    <row r="110" spans="1:14" s="324" customFormat="1" ht="0.65" hidden="1" customHeight="1">
      <c r="A110" s="324" t="e">
        <f t="shared" si="19"/>
        <v>#VALUE!</v>
      </c>
    </row>
    <row r="111" spans="1:14" s="324" customFormat="1" ht="0.65" hidden="1" customHeight="1">
      <c r="A111" s="324" t="e">
        <f t="shared" si="19"/>
        <v>#VALUE!</v>
      </c>
    </row>
    <row r="112" spans="1:14" s="324" customFormat="1" ht="0.65" hidden="1" customHeight="1">
      <c r="A112" s="324" t="e">
        <f t="shared" si="19"/>
        <v>#VALUE!</v>
      </c>
    </row>
    <row r="113" spans="1:13" s="324" customFormat="1" ht="0.65" hidden="1" customHeight="1">
      <c r="A113" s="324" t="e">
        <f t="shared" si="19"/>
        <v>#VALUE!</v>
      </c>
    </row>
    <row r="114" spans="1:13" s="324" customFormat="1" ht="0.65" hidden="1" customHeight="1">
      <c r="A114" s="324" t="e">
        <f t="shared" si="19"/>
        <v>#VALUE!</v>
      </c>
    </row>
    <row r="115" spans="1:13" s="324" customFormat="1" ht="0.65" hidden="1" customHeight="1">
      <c r="A115" s="324" t="e">
        <f t="shared" si="19"/>
        <v>#VALUE!</v>
      </c>
    </row>
    <row r="116" spans="1:13" s="324" customFormat="1" ht="0.65" hidden="1" customHeight="1">
      <c r="A116" s="324" t="e">
        <f t="shared" si="19"/>
        <v>#VALUE!</v>
      </c>
    </row>
    <row r="117" spans="1:13" s="324" customFormat="1" ht="0.65" hidden="1" customHeight="1">
      <c r="A117" s="324" t="e">
        <f t="shared" si="19"/>
        <v>#VALUE!</v>
      </c>
      <c r="G117" s="324">
        <f>1+G116</f>
        <v>1</v>
      </c>
      <c r="H117" s="324" t="e">
        <f t="shared" ref="H117:M132" si="29">VLOOKUP($A117,$A$175:$AC$1191,H$48,FALSE)</f>
        <v>#VALUE!</v>
      </c>
      <c r="I117" s="324" t="e">
        <f t="shared" si="29"/>
        <v>#VALUE!</v>
      </c>
      <c r="J117" s="324" t="e">
        <f t="shared" si="29"/>
        <v>#VALUE!</v>
      </c>
      <c r="K117" s="324" t="e">
        <f t="shared" si="29"/>
        <v>#VALUE!</v>
      </c>
      <c r="L117" s="324" t="e">
        <f t="shared" si="29"/>
        <v>#VALUE!</v>
      </c>
      <c r="M117" s="324" t="e">
        <f t="shared" si="29"/>
        <v>#VALUE!</v>
      </c>
    </row>
    <row r="118" spans="1:13" s="324" customFormat="1" ht="0.65" hidden="1" customHeight="1">
      <c r="A118" s="324" t="e">
        <f t="shared" si="19"/>
        <v>#VALUE!</v>
      </c>
      <c r="G118" s="324">
        <f t="shared" ref="G118:G167" si="30">1+G117</f>
        <v>2</v>
      </c>
      <c r="H118" s="324" t="e">
        <f t="shared" si="29"/>
        <v>#VALUE!</v>
      </c>
      <c r="I118" s="324" t="e">
        <f t="shared" si="29"/>
        <v>#VALUE!</v>
      </c>
      <c r="J118" s="324" t="e">
        <f t="shared" si="29"/>
        <v>#VALUE!</v>
      </c>
      <c r="K118" s="324" t="e">
        <f t="shared" si="29"/>
        <v>#VALUE!</v>
      </c>
      <c r="L118" s="324" t="e">
        <f t="shared" si="29"/>
        <v>#VALUE!</v>
      </c>
      <c r="M118" s="324" t="e">
        <f t="shared" si="29"/>
        <v>#VALUE!</v>
      </c>
    </row>
    <row r="119" spans="1:13" s="324" customFormat="1" ht="0.65" hidden="1" customHeight="1">
      <c r="A119" s="324" t="e">
        <f t="shared" si="19"/>
        <v>#VALUE!</v>
      </c>
      <c r="G119" s="324">
        <f t="shared" si="30"/>
        <v>3</v>
      </c>
      <c r="H119" s="324" t="e">
        <f t="shared" si="29"/>
        <v>#VALUE!</v>
      </c>
      <c r="I119" s="324" t="e">
        <f t="shared" si="29"/>
        <v>#VALUE!</v>
      </c>
      <c r="J119" s="324" t="e">
        <f t="shared" si="29"/>
        <v>#VALUE!</v>
      </c>
      <c r="K119" s="324" t="e">
        <f t="shared" si="29"/>
        <v>#VALUE!</v>
      </c>
      <c r="L119" s="324" t="e">
        <f t="shared" si="29"/>
        <v>#VALUE!</v>
      </c>
      <c r="M119" s="324" t="e">
        <f t="shared" si="29"/>
        <v>#VALUE!</v>
      </c>
    </row>
    <row r="120" spans="1:13" s="324" customFormat="1" ht="0.65" hidden="1" customHeight="1">
      <c r="A120" s="324" t="e">
        <f t="shared" si="19"/>
        <v>#VALUE!</v>
      </c>
      <c r="G120" s="324">
        <f t="shared" si="30"/>
        <v>4</v>
      </c>
      <c r="H120" s="324" t="e">
        <f t="shared" si="29"/>
        <v>#VALUE!</v>
      </c>
      <c r="I120" s="324" t="e">
        <f t="shared" si="29"/>
        <v>#VALUE!</v>
      </c>
      <c r="J120" s="324" t="e">
        <f t="shared" si="29"/>
        <v>#VALUE!</v>
      </c>
      <c r="K120" s="324" t="e">
        <f t="shared" si="29"/>
        <v>#VALUE!</v>
      </c>
      <c r="L120" s="324" t="e">
        <f t="shared" si="29"/>
        <v>#VALUE!</v>
      </c>
      <c r="M120" s="324" t="e">
        <f t="shared" si="29"/>
        <v>#VALUE!</v>
      </c>
    </row>
    <row r="121" spans="1:13" s="324" customFormat="1" ht="0.65" hidden="1" customHeight="1">
      <c r="A121" s="324" t="e">
        <f t="shared" si="19"/>
        <v>#VALUE!</v>
      </c>
      <c r="G121" s="324">
        <f t="shared" si="30"/>
        <v>5</v>
      </c>
      <c r="H121" s="324" t="e">
        <f t="shared" si="29"/>
        <v>#VALUE!</v>
      </c>
      <c r="I121" s="324" t="e">
        <f t="shared" si="29"/>
        <v>#VALUE!</v>
      </c>
      <c r="J121" s="324" t="e">
        <f t="shared" si="29"/>
        <v>#VALUE!</v>
      </c>
      <c r="K121" s="324" t="e">
        <f t="shared" si="29"/>
        <v>#VALUE!</v>
      </c>
      <c r="L121" s="324" t="e">
        <f t="shared" si="29"/>
        <v>#VALUE!</v>
      </c>
      <c r="M121" s="324" t="e">
        <f t="shared" si="29"/>
        <v>#VALUE!</v>
      </c>
    </row>
    <row r="122" spans="1:13" s="324" customFormat="1" ht="0.65" hidden="1" customHeight="1">
      <c r="A122" s="324" t="e">
        <f t="shared" si="19"/>
        <v>#VALUE!</v>
      </c>
      <c r="G122" s="324">
        <f t="shared" si="30"/>
        <v>6</v>
      </c>
      <c r="H122" s="324" t="e">
        <f t="shared" si="29"/>
        <v>#VALUE!</v>
      </c>
      <c r="I122" s="324" t="e">
        <f t="shared" si="29"/>
        <v>#VALUE!</v>
      </c>
      <c r="J122" s="324" t="e">
        <f t="shared" si="29"/>
        <v>#VALUE!</v>
      </c>
      <c r="K122" s="324" t="e">
        <f t="shared" si="29"/>
        <v>#VALUE!</v>
      </c>
      <c r="L122" s="324" t="e">
        <f t="shared" si="29"/>
        <v>#VALUE!</v>
      </c>
      <c r="M122" s="324" t="e">
        <f t="shared" si="29"/>
        <v>#VALUE!</v>
      </c>
    </row>
    <row r="123" spans="1:13" s="324" customFormat="1" ht="0.65" hidden="1" customHeight="1">
      <c r="A123" s="324" t="e">
        <f t="shared" si="19"/>
        <v>#VALUE!</v>
      </c>
      <c r="G123" s="324">
        <f t="shared" si="30"/>
        <v>7</v>
      </c>
      <c r="H123" s="324" t="e">
        <f t="shared" si="29"/>
        <v>#VALUE!</v>
      </c>
      <c r="I123" s="324" t="e">
        <f t="shared" si="29"/>
        <v>#VALUE!</v>
      </c>
      <c r="J123" s="324" t="e">
        <f t="shared" si="29"/>
        <v>#VALUE!</v>
      </c>
      <c r="K123" s="324" t="e">
        <f t="shared" si="29"/>
        <v>#VALUE!</v>
      </c>
      <c r="L123" s="324" t="e">
        <f t="shared" si="29"/>
        <v>#VALUE!</v>
      </c>
      <c r="M123" s="324" t="e">
        <f t="shared" si="29"/>
        <v>#VALUE!</v>
      </c>
    </row>
    <row r="124" spans="1:13" s="324" customFormat="1" ht="0.65" hidden="1" customHeight="1">
      <c r="A124" s="324" t="e">
        <f t="shared" si="19"/>
        <v>#VALUE!</v>
      </c>
      <c r="G124" s="324">
        <f t="shared" si="30"/>
        <v>8</v>
      </c>
      <c r="H124" s="324" t="e">
        <f t="shared" si="29"/>
        <v>#VALUE!</v>
      </c>
      <c r="I124" s="324" t="e">
        <f t="shared" si="29"/>
        <v>#VALUE!</v>
      </c>
      <c r="J124" s="324" t="e">
        <f t="shared" si="29"/>
        <v>#VALUE!</v>
      </c>
      <c r="K124" s="324" t="e">
        <f t="shared" si="29"/>
        <v>#VALUE!</v>
      </c>
      <c r="L124" s="324" t="e">
        <f t="shared" si="29"/>
        <v>#VALUE!</v>
      </c>
      <c r="M124" s="324" t="e">
        <f t="shared" si="29"/>
        <v>#VALUE!</v>
      </c>
    </row>
    <row r="125" spans="1:13" s="324" customFormat="1" ht="0.65" hidden="1" customHeight="1">
      <c r="A125" s="324" t="e">
        <f t="shared" si="19"/>
        <v>#VALUE!</v>
      </c>
      <c r="G125" s="324">
        <f t="shared" si="30"/>
        <v>9</v>
      </c>
      <c r="H125" s="324" t="e">
        <f t="shared" si="29"/>
        <v>#VALUE!</v>
      </c>
      <c r="I125" s="324" t="e">
        <f t="shared" si="29"/>
        <v>#VALUE!</v>
      </c>
      <c r="J125" s="324" t="e">
        <f t="shared" si="29"/>
        <v>#VALUE!</v>
      </c>
      <c r="K125" s="324" t="e">
        <f t="shared" si="29"/>
        <v>#VALUE!</v>
      </c>
      <c r="L125" s="324" t="e">
        <f t="shared" si="29"/>
        <v>#VALUE!</v>
      </c>
      <c r="M125" s="324" t="e">
        <f t="shared" si="29"/>
        <v>#VALUE!</v>
      </c>
    </row>
    <row r="126" spans="1:13" s="324" customFormat="1" ht="0.65" hidden="1" customHeight="1">
      <c r="A126" s="324" t="e">
        <f t="shared" si="19"/>
        <v>#VALUE!</v>
      </c>
      <c r="G126" s="324">
        <f t="shared" si="30"/>
        <v>10</v>
      </c>
      <c r="H126" s="324" t="e">
        <f t="shared" si="29"/>
        <v>#VALUE!</v>
      </c>
      <c r="I126" s="324" t="e">
        <f t="shared" si="29"/>
        <v>#VALUE!</v>
      </c>
      <c r="J126" s="324" t="e">
        <f t="shared" si="29"/>
        <v>#VALUE!</v>
      </c>
      <c r="K126" s="324" t="e">
        <f t="shared" si="29"/>
        <v>#VALUE!</v>
      </c>
      <c r="L126" s="324" t="e">
        <f t="shared" si="29"/>
        <v>#VALUE!</v>
      </c>
      <c r="M126" s="324" t="e">
        <f t="shared" si="29"/>
        <v>#VALUE!</v>
      </c>
    </row>
    <row r="127" spans="1:13" s="324" customFormat="1" ht="0.65" hidden="1" customHeight="1">
      <c r="A127" s="324" t="e">
        <f t="shared" si="19"/>
        <v>#VALUE!</v>
      </c>
      <c r="G127" s="324">
        <f t="shared" si="30"/>
        <v>11</v>
      </c>
      <c r="H127" s="324" t="e">
        <f t="shared" si="29"/>
        <v>#VALUE!</v>
      </c>
      <c r="I127" s="324" t="e">
        <f t="shared" si="29"/>
        <v>#VALUE!</v>
      </c>
      <c r="J127" s="324" t="e">
        <f t="shared" si="29"/>
        <v>#VALUE!</v>
      </c>
      <c r="K127" s="324" t="e">
        <f t="shared" si="29"/>
        <v>#VALUE!</v>
      </c>
      <c r="L127" s="324" t="e">
        <f t="shared" si="29"/>
        <v>#VALUE!</v>
      </c>
      <c r="M127" s="324" t="e">
        <f t="shared" si="29"/>
        <v>#VALUE!</v>
      </c>
    </row>
    <row r="128" spans="1:13" s="324" customFormat="1" ht="0.65" hidden="1" customHeight="1">
      <c r="A128" s="324" t="e">
        <f t="shared" si="19"/>
        <v>#VALUE!</v>
      </c>
      <c r="G128" s="324">
        <f t="shared" si="30"/>
        <v>12</v>
      </c>
      <c r="H128" s="324" t="e">
        <f t="shared" si="29"/>
        <v>#VALUE!</v>
      </c>
      <c r="I128" s="324" t="e">
        <f t="shared" si="29"/>
        <v>#VALUE!</v>
      </c>
      <c r="J128" s="324" t="e">
        <f t="shared" si="29"/>
        <v>#VALUE!</v>
      </c>
      <c r="K128" s="324" t="e">
        <f t="shared" si="29"/>
        <v>#VALUE!</v>
      </c>
      <c r="L128" s="324" t="e">
        <f t="shared" si="29"/>
        <v>#VALUE!</v>
      </c>
      <c r="M128" s="324" t="e">
        <f t="shared" si="29"/>
        <v>#VALUE!</v>
      </c>
    </row>
    <row r="129" spans="1:13" s="324" customFormat="1" ht="0.65" hidden="1" customHeight="1">
      <c r="A129" s="324" t="e">
        <f t="shared" si="19"/>
        <v>#VALUE!</v>
      </c>
      <c r="G129" s="324">
        <f t="shared" si="30"/>
        <v>13</v>
      </c>
      <c r="H129" s="324" t="e">
        <f t="shared" si="29"/>
        <v>#VALUE!</v>
      </c>
      <c r="I129" s="324" t="e">
        <f t="shared" si="29"/>
        <v>#VALUE!</v>
      </c>
      <c r="J129" s="324" t="e">
        <f t="shared" si="29"/>
        <v>#VALUE!</v>
      </c>
      <c r="K129" s="324" t="e">
        <f t="shared" si="29"/>
        <v>#VALUE!</v>
      </c>
      <c r="L129" s="324" t="e">
        <f t="shared" si="29"/>
        <v>#VALUE!</v>
      </c>
      <c r="M129" s="324" t="e">
        <f t="shared" si="29"/>
        <v>#VALUE!</v>
      </c>
    </row>
    <row r="130" spans="1:13" s="324" customFormat="1" ht="0.65" hidden="1" customHeight="1">
      <c r="A130" s="324" t="e">
        <f t="shared" si="19"/>
        <v>#VALUE!</v>
      </c>
      <c r="G130" s="324">
        <f t="shared" si="30"/>
        <v>14</v>
      </c>
      <c r="H130" s="324" t="e">
        <f t="shared" si="29"/>
        <v>#VALUE!</v>
      </c>
      <c r="I130" s="324" t="e">
        <f t="shared" si="29"/>
        <v>#VALUE!</v>
      </c>
      <c r="J130" s="324" t="e">
        <f t="shared" si="29"/>
        <v>#VALUE!</v>
      </c>
      <c r="K130" s="324" t="e">
        <f t="shared" si="29"/>
        <v>#VALUE!</v>
      </c>
      <c r="L130" s="324" t="e">
        <f t="shared" si="29"/>
        <v>#VALUE!</v>
      </c>
      <c r="M130" s="324" t="e">
        <f t="shared" si="29"/>
        <v>#VALUE!</v>
      </c>
    </row>
    <row r="131" spans="1:13" s="324" customFormat="1" ht="0.65" hidden="1" customHeight="1">
      <c r="A131" s="324" t="e">
        <f t="shared" si="19"/>
        <v>#VALUE!</v>
      </c>
      <c r="G131" s="324">
        <f t="shared" si="30"/>
        <v>15</v>
      </c>
      <c r="H131" s="324" t="e">
        <f t="shared" si="29"/>
        <v>#VALUE!</v>
      </c>
      <c r="I131" s="324" t="e">
        <f t="shared" si="29"/>
        <v>#VALUE!</v>
      </c>
      <c r="J131" s="324" t="e">
        <f t="shared" si="29"/>
        <v>#VALUE!</v>
      </c>
      <c r="K131" s="324" t="e">
        <f t="shared" si="29"/>
        <v>#VALUE!</v>
      </c>
      <c r="L131" s="324" t="e">
        <f t="shared" si="29"/>
        <v>#VALUE!</v>
      </c>
      <c r="M131" s="324" t="e">
        <f t="shared" si="29"/>
        <v>#VALUE!</v>
      </c>
    </row>
    <row r="132" spans="1:13" s="324" customFormat="1" ht="0.65" hidden="1" customHeight="1">
      <c r="A132" s="324" t="e">
        <f t="shared" si="19"/>
        <v>#VALUE!</v>
      </c>
      <c r="G132" s="324">
        <f t="shared" si="30"/>
        <v>16</v>
      </c>
      <c r="H132" s="324" t="e">
        <f t="shared" si="29"/>
        <v>#VALUE!</v>
      </c>
      <c r="I132" s="324" t="e">
        <f t="shared" si="29"/>
        <v>#VALUE!</v>
      </c>
      <c r="J132" s="324" t="e">
        <f t="shared" si="29"/>
        <v>#VALUE!</v>
      </c>
      <c r="K132" s="324" t="e">
        <f t="shared" si="29"/>
        <v>#VALUE!</v>
      </c>
      <c r="L132" s="324" t="e">
        <f t="shared" si="29"/>
        <v>#VALUE!</v>
      </c>
      <c r="M132" s="324" t="e">
        <f t="shared" si="29"/>
        <v>#VALUE!</v>
      </c>
    </row>
    <row r="133" spans="1:13" s="324" customFormat="1" ht="0.65" hidden="1" customHeight="1">
      <c r="A133" s="324" t="e">
        <f t="shared" ref="A133:A167" si="31">1+A132</f>
        <v>#VALUE!</v>
      </c>
      <c r="G133" s="324">
        <f t="shared" si="30"/>
        <v>17</v>
      </c>
      <c r="H133" s="324" t="e">
        <f t="shared" ref="H133:M148" si="32">VLOOKUP($A133,$A$175:$AC$1191,H$48,FALSE)</f>
        <v>#VALUE!</v>
      </c>
      <c r="I133" s="324" t="e">
        <f t="shared" si="32"/>
        <v>#VALUE!</v>
      </c>
      <c r="J133" s="324" t="e">
        <f t="shared" si="32"/>
        <v>#VALUE!</v>
      </c>
      <c r="K133" s="324" t="e">
        <f t="shared" si="32"/>
        <v>#VALUE!</v>
      </c>
      <c r="L133" s="324" t="e">
        <f t="shared" si="32"/>
        <v>#VALUE!</v>
      </c>
      <c r="M133" s="324" t="e">
        <f t="shared" si="32"/>
        <v>#VALUE!</v>
      </c>
    </row>
    <row r="134" spans="1:13" s="324" customFormat="1" ht="0.65" hidden="1" customHeight="1">
      <c r="A134" s="324" t="e">
        <f t="shared" si="31"/>
        <v>#VALUE!</v>
      </c>
      <c r="G134" s="324">
        <f t="shared" si="30"/>
        <v>18</v>
      </c>
      <c r="H134" s="324" t="e">
        <f t="shared" si="32"/>
        <v>#VALUE!</v>
      </c>
      <c r="I134" s="324" t="e">
        <f t="shared" si="32"/>
        <v>#VALUE!</v>
      </c>
      <c r="J134" s="324" t="e">
        <f t="shared" si="32"/>
        <v>#VALUE!</v>
      </c>
      <c r="K134" s="324" t="e">
        <f t="shared" si="32"/>
        <v>#VALUE!</v>
      </c>
      <c r="L134" s="324" t="e">
        <f t="shared" si="32"/>
        <v>#VALUE!</v>
      </c>
      <c r="M134" s="324" t="e">
        <f t="shared" si="32"/>
        <v>#VALUE!</v>
      </c>
    </row>
    <row r="135" spans="1:13" s="324" customFormat="1" ht="0.65" hidden="1" customHeight="1">
      <c r="A135" s="324" t="e">
        <f t="shared" si="31"/>
        <v>#VALUE!</v>
      </c>
      <c r="G135" s="324">
        <f t="shared" si="30"/>
        <v>19</v>
      </c>
      <c r="H135" s="324" t="e">
        <f t="shared" si="32"/>
        <v>#VALUE!</v>
      </c>
      <c r="I135" s="324" t="e">
        <f t="shared" si="32"/>
        <v>#VALUE!</v>
      </c>
      <c r="J135" s="324" t="e">
        <f t="shared" si="32"/>
        <v>#VALUE!</v>
      </c>
      <c r="K135" s="324" t="e">
        <f t="shared" si="32"/>
        <v>#VALUE!</v>
      </c>
      <c r="L135" s="324" t="e">
        <f t="shared" si="32"/>
        <v>#VALUE!</v>
      </c>
      <c r="M135" s="324" t="e">
        <f t="shared" si="32"/>
        <v>#VALUE!</v>
      </c>
    </row>
    <row r="136" spans="1:13" s="324" customFormat="1" ht="0.65" hidden="1" customHeight="1">
      <c r="A136" s="324" t="e">
        <f t="shared" si="31"/>
        <v>#VALUE!</v>
      </c>
      <c r="G136" s="324">
        <f t="shared" si="30"/>
        <v>20</v>
      </c>
      <c r="H136" s="324" t="e">
        <f t="shared" si="32"/>
        <v>#VALUE!</v>
      </c>
      <c r="I136" s="324" t="e">
        <f t="shared" si="32"/>
        <v>#VALUE!</v>
      </c>
      <c r="J136" s="324" t="e">
        <f t="shared" si="32"/>
        <v>#VALUE!</v>
      </c>
      <c r="K136" s="324" t="e">
        <f t="shared" si="32"/>
        <v>#VALUE!</v>
      </c>
      <c r="L136" s="324" t="e">
        <f t="shared" si="32"/>
        <v>#VALUE!</v>
      </c>
      <c r="M136" s="324" t="e">
        <f t="shared" si="32"/>
        <v>#VALUE!</v>
      </c>
    </row>
    <row r="137" spans="1:13" s="324" customFormat="1" ht="0.65" hidden="1" customHeight="1">
      <c r="A137" s="324" t="e">
        <f t="shared" si="31"/>
        <v>#VALUE!</v>
      </c>
      <c r="G137" s="324">
        <f t="shared" si="30"/>
        <v>21</v>
      </c>
      <c r="H137" s="324" t="e">
        <f t="shared" si="32"/>
        <v>#VALUE!</v>
      </c>
      <c r="I137" s="324" t="e">
        <f t="shared" si="32"/>
        <v>#VALUE!</v>
      </c>
      <c r="J137" s="324" t="e">
        <f t="shared" si="32"/>
        <v>#VALUE!</v>
      </c>
      <c r="K137" s="324" t="e">
        <f t="shared" si="32"/>
        <v>#VALUE!</v>
      </c>
      <c r="L137" s="324" t="e">
        <f t="shared" si="32"/>
        <v>#VALUE!</v>
      </c>
      <c r="M137" s="324" t="e">
        <f t="shared" si="32"/>
        <v>#VALUE!</v>
      </c>
    </row>
    <row r="138" spans="1:13" s="324" customFormat="1" ht="0.65" hidden="1" customHeight="1">
      <c r="A138" s="324" t="e">
        <f t="shared" si="31"/>
        <v>#VALUE!</v>
      </c>
      <c r="G138" s="324">
        <f t="shared" si="30"/>
        <v>22</v>
      </c>
      <c r="H138" s="324" t="e">
        <f t="shared" si="32"/>
        <v>#VALUE!</v>
      </c>
      <c r="I138" s="324" t="e">
        <f t="shared" si="32"/>
        <v>#VALUE!</v>
      </c>
      <c r="J138" s="324" t="e">
        <f t="shared" si="32"/>
        <v>#VALUE!</v>
      </c>
      <c r="K138" s="324" t="e">
        <f t="shared" si="32"/>
        <v>#VALUE!</v>
      </c>
      <c r="L138" s="324" t="e">
        <f t="shared" si="32"/>
        <v>#VALUE!</v>
      </c>
      <c r="M138" s="324" t="e">
        <f t="shared" si="32"/>
        <v>#VALUE!</v>
      </c>
    </row>
    <row r="139" spans="1:13" s="324" customFormat="1" ht="0.65" hidden="1" customHeight="1">
      <c r="A139" s="324" t="e">
        <f t="shared" si="31"/>
        <v>#VALUE!</v>
      </c>
      <c r="G139" s="324">
        <f t="shared" si="30"/>
        <v>23</v>
      </c>
      <c r="H139" s="324" t="e">
        <f t="shared" si="32"/>
        <v>#VALUE!</v>
      </c>
      <c r="I139" s="324" t="e">
        <f t="shared" si="32"/>
        <v>#VALUE!</v>
      </c>
      <c r="J139" s="324" t="e">
        <f t="shared" si="32"/>
        <v>#VALUE!</v>
      </c>
      <c r="K139" s="324" t="e">
        <f t="shared" si="32"/>
        <v>#VALUE!</v>
      </c>
      <c r="L139" s="324" t="e">
        <f t="shared" si="32"/>
        <v>#VALUE!</v>
      </c>
      <c r="M139" s="324" t="e">
        <f t="shared" si="32"/>
        <v>#VALUE!</v>
      </c>
    </row>
    <row r="140" spans="1:13" s="324" customFormat="1" ht="0.65" hidden="1" customHeight="1">
      <c r="A140" s="324" t="e">
        <f t="shared" si="31"/>
        <v>#VALUE!</v>
      </c>
      <c r="G140" s="324">
        <f t="shared" si="30"/>
        <v>24</v>
      </c>
      <c r="H140" s="324" t="e">
        <f t="shared" si="32"/>
        <v>#VALUE!</v>
      </c>
      <c r="I140" s="324" t="e">
        <f t="shared" si="32"/>
        <v>#VALUE!</v>
      </c>
      <c r="J140" s="324" t="e">
        <f t="shared" si="32"/>
        <v>#VALUE!</v>
      </c>
      <c r="K140" s="324" t="e">
        <f t="shared" si="32"/>
        <v>#VALUE!</v>
      </c>
      <c r="L140" s="324" t="e">
        <f t="shared" si="32"/>
        <v>#VALUE!</v>
      </c>
      <c r="M140" s="324" t="e">
        <f t="shared" si="32"/>
        <v>#VALUE!</v>
      </c>
    </row>
    <row r="141" spans="1:13" s="324" customFormat="1" ht="0.65" hidden="1" customHeight="1">
      <c r="A141" s="324" t="e">
        <f t="shared" si="31"/>
        <v>#VALUE!</v>
      </c>
      <c r="G141" s="324">
        <f t="shared" si="30"/>
        <v>25</v>
      </c>
      <c r="H141" s="324" t="e">
        <f t="shared" si="32"/>
        <v>#VALUE!</v>
      </c>
      <c r="I141" s="324" t="e">
        <f t="shared" si="32"/>
        <v>#VALUE!</v>
      </c>
      <c r="J141" s="324" t="e">
        <f t="shared" si="32"/>
        <v>#VALUE!</v>
      </c>
      <c r="K141" s="324" t="e">
        <f t="shared" si="32"/>
        <v>#VALUE!</v>
      </c>
      <c r="L141" s="324" t="e">
        <f t="shared" si="32"/>
        <v>#VALUE!</v>
      </c>
      <c r="M141" s="324" t="e">
        <f t="shared" si="32"/>
        <v>#VALUE!</v>
      </c>
    </row>
    <row r="142" spans="1:13" s="324" customFormat="1" ht="0.65" hidden="1" customHeight="1">
      <c r="A142" s="324" t="e">
        <f t="shared" si="31"/>
        <v>#VALUE!</v>
      </c>
      <c r="G142" s="324">
        <f t="shared" si="30"/>
        <v>26</v>
      </c>
      <c r="H142" s="324" t="e">
        <f t="shared" si="32"/>
        <v>#VALUE!</v>
      </c>
      <c r="I142" s="324" t="e">
        <f t="shared" si="32"/>
        <v>#VALUE!</v>
      </c>
      <c r="J142" s="324" t="e">
        <f t="shared" si="32"/>
        <v>#VALUE!</v>
      </c>
      <c r="K142" s="324" t="e">
        <f t="shared" si="32"/>
        <v>#VALUE!</v>
      </c>
      <c r="L142" s="324" t="e">
        <f t="shared" si="32"/>
        <v>#VALUE!</v>
      </c>
      <c r="M142" s="324" t="e">
        <f t="shared" si="32"/>
        <v>#VALUE!</v>
      </c>
    </row>
    <row r="143" spans="1:13" s="324" customFormat="1" ht="0.65" hidden="1" customHeight="1">
      <c r="A143" s="324" t="e">
        <f t="shared" si="31"/>
        <v>#VALUE!</v>
      </c>
      <c r="G143" s="324">
        <f t="shared" si="30"/>
        <v>27</v>
      </c>
      <c r="H143" s="324" t="e">
        <f t="shared" si="32"/>
        <v>#VALUE!</v>
      </c>
      <c r="I143" s="324" t="e">
        <f t="shared" si="32"/>
        <v>#VALUE!</v>
      </c>
      <c r="J143" s="324" t="e">
        <f t="shared" si="32"/>
        <v>#VALUE!</v>
      </c>
      <c r="K143" s="324" t="e">
        <f t="shared" si="32"/>
        <v>#VALUE!</v>
      </c>
      <c r="L143" s="324" t="e">
        <f t="shared" si="32"/>
        <v>#VALUE!</v>
      </c>
      <c r="M143" s="324" t="e">
        <f t="shared" si="32"/>
        <v>#VALUE!</v>
      </c>
    </row>
    <row r="144" spans="1:13" s="324" customFormat="1" ht="0.65" hidden="1" customHeight="1">
      <c r="A144" s="324" t="e">
        <f t="shared" si="31"/>
        <v>#VALUE!</v>
      </c>
      <c r="G144" s="324">
        <f t="shared" si="30"/>
        <v>28</v>
      </c>
      <c r="H144" s="324" t="e">
        <f t="shared" si="32"/>
        <v>#VALUE!</v>
      </c>
      <c r="I144" s="324" t="e">
        <f t="shared" si="32"/>
        <v>#VALUE!</v>
      </c>
      <c r="J144" s="324" t="e">
        <f t="shared" si="32"/>
        <v>#VALUE!</v>
      </c>
      <c r="K144" s="324" t="e">
        <f t="shared" si="32"/>
        <v>#VALUE!</v>
      </c>
      <c r="L144" s="324" t="e">
        <f t="shared" si="32"/>
        <v>#VALUE!</v>
      </c>
      <c r="M144" s="324" t="e">
        <f t="shared" si="32"/>
        <v>#VALUE!</v>
      </c>
    </row>
    <row r="145" spans="1:13" s="324" customFormat="1" ht="0.65" hidden="1" customHeight="1">
      <c r="A145" s="324" t="e">
        <f t="shared" si="31"/>
        <v>#VALUE!</v>
      </c>
      <c r="G145" s="324">
        <f t="shared" si="30"/>
        <v>29</v>
      </c>
      <c r="H145" s="324" t="e">
        <f t="shared" si="32"/>
        <v>#VALUE!</v>
      </c>
      <c r="I145" s="324" t="e">
        <f t="shared" si="32"/>
        <v>#VALUE!</v>
      </c>
      <c r="J145" s="324" t="e">
        <f t="shared" si="32"/>
        <v>#VALUE!</v>
      </c>
      <c r="K145" s="324" t="e">
        <f t="shared" si="32"/>
        <v>#VALUE!</v>
      </c>
      <c r="L145" s="324" t="e">
        <f t="shared" si="32"/>
        <v>#VALUE!</v>
      </c>
      <c r="M145" s="324" t="e">
        <f t="shared" si="32"/>
        <v>#VALUE!</v>
      </c>
    </row>
    <row r="146" spans="1:13" s="324" customFormat="1" ht="0.65" hidden="1" customHeight="1">
      <c r="A146" s="324" t="e">
        <f t="shared" si="31"/>
        <v>#VALUE!</v>
      </c>
      <c r="G146" s="324">
        <f t="shared" si="30"/>
        <v>30</v>
      </c>
      <c r="H146" s="324" t="e">
        <f t="shared" si="32"/>
        <v>#VALUE!</v>
      </c>
      <c r="I146" s="324" t="e">
        <f t="shared" si="32"/>
        <v>#VALUE!</v>
      </c>
      <c r="J146" s="324" t="e">
        <f t="shared" si="32"/>
        <v>#VALUE!</v>
      </c>
      <c r="K146" s="324" t="e">
        <f t="shared" si="32"/>
        <v>#VALUE!</v>
      </c>
      <c r="L146" s="324" t="e">
        <f t="shared" si="32"/>
        <v>#VALUE!</v>
      </c>
      <c r="M146" s="324" t="e">
        <f t="shared" si="32"/>
        <v>#VALUE!</v>
      </c>
    </row>
    <row r="147" spans="1:13" s="324" customFormat="1" ht="0.65" hidden="1" customHeight="1">
      <c r="A147" s="324" t="e">
        <f t="shared" si="31"/>
        <v>#VALUE!</v>
      </c>
      <c r="G147" s="324">
        <f t="shared" si="30"/>
        <v>31</v>
      </c>
      <c r="H147" s="324" t="e">
        <f t="shared" si="32"/>
        <v>#VALUE!</v>
      </c>
      <c r="I147" s="324" t="e">
        <f t="shared" si="32"/>
        <v>#VALUE!</v>
      </c>
      <c r="J147" s="324" t="e">
        <f t="shared" si="32"/>
        <v>#VALUE!</v>
      </c>
      <c r="K147" s="324" t="e">
        <f t="shared" si="32"/>
        <v>#VALUE!</v>
      </c>
      <c r="L147" s="324" t="e">
        <f t="shared" si="32"/>
        <v>#VALUE!</v>
      </c>
      <c r="M147" s="324" t="e">
        <f t="shared" si="32"/>
        <v>#VALUE!</v>
      </c>
    </row>
    <row r="148" spans="1:13" s="324" customFormat="1" ht="0.65" hidden="1" customHeight="1">
      <c r="A148" s="324" t="e">
        <f t="shared" si="31"/>
        <v>#VALUE!</v>
      </c>
      <c r="G148" s="324">
        <f t="shared" si="30"/>
        <v>32</v>
      </c>
      <c r="H148" s="324" t="e">
        <f t="shared" si="32"/>
        <v>#VALUE!</v>
      </c>
      <c r="I148" s="324" t="e">
        <f t="shared" si="32"/>
        <v>#VALUE!</v>
      </c>
      <c r="J148" s="324" t="e">
        <f t="shared" si="32"/>
        <v>#VALUE!</v>
      </c>
      <c r="K148" s="324" t="e">
        <f t="shared" si="32"/>
        <v>#VALUE!</v>
      </c>
      <c r="L148" s="324" t="e">
        <f t="shared" si="32"/>
        <v>#VALUE!</v>
      </c>
      <c r="M148" s="324" t="e">
        <f t="shared" si="32"/>
        <v>#VALUE!</v>
      </c>
    </row>
    <row r="149" spans="1:13" s="324" customFormat="1" ht="0.65" hidden="1" customHeight="1">
      <c r="A149" s="324" t="e">
        <f t="shared" si="31"/>
        <v>#VALUE!</v>
      </c>
      <c r="G149" s="324">
        <f t="shared" si="30"/>
        <v>33</v>
      </c>
      <c r="H149" s="324" t="e">
        <f t="shared" ref="H149:M164" si="33">VLOOKUP($A149,$A$175:$AC$1191,H$48,FALSE)</f>
        <v>#VALUE!</v>
      </c>
      <c r="I149" s="324" t="e">
        <f t="shared" si="33"/>
        <v>#VALUE!</v>
      </c>
      <c r="J149" s="324" t="e">
        <f t="shared" si="33"/>
        <v>#VALUE!</v>
      </c>
      <c r="K149" s="324" t="e">
        <f t="shared" si="33"/>
        <v>#VALUE!</v>
      </c>
      <c r="L149" s="324" t="e">
        <f t="shared" si="33"/>
        <v>#VALUE!</v>
      </c>
      <c r="M149" s="324" t="e">
        <f t="shared" si="33"/>
        <v>#VALUE!</v>
      </c>
    </row>
    <row r="150" spans="1:13" s="324" customFormat="1" ht="0.65" hidden="1" customHeight="1">
      <c r="A150" s="324" t="e">
        <f t="shared" si="31"/>
        <v>#VALUE!</v>
      </c>
      <c r="G150" s="324">
        <f t="shared" si="30"/>
        <v>34</v>
      </c>
      <c r="H150" s="324" t="e">
        <f t="shared" si="33"/>
        <v>#VALUE!</v>
      </c>
      <c r="I150" s="324" t="e">
        <f t="shared" si="33"/>
        <v>#VALUE!</v>
      </c>
      <c r="J150" s="324" t="e">
        <f t="shared" si="33"/>
        <v>#VALUE!</v>
      </c>
      <c r="K150" s="324" t="e">
        <f t="shared" si="33"/>
        <v>#VALUE!</v>
      </c>
      <c r="L150" s="324" t="e">
        <f t="shared" si="33"/>
        <v>#VALUE!</v>
      </c>
      <c r="M150" s="324" t="e">
        <f t="shared" si="33"/>
        <v>#VALUE!</v>
      </c>
    </row>
    <row r="151" spans="1:13" s="324" customFormat="1" ht="0.65" hidden="1" customHeight="1">
      <c r="A151" s="324" t="e">
        <f t="shared" si="31"/>
        <v>#VALUE!</v>
      </c>
      <c r="G151" s="324">
        <f t="shared" si="30"/>
        <v>35</v>
      </c>
      <c r="H151" s="324" t="e">
        <f t="shared" si="33"/>
        <v>#VALUE!</v>
      </c>
      <c r="I151" s="324" t="e">
        <f t="shared" si="33"/>
        <v>#VALUE!</v>
      </c>
      <c r="J151" s="324" t="e">
        <f t="shared" si="33"/>
        <v>#VALUE!</v>
      </c>
      <c r="K151" s="324" t="e">
        <f t="shared" si="33"/>
        <v>#VALUE!</v>
      </c>
      <c r="L151" s="324" t="e">
        <f t="shared" si="33"/>
        <v>#VALUE!</v>
      </c>
      <c r="M151" s="324" t="e">
        <f t="shared" si="33"/>
        <v>#VALUE!</v>
      </c>
    </row>
    <row r="152" spans="1:13" s="324" customFormat="1" ht="0.65" hidden="1" customHeight="1">
      <c r="A152" s="324" t="e">
        <f t="shared" si="31"/>
        <v>#VALUE!</v>
      </c>
      <c r="G152" s="324">
        <f t="shared" si="30"/>
        <v>36</v>
      </c>
      <c r="H152" s="324" t="e">
        <f t="shared" si="33"/>
        <v>#VALUE!</v>
      </c>
      <c r="I152" s="324" t="e">
        <f t="shared" si="33"/>
        <v>#VALUE!</v>
      </c>
      <c r="J152" s="324" t="e">
        <f t="shared" si="33"/>
        <v>#VALUE!</v>
      </c>
      <c r="K152" s="324" t="e">
        <f t="shared" si="33"/>
        <v>#VALUE!</v>
      </c>
      <c r="L152" s="324" t="e">
        <f t="shared" si="33"/>
        <v>#VALUE!</v>
      </c>
      <c r="M152" s="324" t="e">
        <f t="shared" si="33"/>
        <v>#VALUE!</v>
      </c>
    </row>
    <row r="153" spans="1:13" s="324" customFormat="1" ht="0.65" hidden="1" customHeight="1">
      <c r="A153" s="324" t="e">
        <f t="shared" si="31"/>
        <v>#VALUE!</v>
      </c>
      <c r="G153" s="324">
        <f t="shared" si="30"/>
        <v>37</v>
      </c>
      <c r="H153" s="324" t="e">
        <f t="shared" si="33"/>
        <v>#VALUE!</v>
      </c>
      <c r="I153" s="324" t="e">
        <f t="shared" si="33"/>
        <v>#VALUE!</v>
      </c>
      <c r="J153" s="324" t="e">
        <f t="shared" si="33"/>
        <v>#VALUE!</v>
      </c>
      <c r="K153" s="324" t="e">
        <f t="shared" si="33"/>
        <v>#VALUE!</v>
      </c>
      <c r="L153" s="324" t="e">
        <f t="shared" si="33"/>
        <v>#VALUE!</v>
      </c>
      <c r="M153" s="324" t="e">
        <f t="shared" si="33"/>
        <v>#VALUE!</v>
      </c>
    </row>
    <row r="154" spans="1:13" s="324" customFormat="1" ht="0.65" hidden="1" customHeight="1">
      <c r="A154" s="324" t="e">
        <f t="shared" si="31"/>
        <v>#VALUE!</v>
      </c>
      <c r="G154" s="324">
        <f t="shared" si="30"/>
        <v>38</v>
      </c>
      <c r="H154" s="324" t="e">
        <f t="shared" si="33"/>
        <v>#VALUE!</v>
      </c>
      <c r="I154" s="324" t="e">
        <f t="shared" si="33"/>
        <v>#VALUE!</v>
      </c>
      <c r="J154" s="324" t="e">
        <f t="shared" si="33"/>
        <v>#VALUE!</v>
      </c>
      <c r="K154" s="324" t="e">
        <f t="shared" si="33"/>
        <v>#VALUE!</v>
      </c>
      <c r="L154" s="324" t="e">
        <f t="shared" si="33"/>
        <v>#VALUE!</v>
      </c>
      <c r="M154" s="324" t="e">
        <f t="shared" si="33"/>
        <v>#VALUE!</v>
      </c>
    </row>
    <row r="155" spans="1:13" s="324" customFormat="1" ht="0.65" hidden="1" customHeight="1">
      <c r="A155" s="324" t="e">
        <f t="shared" si="31"/>
        <v>#VALUE!</v>
      </c>
      <c r="G155" s="324">
        <f t="shared" si="30"/>
        <v>39</v>
      </c>
      <c r="H155" s="324" t="e">
        <f t="shared" si="33"/>
        <v>#VALUE!</v>
      </c>
      <c r="I155" s="324" t="e">
        <f t="shared" si="33"/>
        <v>#VALUE!</v>
      </c>
      <c r="J155" s="324" t="e">
        <f t="shared" si="33"/>
        <v>#VALUE!</v>
      </c>
      <c r="K155" s="324" t="e">
        <f t="shared" si="33"/>
        <v>#VALUE!</v>
      </c>
      <c r="L155" s="324" t="e">
        <f t="shared" si="33"/>
        <v>#VALUE!</v>
      </c>
      <c r="M155" s="324" t="e">
        <f t="shared" si="33"/>
        <v>#VALUE!</v>
      </c>
    </row>
    <row r="156" spans="1:13" s="324" customFormat="1" ht="0.65" hidden="1" customHeight="1">
      <c r="A156" s="324" t="e">
        <f t="shared" si="31"/>
        <v>#VALUE!</v>
      </c>
      <c r="G156" s="324">
        <f t="shared" si="30"/>
        <v>40</v>
      </c>
      <c r="H156" s="324" t="e">
        <f t="shared" si="33"/>
        <v>#VALUE!</v>
      </c>
      <c r="I156" s="324" t="e">
        <f t="shared" si="33"/>
        <v>#VALUE!</v>
      </c>
      <c r="J156" s="324" t="e">
        <f t="shared" si="33"/>
        <v>#VALUE!</v>
      </c>
      <c r="K156" s="324" t="e">
        <f t="shared" si="33"/>
        <v>#VALUE!</v>
      </c>
      <c r="L156" s="324" t="e">
        <f t="shared" si="33"/>
        <v>#VALUE!</v>
      </c>
      <c r="M156" s="324" t="e">
        <f t="shared" si="33"/>
        <v>#VALUE!</v>
      </c>
    </row>
    <row r="157" spans="1:13" s="324" customFormat="1" ht="0.65" hidden="1" customHeight="1">
      <c r="A157" s="324" t="e">
        <f t="shared" si="31"/>
        <v>#VALUE!</v>
      </c>
      <c r="G157" s="324">
        <f t="shared" si="30"/>
        <v>41</v>
      </c>
      <c r="H157" s="324" t="e">
        <f t="shared" si="33"/>
        <v>#VALUE!</v>
      </c>
      <c r="I157" s="324" t="e">
        <f t="shared" si="33"/>
        <v>#VALUE!</v>
      </c>
      <c r="J157" s="324" t="e">
        <f t="shared" si="33"/>
        <v>#VALUE!</v>
      </c>
      <c r="K157" s="324" t="e">
        <f t="shared" si="33"/>
        <v>#VALUE!</v>
      </c>
      <c r="L157" s="324" t="e">
        <f t="shared" si="33"/>
        <v>#VALUE!</v>
      </c>
      <c r="M157" s="324" t="e">
        <f t="shared" si="33"/>
        <v>#VALUE!</v>
      </c>
    </row>
    <row r="158" spans="1:13" s="324" customFormat="1" ht="0.65" hidden="1" customHeight="1">
      <c r="A158" s="324" t="e">
        <f t="shared" si="31"/>
        <v>#VALUE!</v>
      </c>
      <c r="G158" s="324">
        <f t="shared" si="30"/>
        <v>42</v>
      </c>
      <c r="H158" s="324" t="e">
        <f t="shared" si="33"/>
        <v>#VALUE!</v>
      </c>
      <c r="I158" s="324" t="e">
        <f t="shared" si="33"/>
        <v>#VALUE!</v>
      </c>
      <c r="J158" s="324" t="e">
        <f t="shared" si="33"/>
        <v>#VALUE!</v>
      </c>
      <c r="K158" s="324" t="e">
        <f t="shared" si="33"/>
        <v>#VALUE!</v>
      </c>
      <c r="L158" s="324" t="e">
        <f t="shared" si="33"/>
        <v>#VALUE!</v>
      </c>
      <c r="M158" s="324" t="e">
        <f t="shared" si="33"/>
        <v>#VALUE!</v>
      </c>
    </row>
    <row r="159" spans="1:13" s="324" customFormat="1" ht="0.65" hidden="1" customHeight="1">
      <c r="A159" s="324" t="e">
        <f t="shared" si="31"/>
        <v>#VALUE!</v>
      </c>
      <c r="G159" s="324">
        <f t="shared" si="30"/>
        <v>43</v>
      </c>
      <c r="H159" s="324" t="e">
        <f t="shared" si="33"/>
        <v>#VALUE!</v>
      </c>
      <c r="I159" s="324" t="e">
        <f t="shared" si="33"/>
        <v>#VALUE!</v>
      </c>
      <c r="J159" s="324" t="e">
        <f t="shared" si="33"/>
        <v>#VALUE!</v>
      </c>
      <c r="K159" s="324" t="e">
        <f t="shared" si="33"/>
        <v>#VALUE!</v>
      </c>
      <c r="L159" s="324" t="e">
        <f t="shared" si="33"/>
        <v>#VALUE!</v>
      </c>
      <c r="M159" s="324" t="e">
        <f t="shared" si="33"/>
        <v>#VALUE!</v>
      </c>
    </row>
    <row r="160" spans="1:13" s="324" customFormat="1" ht="0.65" hidden="1" customHeight="1">
      <c r="A160" s="324" t="e">
        <f t="shared" si="31"/>
        <v>#VALUE!</v>
      </c>
      <c r="G160" s="324">
        <f t="shared" si="30"/>
        <v>44</v>
      </c>
      <c r="H160" s="324" t="e">
        <f t="shared" si="33"/>
        <v>#VALUE!</v>
      </c>
      <c r="I160" s="324" t="e">
        <f t="shared" si="33"/>
        <v>#VALUE!</v>
      </c>
      <c r="J160" s="324" t="e">
        <f t="shared" si="33"/>
        <v>#VALUE!</v>
      </c>
      <c r="K160" s="324" t="e">
        <f t="shared" si="33"/>
        <v>#VALUE!</v>
      </c>
      <c r="L160" s="324" t="e">
        <f t="shared" si="33"/>
        <v>#VALUE!</v>
      </c>
      <c r="M160" s="324" t="e">
        <f t="shared" si="33"/>
        <v>#VALUE!</v>
      </c>
    </row>
    <row r="161" spans="1:13" s="324" customFormat="1" ht="0.65" hidden="1" customHeight="1">
      <c r="A161" s="324" t="e">
        <f t="shared" si="31"/>
        <v>#VALUE!</v>
      </c>
      <c r="G161" s="324">
        <f t="shared" si="30"/>
        <v>45</v>
      </c>
      <c r="H161" s="324" t="e">
        <f t="shared" si="33"/>
        <v>#VALUE!</v>
      </c>
      <c r="I161" s="324" t="e">
        <f t="shared" si="33"/>
        <v>#VALUE!</v>
      </c>
      <c r="J161" s="324" t="e">
        <f t="shared" si="33"/>
        <v>#VALUE!</v>
      </c>
      <c r="K161" s="324" t="e">
        <f t="shared" si="33"/>
        <v>#VALUE!</v>
      </c>
      <c r="L161" s="324" t="e">
        <f t="shared" si="33"/>
        <v>#VALUE!</v>
      </c>
      <c r="M161" s="324" t="e">
        <f t="shared" si="33"/>
        <v>#VALUE!</v>
      </c>
    </row>
    <row r="162" spans="1:13" s="324" customFormat="1" ht="0.65" hidden="1" customHeight="1">
      <c r="A162" s="324" t="e">
        <f t="shared" si="31"/>
        <v>#VALUE!</v>
      </c>
      <c r="G162" s="324">
        <f t="shared" si="30"/>
        <v>46</v>
      </c>
      <c r="H162" s="324" t="e">
        <f t="shared" si="33"/>
        <v>#VALUE!</v>
      </c>
      <c r="I162" s="324" t="e">
        <f t="shared" si="33"/>
        <v>#VALUE!</v>
      </c>
      <c r="J162" s="324" t="e">
        <f t="shared" si="33"/>
        <v>#VALUE!</v>
      </c>
      <c r="K162" s="324" t="e">
        <f t="shared" si="33"/>
        <v>#VALUE!</v>
      </c>
      <c r="L162" s="324" t="e">
        <f t="shared" si="33"/>
        <v>#VALUE!</v>
      </c>
      <c r="M162" s="324" t="e">
        <f t="shared" si="33"/>
        <v>#VALUE!</v>
      </c>
    </row>
    <row r="163" spans="1:13" s="324" customFormat="1" ht="0.65" hidden="1" customHeight="1">
      <c r="A163" s="324" t="e">
        <f t="shared" si="31"/>
        <v>#VALUE!</v>
      </c>
      <c r="G163" s="324">
        <f t="shared" si="30"/>
        <v>47</v>
      </c>
      <c r="H163" s="324" t="e">
        <f t="shared" si="33"/>
        <v>#VALUE!</v>
      </c>
      <c r="I163" s="324" t="e">
        <f t="shared" si="33"/>
        <v>#VALUE!</v>
      </c>
      <c r="J163" s="324" t="e">
        <f t="shared" si="33"/>
        <v>#VALUE!</v>
      </c>
      <c r="K163" s="324" t="e">
        <f t="shared" si="33"/>
        <v>#VALUE!</v>
      </c>
      <c r="L163" s="324" t="e">
        <f t="shared" si="33"/>
        <v>#VALUE!</v>
      </c>
      <c r="M163" s="324" t="e">
        <f t="shared" si="33"/>
        <v>#VALUE!</v>
      </c>
    </row>
    <row r="164" spans="1:13" s="324" customFormat="1" ht="0.65" hidden="1" customHeight="1">
      <c r="A164" s="324" t="e">
        <f t="shared" si="31"/>
        <v>#VALUE!</v>
      </c>
      <c r="G164" s="324">
        <f t="shared" si="30"/>
        <v>48</v>
      </c>
      <c r="H164" s="324" t="e">
        <f t="shared" si="33"/>
        <v>#VALUE!</v>
      </c>
      <c r="I164" s="324" t="e">
        <f t="shared" si="33"/>
        <v>#VALUE!</v>
      </c>
      <c r="J164" s="324" t="e">
        <f t="shared" si="33"/>
        <v>#VALUE!</v>
      </c>
      <c r="K164" s="324" t="e">
        <f t="shared" si="33"/>
        <v>#VALUE!</v>
      </c>
      <c r="L164" s="324" t="e">
        <f t="shared" si="33"/>
        <v>#VALUE!</v>
      </c>
      <c r="M164" s="324" t="e">
        <f t="shared" si="33"/>
        <v>#VALUE!</v>
      </c>
    </row>
    <row r="165" spans="1:13" s="324" customFormat="1" ht="0.65" hidden="1" customHeight="1">
      <c r="A165" s="324" t="e">
        <f t="shared" si="31"/>
        <v>#VALUE!</v>
      </c>
      <c r="G165" s="324">
        <f t="shared" si="30"/>
        <v>49</v>
      </c>
      <c r="H165" s="324" t="e">
        <f t="shared" ref="H165:M167" si="34">VLOOKUP($A165,$A$175:$AC$1191,H$48,FALSE)</f>
        <v>#VALUE!</v>
      </c>
      <c r="I165" s="324" t="e">
        <f t="shared" si="34"/>
        <v>#VALUE!</v>
      </c>
      <c r="J165" s="324" t="e">
        <f t="shared" si="34"/>
        <v>#VALUE!</v>
      </c>
      <c r="K165" s="324" t="e">
        <f t="shared" si="34"/>
        <v>#VALUE!</v>
      </c>
      <c r="L165" s="324" t="e">
        <f t="shared" si="34"/>
        <v>#VALUE!</v>
      </c>
      <c r="M165" s="324" t="e">
        <f t="shared" si="34"/>
        <v>#VALUE!</v>
      </c>
    </row>
    <row r="166" spans="1:13" s="324" customFormat="1" ht="0.65" hidden="1" customHeight="1">
      <c r="A166" s="324" t="e">
        <f t="shared" si="31"/>
        <v>#VALUE!</v>
      </c>
      <c r="G166" s="324">
        <f t="shared" si="30"/>
        <v>50</v>
      </c>
      <c r="H166" s="324" t="e">
        <f t="shared" si="34"/>
        <v>#VALUE!</v>
      </c>
      <c r="I166" s="324" t="e">
        <f t="shared" si="34"/>
        <v>#VALUE!</v>
      </c>
      <c r="J166" s="324" t="e">
        <f t="shared" si="34"/>
        <v>#VALUE!</v>
      </c>
      <c r="K166" s="324" t="e">
        <f t="shared" si="34"/>
        <v>#VALUE!</v>
      </c>
      <c r="L166" s="324" t="e">
        <f t="shared" si="34"/>
        <v>#VALUE!</v>
      </c>
      <c r="M166" s="324" t="e">
        <f t="shared" si="34"/>
        <v>#VALUE!</v>
      </c>
    </row>
    <row r="167" spans="1:13" s="324" customFormat="1" ht="0.65" hidden="1" customHeight="1">
      <c r="A167" s="324" t="e">
        <f t="shared" si="31"/>
        <v>#VALUE!</v>
      </c>
      <c r="G167" s="324">
        <f t="shared" si="30"/>
        <v>51</v>
      </c>
      <c r="H167" s="324" t="e">
        <f t="shared" si="34"/>
        <v>#VALUE!</v>
      </c>
      <c r="I167" s="324" t="e">
        <f t="shared" si="34"/>
        <v>#VALUE!</v>
      </c>
      <c r="J167" s="324" t="e">
        <f t="shared" si="34"/>
        <v>#VALUE!</v>
      </c>
      <c r="K167" s="324" t="e">
        <f t="shared" si="34"/>
        <v>#VALUE!</v>
      </c>
      <c r="L167" s="324" t="e">
        <f t="shared" si="34"/>
        <v>#VALUE!</v>
      </c>
      <c r="M167" s="324" t="e">
        <f t="shared" si="34"/>
        <v>#VALUE!</v>
      </c>
    </row>
    <row r="168" spans="1:13" s="324" customFormat="1" ht="0.65" hidden="1" customHeight="1"/>
    <row r="169" spans="1:13" s="324" customFormat="1" ht="0.65" hidden="1" customHeight="1"/>
    <row r="170" spans="1:13" s="324" customFormat="1" ht="0.65" hidden="1" customHeight="1"/>
    <row r="171" spans="1:13" s="324" customFormat="1" ht="0.65" hidden="1" customHeight="1"/>
    <row r="172" spans="1:13" s="324" customFormat="1" ht="0.65" hidden="1" customHeight="1"/>
    <row r="173" spans="1:13" s="324" customFormat="1" ht="0.65" hidden="1" customHeight="1"/>
    <row r="174" spans="1:13" s="324" customFormat="1" ht="0.65" hidden="1" customHeight="1"/>
    <row r="175" spans="1:13" s="324" customFormat="1" ht="0.65" hidden="1" customHeight="1">
      <c r="B175" s="324" t="s">
        <v>19</v>
      </c>
      <c r="D175" s="324" t="s">
        <v>336</v>
      </c>
      <c r="E175" s="324">
        <v>1</v>
      </c>
      <c r="H175" s="324" t="s">
        <v>24</v>
      </c>
    </row>
    <row r="176" spans="1:13" s="324" customFormat="1" ht="0.65" hidden="1" customHeight="1">
      <c r="B176" s="324" t="s">
        <v>3951</v>
      </c>
      <c r="D176" s="324" t="s">
        <v>336</v>
      </c>
      <c r="E176" s="324" t="s">
        <v>486</v>
      </c>
    </row>
    <row r="177" spans="1:28" s="324" customFormat="1" ht="0.65" hidden="1" customHeight="1">
      <c r="A177" s="324">
        <v>1001</v>
      </c>
      <c r="C177" s="324" t="s">
        <v>5</v>
      </c>
      <c r="D177" s="324">
        <v>2022</v>
      </c>
      <c r="H177" s="324" t="s">
        <v>490</v>
      </c>
      <c r="I177" s="324">
        <v>825000</v>
      </c>
      <c r="J177" s="324" t="s">
        <v>508</v>
      </c>
      <c r="U177" s="324" t="s">
        <v>151</v>
      </c>
    </row>
    <row r="178" spans="1:28" s="324" customFormat="1" ht="0.65" hidden="1" customHeight="1">
      <c r="A178" s="324">
        <v>1002</v>
      </c>
    </row>
    <row r="179" spans="1:28" s="324" customFormat="1" ht="0.65" hidden="1" customHeight="1">
      <c r="A179" s="324">
        <v>1003</v>
      </c>
      <c r="C179" s="324" t="s">
        <v>32</v>
      </c>
      <c r="H179" s="324" t="s">
        <v>21</v>
      </c>
      <c r="N179" s="324" t="s">
        <v>646</v>
      </c>
      <c r="U179" s="324" t="s">
        <v>152</v>
      </c>
      <c r="Z179" s="324" t="s">
        <v>176</v>
      </c>
      <c r="AA179" s="324">
        <v>-210381.05281541136</v>
      </c>
    </row>
    <row r="180" spans="1:28" s="324" customFormat="1" ht="0.65" hidden="1" customHeight="1">
      <c r="A180" s="324">
        <v>1004</v>
      </c>
      <c r="C180" s="324" t="s">
        <v>488</v>
      </c>
      <c r="D180" s="324">
        <v>1000000</v>
      </c>
      <c r="H180" s="324" t="s">
        <v>454</v>
      </c>
      <c r="K180" s="324">
        <v>16</v>
      </c>
      <c r="L180" s="324" t="s">
        <v>55</v>
      </c>
      <c r="M180" s="324" t="s">
        <v>185</v>
      </c>
      <c r="N180" s="324" t="s">
        <v>647</v>
      </c>
      <c r="O180" s="324" t="s">
        <v>648</v>
      </c>
      <c r="Y180" s="324" t="s">
        <v>139</v>
      </c>
      <c r="Z180" s="324" t="s">
        <v>174</v>
      </c>
    </row>
    <row r="181" spans="1:28" s="324" customFormat="1" ht="0.65" hidden="1" customHeight="1">
      <c r="A181" s="324">
        <v>1005</v>
      </c>
      <c r="C181" s="324" t="s">
        <v>6</v>
      </c>
      <c r="D181" s="324">
        <v>10</v>
      </c>
      <c r="T181" s="324" t="s">
        <v>187</v>
      </c>
      <c r="V181" s="324" t="s">
        <v>180</v>
      </c>
      <c r="X181" s="324" t="s">
        <v>177</v>
      </c>
      <c r="Y181" s="324" t="s">
        <v>173</v>
      </c>
      <c r="Z181" s="324" t="s">
        <v>175</v>
      </c>
      <c r="AA181" s="324" t="s">
        <v>172</v>
      </c>
      <c r="AB181" s="324" t="s">
        <v>417</v>
      </c>
    </row>
    <row r="182" spans="1:28" s="324" customFormat="1" ht="0.65" hidden="1" customHeight="1">
      <c r="A182" s="324">
        <v>1006</v>
      </c>
      <c r="C182" s="324" t="s">
        <v>489</v>
      </c>
      <c r="D182" s="324">
        <v>400000</v>
      </c>
      <c r="H182" s="324" t="s">
        <v>0</v>
      </c>
      <c r="I182" s="324" t="s">
        <v>69</v>
      </c>
      <c r="J182" s="324" t="s">
        <v>70</v>
      </c>
      <c r="K182" s="324" t="s">
        <v>71</v>
      </c>
      <c r="L182" s="324" t="s">
        <v>72</v>
      </c>
      <c r="M182" s="324" t="s">
        <v>73</v>
      </c>
      <c r="N182" s="324" t="s">
        <v>74</v>
      </c>
      <c r="O182" s="324" t="s">
        <v>75</v>
      </c>
      <c r="T182" s="324">
        <v>1</v>
      </c>
      <c r="U182" s="324" t="s">
        <v>153</v>
      </c>
      <c r="X182" s="324" t="s">
        <v>6</v>
      </c>
      <c r="Y182" s="324">
        <v>10</v>
      </c>
      <c r="Z182" s="324">
        <v>15</v>
      </c>
      <c r="AA182" s="324">
        <v>-211665.67031845101</v>
      </c>
      <c r="AB182" s="324">
        <v>-1284.6175030396553</v>
      </c>
    </row>
    <row r="183" spans="1:28" s="324" customFormat="1" ht="0.65" hidden="1" customHeight="1">
      <c r="A183" s="324">
        <v>1007</v>
      </c>
      <c r="H183" s="324">
        <v>2023</v>
      </c>
      <c r="I183" s="324">
        <v>420000</v>
      </c>
      <c r="J183" s="324">
        <v>300000</v>
      </c>
      <c r="K183" s="324">
        <v>50000</v>
      </c>
      <c r="L183" s="324">
        <v>70000</v>
      </c>
      <c r="M183" s="324">
        <v>17500</v>
      </c>
      <c r="N183" s="324">
        <v>52500</v>
      </c>
      <c r="O183" s="324">
        <v>102500</v>
      </c>
      <c r="T183" s="324">
        <v>2</v>
      </c>
      <c r="U183" s="324" t="s">
        <v>154</v>
      </c>
      <c r="X183" s="324" t="s">
        <v>488</v>
      </c>
      <c r="Y183" s="324">
        <v>1000000</v>
      </c>
      <c r="Z183" s="324">
        <v>1100000</v>
      </c>
      <c r="AA183" s="324">
        <v>-289005.18548869214</v>
      </c>
      <c r="AB183" s="324">
        <v>-78624.132673280779</v>
      </c>
    </row>
    <row r="184" spans="1:28" s="324" customFormat="1" ht="0.65" hidden="1" customHeight="1">
      <c r="A184" s="324">
        <v>1008</v>
      </c>
      <c r="C184" s="324" t="s">
        <v>34</v>
      </c>
      <c r="D184" s="324">
        <v>420000</v>
      </c>
      <c r="H184" s="324">
        <v>2024</v>
      </c>
      <c r="I184" s="324">
        <v>420000</v>
      </c>
      <c r="J184" s="324">
        <v>300000</v>
      </c>
      <c r="K184" s="324">
        <v>50000</v>
      </c>
      <c r="L184" s="324">
        <v>70000</v>
      </c>
      <c r="M184" s="324">
        <v>17500</v>
      </c>
      <c r="N184" s="324">
        <v>52500</v>
      </c>
      <c r="O184" s="324">
        <v>102500</v>
      </c>
      <c r="T184" s="324">
        <v>3</v>
      </c>
      <c r="U184" s="324" t="s">
        <v>155</v>
      </c>
      <c r="X184" s="324" t="s">
        <v>489</v>
      </c>
      <c r="Y184" s="324">
        <v>400000</v>
      </c>
      <c r="Z184" s="324">
        <v>360000</v>
      </c>
      <c r="AA184" s="324">
        <v>-235569.6313063805</v>
      </c>
      <c r="AB184" s="324">
        <v>-25188.578490969143</v>
      </c>
    </row>
    <row r="185" spans="1:28" s="324" customFormat="1" ht="0.65" hidden="1" customHeight="1">
      <c r="A185" s="324">
        <v>1009</v>
      </c>
      <c r="C185" s="324" t="s">
        <v>35</v>
      </c>
      <c r="D185" s="324">
        <v>300000</v>
      </c>
      <c r="H185" s="324">
        <v>2025</v>
      </c>
      <c r="I185" s="324">
        <v>420000</v>
      </c>
      <c r="J185" s="324">
        <v>300000</v>
      </c>
      <c r="K185" s="324">
        <v>100000</v>
      </c>
      <c r="L185" s="324">
        <v>20000</v>
      </c>
      <c r="M185" s="324">
        <v>5000</v>
      </c>
      <c r="N185" s="324">
        <v>15000</v>
      </c>
      <c r="O185" s="324">
        <v>115000</v>
      </c>
      <c r="T185" s="324">
        <v>4</v>
      </c>
      <c r="U185" s="324" t="s">
        <v>156</v>
      </c>
      <c r="X185" s="324" t="s">
        <v>492</v>
      </c>
      <c r="Y185" s="324">
        <v>200000</v>
      </c>
      <c r="Z185" s="324">
        <v>220000.00000000003</v>
      </c>
      <c r="AA185" s="324">
        <v>-195381.05281541136</v>
      </c>
      <c r="AB185" s="324">
        <v>15000</v>
      </c>
    </row>
    <row r="186" spans="1:28" s="324" customFormat="1" ht="0.65" hidden="1" customHeight="1">
      <c r="A186" s="324">
        <v>1010</v>
      </c>
      <c r="T186" s="324">
        <v>5</v>
      </c>
      <c r="U186" s="324" t="s">
        <v>157</v>
      </c>
      <c r="X186" s="324" t="s">
        <v>6</v>
      </c>
      <c r="Y186" s="324">
        <v>2</v>
      </c>
      <c r="Z186" s="324">
        <v>1</v>
      </c>
      <c r="AA186" s="324">
        <v>-211048.55014542211</v>
      </c>
      <c r="AB186" s="324">
        <v>-667.49733001075219</v>
      </c>
    </row>
    <row r="187" spans="1:28" s="324" customFormat="1" ht="0.65" hidden="1" customHeight="1">
      <c r="A187" s="324">
        <v>1011</v>
      </c>
      <c r="C187" s="324" t="s">
        <v>7</v>
      </c>
      <c r="D187" s="324">
        <v>90</v>
      </c>
      <c r="H187" s="324" t="s">
        <v>22</v>
      </c>
      <c r="N187" s="324" t="s">
        <v>649</v>
      </c>
      <c r="T187" s="324">
        <v>6</v>
      </c>
      <c r="U187" s="324" t="s">
        <v>158</v>
      </c>
      <c r="X187" s="324" t="s">
        <v>495</v>
      </c>
      <c r="Y187" s="324">
        <v>100000</v>
      </c>
      <c r="Z187" s="324">
        <v>110000.00000000001</v>
      </c>
      <c r="AA187" s="324">
        <v>-210172.79364844807</v>
      </c>
      <c r="AB187" s="324">
        <v>208.25916696328204</v>
      </c>
    </row>
    <row r="188" spans="1:28" s="324" customFormat="1" ht="0.65" hidden="1" customHeight="1">
      <c r="A188" s="324">
        <v>1012</v>
      </c>
      <c r="C188" s="324" t="s">
        <v>8</v>
      </c>
      <c r="D188" s="324">
        <v>60</v>
      </c>
      <c r="H188" s="324" t="s">
        <v>454</v>
      </c>
      <c r="K188" s="324">
        <v>34</v>
      </c>
      <c r="L188" s="324" t="s">
        <v>55</v>
      </c>
      <c r="M188" s="324" t="s">
        <v>185</v>
      </c>
      <c r="N188" s="324" t="s">
        <v>647</v>
      </c>
      <c r="O188" s="324" t="s">
        <v>650</v>
      </c>
      <c r="T188" s="324">
        <v>7</v>
      </c>
      <c r="U188" s="324" t="s">
        <v>159</v>
      </c>
      <c r="X188" s="324" t="s">
        <v>492</v>
      </c>
      <c r="Y188" s="324">
        <v>200000</v>
      </c>
      <c r="Z188" s="324">
        <v>180000</v>
      </c>
      <c r="AA188" s="324">
        <v>-225381.05281541136</v>
      </c>
      <c r="AB188" s="324">
        <v>-15000</v>
      </c>
    </row>
    <row r="189" spans="1:28" s="324" customFormat="1" ht="0.65" hidden="1" customHeight="1">
      <c r="A189" s="324">
        <v>1013</v>
      </c>
      <c r="T189" s="324">
        <v>8</v>
      </c>
      <c r="U189" s="324" t="s">
        <v>160</v>
      </c>
      <c r="X189" s="324" t="s">
        <v>489</v>
      </c>
      <c r="Y189" s="324">
        <v>100000</v>
      </c>
      <c r="Z189" s="324">
        <v>110000.00000000001</v>
      </c>
      <c r="AA189" s="324">
        <v>-216678.19743815367</v>
      </c>
      <c r="AB189" s="324">
        <v>-6297.1446227423148</v>
      </c>
    </row>
    <row r="190" spans="1:28" s="324" customFormat="1" ht="0.65" hidden="1" customHeight="1">
      <c r="A190" s="324">
        <v>1014</v>
      </c>
      <c r="C190" s="324" t="s">
        <v>33</v>
      </c>
      <c r="H190" s="324" t="s">
        <v>0</v>
      </c>
      <c r="I190" s="324" t="s">
        <v>76</v>
      </c>
      <c r="J190" s="324" t="s">
        <v>77</v>
      </c>
      <c r="K190" s="324" t="s">
        <v>78</v>
      </c>
      <c r="L190" s="324" t="s">
        <v>79</v>
      </c>
      <c r="T190" s="324">
        <v>9</v>
      </c>
      <c r="U190" s="324" t="s">
        <v>161</v>
      </c>
      <c r="X190" s="324" t="s">
        <v>34</v>
      </c>
      <c r="Y190" s="324">
        <v>420000</v>
      </c>
      <c r="Z190" s="324">
        <v>462000.00000000006</v>
      </c>
      <c r="AA190" s="324">
        <v>-127270.83431288914</v>
      </c>
      <c r="AB190" s="324">
        <v>83110.218502522213</v>
      </c>
    </row>
    <row r="191" spans="1:28" s="324" customFormat="1" ht="0.65" hidden="1" customHeight="1">
      <c r="A191" s="324">
        <v>1015</v>
      </c>
      <c r="C191" s="324" t="s">
        <v>492</v>
      </c>
      <c r="D191" s="324">
        <v>200000</v>
      </c>
      <c r="H191" s="324">
        <v>2022</v>
      </c>
      <c r="I191" s="324">
        <v>0</v>
      </c>
      <c r="J191" s="324">
        <v>0</v>
      </c>
      <c r="K191" s="324">
        <v>0</v>
      </c>
      <c r="L191" s="324">
        <v>0</v>
      </c>
      <c r="T191" s="324">
        <v>10</v>
      </c>
      <c r="U191" s="324" t="s">
        <v>162</v>
      </c>
      <c r="X191" s="324" t="s">
        <v>7</v>
      </c>
      <c r="Y191" s="324">
        <v>90</v>
      </c>
      <c r="Z191" s="324">
        <v>120</v>
      </c>
      <c r="AA191" s="324">
        <v>-214013.24583380925</v>
      </c>
      <c r="AB191" s="324">
        <v>-3632.1930183978984</v>
      </c>
    </row>
    <row r="192" spans="1:28" s="324" customFormat="1" ht="0.65" hidden="1" customHeight="1">
      <c r="A192" s="324">
        <v>1016</v>
      </c>
      <c r="C192" s="324" t="s">
        <v>495</v>
      </c>
      <c r="D192" s="324">
        <v>100000</v>
      </c>
      <c r="H192" s="324">
        <v>2023</v>
      </c>
      <c r="I192" s="324">
        <v>105000</v>
      </c>
      <c r="J192" s="324">
        <v>50000</v>
      </c>
      <c r="K192" s="324">
        <v>55000</v>
      </c>
      <c r="L192" s="324">
        <v>55000</v>
      </c>
      <c r="T192" s="324">
        <v>11</v>
      </c>
      <c r="U192" s="324" t="s">
        <v>163</v>
      </c>
      <c r="X192" s="324" t="s">
        <v>35</v>
      </c>
      <c r="Y192" s="324">
        <v>300000</v>
      </c>
      <c r="Z192" s="324">
        <v>270000</v>
      </c>
      <c r="AA192" s="324">
        <v>-150757.16866943857</v>
      </c>
      <c r="AB192" s="324">
        <v>59623.884145972785</v>
      </c>
    </row>
    <row r="193" spans="1:28" s="324" customFormat="1" ht="0.65" hidden="1" customHeight="1">
      <c r="A193" s="324">
        <v>1017</v>
      </c>
      <c r="C193" s="324" t="s">
        <v>6</v>
      </c>
      <c r="D193" s="324">
        <v>2</v>
      </c>
      <c r="H193" s="324">
        <v>2024</v>
      </c>
      <c r="I193" s="324">
        <v>105000</v>
      </c>
      <c r="J193" s="324">
        <v>50000</v>
      </c>
      <c r="K193" s="324">
        <v>55000</v>
      </c>
      <c r="L193" s="324">
        <v>0</v>
      </c>
      <c r="T193" s="324">
        <v>12</v>
      </c>
      <c r="U193" s="324" t="s">
        <v>164</v>
      </c>
      <c r="X193" s="324" t="s">
        <v>8</v>
      </c>
      <c r="Y193" s="324">
        <v>60</v>
      </c>
      <c r="Z193" s="324">
        <v>30</v>
      </c>
      <c r="AA193" s="324">
        <v>-212975.47639998142</v>
      </c>
      <c r="AB193" s="324">
        <v>-2594.4235845700605</v>
      </c>
    </row>
    <row r="194" spans="1:28" s="324" customFormat="1" ht="0.65" hidden="1" customHeight="1">
      <c r="A194" s="324">
        <v>1018</v>
      </c>
      <c r="C194" s="324" t="s">
        <v>489</v>
      </c>
      <c r="D194" s="324">
        <v>100000</v>
      </c>
      <c r="H194" s="324">
        <v>2025</v>
      </c>
      <c r="I194" s="324">
        <v>105000</v>
      </c>
      <c r="J194" s="324">
        <v>50000</v>
      </c>
      <c r="K194" s="324">
        <v>55000</v>
      </c>
      <c r="L194" s="324">
        <v>0</v>
      </c>
      <c r="T194" s="324">
        <v>13</v>
      </c>
      <c r="U194" s="324" t="s">
        <v>165</v>
      </c>
      <c r="X194" s="324" t="s">
        <v>10</v>
      </c>
      <c r="Y194" s="324">
        <v>350000</v>
      </c>
      <c r="Z194" s="324">
        <v>385000.00000000006</v>
      </c>
      <c r="AA194" s="324">
        <v>-213312.74465488957</v>
      </c>
      <c r="AB194" s="324">
        <v>-2931.6918394782115</v>
      </c>
    </row>
    <row r="195" spans="1:28" s="324" customFormat="1" ht="0.65" hidden="1" customHeight="1">
      <c r="A195" s="324">
        <v>1019</v>
      </c>
      <c r="T195" s="324">
        <v>14</v>
      </c>
      <c r="U195" s="324" t="s">
        <v>166</v>
      </c>
      <c r="X195" s="324" t="s">
        <v>12</v>
      </c>
      <c r="Y195" s="324">
        <v>2.2499999999999999E-2</v>
      </c>
      <c r="Z195" s="324">
        <v>1.2499999999999999E-2</v>
      </c>
      <c r="AA195" s="324">
        <v>-202465.14212207857</v>
      </c>
      <c r="AB195" s="324">
        <v>7915.9106933327857</v>
      </c>
    </row>
    <row r="196" spans="1:28" s="324" customFormat="1" ht="0.65" hidden="1" customHeight="1">
      <c r="A196" s="324">
        <v>1020</v>
      </c>
      <c r="C196" s="324" t="s">
        <v>4</v>
      </c>
      <c r="D196" s="324">
        <v>0.25</v>
      </c>
      <c r="H196" s="324" t="s">
        <v>23</v>
      </c>
      <c r="T196" s="324">
        <v>15</v>
      </c>
      <c r="U196" s="324" t="s">
        <v>167</v>
      </c>
      <c r="X196" s="324" t="s">
        <v>11</v>
      </c>
      <c r="Y196" s="324">
        <v>420000</v>
      </c>
      <c r="Z196" s="324">
        <v>462000.00000000006</v>
      </c>
      <c r="AA196" s="324">
        <v>-215062.24928720738</v>
      </c>
      <c r="AB196" s="324">
        <v>-4681.1964717960218</v>
      </c>
    </row>
    <row r="197" spans="1:28" s="324" customFormat="1" ht="0.65" hidden="1" customHeight="1">
      <c r="A197" s="324">
        <v>1021</v>
      </c>
      <c r="D197" s="324" t="s">
        <v>9</v>
      </c>
      <c r="T197" s="324">
        <v>16</v>
      </c>
      <c r="U197" s="324" t="s">
        <v>168</v>
      </c>
      <c r="X197" s="324" t="s">
        <v>3</v>
      </c>
      <c r="Y197" s="324">
        <v>7000000</v>
      </c>
      <c r="Z197" s="324">
        <v>7700000.0000000009</v>
      </c>
      <c r="AA197" s="324">
        <v>-207570.40876629774</v>
      </c>
      <c r="AB197" s="324">
        <v>2810.6440491136163</v>
      </c>
    </row>
    <row r="198" spans="1:28" s="324" customFormat="1" ht="0.65" hidden="1" customHeight="1">
      <c r="A198" s="324">
        <v>1022</v>
      </c>
      <c r="H198" s="324" t="s">
        <v>491</v>
      </c>
      <c r="I198" s="324">
        <v>400000</v>
      </c>
      <c r="J198" s="324" t="s">
        <v>601</v>
      </c>
      <c r="T198" s="324">
        <v>17</v>
      </c>
      <c r="U198" s="324" t="s">
        <v>169</v>
      </c>
      <c r="X198" s="324" t="s">
        <v>2</v>
      </c>
      <c r="Y198" s="324">
        <v>7000000</v>
      </c>
      <c r="Z198" s="324">
        <v>3500000</v>
      </c>
      <c r="AA198" s="324">
        <v>-240656.91205608903</v>
      </c>
      <c r="AB198" s="324">
        <v>-30275.859240677673</v>
      </c>
    </row>
    <row r="199" spans="1:28" s="324" customFormat="1" ht="0.65" hidden="1" customHeight="1">
      <c r="A199" s="324">
        <v>1023</v>
      </c>
      <c r="C199" s="324" t="s">
        <v>10</v>
      </c>
      <c r="D199" s="324">
        <v>350000</v>
      </c>
      <c r="H199" s="324" t="s">
        <v>493</v>
      </c>
      <c r="I199" s="324">
        <v>55000</v>
      </c>
      <c r="J199" s="324" t="s">
        <v>603</v>
      </c>
      <c r="T199" s="324">
        <v>18</v>
      </c>
      <c r="U199" s="324" t="s">
        <v>170</v>
      </c>
      <c r="X199" s="324" t="s">
        <v>4</v>
      </c>
      <c r="Y199" s="324">
        <v>0.25</v>
      </c>
      <c r="Z199" s="324">
        <v>0.3</v>
      </c>
      <c r="AA199" s="324">
        <v>-203834.30797272723</v>
      </c>
      <c r="AB199" s="324">
        <v>6546.7448426841293</v>
      </c>
    </row>
    <row r="200" spans="1:28" s="324" customFormat="1" ht="0.65" hidden="1" customHeight="1">
      <c r="A200" s="324">
        <v>1024</v>
      </c>
      <c r="C200" s="324" t="s">
        <v>11</v>
      </c>
      <c r="D200" s="324">
        <v>420000</v>
      </c>
      <c r="H200" s="324" t="s">
        <v>494</v>
      </c>
      <c r="I200" s="324">
        <v>455000</v>
      </c>
      <c r="J200" s="324" t="s">
        <v>605</v>
      </c>
      <c r="T200" s="324">
        <v>19</v>
      </c>
      <c r="U200" s="324" t="s">
        <v>171</v>
      </c>
      <c r="X200" s="324" t="s">
        <v>14</v>
      </c>
      <c r="Y200" s="324" t="s">
        <v>16</v>
      </c>
      <c r="Z200" s="324" t="e">
        <v>#REF!</v>
      </c>
      <c r="AA200" s="324">
        <v>-160716.78013038763</v>
      </c>
      <c r="AB200" s="324">
        <v>49664.272685023723</v>
      </c>
    </row>
    <row r="201" spans="1:28" s="324" customFormat="1" ht="0.65" hidden="1" customHeight="1">
      <c r="A201" s="324">
        <v>1025</v>
      </c>
      <c r="C201" s="324" t="s">
        <v>12</v>
      </c>
      <c r="D201" s="324">
        <v>2.2499999999999999E-2</v>
      </c>
    </row>
    <row r="202" spans="1:28" s="324" customFormat="1" ht="0.65" hidden="1" customHeight="1">
      <c r="A202" s="324">
        <v>1026</v>
      </c>
      <c r="C202" s="324" t="s">
        <v>2</v>
      </c>
      <c r="D202" s="324">
        <v>7000000</v>
      </c>
      <c r="H202" s="324" t="s">
        <v>26</v>
      </c>
    </row>
    <row r="203" spans="1:28" s="324" customFormat="1" ht="0.65" hidden="1" customHeight="1">
      <c r="A203" s="324">
        <v>1027</v>
      </c>
      <c r="C203" s="324" t="s">
        <v>3</v>
      </c>
      <c r="D203" s="324">
        <v>7000000</v>
      </c>
      <c r="L203" s="324" t="s">
        <v>81</v>
      </c>
    </row>
    <row r="204" spans="1:28" s="324" customFormat="1" ht="0.65" hidden="1" customHeight="1">
      <c r="A204" s="324">
        <v>1028</v>
      </c>
      <c r="H204" s="324" t="s">
        <v>0</v>
      </c>
      <c r="I204" s="324" t="s">
        <v>75</v>
      </c>
      <c r="J204" s="324" t="s">
        <v>79</v>
      </c>
      <c r="K204" s="324" t="s">
        <v>80</v>
      </c>
      <c r="L204" s="324" t="s">
        <v>1</v>
      </c>
      <c r="N204" s="324" t="s">
        <v>31</v>
      </c>
    </row>
    <row r="205" spans="1:28" s="324" customFormat="1" ht="0.65" hidden="1" customHeight="1">
      <c r="A205" s="324">
        <v>1029</v>
      </c>
      <c r="C205" s="324" t="s">
        <v>14</v>
      </c>
      <c r="D205" s="324" t="s">
        <v>16</v>
      </c>
      <c r="H205" s="324">
        <v>2022</v>
      </c>
      <c r="I205" s="324">
        <v>0</v>
      </c>
      <c r="J205" s="324">
        <v>0</v>
      </c>
      <c r="K205" s="324">
        <v>0</v>
      </c>
      <c r="L205" s="324">
        <v>-825000</v>
      </c>
      <c r="N205" s="324">
        <v>-825000</v>
      </c>
    </row>
    <row r="206" spans="1:28" s="324" customFormat="1" ht="0.65" hidden="1" customHeight="1">
      <c r="A206" s="324">
        <v>1030</v>
      </c>
      <c r="H206" s="324">
        <v>2023</v>
      </c>
      <c r="I206" s="324">
        <v>102500</v>
      </c>
      <c r="J206" s="324">
        <v>55000</v>
      </c>
      <c r="K206" s="324">
        <v>47500</v>
      </c>
      <c r="L206" s="324">
        <v>47500</v>
      </c>
      <c r="N206" s="324">
        <v>-777500</v>
      </c>
      <c r="O206" s="324" t="s">
        <v>55</v>
      </c>
    </row>
    <row r="207" spans="1:28" s="324" customFormat="1" ht="0.65" hidden="1" customHeight="1">
      <c r="A207" s="324">
        <v>1031</v>
      </c>
      <c r="E207" s="324" t="s">
        <v>55</v>
      </c>
      <c r="H207" s="324">
        <v>2024</v>
      </c>
      <c r="I207" s="324">
        <v>102500</v>
      </c>
      <c r="J207" s="324">
        <v>0</v>
      </c>
      <c r="K207" s="324">
        <v>102500</v>
      </c>
      <c r="L207" s="324">
        <v>102500</v>
      </c>
      <c r="N207" s="324">
        <v>-675000</v>
      </c>
      <c r="O207" s="324" t="s">
        <v>55</v>
      </c>
    </row>
    <row r="208" spans="1:28" s="324" customFormat="1" ht="0.65" hidden="1" customHeight="1">
      <c r="A208" s="324">
        <v>1032</v>
      </c>
      <c r="D208" s="324" t="s">
        <v>20</v>
      </c>
      <c r="E208" s="324" t="s">
        <v>36</v>
      </c>
      <c r="H208" s="324">
        <v>2025</v>
      </c>
      <c r="I208" s="324">
        <v>115000</v>
      </c>
      <c r="J208" s="324">
        <v>0</v>
      </c>
      <c r="K208" s="324">
        <v>115000</v>
      </c>
      <c r="L208" s="324">
        <v>570000</v>
      </c>
      <c r="N208" s="324">
        <v>-105000</v>
      </c>
      <c r="O208" s="324" t="s">
        <v>55</v>
      </c>
    </row>
    <row r="209" spans="1:18" s="324" customFormat="1" ht="0.65" hidden="1" customHeight="1">
      <c r="A209" s="324">
        <v>1033</v>
      </c>
      <c r="D209" s="324" t="s">
        <v>420</v>
      </c>
      <c r="E209" s="324" t="s">
        <v>38</v>
      </c>
    </row>
    <row r="210" spans="1:18" s="324" customFormat="1" ht="0.65" hidden="1" customHeight="1">
      <c r="A210" s="324">
        <v>1034</v>
      </c>
      <c r="E210" s="324" t="s">
        <v>424</v>
      </c>
      <c r="H210" s="324" t="s">
        <v>25</v>
      </c>
    </row>
    <row r="211" spans="1:18" s="324" customFormat="1" ht="0.65" hidden="1" customHeight="1">
      <c r="A211" s="324">
        <v>1035</v>
      </c>
    </row>
    <row r="212" spans="1:18" s="324" customFormat="1" ht="0.65" hidden="1" customHeight="1">
      <c r="A212" s="324">
        <v>1036</v>
      </c>
      <c r="H212" s="324" t="s">
        <v>124</v>
      </c>
      <c r="I212" s="324">
        <v>3.7499999999999999E-2</v>
      </c>
      <c r="J212" s="324" t="s">
        <v>651</v>
      </c>
    </row>
    <row r="213" spans="1:18" s="324" customFormat="1" ht="0.65" hidden="1" customHeight="1">
      <c r="A213" s="324">
        <v>1037</v>
      </c>
      <c r="B213" s="324" t="s">
        <v>460</v>
      </c>
      <c r="H213" s="324" t="s">
        <v>125</v>
      </c>
      <c r="I213" s="324">
        <v>8.249999999999999E-2</v>
      </c>
      <c r="J213" s="324" t="s">
        <v>617</v>
      </c>
    </row>
    <row r="214" spans="1:18" s="324" customFormat="1" ht="0.65" hidden="1" customHeight="1">
      <c r="A214" s="324">
        <v>1038</v>
      </c>
      <c r="B214" s="324" t="s">
        <v>461</v>
      </c>
      <c r="H214" s="324" t="s">
        <v>126</v>
      </c>
      <c r="I214" s="324">
        <v>0.06</v>
      </c>
      <c r="J214" s="324" t="s">
        <v>619</v>
      </c>
    </row>
    <row r="215" spans="1:18" s="324" customFormat="1" ht="0.65" hidden="1" customHeight="1">
      <c r="A215" s="324">
        <v>1039</v>
      </c>
    </row>
    <row r="216" spans="1:18" s="324" customFormat="1" ht="0.65" hidden="1" customHeight="1">
      <c r="A216" s="324">
        <v>1040</v>
      </c>
      <c r="H216" s="324" t="s">
        <v>27</v>
      </c>
      <c r="K216" s="324" t="s">
        <v>185</v>
      </c>
      <c r="L216" s="324" t="s">
        <v>652</v>
      </c>
      <c r="M216" s="324" t="s">
        <v>653</v>
      </c>
    </row>
    <row r="217" spans="1:18" s="324" customFormat="1" ht="0.65" hidden="1" customHeight="1">
      <c r="A217" s="324">
        <v>1041</v>
      </c>
      <c r="H217" s="324" t="s">
        <v>123</v>
      </c>
      <c r="K217" s="324" t="s">
        <v>29</v>
      </c>
      <c r="L217" s="324" t="s">
        <v>55</v>
      </c>
    </row>
    <row r="218" spans="1:18" s="324" customFormat="1" ht="0.65" hidden="1" customHeight="1">
      <c r="A218" s="324">
        <v>1042</v>
      </c>
      <c r="H218" s="324" t="s">
        <v>13</v>
      </c>
      <c r="I218" s="324">
        <v>-210381.05281541136</v>
      </c>
      <c r="J218" s="324" t="s">
        <v>654</v>
      </c>
    </row>
    <row r="219" spans="1:18" s="324" customFormat="1" ht="0.65" hidden="1" customHeight="1">
      <c r="A219" s="324">
        <v>1043</v>
      </c>
      <c r="H219" s="324" t="s">
        <v>28</v>
      </c>
      <c r="I219" s="324">
        <v>-4.8576778446782765E-2</v>
      </c>
      <c r="J219" s="324" t="s">
        <v>655</v>
      </c>
    </row>
    <row r="220" spans="1:18" s="324" customFormat="1" ht="0.65" hidden="1" customHeight="1">
      <c r="A220" s="324">
        <v>1044</v>
      </c>
      <c r="H220" s="324" t="s">
        <v>29</v>
      </c>
      <c r="I220" s="324">
        <v>-0.25500733674595316</v>
      </c>
      <c r="J220" s="324" t="s">
        <v>656</v>
      </c>
    </row>
    <row r="221" spans="1:18" s="324" customFormat="1" ht="0.65" hidden="1" customHeight="1">
      <c r="A221" s="324">
        <v>1045</v>
      </c>
      <c r="H221" s="324" t="s">
        <v>30</v>
      </c>
      <c r="I221" s="324" t="s">
        <v>639</v>
      </c>
      <c r="J221" s="324" t="s">
        <v>657</v>
      </c>
    </row>
    <row r="222" spans="1:18" s="324" customFormat="1" ht="0.65" hidden="1" customHeight="1">
      <c r="A222" s="324">
        <v>1046</v>
      </c>
      <c r="B222" s="324">
        <v>2</v>
      </c>
      <c r="C222" s="324">
        <v>3</v>
      </c>
      <c r="D222" s="324">
        <v>4</v>
      </c>
      <c r="E222" s="324">
        <v>5</v>
      </c>
      <c r="F222" s="324">
        <v>6</v>
      </c>
      <c r="G222" s="324">
        <v>7</v>
      </c>
      <c r="H222" s="324">
        <v>8</v>
      </c>
      <c r="I222" s="324">
        <v>9</v>
      </c>
      <c r="J222" s="324">
        <v>10</v>
      </c>
      <c r="K222" s="324">
        <v>11</v>
      </c>
      <c r="L222" s="324">
        <v>12</v>
      </c>
      <c r="M222" s="324">
        <v>13</v>
      </c>
      <c r="N222" s="324">
        <v>14</v>
      </c>
      <c r="O222" s="324">
        <v>15</v>
      </c>
      <c r="P222" s="324">
        <v>16</v>
      </c>
      <c r="Q222" s="324">
        <v>17</v>
      </c>
      <c r="R222" s="324">
        <v>18</v>
      </c>
    </row>
    <row r="223" spans="1:18" s="324" customFormat="1" ht="0.65" hidden="1" customHeight="1">
      <c r="A223" s="324">
        <v>1047</v>
      </c>
      <c r="M223" s="324" t="s">
        <v>452</v>
      </c>
      <c r="N223" s="324" t="s">
        <v>453</v>
      </c>
    </row>
    <row r="224" spans="1:18" s="324" customFormat="1" ht="0.65" hidden="1" customHeight="1">
      <c r="A224" s="324">
        <v>1048</v>
      </c>
      <c r="G224" s="324">
        <v>2</v>
      </c>
      <c r="H224" s="324" t="s">
        <v>429</v>
      </c>
      <c r="I224" s="324">
        <v>2023</v>
      </c>
      <c r="J224" s="324">
        <v>1</v>
      </c>
      <c r="K224" s="324">
        <v>2</v>
      </c>
      <c r="L224" s="324">
        <v>420000</v>
      </c>
      <c r="M224" s="324">
        <v>420000</v>
      </c>
      <c r="N224" s="324">
        <v>420000</v>
      </c>
    </row>
    <row r="225" spans="1:14" s="324" customFormat="1" ht="0.65" hidden="1" customHeight="1">
      <c r="A225" s="324">
        <v>1049</v>
      </c>
      <c r="G225" s="324">
        <v>3</v>
      </c>
      <c r="H225" s="324" t="s">
        <v>430</v>
      </c>
      <c r="I225" s="324">
        <v>2023</v>
      </c>
      <c r="J225" s="324">
        <v>2</v>
      </c>
      <c r="K225" s="324">
        <v>3</v>
      </c>
      <c r="L225" s="324">
        <v>300000</v>
      </c>
      <c r="M225" s="324">
        <v>300000</v>
      </c>
      <c r="N225" s="324">
        <v>300000</v>
      </c>
    </row>
    <row r="226" spans="1:14" s="324" customFormat="1" ht="0.65" hidden="1" customHeight="1">
      <c r="A226" s="324">
        <v>1050</v>
      </c>
      <c r="G226" s="324">
        <v>4</v>
      </c>
      <c r="H226" s="324" t="s">
        <v>431</v>
      </c>
      <c r="I226" s="324">
        <v>2023</v>
      </c>
      <c r="J226" s="324">
        <v>3</v>
      </c>
      <c r="K226" s="324">
        <v>4</v>
      </c>
      <c r="L226" s="324" t="s">
        <v>648</v>
      </c>
      <c r="M226" s="324" t="s">
        <v>648</v>
      </c>
      <c r="N226" s="324" t="s">
        <v>658</v>
      </c>
    </row>
    <row r="227" spans="1:14" s="324" customFormat="1" ht="0.65" hidden="1" customHeight="1">
      <c r="A227" s="324">
        <v>1051</v>
      </c>
      <c r="G227" s="324">
        <v>5</v>
      </c>
      <c r="H227" s="324" t="s">
        <v>432</v>
      </c>
      <c r="I227" s="324">
        <v>2023</v>
      </c>
      <c r="J227" s="324">
        <v>4</v>
      </c>
      <c r="K227" s="324">
        <v>5</v>
      </c>
      <c r="L227" s="324" t="s">
        <v>659</v>
      </c>
      <c r="M227" s="324" t="s">
        <v>659</v>
      </c>
      <c r="N227" s="324" t="s">
        <v>660</v>
      </c>
    </row>
    <row r="228" spans="1:14" s="324" customFormat="1" ht="0.65" hidden="1" customHeight="1">
      <c r="A228" s="324">
        <v>1052</v>
      </c>
      <c r="G228" s="324">
        <v>6</v>
      </c>
      <c r="H228" s="324" t="s">
        <v>433</v>
      </c>
      <c r="I228" s="324">
        <v>2023</v>
      </c>
      <c r="J228" s="324">
        <v>5</v>
      </c>
      <c r="K228" s="324">
        <v>6</v>
      </c>
      <c r="L228" s="324" t="s">
        <v>661</v>
      </c>
      <c r="M228" s="324" t="s">
        <v>661</v>
      </c>
      <c r="N228" s="324" t="s">
        <v>662</v>
      </c>
    </row>
    <row r="229" spans="1:14" s="324" customFormat="1" ht="0.65" hidden="1" customHeight="1">
      <c r="A229" s="324">
        <v>1053</v>
      </c>
      <c r="G229" s="324">
        <v>7</v>
      </c>
      <c r="H229" s="324" t="s">
        <v>434</v>
      </c>
      <c r="I229" s="324">
        <v>2023</v>
      </c>
      <c r="J229" s="324">
        <v>6</v>
      </c>
      <c r="K229" s="324">
        <v>7</v>
      </c>
      <c r="L229" s="324" t="s">
        <v>663</v>
      </c>
      <c r="M229" s="324" t="s">
        <v>663</v>
      </c>
      <c r="N229" s="324" t="s">
        <v>664</v>
      </c>
    </row>
    <row r="230" spans="1:14" s="324" customFormat="1" ht="0.65" hidden="1" customHeight="1">
      <c r="A230" s="324">
        <v>1054</v>
      </c>
      <c r="G230" s="324">
        <v>8</v>
      </c>
      <c r="H230" s="324" t="s">
        <v>435</v>
      </c>
      <c r="I230" s="324">
        <v>2023</v>
      </c>
      <c r="J230" s="324">
        <v>7</v>
      </c>
      <c r="K230" s="324">
        <v>8</v>
      </c>
      <c r="L230" s="324" t="s">
        <v>665</v>
      </c>
      <c r="M230" s="324" t="s">
        <v>665</v>
      </c>
      <c r="N230" s="324" t="s">
        <v>666</v>
      </c>
    </row>
    <row r="231" spans="1:14" s="324" customFormat="1" ht="0.65" hidden="1" customHeight="1">
      <c r="A231" s="324">
        <v>1055</v>
      </c>
      <c r="G231" s="324">
        <v>14</v>
      </c>
      <c r="H231" s="324" t="s">
        <v>429</v>
      </c>
      <c r="I231" s="324">
        <v>2024</v>
      </c>
      <c r="J231" s="324">
        <v>1</v>
      </c>
      <c r="K231" s="324">
        <v>14</v>
      </c>
      <c r="L231" s="324">
        <v>420000</v>
      </c>
      <c r="M231" s="324">
        <v>420000</v>
      </c>
      <c r="N231" s="324">
        <v>420000</v>
      </c>
    </row>
    <row r="232" spans="1:14" s="324" customFormat="1" ht="0.65" hidden="1" customHeight="1">
      <c r="A232" s="324">
        <v>1056</v>
      </c>
      <c r="G232" s="324">
        <v>15</v>
      </c>
      <c r="H232" s="324" t="s">
        <v>430</v>
      </c>
      <c r="I232" s="324">
        <v>2024</v>
      </c>
      <c r="J232" s="324">
        <v>2</v>
      </c>
      <c r="K232" s="324">
        <v>15</v>
      </c>
      <c r="L232" s="324">
        <v>300000</v>
      </c>
      <c r="M232" s="324">
        <v>300000</v>
      </c>
      <c r="N232" s="324">
        <v>300000</v>
      </c>
    </row>
    <row r="233" spans="1:14" s="324" customFormat="1" ht="0.65" hidden="1" customHeight="1">
      <c r="A233" s="324">
        <v>1057</v>
      </c>
      <c r="G233" s="324">
        <v>16</v>
      </c>
      <c r="H233" s="324" t="s">
        <v>431</v>
      </c>
      <c r="I233" s="324">
        <v>2024</v>
      </c>
      <c r="J233" s="324">
        <v>3</v>
      </c>
      <c r="K233" s="324">
        <v>16</v>
      </c>
      <c r="L233" s="324" t="s">
        <v>648</v>
      </c>
      <c r="M233" s="324" t="s">
        <v>648</v>
      </c>
      <c r="N233" s="324" t="s">
        <v>658</v>
      </c>
    </row>
    <row r="234" spans="1:14" s="324" customFormat="1" ht="0.65" hidden="1" customHeight="1">
      <c r="A234" s="324">
        <v>1058</v>
      </c>
      <c r="G234" s="324">
        <v>17</v>
      </c>
      <c r="H234" s="324" t="s">
        <v>432</v>
      </c>
      <c r="I234" s="324">
        <v>2024</v>
      </c>
      <c r="J234" s="324">
        <v>4</v>
      </c>
      <c r="K234" s="324">
        <v>17</v>
      </c>
      <c r="L234" s="324" t="s">
        <v>659</v>
      </c>
      <c r="M234" s="324" t="s">
        <v>659</v>
      </c>
      <c r="N234" s="324" t="s">
        <v>660</v>
      </c>
    </row>
    <row r="235" spans="1:14" s="324" customFormat="1" ht="0.65" hidden="1" customHeight="1">
      <c r="A235" s="324">
        <v>1059</v>
      </c>
      <c r="G235" s="324">
        <v>18</v>
      </c>
      <c r="H235" s="324" t="s">
        <v>433</v>
      </c>
      <c r="I235" s="324">
        <v>2024</v>
      </c>
      <c r="J235" s="324">
        <v>5</v>
      </c>
      <c r="K235" s="324">
        <v>18</v>
      </c>
      <c r="L235" s="324" t="s">
        <v>661</v>
      </c>
      <c r="M235" s="324" t="s">
        <v>661</v>
      </c>
      <c r="N235" s="324" t="s">
        <v>662</v>
      </c>
    </row>
    <row r="236" spans="1:14" s="324" customFormat="1" ht="0.65" hidden="1" customHeight="1">
      <c r="A236" s="324">
        <v>1060</v>
      </c>
      <c r="G236" s="324">
        <v>19</v>
      </c>
      <c r="H236" s="324" t="s">
        <v>434</v>
      </c>
      <c r="I236" s="324">
        <v>2024</v>
      </c>
      <c r="J236" s="324">
        <v>6</v>
      </c>
      <c r="K236" s="324">
        <v>19</v>
      </c>
      <c r="L236" s="324" t="s">
        <v>663</v>
      </c>
      <c r="M236" s="324" t="s">
        <v>663</v>
      </c>
      <c r="N236" s="324" t="s">
        <v>664</v>
      </c>
    </row>
    <row r="237" spans="1:14" s="324" customFormat="1" ht="0.65" hidden="1" customHeight="1">
      <c r="A237" s="324">
        <v>1061</v>
      </c>
      <c r="G237" s="324">
        <v>20</v>
      </c>
      <c r="H237" s="324" t="s">
        <v>435</v>
      </c>
      <c r="I237" s="324">
        <v>2024</v>
      </c>
      <c r="J237" s="324">
        <v>7</v>
      </c>
      <c r="K237" s="324">
        <v>20</v>
      </c>
      <c r="L237" s="324" t="s">
        <v>665</v>
      </c>
      <c r="M237" s="324" t="s">
        <v>665</v>
      </c>
      <c r="N237" s="324" t="s">
        <v>666</v>
      </c>
    </row>
    <row r="238" spans="1:14" s="324" customFormat="1" ht="0.65" hidden="1" customHeight="1">
      <c r="A238" s="324">
        <v>1062</v>
      </c>
      <c r="G238" s="324">
        <v>26</v>
      </c>
      <c r="H238" s="324" t="s">
        <v>429</v>
      </c>
      <c r="I238" s="324">
        <v>2025</v>
      </c>
      <c r="J238" s="324">
        <v>1</v>
      </c>
      <c r="K238" s="324">
        <v>26</v>
      </c>
      <c r="L238" s="324">
        <v>420000</v>
      </c>
      <c r="M238" s="324">
        <v>420000</v>
      </c>
      <c r="N238" s="324">
        <v>420000</v>
      </c>
    </row>
    <row r="239" spans="1:14" s="324" customFormat="1" ht="0.65" hidden="1" customHeight="1">
      <c r="A239" s="324">
        <v>1063</v>
      </c>
      <c r="G239" s="324">
        <v>27</v>
      </c>
      <c r="H239" s="324" t="s">
        <v>430</v>
      </c>
      <c r="I239" s="324">
        <v>2025</v>
      </c>
      <c r="J239" s="324">
        <v>2</v>
      </c>
      <c r="K239" s="324">
        <v>27</v>
      </c>
      <c r="L239" s="324">
        <v>300000</v>
      </c>
      <c r="M239" s="324">
        <v>300000</v>
      </c>
      <c r="N239" s="324">
        <v>300000</v>
      </c>
    </row>
    <row r="240" spans="1:14" s="324" customFormat="1" ht="0.65" hidden="1" customHeight="1">
      <c r="A240" s="324">
        <v>1064</v>
      </c>
      <c r="G240" s="324">
        <v>28</v>
      </c>
      <c r="H240" s="324" t="s">
        <v>431</v>
      </c>
      <c r="I240" s="324">
        <v>2025</v>
      </c>
      <c r="J240" s="324">
        <v>3</v>
      </c>
      <c r="K240" s="324">
        <v>28</v>
      </c>
      <c r="L240" s="324" t="s">
        <v>667</v>
      </c>
      <c r="M240" s="324" t="s">
        <v>667</v>
      </c>
      <c r="N240" s="324" t="s">
        <v>658</v>
      </c>
    </row>
    <row r="241" spans="1:14" s="324" customFormat="1" ht="0.65" hidden="1" customHeight="1">
      <c r="A241" s="324">
        <v>1065</v>
      </c>
      <c r="G241" s="324">
        <v>29</v>
      </c>
      <c r="H241" s="324" t="s">
        <v>432</v>
      </c>
      <c r="I241" s="324">
        <v>2025</v>
      </c>
      <c r="J241" s="324">
        <v>4</v>
      </c>
      <c r="K241" s="324">
        <v>29</v>
      </c>
      <c r="L241" s="324" t="s">
        <v>668</v>
      </c>
      <c r="M241" s="324" t="s">
        <v>668</v>
      </c>
      <c r="N241" s="324" t="s">
        <v>660</v>
      </c>
    </row>
    <row r="242" spans="1:14" s="324" customFormat="1" ht="0.65" hidden="1" customHeight="1">
      <c r="A242" s="324">
        <v>1066</v>
      </c>
      <c r="G242" s="324">
        <v>30</v>
      </c>
      <c r="H242" s="324" t="s">
        <v>433</v>
      </c>
      <c r="I242" s="324">
        <v>2025</v>
      </c>
      <c r="J242" s="324">
        <v>5</v>
      </c>
      <c r="K242" s="324">
        <v>30</v>
      </c>
      <c r="L242" s="324" t="s">
        <v>669</v>
      </c>
      <c r="M242" s="324" t="s">
        <v>669</v>
      </c>
      <c r="N242" s="324" t="s">
        <v>662</v>
      </c>
    </row>
    <row r="243" spans="1:14" s="324" customFormat="1" ht="0.65" hidden="1" customHeight="1">
      <c r="A243" s="324">
        <v>1067</v>
      </c>
      <c r="G243" s="324">
        <v>31</v>
      </c>
      <c r="H243" s="324" t="s">
        <v>434</v>
      </c>
      <c r="I243" s="324">
        <v>2025</v>
      </c>
      <c r="J243" s="324">
        <v>6</v>
      </c>
      <c r="K243" s="324">
        <v>31</v>
      </c>
      <c r="L243" s="324" t="s">
        <v>670</v>
      </c>
      <c r="M243" s="324" t="s">
        <v>670</v>
      </c>
      <c r="N243" s="324" t="s">
        <v>664</v>
      </c>
    </row>
    <row r="244" spans="1:14" s="324" customFormat="1" ht="0.65" hidden="1" customHeight="1">
      <c r="A244" s="324">
        <v>1068</v>
      </c>
      <c r="G244" s="324">
        <v>32</v>
      </c>
      <c r="H244" s="324" t="s">
        <v>435</v>
      </c>
      <c r="I244" s="324">
        <v>2025</v>
      </c>
      <c r="J244" s="324">
        <v>7</v>
      </c>
      <c r="K244" s="324">
        <v>32</v>
      </c>
      <c r="L244" s="324" t="s">
        <v>671</v>
      </c>
      <c r="M244" s="324" t="s">
        <v>671</v>
      </c>
      <c r="N244" s="324" t="s">
        <v>666</v>
      </c>
    </row>
    <row r="245" spans="1:14" s="324" customFormat="1" ht="0.65" hidden="1" customHeight="1">
      <c r="A245" s="324">
        <v>1069</v>
      </c>
    </row>
    <row r="246" spans="1:14" s="324" customFormat="1" ht="0.65" hidden="1" customHeight="1">
      <c r="A246" s="324">
        <v>1070</v>
      </c>
    </row>
    <row r="247" spans="1:14" s="324" customFormat="1" ht="0.65" hidden="1" customHeight="1">
      <c r="A247" s="324">
        <v>1071</v>
      </c>
    </row>
    <row r="248" spans="1:14" s="324" customFormat="1" ht="0.65" hidden="1" customHeight="1">
      <c r="A248" s="324">
        <v>1072</v>
      </c>
      <c r="M248" s="324" t="s">
        <v>452</v>
      </c>
      <c r="N248" s="324" t="s">
        <v>453</v>
      </c>
    </row>
    <row r="249" spans="1:14" s="324" customFormat="1" ht="0.65" hidden="1" customHeight="1">
      <c r="A249" s="324">
        <v>1073</v>
      </c>
      <c r="H249" s="324" t="s">
        <v>436</v>
      </c>
      <c r="I249" s="324">
        <v>2022</v>
      </c>
      <c r="J249" s="324">
        <v>1</v>
      </c>
    </row>
    <row r="250" spans="1:14" s="324" customFormat="1" ht="0.65" hidden="1" customHeight="1">
      <c r="A250" s="324">
        <v>1074</v>
      </c>
      <c r="H250" s="324" t="s">
        <v>437</v>
      </c>
      <c r="I250" s="324">
        <v>2022</v>
      </c>
      <c r="J250" s="324">
        <v>2</v>
      </c>
    </row>
    <row r="251" spans="1:14" s="324" customFormat="1" ht="0.65" hidden="1" customHeight="1">
      <c r="A251" s="324">
        <v>1075</v>
      </c>
      <c r="H251" s="324" t="s">
        <v>438</v>
      </c>
      <c r="I251" s="324">
        <v>2022</v>
      </c>
      <c r="J251" s="324">
        <v>3</v>
      </c>
    </row>
    <row r="252" spans="1:14" s="324" customFormat="1" ht="0.65" hidden="1" customHeight="1">
      <c r="A252" s="324">
        <v>1076</v>
      </c>
      <c r="H252" s="324" t="s">
        <v>439</v>
      </c>
      <c r="I252" s="324">
        <v>2022</v>
      </c>
      <c r="J252" s="324">
        <v>4</v>
      </c>
    </row>
    <row r="253" spans="1:14" s="324" customFormat="1" ht="0.65" hidden="1" customHeight="1">
      <c r="A253" s="324">
        <v>1077</v>
      </c>
      <c r="G253" s="324">
        <v>9</v>
      </c>
      <c r="H253" s="324" t="s">
        <v>436</v>
      </c>
      <c r="I253" s="324">
        <v>2023</v>
      </c>
      <c r="J253" s="324">
        <v>1</v>
      </c>
      <c r="K253" s="324">
        <v>9</v>
      </c>
      <c r="L253" s="324" t="s">
        <v>672</v>
      </c>
      <c r="M253" s="324" t="s">
        <v>672</v>
      </c>
      <c r="N253" s="324" t="s">
        <v>673</v>
      </c>
    </row>
    <row r="254" spans="1:14" s="324" customFormat="1" ht="0.65" hidden="1" customHeight="1">
      <c r="A254" s="324">
        <v>1078</v>
      </c>
      <c r="G254" s="324">
        <v>10</v>
      </c>
      <c r="H254" s="324" t="s">
        <v>437</v>
      </c>
      <c r="I254" s="324">
        <v>2023</v>
      </c>
      <c r="J254" s="324">
        <v>2</v>
      </c>
      <c r="K254" s="324">
        <v>10</v>
      </c>
      <c r="L254" s="324" t="s">
        <v>650</v>
      </c>
      <c r="M254" s="324" t="s">
        <v>650</v>
      </c>
      <c r="N254" s="324" t="s">
        <v>674</v>
      </c>
    </row>
    <row r="255" spans="1:14" s="324" customFormat="1" ht="0.65" hidden="1" customHeight="1">
      <c r="A255" s="324">
        <v>1079</v>
      </c>
      <c r="G255" s="324">
        <v>11</v>
      </c>
      <c r="H255" s="324" t="s">
        <v>438</v>
      </c>
      <c r="I255" s="324">
        <v>2023</v>
      </c>
      <c r="J255" s="324">
        <v>3</v>
      </c>
      <c r="K255" s="324">
        <v>11</v>
      </c>
      <c r="L255" s="324" t="s">
        <v>675</v>
      </c>
      <c r="M255" s="324" t="s">
        <v>675</v>
      </c>
      <c r="N255" s="324" t="s">
        <v>676</v>
      </c>
    </row>
    <row r="256" spans="1:14" s="324" customFormat="1" ht="0.65" hidden="1" customHeight="1">
      <c r="A256" s="324">
        <v>1080</v>
      </c>
      <c r="G256" s="324">
        <v>12</v>
      </c>
      <c r="H256" s="324" t="s">
        <v>439</v>
      </c>
      <c r="I256" s="324">
        <v>2023</v>
      </c>
      <c r="J256" s="324">
        <v>4</v>
      </c>
      <c r="K256" s="324">
        <v>12</v>
      </c>
      <c r="L256" s="324" t="s">
        <v>677</v>
      </c>
      <c r="M256" s="324" t="s">
        <v>677</v>
      </c>
      <c r="N256" s="324" t="s">
        <v>678</v>
      </c>
    </row>
    <row r="257" spans="1:14" s="324" customFormat="1" ht="0.65" hidden="1" customHeight="1">
      <c r="A257" s="324">
        <v>1081</v>
      </c>
      <c r="G257" s="324">
        <v>21</v>
      </c>
      <c r="H257" s="324" t="s">
        <v>436</v>
      </c>
      <c r="I257" s="324">
        <v>2024</v>
      </c>
      <c r="J257" s="324">
        <v>1</v>
      </c>
      <c r="K257" s="324">
        <v>21</v>
      </c>
      <c r="L257" s="324" t="s">
        <v>672</v>
      </c>
      <c r="M257" s="324" t="s">
        <v>672</v>
      </c>
      <c r="N257" s="324" t="s">
        <v>673</v>
      </c>
    </row>
    <row r="258" spans="1:14" s="324" customFormat="1" ht="0.65" hidden="1" customHeight="1">
      <c r="A258" s="324">
        <v>1082</v>
      </c>
      <c r="G258" s="324">
        <v>22</v>
      </c>
      <c r="H258" s="324" t="s">
        <v>437</v>
      </c>
      <c r="I258" s="324">
        <v>2024</v>
      </c>
      <c r="J258" s="324">
        <v>2</v>
      </c>
      <c r="K258" s="324">
        <v>22</v>
      </c>
      <c r="L258" s="324" t="s">
        <v>650</v>
      </c>
      <c r="M258" s="324" t="s">
        <v>650</v>
      </c>
      <c r="N258" s="324" t="s">
        <v>674</v>
      </c>
    </row>
    <row r="259" spans="1:14" s="324" customFormat="1" ht="0.65" hidden="1" customHeight="1">
      <c r="A259" s="324">
        <v>1083</v>
      </c>
      <c r="G259" s="324">
        <v>23</v>
      </c>
      <c r="H259" s="324" t="s">
        <v>438</v>
      </c>
      <c r="I259" s="324">
        <v>2024</v>
      </c>
      <c r="J259" s="324">
        <v>3</v>
      </c>
      <c r="K259" s="324">
        <v>23</v>
      </c>
      <c r="L259" s="324" t="s">
        <v>675</v>
      </c>
      <c r="M259" s="324" t="s">
        <v>675</v>
      </c>
      <c r="N259" s="324" t="s">
        <v>676</v>
      </c>
    </row>
    <row r="260" spans="1:14" s="324" customFormat="1" ht="0.65" hidden="1" customHeight="1">
      <c r="A260" s="324">
        <v>1084</v>
      </c>
      <c r="G260" s="324">
        <v>24</v>
      </c>
      <c r="H260" s="324" t="s">
        <v>439</v>
      </c>
      <c r="I260" s="324">
        <v>2024</v>
      </c>
      <c r="J260" s="324">
        <v>4</v>
      </c>
      <c r="K260" s="324">
        <v>24</v>
      </c>
      <c r="L260" s="324" t="s">
        <v>679</v>
      </c>
      <c r="M260" s="324" t="s">
        <v>679</v>
      </c>
      <c r="N260" s="324" t="s">
        <v>680</v>
      </c>
    </row>
    <row r="261" spans="1:14" s="324" customFormat="1" ht="0.65" hidden="1" customHeight="1">
      <c r="A261" s="324">
        <v>1085</v>
      </c>
      <c r="G261" s="324">
        <v>33</v>
      </c>
      <c r="H261" s="324" t="s">
        <v>436</v>
      </c>
      <c r="I261" s="324">
        <v>2025</v>
      </c>
      <c r="J261" s="324">
        <v>1</v>
      </c>
      <c r="K261" s="324">
        <v>33</v>
      </c>
      <c r="L261" s="324" t="s">
        <v>672</v>
      </c>
      <c r="M261" s="324" t="s">
        <v>672</v>
      </c>
      <c r="N261" s="324" t="s">
        <v>673</v>
      </c>
    </row>
    <row r="262" spans="1:14" s="324" customFormat="1" ht="0.65" hidden="1" customHeight="1">
      <c r="A262" s="324">
        <v>1086</v>
      </c>
      <c r="G262" s="324">
        <v>34</v>
      </c>
      <c r="H262" s="324" t="s">
        <v>437</v>
      </c>
      <c r="I262" s="324">
        <v>2025</v>
      </c>
      <c r="J262" s="324">
        <v>2</v>
      </c>
      <c r="K262" s="324">
        <v>34</v>
      </c>
      <c r="L262" s="324" t="s">
        <v>650</v>
      </c>
      <c r="M262" s="324" t="s">
        <v>650</v>
      </c>
      <c r="N262" s="324" t="s">
        <v>674</v>
      </c>
    </row>
    <row r="263" spans="1:14" s="324" customFormat="1" ht="0.65" hidden="1" customHeight="1">
      <c r="A263" s="324">
        <v>1087</v>
      </c>
      <c r="G263" s="324">
        <v>35</v>
      </c>
      <c r="H263" s="324" t="s">
        <v>438</v>
      </c>
      <c r="I263" s="324">
        <v>2025</v>
      </c>
      <c r="J263" s="324">
        <v>3</v>
      </c>
      <c r="K263" s="324">
        <v>35</v>
      </c>
      <c r="L263" s="324" t="s">
        <v>675</v>
      </c>
      <c r="M263" s="324" t="s">
        <v>675</v>
      </c>
      <c r="N263" s="324" t="s">
        <v>676</v>
      </c>
    </row>
    <row r="264" spans="1:14" s="324" customFormat="1" ht="0.65" hidden="1" customHeight="1">
      <c r="A264" s="324">
        <v>1088</v>
      </c>
      <c r="G264" s="324">
        <v>36</v>
      </c>
      <c r="H264" s="324" t="s">
        <v>439</v>
      </c>
      <c r="I264" s="324">
        <v>2025</v>
      </c>
      <c r="J264" s="324">
        <v>4</v>
      </c>
      <c r="K264" s="324">
        <v>36</v>
      </c>
      <c r="L264" s="324" t="s">
        <v>679</v>
      </c>
      <c r="M264" s="324" t="s">
        <v>679</v>
      </c>
      <c r="N264" s="324" t="s">
        <v>681</v>
      </c>
    </row>
    <row r="265" spans="1:14" s="324" customFormat="1" ht="0.65" hidden="1" customHeight="1">
      <c r="A265" s="324">
        <v>1089</v>
      </c>
    </row>
    <row r="266" spans="1:14" s="324" customFormat="1" ht="0.65" hidden="1" customHeight="1">
      <c r="A266" s="324">
        <v>1090</v>
      </c>
      <c r="K266" s="324" t="s">
        <v>13</v>
      </c>
      <c r="L266" s="324" t="s">
        <v>621</v>
      </c>
      <c r="M266" s="324" t="s">
        <v>682</v>
      </c>
    </row>
    <row r="267" spans="1:14" s="324" customFormat="1" ht="0.65" hidden="1" customHeight="1">
      <c r="A267" s="324">
        <v>1091</v>
      </c>
      <c r="K267" s="324" t="s">
        <v>28</v>
      </c>
      <c r="L267" s="324" t="s">
        <v>623</v>
      </c>
      <c r="M267" s="324" t="s">
        <v>683</v>
      </c>
    </row>
    <row r="268" spans="1:14" s="324" customFormat="1" ht="0.65" hidden="1" customHeight="1">
      <c r="A268" s="324">
        <v>1092</v>
      </c>
      <c r="K268" s="324" t="s">
        <v>29</v>
      </c>
      <c r="L268" s="324" t="s">
        <v>653</v>
      </c>
      <c r="M268" s="324" t="s">
        <v>684</v>
      </c>
    </row>
    <row r="269" spans="1:14" s="324" customFormat="1" ht="0.65" hidden="1" customHeight="1">
      <c r="A269" s="324">
        <v>1093</v>
      </c>
      <c r="K269" s="324" t="s">
        <v>30</v>
      </c>
      <c r="L269" s="324" t="s">
        <v>685</v>
      </c>
      <c r="M269" s="324" t="s">
        <v>686</v>
      </c>
    </row>
    <row r="270" spans="1:14" s="324" customFormat="1" ht="0.65" hidden="1" customHeight="1">
      <c r="A270" s="324">
        <v>1094</v>
      </c>
    </row>
    <row r="271" spans="1:14" s="324" customFormat="1" ht="0.65" hidden="1" customHeight="1">
      <c r="A271" s="324">
        <v>1095</v>
      </c>
    </row>
    <row r="272" spans="1:14" s="324" customFormat="1" ht="0.65" hidden="1" customHeight="1">
      <c r="A272" s="324">
        <v>1096</v>
      </c>
    </row>
    <row r="273" spans="1:14" s="324" customFormat="1" ht="0.65" hidden="1" customHeight="1">
      <c r="A273" s="324">
        <v>1097</v>
      </c>
      <c r="J273" s="324" t="s">
        <v>687</v>
      </c>
      <c r="N273" s="324" t="s">
        <v>688</v>
      </c>
    </row>
    <row r="274" spans="1:14" s="324" customFormat="1" ht="0.65" hidden="1" customHeight="1">
      <c r="A274" s="324">
        <v>1098</v>
      </c>
    </row>
    <row r="275" spans="1:14" s="324" customFormat="1" ht="0.65" hidden="1" customHeight="1">
      <c r="A275" s="324">
        <v>1099</v>
      </c>
      <c r="J275" s="324" t="s">
        <v>689</v>
      </c>
      <c r="N275" s="324" t="s">
        <v>690</v>
      </c>
    </row>
    <row r="276" spans="1:14" s="324" customFormat="1" ht="0.65" hidden="1" customHeight="1">
      <c r="A276" s="324">
        <v>1100</v>
      </c>
      <c r="J276" s="324" t="s">
        <v>691</v>
      </c>
      <c r="N276" s="324" t="s">
        <v>692</v>
      </c>
    </row>
    <row r="277" spans="1:14" s="324" customFormat="1" ht="0.65" hidden="1" customHeight="1">
      <c r="A277" s="324">
        <v>1101</v>
      </c>
      <c r="J277" s="324" t="s">
        <v>693</v>
      </c>
      <c r="N277" s="324" t="s">
        <v>694</v>
      </c>
    </row>
    <row r="278" spans="1:14" s="324" customFormat="1" ht="0.65" hidden="1" customHeight="1">
      <c r="A278" s="324">
        <v>1102</v>
      </c>
    </row>
    <row r="279" spans="1:14" s="324" customFormat="1" ht="0.65" hidden="1" customHeight="1">
      <c r="A279" s="324">
        <v>1103</v>
      </c>
      <c r="J279" s="324" t="s">
        <v>695</v>
      </c>
      <c r="N279" s="324" t="s">
        <v>440</v>
      </c>
    </row>
    <row r="280" spans="1:14" s="324" customFormat="1" ht="0.65" hidden="1" customHeight="1">
      <c r="A280" s="324">
        <v>1104</v>
      </c>
      <c r="J280" s="324" t="s">
        <v>696</v>
      </c>
      <c r="N280" s="324" t="s">
        <v>441</v>
      </c>
    </row>
    <row r="281" spans="1:14" s="324" customFormat="1" ht="0.65" hidden="1" customHeight="1">
      <c r="A281" s="324">
        <v>1105</v>
      </c>
      <c r="J281" s="324" t="s">
        <v>697</v>
      </c>
      <c r="N281" s="324" t="s">
        <v>442</v>
      </c>
    </row>
    <row r="282" spans="1:14" s="324" customFormat="1" ht="0.65" hidden="1" customHeight="1">
      <c r="A282" s="324">
        <v>1106</v>
      </c>
    </row>
    <row r="283" spans="1:14" s="324" customFormat="1" ht="0.65" hidden="1" customHeight="1">
      <c r="A283" s="324">
        <v>1107</v>
      </c>
    </row>
    <row r="284" spans="1:14" s="324" customFormat="1" ht="0.65" hidden="1" customHeight="1">
      <c r="A284" s="324">
        <v>1108</v>
      </c>
    </row>
    <row r="285" spans="1:14" s="324" customFormat="1" ht="0.65" hidden="1" customHeight="1">
      <c r="A285" s="324">
        <v>1109</v>
      </c>
    </row>
    <row r="286" spans="1:14" s="324" customFormat="1" ht="0.65" hidden="1" customHeight="1">
      <c r="A286" s="324">
        <v>1110</v>
      </c>
    </row>
    <row r="287" spans="1:14" s="324" customFormat="1" ht="0.65" hidden="1" customHeight="1">
      <c r="A287" s="324">
        <v>1111</v>
      </c>
    </row>
    <row r="288" spans="1:14" s="324" customFormat="1" ht="0.65" hidden="1" customHeight="1">
      <c r="A288" s="324">
        <v>1112</v>
      </c>
    </row>
    <row r="289" spans="1:13" s="324" customFormat="1" ht="0.65" hidden="1" customHeight="1">
      <c r="A289" s="324">
        <v>1113</v>
      </c>
    </row>
    <row r="290" spans="1:13" s="324" customFormat="1" ht="0.65" hidden="1" customHeight="1">
      <c r="A290" s="324">
        <v>1114</v>
      </c>
    </row>
    <row r="291" spans="1:13" s="324" customFormat="1" ht="0.65" hidden="1" customHeight="1">
      <c r="A291" s="324">
        <v>1115</v>
      </c>
      <c r="G291" s="324">
        <v>1</v>
      </c>
      <c r="H291" s="324" t="s">
        <v>490</v>
      </c>
      <c r="I291" s="324">
        <v>825000</v>
      </c>
      <c r="J291" s="324" t="s">
        <v>687</v>
      </c>
      <c r="M291" s="324" t="s">
        <v>688</v>
      </c>
    </row>
    <row r="292" spans="1:13" s="324" customFormat="1" ht="0.65" hidden="1" customHeight="1">
      <c r="A292" s="324">
        <v>1116</v>
      </c>
      <c r="G292" s="324">
        <v>2</v>
      </c>
      <c r="H292" s="324" t="s">
        <v>698</v>
      </c>
      <c r="I292" s="324">
        <v>420000</v>
      </c>
      <c r="J292" s="324" t="s">
        <v>699</v>
      </c>
      <c r="M292" s="324" t="s">
        <v>698</v>
      </c>
    </row>
    <row r="293" spans="1:13" s="324" customFormat="1" ht="0.65" hidden="1" customHeight="1">
      <c r="A293" s="324">
        <v>1117</v>
      </c>
      <c r="G293" s="324">
        <v>3</v>
      </c>
      <c r="H293" s="324" t="s">
        <v>700</v>
      </c>
      <c r="I293" s="324">
        <v>300000</v>
      </c>
      <c r="J293" s="324" t="s">
        <v>701</v>
      </c>
      <c r="M293" s="324" t="s">
        <v>700</v>
      </c>
    </row>
    <row r="294" spans="1:13" s="324" customFormat="1" ht="0.65" hidden="1" customHeight="1">
      <c r="A294" s="324">
        <v>1118</v>
      </c>
      <c r="G294" s="324">
        <v>4</v>
      </c>
      <c r="H294" s="324" t="s">
        <v>702</v>
      </c>
      <c r="I294" s="324">
        <v>50000</v>
      </c>
      <c r="J294" s="324" t="s">
        <v>703</v>
      </c>
      <c r="M294" s="324" t="s">
        <v>704</v>
      </c>
    </row>
    <row r="295" spans="1:13" s="324" customFormat="1" ht="0.65" hidden="1" customHeight="1">
      <c r="A295" s="324">
        <v>1119</v>
      </c>
      <c r="G295" s="324">
        <v>5</v>
      </c>
      <c r="H295" s="324" t="s">
        <v>705</v>
      </c>
      <c r="I295" s="324">
        <v>70000</v>
      </c>
      <c r="J295" s="324" t="s">
        <v>706</v>
      </c>
      <c r="M295" s="324" t="s">
        <v>707</v>
      </c>
    </row>
    <row r="296" spans="1:13" s="324" customFormat="1" ht="0.65" hidden="1" customHeight="1">
      <c r="A296" s="324">
        <v>1120</v>
      </c>
      <c r="G296" s="324">
        <v>6</v>
      </c>
      <c r="H296" s="324" t="s">
        <v>708</v>
      </c>
      <c r="I296" s="324">
        <v>17500</v>
      </c>
      <c r="J296" s="324" t="s">
        <v>709</v>
      </c>
      <c r="M296" s="324" t="s">
        <v>710</v>
      </c>
    </row>
    <row r="297" spans="1:13" s="324" customFormat="1" ht="0.65" hidden="1" customHeight="1">
      <c r="A297" s="324">
        <v>1121</v>
      </c>
      <c r="G297" s="324">
        <v>7</v>
      </c>
      <c r="H297" s="324" t="s">
        <v>711</v>
      </c>
      <c r="I297" s="324">
        <v>52500</v>
      </c>
      <c r="J297" s="324" t="s">
        <v>712</v>
      </c>
      <c r="M297" s="324" t="s">
        <v>713</v>
      </c>
    </row>
    <row r="298" spans="1:13" s="324" customFormat="1" ht="0.65" hidden="1" customHeight="1">
      <c r="A298" s="324">
        <v>1122</v>
      </c>
      <c r="G298" s="324">
        <v>8</v>
      </c>
      <c r="H298" s="324" t="s">
        <v>714</v>
      </c>
      <c r="I298" s="324">
        <v>102500</v>
      </c>
      <c r="J298" s="324" t="s">
        <v>715</v>
      </c>
      <c r="M298" s="324" t="s">
        <v>716</v>
      </c>
    </row>
    <row r="299" spans="1:13" s="324" customFormat="1" ht="0.65" hidden="1" customHeight="1">
      <c r="A299" s="324">
        <v>1123</v>
      </c>
      <c r="G299" s="324">
        <v>9</v>
      </c>
      <c r="H299" s="324" t="s">
        <v>717</v>
      </c>
      <c r="I299" s="324">
        <v>105000</v>
      </c>
      <c r="J299" s="324" t="s">
        <v>718</v>
      </c>
      <c r="M299" s="324" t="s">
        <v>719</v>
      </c>
    </row>
    <row r="300" spans="1:13" s="324" customFormat="1" ht="0.65" hidden="1" customHeight="1">
      <c r="A300" s="324">
        <v>1124</v>
      </c>
      <c r="G300" s="324">
        <v>10</v>
      </c>
      <c r="H300" s="324" t="s">
        <v>720</v>
      </c>
      <c r="I300" s="324">
        <v>50000</v>
      </c>
      <c r="J300" s="324" t="s">
        <v>721</v>
      </c>
      <c r="M300" s="324" t="s">
        <v>722</v>
      </c>
    </row>
    <row r="301" spans="1:13" s="324" customFormat="1" ht="0.65" hidden="1" customHeight="1">
      <c r="A301" s="324">
        <v>1125</v>
      </c>
      <c r="G301" s="324">
        <v>11</v>
      </c>
      <c r="H301" s="324" t="s">
        <v>723</v>
      </c>
      <c r="I301" s="324">
        <v>55000</v>
      </c>
      <c r="J301" s="324" t="s">
        <v>724</v>
      </c>
      <c r="M301" s="324" t="s">
        <v>725</v>
      </c>
    </row>
    <row r="302" spans="1:13" s="324" customFormat="1" ht="0.65" hidden="1" customHeight="1">
      <c r="A302" s="324">
        <v>1126</v>
      </c>
      <c r="G302" s="324">
        <v>12</v>
      </c>
      <c r="H302" s="324" t="s">
        <v>726</v>
      </c>
      <c r="I302" s="324">
        <v>55000</v>
      </c>
      <c r="J302" s="324" t="s">
        <v>727</v>
      </c>
      <c r="M302" s="324" t="s">
        <v>728</v>
      </c>
    </row>
    <row r="303" spans="1:13" s="324" customFormat="1" ht="0.65" hidden="1" customHeight="1">
      <c r="A303" s="324">
        <v>1127</v>
      </c>
      <c r="G303" s="324">
        <v>13</v>
      </c>
      <c r="H303" s="324" t="s">
        <v>729</v>
      </c>
      <c r="I303" s="324">
        <v>47500</v>
      </c>
      <c r="J303" s="324" t="s">
        <v>730</v>
      </c>
    </row>
    <row r="304" spans="1:13" s="324" customFormat="1" ht="0.65" hidden="1" customHeight="1">
      <c r="A304" s="324">
        <v>1128</v>
      </c>
      <c r="G304" s="324">
        <v>14</v>
      </c>
      <c r="H304" s="324" t="s">
        <v>731</v>
      </c>
      <c r="I304" s="324">
        <v>420000</v>
      </c>
      <c r="J304" s="324" t="s">
        <v>699</v>
      </c>
      <c r="M304" s="324" t="s">
        <v>731</v>
      </c>
    </row>
    <row r="305" spans="1:13" s="324" customFormat="1" ht="0.65" hidden="1" customHeight="1">
      <c r="A305" s="324">
        <v>1129</v>
      </c>
      <c r="G305" s="324">
        <v>15</v>
      </c>
      <c r="H305" s="324" t="s">
        <v>732</v>
      </c>
      <c r="I305" s="324">
        <v>300000</v>
      </c>
      <c r="J305" s="324" t="s">
        <v>701</v>
      </c>
      <c r="M305" s="324" t="s">
        <v>732</v>
      </c>
    </row>
    <row r="306" spans="1:13" s="324" customFormat="1" ht="0.65" hidden="1" customHeight="1">
      <c r="A306" s="324">
        <v>1130</v>
      </c>
      <c r="G306" s="324">
        <v>16</v>
      </c>
      <c r="H306" s="324" t="s">
        <v>733</v>
      </c>
      <c r="I306" s="324">
        <v>50000</v>
      </c>
      <c r="J306" s="324" t="s">
        <v>703</v>
      </c>
      <c r="M306" s="324" t="s">
        <v>704</v>
      </c>
    </row>
    <row r="307" spans="1:13" s="324" customFormat="1" ht="0.65" hidden="1" customHeight="1">
      <c r="A307" s="324">
        <v>1131</v>
      </c>
      <c r="G307" s="324">
        <v>17</v>
      </c>
      <c r="H307" s="324" t="s">
        <v>734</v>
      </c>
      <c r="I307" s="324">
        <v>70000</v>
      </c>
      <c r="J307" s="324" t="s">
        <v>706</v>
      </c>
      <c r="M307" s="324" t="s">
        <v>735</v>
      </c>
    </row>
    <row r="308" spans="1:13" s="324" customFormat="1" ht="0.65" hidden="1" customHeight="1">
      <c r="A308" s="324">
        <v>1132</v>
      </c>
      <c r="G308" s="324">
        <v>18</v>
      </c>
      <c r="H308" s="324" t="s">
        <v>736</v>
      </c>
      <c r="I308" s="324">
        <v>17500</v>
      </c>
      <c r="J308" s="324" t="s">
        <v>709</v>
      </c>
      <c r="M308" s="324" t="s">
        <v>737</v>
      </c>
    </row>
    <row r="309" spans="1:13" s="324" customFormat="1" ht="0.65" hidden="1" customHeight="1">
      <c r="A309" s="324">
        <v>1133</v>
      </c>
      <c r="G309" s="324">
        <v>19</v>
      </c>
      <c r="H309" s="324" t="s">
        <v>738</v>
      </c>
      <c r="I309" s="324">
        <v>52500</v>
      </c>
      <c r="J309" s="324" t="s">
        <v>712</v>
      </c>
      <c r="M309" s="324" t="s">
        <v>739</v>
      </c>
    </row>
    <row r="310" spans="1:13" s="324" customFormat="1" ht="0.65" hidden="1" customHeight="1">
      <c r="A310" s="324">
        <v>1134</v>
      </c>
      <c r="G310" s="324">
        <v>20</v>
      </c>
      <c r="H310" s="324" t="s">
        <v>740</v>
      </c>
      <c r="I310" s="324">
        <v>102500</v>
      </c>
      <c r="J310" s="324" t="s">
        <v>715</v>
      </c>
      <c r="M310" s="324" t="s">
        <v>741</v>
      </c>
    </row>
    <row r="311" spans="1:13" s="324" customFormat="1" ht="0.65" hidden="1" customHeight="1">
      <c r="A311" s="324">
        <v>1135</v>
      </c>
      <c r="G311" s="324">
        <v>21</v>
      </c>
      <c r="H311" s="324" t="s">
        <v>742</v>
      </c>
      <c r="I311" s="324">
        <v>105000</v>
      </c>
      <c r="J311" s="324" t="s">
        <v>718</v>
      </c>
      <c r="M311" s="324" t="s">
        <v>743</v>
      </c>
    </row>
    <row r="312" spans="1:13" s="324" customFormat="1" ht="0.65" hidden="1" customHeight="1">
      <c r="A312" s="324">
        <v>1136</v>
      </c>
      <c r="G312" s="324">
        <v>22</v>
      </c>
      <c r="H312" s="324" t="s">
        <v>744</v>
      </c>
      <c r="I312" s="324">
        <v>50000</v>
      </c>
      <c r="J312" s="324" t="s">
        <v>721</v>
      </c>
      <c r="M312" s="324" t="s">
        <v>745</v>
      </c>
    </row>
    <row r="313" spans="1:13" s="324" customFormat="1" ht="0.65" hidden="1" customHeight="1">
      <c r="A313" s="324">
        <v>1137</v>
      </c>
      <c r="G313" s="324">
        <v>23</v>
      </c>
      <c r="H313" s="324" t="s">
        <v>746</v>
      </c>
      <c r="I313" s="324">
        <v>55000</v>
      </c>
      <c r="J313" s="324" t="s">
        <v>724</v>
      </c>
      <c r="M313" s="324" t="s">
        <v>747</v>
      </c>
    </row>
    <row r="314" spans="1:13" s="324" customFormat="1" ht="0.65" hidden="1" customHeight="1">
      <c r="A314" s="324">
        <v>1138</v>
      </c>
      <c r="G314" s="324">
        <v>24</v>
      </c>
      <c r="H314" s="324" t="s">
        <v>748</v>
      </c>
      <c r="I314" s="324">
        <v>0</v>
      </c>
      <c r="J314" s="324" t="s">
        <v>749</v>
      </c>
      <c r="M314" s="324" t="s">
        <v>750</v>
      </c>
    </row>
    <row r="315" spans="1:13" s="324" customFormat="1" ht="0.65" hidden="1" customHeight="1">
      <c r="A315" s="324">
        <v>1139</v>
      </c>
      <c r="G315" s="324">
        <v>25</v>
      </c>
      <c r="H315" s="324" t="s">
        <v>751</v>
      </c>
      <c r="I315" s="324">
        <v>102500</v>
      </c>
      <c r="J315" s="324" t="s">
        <v>752</v>
      </c>
    </row>
    <row r="316" spans="1:13" s="324" customFormat="1" ht="0.65" hidden="1" customHeight="1">
      <c r="A316" s="324">
        <v>1140</v>
      </c>
      <c r="G316" s="324">
        <v>26</v>
      </c>
      <c r="H316" s="324" t="s">
        <v>753</v>
      </c>
      <c r="I316" s="324">
        <v>420000</v>
      </c>
      <c r="J316" s="324" t="s">
        <v>699</v>
      </c>
      <c r="M316" s="324" t="s">
        <v>753</v>
      </c>
    </row>
    <row r="317" spans="1:13" s="324" customFormat="1" ht="0.65" hidden="1" customHeight="1">
      <c r="A317" s="324">
        <v>1141</v>
      </c>
      <c r="G317" s="324">
        <v>27</v>
      </c>
      <c r="H317" s="324" t="s">
        <v>754</v>
      </c>
      <c r="I317" s="324">
        <v>300000</v>
      </c>
      <c r="J317" s="324" t="s">
        <v>701</v>
      </c>
      <c r="M317" s="324" t="s">
        <v>754</v>
      </c>
    </row>
    <row r="318" spans="1:13" s="324" customFormat="1" ht="0.65" hidden="1" customHeight="1">
      <c r="A318" s="324">
        <v>1142</v>
      </c>
      <c r="G318" s="324">
        <v>28</v>
      </c>
      <c r="H318" s="324" t="s">
        <v>755</v>
      </c>
      <c r="I318" s="324">
        <v>100000</v>
      </c>
      <c r="J318" s="324" t="s">
        <v>756</v>
      </c>
      <c r="M318" s="324" t="s">
        <v>757</v>
      </c>
    </row>
    <row r="319" spans="1:13" s="324" customFormat="1" ht="0.65" hidden="1" customHeight="1">
      <c r="A319" s="324">
        <v>1143</v>
      </c>
      <c r="G319" s="324">
        <v>29</v>
      </c>
      <c r="H319" s="324" t="s">
        <v>758</v>
      </c>
      <c r="I319" s="324">
        <v>20000</v>
      </c>
      <c r="J319" s="324" t="s">
        <v>759</v>
      </c>
      <c r="M319" s="324" t="s">
        <v>760</v>
      </c>
    </row>
    <row r="320" spans="1:13" s="324" customFormat="1" ht="0.65" hidden="1" customHeight="1">
      <c r="A320" s="324">
        <v>1144</v>
      </c>
      <c r="G320" s="324">
        <v>30</v>
      </c>
      <c r="H320" s="324" t="s">
        <v>761</v>
      </c>
      <c r="I320" s="324">
        <v>5000</v>
      </c>
      <c r="J320" s="324" t="s">
        <v>762</v>
      </c>
      <c r="M320" s="324" t="s">
        <v>763</v>
      </c>
    </row>
    <row r="321" spans="1:13" s="324" customFormat="1" ht="0.65" hidden="1" customHeight="1">
      <c r="A321" s="324">
        <v>1145</v>
      </c>
      <c r="G321" s="324">
        <v>31</v>
      </c>
      <c r="H321" s="324" t="s">
        <v>764</v>
      </c>
      <c r="I321" s="324">
        <v>15000</v>
      </c>
      <c r="J321" s="324" t="s">
        <v>765</v>
      </c>
      <c r="M321" s="324" t="s">
        <v>766</v>
      </c>
    </row>
    <row r="322" spans="1:13" s="324" customFormat="1" ht="0.65" hidden="1" customHeight="1">
      <c r="A322" s="324">
        <v>1146</v>
      </c>
      <c r="G322" s="324">
        <v>32</v>
      </c>
      <c r="H322" s="324" t="s">
        <v>767</v>
      </c>
      <c r="I322" s="324">
        <v>115000</v>
      </c>
      <c r="J322" s="324" t="s">
        <v>768</v>
      </c>
      <c r="M322" s="324" t="s">
        <v>769</v>
      </c>
    </row>
    <row r="323" spans="1:13" s="324" customFormat="1" ht="0.65" hidden="1" customHeight="1">
      <c r="A323" s="324">
        <v>1147</v>
      </c>
      <c r="G323" s="324">
        <v>33</v>
      </c>
      <c r="H323" s="324" t="s">
        <v>770</v>
      </c>
      <c r="I323" s="324">
        <v>105000</v>
      </c>
      <c r="J323" s="324" t="s">
        <v>718</v>
      </c>
      <c r="M323" s="324" t="s">
        <v>771</v>
      </c>
    </row>
    <row r="324" spans="1:13" s="324" customFormat="1" ht="0.65" hidden="1" customHeight="1">
      <c r="A324" s="324">
        <v>1148</v>
      </c>
      <c r="G324" s="324">
        <v>34</v>
      </c>
      <c r="H324" s="324" t="s">
        <v>772</v>
      </c>
      <c r="I324" s="324">
        <v>50000</v>
      </c>
      <c r="J324" s="324" t="s">
        <v>721</v>
      </c>
      <c r="M324" s="324" t="s">
        <v>773</v>
      </c>
    </row>
    <row r="325" spans="1:13" s="324" customFormat="1" ht="0.65" hidden="1" customHeight="1">
      <c r="A325" s="324">
        <v>1149</v>
      </c>
      <c r="G325" s="324">
        <v>35</v>
      </c>
      <c r="H325" s="324" t="s">
        <v>774</v>
      </c>
      <c r="I325" s="324">
        <v>55000</v>
      </c>
      <c r="J325" s="324" t="s">
        <v>724</v>
      </c>
      <c r="M325" s="324" t="s">
        <v>775</v>
      </c>
    </row>
    <row r="326" spans="1:13" s="324" customFormat="1" ht="0.65" hidden="1" customHeight="1">
      <c r="A326" s="324">
        <v>1150</v>
      </c>
      <c r="G326" s="324">
        <v>36</v>
      </c>
      <c r="H326" s="324" t="s">
        <v>776</v>
      </c>
      <c r="I326" s="324">
        <v>0</v>
      </c>
      <c r="J326" s="324" t="s">
        <v>749</v>
      </c>
      <c r="M326" s="324" t="s">
        <v>777</v>
      </c>
    </row>
    <row r="327" spans="1:13" s="324" customFormat="1" ht="0.65" hidden="1" customHeight="1">
      <c r="A327" s="324">
        <v>1151</v>
      </c>
      <c r="G327" s="324">
        <v>37</v>
      </c>
      <c r="H327" s="324" t="s">
        <v>778</v>
      </c>
      <c r="I327" s="324">
        <v>115000</v>
      </c>
      <c r="J327" s="324" t="s">
        <v>779</v>
      </c>
    </row>
    <row r="328" spans="1:13" s="324" customFormat="1" ht="0.65" hidden="1" customHeight="1">
      <c r="A328" s="324">
        <v>1152</v>
      </c>
      <c r="G328" s="324">
        <v>38</v>
      </c>
      <c r="H328" s="324" t="s">
        <v>780</v>
      </c>
      <c r="I328" s="324">
        <v>400000</v>
      </c>
      <c r="J328" s="324" t="s">
        <v>689</v>
      </c>
      <c r="M328" s="324" t="s">
        <v>690</v>
      </c>
    </row>
    <row r="329" spans="1:13" s="324" customFormat="1" ht="0.65" hidden="1" customHeight="1">
      <c r="A329" s="324">
        <v>1153</v>
      </c>
      <c r="G329" s="324">
        <v>39</v>
      </c>
      <c r="H329" s="324" t="s">
        <v>781</v>
      </c>
      <c r="I329" s="324">
        <v>55000</v>
      </c>
      <c r="J329" s="324" t="s">
        <v>724</v>
      </c>
      <c r="M329" s="324" t="s">
        <v>775</v>
      </c>
    </row>
    <row r="330" spans="1:13" s="324" customFormat="1" ht="0.65" hidden="1" customHeight="1">
      <c r="A330" s="324">
        <v>1154</v>
      </c>
      <c r="G330" s="324">
        <v>40</v>
      </c>
      <c r="H330" s="324" t="s">
        <v>782</v>
      </c>
      <c r="I330" s="324">
        <v>455000</v>
      </c>
      <c r="J330" s="324" t="s">
        <v>783</v>
      </c>
      <c r="M330" s="324" t="s">
        <v>784</v>
      </c>
    </row>
    <row r="331" spans="1:13" s="324" customFormat="1" ht="0.65" hidden="1" customHeight="1">
      <c r="A331" s="324">
        <v>1155</v>
      </c>
      <c r="G331" s="324">
        <v>41</v>
      </c>
      <c r="H331" s="324" t="s">
        <v>607</v>
      </c>
      <c r="I331" s="324">
        <v>-825000</v>
      </c>
      <c r="J331" s="324" t="s">
        <v>785</v>
      </c>
      <c r="M331" s="324" t="s">
        <v>786</v>
      </c>
    </row>
    <row r="332" spans="1:13" s="324" customFormat="1" ht="0.65" hidden="1" customHeight="1">
      <c r="A332" s="324">
        <v>1156</v>
      </c>
      <c r="G332" s="324">
        <v>42</v>
      </c>
      <c r="H332" s="324" t="s">
        <v>610</v>
      </c>
      <c r="I332" s="324">
        <v>47500</v>
      </c>
      <c r="J332" s="324" t="s">
        <v>730</v>
      </c>
      <c r="M332" s="324" t="s">
        <v>729</v>
      </c>
    </row>
    <row r="333" spans="1:13" s="324" customFormat="1" ht="0.65" hidden="1" customHeight="1">
      <c r="A333" s="324">
        <v>1157</v>
      </c>
      <c r="G333" s="324">
        <v>43</v>
      </c>
      <c r="H333" s="324" t="s">
        <v>611</v>
      </c>
      <c r="I333" s="324">
        <v>102500</v>
      </c>
      <c r="J333" s="324" t="s">
        <v>779</v>
      </c>
      <c r="M333" s="324" t="s">
        <v>751</v>
      </c>
    </row>
    <row r="334" spans="1:13" s="324" customFormat="1" ht="0.65" hidden="1" customHeight="1">
      <c r="A334" s="324">
        <v>1158</v>
      </c>
      <c r="G334" s="324">
        <v>44</v>
      </c>
      <c r="H334" s="324" t="s">
        <v>612</v>
      </c>
      <c r="I334" s="324">
        <v>570000</v>
      </c>
      <c r="J334" s="324" t="s">
        <v>787</v>
      </c>
      <c r="M334" s="324" t="s">
        <v>788</v>
      </c>
    </row>
    <row r="335" spans="1:13" s="324" customFormat="1" ht="0.65" hidden="1" customHeight="1">
      <c r="A335" s="324">
        <v>1159</v>
      </c>
      <c r="G335" s="324">
        <v>45</v>
      </c>
      <c r="H335" s="324" t="s">
        <v>414</v>
      </c>
      <c r="I335" s="324">
        <v>3.7499999999999999E-2</v>
      </c>
      <c r="J335" s="324" t="s">
        <v>695</v>
      </c>
      <c r="M335" s="324" t="s">
        <v>440</v>
      </c>
    </row>
    <row r="336" spans="1:13" s="324" customFormat="1" ht="0.65" hidden="1" customHeight="1">
      <c r="A336" s="324">
        <v>1160</v>
      </c>
      <c r="G336" s="324">
        <v>46</v>
      </c>
      <c r="H336" s="324" t="s">
        <v>415</v>
      </c>
      <c r="I336" s="324">
        <v>8.249999999999999E-2</v>
      </c>
      <c r="J336" s="324" t="s">
        <v>696</v>
      </c>
      <c r="M336" s="324" t="s">
        <v>441</v>
      </c>
    </row>
    <row r="337" spans="1:28" s="324" customFormat="1" ht="0.65" hidden="1" customHeight="1">
      <c r="A337" s="324">
        <v>1161</v>
      </c>
      <c r="G337" s="324">
        <v>47</v>
      </c>
      <c r="H337" s="324" t="s">
        <v>416</v>
      </c>
      <c r="I337" s="324">
        <v>0.06</v>
      </c>
      <c r="J337" s="324" t="s">
        <v>697</v>
      </c>
      <c r="M337" s="324" t="s">
        <v>442</v>
      </c>
    </row>
    <row r="338" spans="1:28" s="324" customFormat="1" ht="0.65" hidden="1" customHeight="1">
      <c r="A338" s="324">
        <v>1162</v>
      </c>
      <c r="G338" s="324">
        <v>48</v>
      </c>
      <c r="H338" s="324" t="s">
        <v>13</v>
      </c>
      <c r="I338" s="324">
        <v>-210381.05281541136</v>
      </c>
      <c r="J338" s="324" t="s">
        <v>789</v>
      </c>
      <c r="M338" s="324" t="s">
        <v>622</v>
      </c>
    </row>
    <row r="339" spans="1:28" s="324" customFormat="1" ht="0.65" hidden="1" customHeight="1">
      <c r="A339" s="324">
        <v>1163</v>
      </c>
      <c r="G339" s="324">
        <v>49</v>
      </c>
      <c r="H339" s="324" t="s">
        <v>28</v>
      </c>
      <c r="I339" s="324">
        <v>-4.8576778446782765E-2</v>
      </c>
      <c r="J339" s="324" t="s">
        <v>623</v>
      </c>
      <c r="M339" s="324" t="s">
        <v>624</v>
      </c>
    </row>
    <row r="340" spans="1:28" s="324" customFormat="1" ht="0.65" hidden="1" customHeight="1">
      <c r="A340" s="324">
        <v>1164</v>
      </c>
      <c r="G340" s="324">
        <v>50</v>
      </c>
      <c r="H340" s="324" t="s">
        <v>29</v>
      </c>
      <c r="I340" s="324">
        <v>-0.25500733674595316</v>
      </c>
      <c r="J340" s="324" t="s">
        <v>790</v>
      </c>
      <c r="M340" s="324" t="s">
        <v>791</v>
      </c>
    </row>
    <row r="341" spans="1:28" s="324" customFormat="1" ht="0.65" hidden="1" customHeight="1">
      <c r="A341" s="324">
        <v>1165</v>
      </c>
      <c r="G341" s="324">
        <v>51</v>
      </c>
      <c r="H341" s="324" t="s">
        <v>30</v>
      </c>
      <c r="I341" s="324" t="s">
        <v>639</v>
      </c>
      <c r="J341" s="324" t="s">
        <v>685</v>
      </c>
      <c r="M341" s="324" t="s">
        <v>792</v>
      </c>
    </row>
    <row r="342" spans="1:28" s="324" customFormat="1" ht="0.65" hidden="1" customHeight="1"/>
    <row r="343" spans="1:28" s="324" customFormat="1" ht="0.65" hidden="1" customHeight="1"/>
    <row r="344" spans="1:28" s="324" customFormat="1" ht="0.65" hidden="1" customHeight="1"/>
    <row r="345" spans="1:28" s="324" customFormat="1" ht="0.65" hidden="1" customHeight="1">
      <c r="B345" s="324" t="s">
        <v>19</v>
      </c>
      <c r="D345" s="324" t="s">
        <v>336</v>
      </c>
      <c r="E345" s="324">
        <v>2</v>
      </c>
      <c r="H345" s="324" t="s">
        <v>24</v>
      </c>
    </row>
    <row r="346" spans="1:28" s="324" customFormat="1" ht="0.65" hidden="1" customHeight="1">
      <c r="B346" s="324" t="s">
        <v>3951</v>
      </c>
      <c r="D346" s="324" t="s">
        <v>336</v>
      </c>
      <c r="E346" s="324" t="s">
        <v>486</v>
      </c>
    </row>
    <row r="347" spans="1:28" s="324" customFormat="1" ht="0.65" hidden="1" customHeight="1">
      <c r="A347" s="324">
        <v>2001</v>
      </c>
      <c r="C347" s="324" t="s">
        <v>5</v>
      </c>
      <c r="D347" s="324">
        <v>2022</v>
      </c>
      <c r="H347" s="324" t="s">
        <v>490</v>
      </c>
      <c r="I347" s="324">
        <v>543750</v>
      </c>
      <c r="J347" s="324" t="s">
        <v>970</v>
      </c>
      <c r="U347" s="324" t="s">
        <v>151</v>
      </c>
    </row>
    <row r="348" spans="1:28" s="324" customFormat="1" ht="0.65" hidden="1" customHeight="1">
      <c r="A348" s="324">
        <v>2002</v>
      </c>
    </row>
    <row r="349" spans="1:28" s="324" customFormat="1" ht="0.65" hidden="1" customHeight="1">
      <c r="A349" s="324">
        <v>2003</v>
      </c>
      <c r="C349" s="324" t="s">
        <v>32</v>
      </c>
      <c r="H349" s="324" t="s">
        <v>21</v>
      </c>
      <c r="N349" s="324" t="s">
        <v>646</v>
      </c>
      <c r="U349" s="324" t="s">
        <v>152</v>
      </c>
      <c r="Z349" s="324" t="s">
        <v>176</v>
      </c>
      <c r="AA349" s="324">
        <v>52565.582461407641</v>
      </c>
    </row>
    <row r="350" spans="1:28" s="324" customFormat="1" ht="0.65" hidden="1" customHeight="1">
      <c r="A350" s="324">
        <v>2004</v>
      </c>
      <c r="C350" s="324" t="s">
        <v>488</v>
      </c>
      <c r="D350" s="324">
        <v>600000</v>
      </c>
      <c r="H350" s="324" t="s">
        <v>454</v>
      </c>
      <c r="K350" s="324">
        <v>16</v>
      </c>
      <c r="L350" s="324" t="s">
        <v>55</v>
      </c>
      <c r="M350" s="324" t="s">
        <v>185</v>
      </c>
      <c r="N350" s="324" t="s">
        <v>1013</v>
      </c>
      <c r="O350" s="324" t="s">
        <v>1014</v>
      </c>
      <c r="Y350" s="324" t="s">
        <v>139</v>
      </c>
      <c r="Z350" s="324" t="s">
        <v>174</v>
      </c>
    </row>
    <row r="351" spans="1:28" s="324" customFormat="1" ht="0.65" hidden="1" customHeight="1">
      <c r="A351" s="324">
        <v>2005</v>
      </c>
      <c r="C351" s="324" t="s">
        <v>6</v>
      </c>
      <c r="D351" s="324">
        <v>10</v>
      </c>
      <c r="T351" s="324" t="s">
        <v>187</v>
      </c>
      <c r="V351" s="324" t="s">
        <v>180</v>
      </c>
      <c r="X351" s="324" t="s">
        <v>177</v>
      </c>
      <c r="Y351" s="324" t="s">
        <v>173</v>
      </c>
      <c r="Z351" s="324" t="s">
        <v>175</v>
      </c>
      <c r="AA351" s="324" t="s">
        <v>172</v>
      </c>
      <c r="AB351" s="324" t="s">
        <v>417</v>
      </c>
    </row>
    <row r="352" spans="1:28" s="324" customFormat="1" ht="0.65" hidden="1" customHeight="1">
      <c r="A352" s="324">
        <v>2006</v>
      </c>
      <c r="C352" s="324" t="s">
        <v>489</v>
      </c>
      <c r="D352" s="324">
        <v>400000</v>
      </c>
      <c r="H352" s="324" t="s">
        <v>0</v>
      </c>
      <c r="I352" s="324" t="s">
        <v>69</v>
      </c>
      <c r="J352" s="324" t="s">
        <v>70</v>
      </c>
      <c r="K352" s="324" t="s">
        <v>71</v>
      </c>
      <c r="L352" s="324" t="s">
        <v>72</v>
      </c>
      <c r="M352" s="324" t="s">
        <v>73</v>
      </c>
      <c r="N352" s="324" t="s">
        <v>74</v>
      </c>
      <c r="O352" s="324" t="s">
        <v>75</v>
      </c>
      <c r="T352" s="324">
        <v>1</v>
      </c>
      <c r="U352" s="324" t="s">
        <v>153</v>
      </c>
      <c r="X352" s="324" t="s">
        <v>6</v>
      </c>
      <c r="Y352" s="324">
        <v>10</v>
      </c>
      <c r="Z352" s="324">
        <v>15</v>
      </c>
      <c r="AA352" s="324">
        <v>51864.176924307132</v>
      </c>
      <c r="AB352" s="324">
        <v>-701.40553710050881</v>
      </c>
    </row>
    <row r="353" spans="1:28" s="324" customFormat="1" ht="0.65" hidden="1" customHeight="1">
      <c r="A353" s="324">
        <v>2007</v>
      </c>
      <c r="H353" s="324">
        <v>2023</v>
      </c>
      <c r="I353" s="324">
        <v>360000</v>
      </c>
      <c r="J353" s="324">
        <v>240000</v>
      </c>
      <c r="K353" s="324">
        <v>30000</v>
      </c>
      <c r="L353" s="324">
        <v>90000</v>
      </c>
      <c r="M353" s="324">
        <v>22500</v>
      </c>
      <c r="N353" s="324">
        <v>67500</v>
      </c>
      <c r="O353" s="324">
        <v>97500</v>
      </c>
      <c r="T353" s="324">
        <v>2</v>
      </c>
      <c r="U353" s="324" t="s">
        <v>154</v>
      </c>
      <c r="X353" s="324" t="s">
        <v>488</v>
      </c>
      <c r="Y353" s="324">
        <v>600000</v>
      </c>
      <c r="Z353" s="324">
        <v>660000</v>
      </c>
      <c r="AA353" s="324">
        <v>5595.7228369769873</v>
      </c>
      <c r="AB353" s="324">
        <v>-46969.859624430654</v>
      </c>
    </row>
    <row r="354" spans="1:28" s="324" customFormat="1" ht="0.65" hidden="1" customHeight="1">
      <c r="A354" s="324">
        <v>2008</v>
      </c>
      <c r="C354" s="324" t="s">
        <v>34</v>
      </c>
      <c r="D354" s="324">
        <v>360000</v>
      </c>
      <c r="H354" s="324">
        <v>2024</v>
      </c>
      <c r="I354" s="324">
        <v>360000</v>
      </c>
      <c r="J354" s="324">
        <v>240000</v>
      </c>
      <c r="K354" s="324">
        <v>30000</v>
      </c>
      <c r="L354" s="324">
        <v>90000</v>
      </c>
      <c r="M354" s="324">
        <v>22500</v>
      </c>
      <c r="N354" s="324">
        <v>67500</v>
      </c>
      <c r="O354" s="324">
        <v>97500</v>
      </c>
      <c r="T354" s="324">
        <v>3</v>
      </c>
      <c r="U354" s="324" t="s">
        <v>155</v>
      </c>
      <c r="X354" s="324" t="s">
        <v>489</v>
      </c>
      <c r="Y354" s="324">
        <v>400000</v>
      </c>
      <c r="Z354" s="324">
        <v>360000</v>
      </c>
      <c r="AA354" s="324">
        <v>26926.145032529254</v>
      </c>
      <c r="AB354" s="324">
        <v>-25639.437428878387</v>
      </c>
    </row>
    <row r="355" spans="1:28" s="324" customFormat="1" ht="0.65" hidden="1" customHeight="1">
      <c r="A355" s="324">
        <v>2009</v>
      </c>
      <c r="C355" s="324" t="s">
        <v>35</v>
      </c>
      <c r="D355" s="324">
        <v>240000</v>
      </c>
      <c r="H355" s="324">
        <v>2025</v>
      </c>
      <c r="I355" s="324">
        <v>360000</v>
      </c>
      <c r="J355" s="324">
        <v>240000</v>
      </c>
      <c r="K355" s="324">
        <v>30000</v>
      </c>
      <c r="L355" s="324">
        <v>90000</v>
      </c>
      <c r="M355" s="324">
        <v>22500</v>
      </c>
      <c r="N355" s="324">
        <v>67500</v>
      </c>
      <c r="O355" s="324">
        <v>97500</v>
      </c>
      <c r="T355" s="324">
        <v>4</v>
      </c>
      <c r="U355" s="324" t="s">
        <v>156</v>
      </c>
      <c r="X355" s="324" t="s">
        <v>492</v>
      </c>
      <c r="Y355" s="324">
        <v>45000</v>
      </c>
      <c r="Z355" s="324">
        <v>49500.000000000007</v>
      </c>
      <c r="AA355" s="324">
        <v>55940.582461407641</v>
      </c>
      <c r="AB355" s="324">
        <v>3375</v>
      </c>
    </row>
    <row r="356" spans="1:28" s="324" customFormat="1" ht="0.65" hidden="1" customHeight="1">
      <c r="A356" s="324">
        <v>2010</v>
      </c>
      <c r="T356" s="324">
        <v>5</v>
      </c>
      <c r="U356" s="324" t="s">
        <v>157</v>
      </c>
      <c r="X356" s="324" t="s">
        <v>6</v>
      </c>
      <c r="Y356" s="324">
        <v>3</v>
      </c>
      <c r="Z356" s="324">
        <v>2</v>
      </c>
      <c r="AA356" s="324">
        <v>52039.528308582143</v>
      </c>
      <c r="AB356" s="324">
        <v>-526.05415282549802</v>
      </c>
    </row>
    <row r="357" spans="1:28" s="324" customFormat="1" ht="0.65" hidden="1" customHeight="1">
      <c r="A357" s="324">
        <v>2011</v>
      </c>
      <c r="C357" s="324" t="s">
        <v>7</v>
      </c>
      <c r="D357" s="324">
        <v>30</v>
      </c>
      <c r="H357" s="324" t="s">
        <v>22</v>
      </c>
      <c r="N357" s="324" t="s">
        <v>649</v>
      </c>
      <c r="T357" s="324">
        <v>6</v>
      </c>
      <c r="U357" s="324" t="s">
        <v>158</v>
      </c>
      <c r="X357" s="324" t="s">
        <v>495</v>
      </c>
      <c r="Y357" s="324">
        <v>90000</v>
      </c>
      <c r="Z357" s="324">
        <v>99000.000000000015</v>
      </c>
      <c r="AA357" s="324">
        <v>52787.413823676645</v>
      </c>
      <c r="AB357" s="324">
        <v>221.83136226900388</v>
      </c>
    </row>
    <row r="358" spans="1:28" s="324" customFormat="1" ht="0.65" hidden="1" customHeight="1">
      <c r="A358" s="324">
        <v>2012</v>
      </c>
      <c r="C358" s="324" t="s">
        <v>8</v>
      </c>
      <c r="D358" s="324">
        <v>60</v>
      </c>
      <c r="H358" s="324" t="s">
        <v>454</v>
      </c>
      <c r="K358" s="324">
        <v>34</v>
      </c>
      <c r="L358" s="324" t="s">
        <v>55</v>
      </c>
      <c r="M358" s="324" t="s">
        <v>185</v>
      </c>
      <c r="N358" s="324" t="s">
        <v>1015</v>
      </c>
      <c r="O358" s="324" t="s">
        <v>1016</v>
      </c>
      <c r="T358" s="324">
        <v>7</v>
      </c>
      <c r="U358" s="324" t="s">
        <v>159</v>
      </c>
      <c r="X358" s="324" t="s">
        <v>492</v>
      </c>
      <c r="Y358" s="324">
        <v>45000</v>
      </c>
      <c r="Z358" s="324">
        <v>40500</v>
      </c>
      <c r="AA358" s="324">
        <v>49190.582461407641</v>
      </c>
      <c r="AB358" s="324">
        <v>-3375</v>
      </c>
    </row>
    <row r="359" spans="1:28" s="324" customFormat="1" ht="0.65" hidden="1" customHeight="1">
      <c r="A359" s="324">
        <v>2013</v>
      </c>
      <c r="T359" s="324">
        <v>8</v>
      </c>
      <c r="U359" s="324" t="s">
        <v>160</v>
      </c>
      <c r="X359" s="324" t="s">
        <v>489</v>
      </c>
      <c r="Y359" s="324">
        <v>22500</v>
      </c>
      <c r="Z359" s="324">
        <v>24750.000000000004</v>
      </c>
      <c r="AA359" s="324">
        <v>51123.36410603323</v>
      </c>
      <c r="AB359" s="324">
        <v>-1442.2183553744107</v>
      </c>
    </row>
    <row r="360" spans="1:28" s="324" customFormat="1" ht="0.65" hidden="1" customHeight="1">
      <c r="A360" s="324">
        <v>2014</v>
      </c>
      <c r="C360" s="324" t="s">
        <v>33</v>
      </c>
      <c r="H360" s="324" t="s">
        <v>0</v>
      </c>
      <c r="I360" s="324" t="s">
        <v>76</v>
      </c>
      <c r="J360" s="324" t="s">
        <v>77</v>
      </c>
      <c r="K360" s="324" t="s">
        <v>78</v>
      </c>
      <c r="L360" s="324" t="s">
        <v>79</v>
      </c>
      <c r="T360" s="324">
        <v>9</v>
      </c>
      <c r="U360" s="324" t="s">
        <v>161</v>
      </c>
      <c r="X360" s="324" t="s">
        <v>34</v>
      </c>
      <c r="Y360" s="324">
        <v>360000</v>
      </c>
      <c r="Z360" s="324">
        <v>396000.00000000006</v>
      </c>
      <c r="AA360" s="324">
        <v>125296.62207364244</v>
      </c>
      <c r="AB360" s="324">
        <v>72731.039612234803</v>
      </c>
    </row>
    <row r="361" spans="1:28" s="324" customFormat="1" ht="0.65" hidden="1" customHeight="1">
      <c r="A361" s="324">
        <v>2015</v>
      </c>
      <c r="C361" s="324" t="s">
        <v>492</v>
      </c>
      <c r="D361" s="324">
        <v>45000</v>
      </c>
      <c r="H361" s="324">
        <v>2022</v>
      </c>
      <c r="I361" s="324">
        <v>0</v>
      </c>
      <c r="J361" s="324">
        <v>0</v>
      </c>
      <c r="K361" s="324">
        <v>0</v>
      </c>
      <c r="L361" s="324">
        <v>0</v>
      </c>
      <c r="T361" s="324">
        <v>10</v>
      </c>
      <c r="U361" s="324" t="s">
        <v>162</v>
      </c>
      <c r="X361" s="324" t="s">
        <v>7</v>
      </c>
      <c r="Y361" s="324">
        <v>30</v>
      </c>
      <c r="Z361" s="324">
        <v>60</v>
      </c>
      <c r="AA361" s="324">
        <v>49735.269000606379</v>
      </c>
      <c r="AB361" s="324">
        <v>-2830.3134608012624</v>
      </c>
    </row>
    <row r="362" spans="1:28" s="324" customFormat="1" ht="0.65" hidden="1" customHeight="1">
      <c r="A362" s="324">
        <v>2016</v>
      </c>
      <c r="C362" s="324" t="s">
        <v>495</v>
      </c>
      <c r="D362" s="324">
        <v>90000</v>
      </c>
      <c r="H362" s="324">
        <v>2023</v>
      </c>
      <c r="I362" s="324">
        <v>30000</v>
      </c>
      <c r="J362" s="324">
        <v>40000</v>
      </c>
      <c r="K362" s="324">
        <v>-10000</v>
      </c>
      <c r="L362" s="324">
        <v>-10000</v>
      </c>
      <c r="T362" s="324">
        <v>11</v>
      </c>
      <c r="U362" s="324" t="s">
        <v>163</v>
      </c>
      <c r="X362" s="324" t="s">
        <v>35</v>
      </c>
      <c r="Y362" s="324">
        <v>240000</v>
      </c>
      <c r="Z362" s="324">
        <v>216000</v>
      </c>
      <c r="AA362" s="324">
        <v>100864.25463884417</v>
      </c>
      <c r="AB362" s="324">
        <v>48298.672177436529</v>
      </c>
    </row>
    <row r="363" spans="1:28" s="324" customFormat="1" ht="0.65" hidden="1" customHeight="1">
      <c r="A363" s="324">
        <v>2017</v>
      </c>
      <c r="C363" s="324" t="s">
        <v>6</v>
      </c>
      <c r="D363" s="324">
        <v>3</v>
      </c>
      <c r="H363" s="324">
        <v>2024</v>
      </c>
      <c r="I363" s="324">
        <v>30000</v>
      </c>
      <c r="J363" s="324">
        <v>40000</v>
      </c>
      <c r="K363" s="324">
        <v>-10000</v>
      </c>
      <c r="L363" s="324">
        <v>0</v>
      </c>
      <c r="T363" s="324">
        <v>12</v>
      </c>
      <c r="U363" s="324" t="s">
        <v>164</v>
      </c>
      <c r="X363" s="324" t="s">
        <v>8</v>
      </c>
      <c r="Y363" s="324">
        <v>60</v>
      </c>
      <c r="Z363" s="324">
        <v>30</v>
      </c>
      <c r="AA363" s="324">
        <v>50678.706820873544</v>
      </c>
      <c r="AB363" s="324">
        <v>-1886.8756405340973</v>
      </c>
    </row>
    <row r="364" spans="1:28" s="324" customFormat="1" ht="0.65" hidden="1" customHeight="1">
      <c r="A364" s="324">
        <v>2018</v>
      </c>
      <c r="C364" s="324" t="s">
        <v>489</v>
      </c>
      <c r="D364" s="324">
        <v>22500</v>
      </c>
      <c r="H364" s="324">
        <v>2025</v>
      </c>
      <c r="I364" s="324">
        <v>30000</v>
      </c>
      <c r="J364" s="324">
        <v>40000</v>
      </c>
      <c r="K364" s="324">
        <v>-10000</v>
      </c>
      <c r="L364" s="324">
        <v>0</v>
      </c>
      <c r="T364" s="324">
        <v>13</v>
      </c>
      <c r="U364" s="324" t="s">
        <v>165</v>
      </c>
      <c r="X364" s="324" t="s">
        <v>10</v>
      </c>
      <c r="Y364" s="324">
        <v>720000</v>
      </c>
      <c r="Z364" s="324">
        <v>792000.00000000012</v>
      </c>
      <c r="AA364" s="324">
        <v>47799.199842269998</v>
      </c>
      <c r="AB364" s="324">
        <v>-4766.3826191376429</v>
      </c>
    </row>
    <row r="365" spans="1:28" s="324" customFormat="1" ht="0.65" hidden="1" customHeight="1">
      <c r="A365" s="324">
        <v>2019</v>
      </c>
      <c r="T365" s="324">
        <v>14</v>
      </c>
      <c r="U365" s="324" t="s">
        <v>166</v>
      </c>
      <c r="X365" s="324" t="s">
        <v>12</v>
      </c>
      <c r="Y365" s="324">
        <v>0.02</v>
      </c>
      <c r="Z365" s="324">
        <v>0.01</v>
      </c>
      <c r="AA365" s="324">
        <v>56133.281980465516</v>
      </c>
      <c r="AB365" s="324">
        <v>3567.6995190578746</v>
      </c>
    </row>
    <row r="366" spans="1:28" s="324" customFormat="1" ht="0.65" hidden="1" customHeight="1">
      <c r="A366" s="324">
        <v>2020</v>
      </c>
      <c r="C366" s="324" t="s">
        <v>4</v>
      </c>
      <c r="D366" s="324">
        <v>0.25</v>
      </c>
      <c r="H366" s="324" t="s">
        <v>23</v>
      </c>
      <c r="T366" s="324">
        <v>15</v>
      </c>
      <c r="U366" s="324" t="s">
        <v>167</v>
      </c>
      <c r="X366" s="324" t="s">
        <v>11</v>
      </c>
      <c r="Y366" s="324">
        <v>240000</v>
      </c>
      <c r="Z366" s="324">
        <v>264000</v>
      </c>
      <c r="AA366" s="324">
        <v>50440.139621944632</v>
      </c>
      <c r="AB366" s="324">
        <v>-2125.4428394630086</v>
      </c>
    </row>
    <row r="367" spans="1:28" s="324" customFormat="1" ht="0.65" hidden="1" customHeight="1">
      <c r="A367" s="324">
        <v>2021</v>
      </c>
      <c r="D367" s="324" t="s">
        <v>9</v>
      </c>
      <c r="T367" s="324">
        <v>16</v>
      </c>
      <c r="U367" s="324" t="s">
        <v>168</v>
      </c>
      <c r="X367" s="324" t="s">
        <v>3</v>
      </c>
      <c r="Y367" s="324">
        <v>4000000</v>
      </c>
      <c r="Z367" s="324">
        <v>4400000</v>
      </c>
      <c r="AA367" s="324">
        <v>53736.808894880698</v>
      </c>
      <c r="AB367" s="324">
        <v>1171.2264334730571</v>
      </c>
    </row>
    <row r="368" spans="1:28" s="324" customFormat="1" ht="0.65" hidden="1" customHeight="1">
      <c r="A368" s="324">
        <v>2022</v>
      </c>
      <c r="H368" s="324" t="s">
        <v>491</v>
      </c>
      <c r="I368" s="324">
        <v>388125</v>
      </c>
      <c r="J368" s="324" t="s">
        <v>984</v>
      </c>
      <c r="T368" s="324">
        <v>17</v>
      </c>
      <c r="U368" s="324" t="s">
        <v>169</v>
      </c>
      <c r="X368" s="324" t="s">
        <v>2</v>
      </c>
      <c r="Y368" s="324">
        <v>12000000</v>
      </c>
      <c r="Z368" s="324">
        <v>6000000</v>
      </c>
      <c r="AA368" s="324">
        <v>9249.5058119051391</v>
      </c>
      <c r="AB368" s="324">
        <v>-43316.076649502502</v>
      </c>
    </row>
    <row r="369" spans="1:28" s="324" customFormat="1" ht="0.65" hidden="1" customHeight="1">
      <c r="A369" s="324">
        <v>2023</v>
      </c>
      <c r="C369" s="324" t="s">
        <v>10</v>
      </c>
      <c r="D369" s="324">
        <v>720000</v>
      </c>
      <c r="H369" s="324" t="s">
        <v>493</v>
      </c>
      <c r="I369" s="324">
        <v>-10000</v>
      </c>
      <c r="J369" s="324" t="s">
        <v>985</v>
      </c>
      <c r="T369" s="324">
        <v>18</v>
      </c>
      <c r="U369" s="324" t="s">
        <v>170</v>
      </c>
      <c r="X369" s="324" t="s">
        <v>4</v>
      </c>
      <c r="Y369" s="324">
        <v>0.25</v>
      </c>
      <c r="Z369" s="324">
        <v>0.3</v>
      </c>
      <c r="AA369" s="324">
        <v>47632.637930395198</v>
      </c>
      <c r="AB369" s="324">
        <v>-4932.9445310124429</v>
      </c>
    </row>
    <row r="370" spans="1:28" s="324" customFormat="1" ht="0.65" hidden="1" customHeight="1">
      <c r="A370" s="324">
        <v>2024</v>
      </c>
      <c r="C370" s="324" t="s">
        <v>11</v>
      </c>
      <c r="D370" s="324">
        <v>240000</v>
      </c>
      <c r="H370" s="324" t="s">
        <v>494</v>
      </c>
      <c r="I370" s="324">
        <v>378125</v>
      </c>
      <c r="J370" s="324" t="s">
        <v>986</v>
      </c>
      <c r="T370" s="324">
        <v>19</v>
      </c>
      <c r="U370" s="324" t="s">
        <v>171</v>
      </c>
      <c r="X370" s="324" t="s">
        <v>14</v>
      </c>
      <c r="Y370" s="324" t="s">
        <v>16</v>
      </c>
      <c r="Z370" s="324" t="e">
        <v>#REF!</v>
      </c>
      <c r="AA370" s="324">
        <v>109076.3877968794</v>
      </c>
      <c r="AB370" s="324">
        <v>56510.805335471756</v>
      </c>
    </row>
    <row r="371" spans="1:28" s="324" customFormat="1" ht="0.65" hidden="1" customHeight="1">
      <c r="A371" s="324">
        <v>2025</v>
      </c>
      <c r="C371" s="324" t="s">
        <v>12</v>
      </c>
      <c r="D371" s="324">
        <v>0.02</v>
      </c>
    </row>
    <row r="372" spans="1:28" s="324" customFormat="1" ht="0.65" hidden="1" customHeight="1">
      <c r="A372" s="324">
        <v>2026</v>
      </c>
      <c r="C372" s="324" t="s">
        <v>2</v>
      </c>
      <c r="D372" s="324">
        <v>12000000</v>
      </c>
      <c r="H372" s="324" t="s">
        <v>26</v>
      </c>
    </row>
    <row r="373" spans="1:28" s="324" customFormat="1" ht="0.65" hidden="1" customHeight="1">
      <c r="A373" s="324">
        <v>2027</v>
      </c>
      <c r="C373" s="324" t="s">
        <v>3</v>
      </c>
      <c r="D373" s="324">
        <v>4000000</v>
      </c>
      <c r="L373" s="324" t="s">
        <v>81</v>
      </c>
    </row>
    <row r="374" spans="1:28" s="324" customFormat="1" ht="0.65" hidden="1" customHeight="1">
      <c r="A374" s="324">
        <v>2028</v>
      </c>
      <c r="H374" s="324" t="s">
        <v>0</v>
      </c>
      <c r="I374" s="324" t="s">
        <v>75</v>
      </c>
      <c r="J374" s="324" t="s">
        <v>79</v>
      </c>
      <c r="K374" s="324" t="s">
        <v>80</v>
      </c>
      <c r="L374" s="324" t="s">
        <v>1</v>
      </c>
      <c r="N374" s="324" t="s">
        <v>31</v>
      </c>
    </row>
    <row r="375" spans="1:28" s="324" customFormat="1" ht="0.65" hidden="1" customHeight="1">
      <c r="A375" s="324">
        <v>2029</v>
      </c>
      <c r="C375" s="324" t="s">
        <v>14</v>
      </c>
      <c r="D375" s="324" t="s">
        <v>16</v>
      </c>
      <c r="H375" s="324">
        <v>2022</v>
      </c>
      <c r="I375" s="324">
        <v>0</v>
      </c>
      <c r="J375" s="324">
        <v>0</v>
      </c>
      <c r="K375" s="324">
        <v>0</v>
      </c>
      <c r="L375" s="324">
        <v>-543750</v>
      </c>
      <c r="N375" s="324">
        <v>-543750</v>
      </c>
    </row>
    <row r="376" spans="1:28" s="324" customFormat="1" ht="0.65" hidden="1" customHeight="1">
      <c r="A376" s="324">
        <v>2030</v>
      </c>
      <c r="H376" s="324">
        <v>2023</v>
      </c>
      <c r="I376" s="324">
        <v>97500</v>
      </c>
      <c r="J376" s="324">
        <v>-10000</v>
      </c>
      <c r="K376" s="324">
        <v>107500</v>
      </c>
      <c r="L376" s="324">
        <v>107500</v>
      </c>
      <c r="N376" s="324">
        <v>-436250</v>
      </c>
      <c r="O376" s="324" t="s">
        <v>55</v>
      </c>
    </row>
    <row r="377" spans="1:28" s="324" customFormat="1" ht="0.65" hidden="1" customHeight="1">
      <c r="A377" s="324">
        <v>2031</v>
      </c>
      <c r="E377" s="324" t="s">
        <v>55</v>
      </c>
      <c r="H377" s="324">
        <v>2024</v>
      </c>
      <c r="I377" s="324">
        <v>97500</v>
      </c>
      <c r="J377" s="324">
        <v>0</v>
      </c>
      <c r="K377" s="324">
        <v>97500</v>
      </c>
      <c r="L377" s="324">
        <v>97500</v>
      </c>
      <c r="N377" s="324">
        <v>-338750</v>
      </c>
      <c r="O377" s="324" t="s">
        <v>55</v>
      </c>
    </row>
    <row r="378" spans="1:28" s="324" customFormat="1" ht="0.65" hidden="1" customHeight="1">
      <c r="A378" s="324">
        <v>2032</v>
      </c>
      <c r="D378" s="324" t="s">
        <v>20</v>
      </c>
      <c r="E378" s="324" t="s">
        <v>36</v>
      </c>
      <c r="H378" s="324">
        <v>2025</v>
      </c>
      <c r="I378" s="324">
        <v>97500</v>
      </c>
      <c r="J378" s="324">
        <v>0</v>
      </c>
      <c r="K378" s="324">
        <v>97500</v>
      </c>
      <c r="L378" s="324">
        <v>475625</v>
      </c>
      <c r="N378" s="324">
        <v>136875</v>
      </c>
      <c r="O378" s="324">
        <v>2025</v>
      </c>
    </row>
    <row r="379" spans="1:28" s="324" customFormat="1" ht="0.65" hidden="1" customHeight="1">
      <c r="A379" s="324">
        <v>2033</v>
      </c>
      <c r="D379" s="324" t="s">
        <v>420</v>
      </c>
      <c r="E379" s="324" t="s">
        <v>38</v>
      </c>
    </row>
    <row r="380" spans="1:28" s="324" customFormat="1" ht="0.65" hidden="1" customHeight="1">
      <c r="A380" s="324">
        <v>2034</v>
      </c>
      <c r="E380" s="324" t="s">
        <v>424</v>
      </c>
      <c r="H380" s="324" t="s">
        <v>25</v>
      </c>
    </row>
    <row r="381" spans="1:28" s="324" customFormat="1" ht="0.65" hidden="1" customHeight="1">
      <c r="A381" s="324">
        <v>2035</v>
      </c>
    </row>
    <row r="382" spans="1:28" s="324" customFormat="1" ht="0.65" hidden="1" customHeight="1">
      <c r="A382" s="324">
        <v>2036</v>
      </c>
      <c r="H382" s="324" t="s">
        <v>124</v>
      </c>
      <c r="I382" s="324">
        <v>4.4999999999999998E-2</v>
      </c>
      <c r="J382" s="324" t="s">
        <v>1017</v>
      </c>
    </row>
    <row r="383" spans="1:28" s="324" customFormat="1" ht="0.65" hidden="1" customHeight="1">
      <c r="A383" s="324">
        <v>2037</v>
      </c>
      <c r="B383" s="324" t="s">
        <v>460</v>
      </c>
      <c r="H383" s="324" t="s">
        <v>125</v>
      </c>
      <c r="I383" s="324">
        <v>0.08</v>
      </c>
      <c r="J383" s="324" t="s">
        <v>990</v>
      </c>
    </row>
    <row r="384" spans="1:28" s="324" customFormat="1" ht="0.65" hidden="1" customHeight="1">
      <c r="A384" s="324">
        <v>2038</v>
      </c>
      <c r="B384" s="324" t="s">
        <v>461</v>
      </c>
      <c r="H384" s="324" t="s">
        <v>126</v>
      </c>
      <c r="I384" s="324">
        <v>5.3750000000000006E-2</v>
      </c>
      <c r="J384" s="324" t="s">
        <v>991</v>
      </c>
    </row>
    <row r="385" spans="1:18" s="324" customFormat="1" ht="0.65" hidden="1" customHeight="1">
      <c r="A385" s="324">
        <v>2039</v>
      </c>
    </row>
    <row r="386" spans="1:18" s="324" customFormat="1" ht="0.65" hidden="1" customHeight="1">
      <c r="A386" s="324">
        <v>2040</v>
      </c>
      <c r="H386" s="324" t="s">
        <v>27</v>
      </c>
      <c r="K386" s="324" t="s">
        <v>185</v>
      </c>
      <c r="L386" s="324" t="s">
        <v>1018</v>
      </c>
      <c r="M386" s="324" t="s">
        <v>1019</v>
      </c>
    </row>
    <row r="387" spans="1:18" s="324" customFormat="1" ht="0.65" hidden="1" customHeight="1">
      <c r="A387" s="324">
        <v>2041</v>
      </c>
      <c r="H387" s="324" t="s">
        <v>123</v>
      </c>
      <c r="K387" s="324" t="s">
        <v>29</v>
      </c>
      <c r="L387" s="324" t="s">
        <v>55</v>
      </c>
    </row>
    <row r="388" spans="1:18" s="324" customFormat="1" ht="0.65" hidden="1" customHeight="1">
      <c r="A388" s="324">
        <v>2042</v>
      </c>
      <c r="H388" s="324" t="s">
        <v>13</v>
      </c>
      <c r="I388" s="324">
        <v>52565.582461407641</v>
      </c>
      <c r="J388" s="324" t="s">
        <v>1020</v>
      </c>
    </row>
    <row r="389" spans="1:18" s="324" customFormat="1" ht="0.65" hidden="1" customHeight="1">
      <c r="A389" s="324">
        <v>2043</v>
      </c>
      <c r="H389" s="324" t="s">
        <v>28</v>
      </c>
      <c r="I389" s="324">
        <v>9.3380333972086005E-2</v>
      </c>
      <c r="J389" s="324" t="s">
        <v>1021</v>
      </c>
    </row>
    <row r="390" spans="1:18" s="324" customFormat="1" ht="0.65" hidden="1" customHeight="1">
      <c r="A390" s="324">
        <v>2044</v>
      </c>
      <c r="H390" s="324" t="s">
        <v>29</v>
      </c>
      <c r="I390" s="324">
        <v>9.6672335561209452E-2</v>
      </c>
      <c r="J390" s="324" t="s">
        <v>1022</v>
      </c>
    </row>
    <row r="391" spans="1:18" s="324" customFormat="1" ht="0.65" hidden="1" customHeight="1">
      <c r="A391" s="324">
        <v>2045</v>
      </c>
      <c r="H391" s="324" t="s">
        <v>30</v>
      </c>
      <c r="I391" s="324">
        <v>3</v>
      </c>
      <c r="J391" s="324" t="s">
        <v>1023</v>
      </c>
    </row>
    <row r="392" spans="1:18" s="324" customFormat="1" ht="0.65" hidden="1" customHeight="1">
      <c r="A392" s="324">
        <v>2046</v>
      </c>
      <c r="B392" s="324">
        <v>2</v>
      </c>
      <c r="C392" s="324">
        <v>3</v>
      </c>
      <c r="D392" s="324">
        <v>4</v>
      </c>
      <c r="E392" s="324">
        <v>5</v>
      </c>
      <c r="F392" s="324">
        <v>6</v>
      </c>
      <c r="G392" s="324">
        <v>7</v>
      </c>
      <c r="H392" s="324">
        <v>8</v>
      </c>
      <c r="I392" s="324">
        <v>9</v>
      </c>
      <c r="J392" s="324">
        <v>10</v>
      </c>
      <c r="K392" s="324">
        <v>11</v>
      </c>
      <c r="L392" s="324">
        <v>12</v>
      </c>
      <c r="M392" s="324">
        <v>13</v>
      </c>
      <c r="N392" s="324">
        <v>14</v>
      </c>
      <c r="O392" s="324">
        <v>15</v>
      </c>
      <c r="P392" s="324">
        <v>16</v>
      </c>
      <c r="Q392" s="324">
        <v>17</v>
      </c>
      <c r="R392" s="324">
        <v>18</v>
      </c>
    </row>
    <row r="393" spans="1:18" s="324" customFormat="1" ht="0.65" hidden="1" customHeight="1">
      <c r="A393" s="324">
        <v>2047</v>
      </c>
      <c r="M393" s="324" t="s">
        <v>452</v>
      </c>
      <c r="N393" s="324" t="s">
        <v>453</v>
      </c>
    </row>
    <row r="394" spans="1:18" s="324" customFormat="1" ht="0.65" hidden="1" customHeight="1">
      <c r="A394" s="324">
        <v>2048</v>
      </c>
      <c r="G394" s="324">
        <v>2</v>
      </c>
      <c r="H394" s="324" t="s">
        <v>429</v>
      </c>
      <c r="I394" s="324">
        <v>2023</v>
      </c>
      <c r="J394" s="324">
        <v>1</v>
      </c>
      <c r="K394" s="324">
        <v>2</v>
      </c>
      <c r="L394" s="324">
        <v>360000</v>
      </c>
      <c r="M394" s="324">
        <v>360000</v>
      </c>
      <c r="N394" s="324">
        <v>360000</v>
      </c>
    </row>
    <row r="395" spans="1:18" s="324" customFormat="1" ht="0.65" hidden="1" customHeight="1">
      <c r="A395" s="324">
        <v>2049</v>
      </c>
      <c r="G395" s="324">
        <v>3</v>
      </c>
      <c r="H395" s="324" t="s">
        <v>430</v>
      </c>
      <c r="I395" s="324">
        <v>2023</v>
      </c>
      <c r="J395" s="324">
        <v>2</v>
      </c>
      <c r="K395" s="324">
        <v>3</v>
      </c>
      <c r="L395" s="324">
        <v>240000</v>
      </c>
      <c r="M395" s="324">
        <v>240000</v>
      </c>
      <c r="N395" s="324">
        <v>240000</v>
      </c>
    </row>
    <row r="396" spans="1:18" s="324" customFormat="1" ht="0.65" hidden="1" customHeight="1">
      <c r="A396" s="324">
        <v>2050</v>
      </c>
      <c r="G396" s="324">
        <v>4</v>
      </c>
      <c r="H396" s="324" t="s">
        <v>431</v>
      </c>
      <c r="I396" s="324">
        <v>2023</v>
      </c>
      <c r="J396" s="324">
        <v>3</v>
      </c>
      <c r="K396" s="324">
        <v>4</v>
      </c>
      <c r="L396" s="324" t="s">
        <v>1014</v>
      </c>
      <c r="M396" s="324" t="s">
        <v>1014</v>
      </c>
      <c r="N396" s="324" t="s">
        <v>658</v>
      </c>
    </row>
    <row r="397" spans="1:18" s="324" customFormat="1" ht="0.65" hidden="1" customHeight="1">
      <c r="A397" s="324">
        <v>2051</v>
      </c>
      <c r="G397" s="324">
        <v>5</v>
      </c>
      <c r="H397" s="324" t="s">
        <v>432</v>
      </c>
      <c r="I397" s="324">
        <v>2023</v>
      </c>
      <c r="J397" s="324">
        <v>4</v>
      </c>
      <c r="K397" s="324">
        <v>5</v>
      </c>
      <c r="L397" s="324" t="s">
        <v>1024</v>
      </c>
      <c r="M397" s="324" t="s">
        <v>1024</v>
      </c>
      <c r="N397" s="324" t="s">
        <v>660</v>
      </c>
    </row>
    <row r="398" spans="1:18" s="324" customFormat="1" ht="0.65" hidden="1" customHeight="1">
      <c r="A398" s="324">
        <v>2052</v>
      </c>
      <c r="G398" s="324">
        <v>6</v>
      </c>
      <c r="H398" s="324" t="s">
        <v>433</v>
      </c>
      <c r="I398" s="324">
        <v>2023</v>
      </c>
      <c r="J398" s="324">
        <v>5</v>
      </c>
      <c r="K398" s="324">
        <v>6</v>
      </c>
      <c r="L398" s="324" t="s">
        <v>1025</v>
      </c>
      <c r="M398" s="324" t="s">
        <v>1025</v>
      </c>
      <c r="N398" s="324" t="s">
        <v>662</v>
      </c>
    </row>
    <row r="399" spans="1:18" s="324" customFormat="1" ht="0.65" hidden="1" customHeight="1">
      <c r="A399" s="324">
        <v>2053</v>
      </c>
      <c r="G399" s="324">
        <v>7</v>
      </c>
      <c r="H399" s="324" t="s">
        <v>434</v>
      </c>
      <c r="I399" s="324">
        <v>2023</v>
      </c>
      <c r="J399" s="324">
        <v>6</v>
      </c>
      <c r="K399" s="324">
        <v>7</v>
      </c>
      <c r="L399" s="324" t="s">
        <v>1026</v>
      </c>
      <c r="M399" s="324" t="s">
        <v>1026</v>
      </c>
      <c r="N399" s="324" t="s">
        <v>664</v>
      </c>
    </row>
    <row r="400" spans="1:18" s="324" customFormat="1" ht="0.65" hidden="1" customHeight="1">
      <c r="A400" s="324">
        <v>2054</v>
      </c>
      <c r="G400" s="324">
        <v>8</v>
      </c>
      <c r="H400" s="324" t="s">
        <v>435</v>
      </c>
      <c r="I400" s="324">
        <v>2023</v>
      </c>
      <c r="J400" s="324">
        <v>7</v>
      </c>
      <c r="K400" s="324">
        <v>8</v>
      </c>
      <c r="L400" s="324" t="s">
        <v>1027</v>
      </c>
      <c r="M400" s="324" t="s">
        <v>1027</v>
      </c>
      <c r="N400" s="324" t="s">
        <v>666</v>
      </c>
    </row>
    <row r="401" spans="1:14" s="324" customFormat="1" ht="0.65" hidden="1" customHeight="1">
      <c r="A401" s="324">
        <v>2055</v>
      </c>
      <c r="G401" s="324">
        <v>14</v>
      </c>
      <c r="H401" s="324" t="s">
        <v>429</v>
      </c>
      <c r="I401" s="324">
        <v>2024</v>
      </c>
      <c r="J401" s="324">
        <v>1</v>
      </c>
      <c r="K401" s="324">
        <v>14</v>
      </c>
      <c r="L401" s="324">
        <v>360000</v>
      </c>
      <c r="M401" s="324">
        <v>360000</v>
      </c>
      <c r="N401" s="324">
        <v>360000</v>
      </c>
    </row>
    <row r="402" spans="1:14" s="324" customFormat="1" ht="0.65" hidden="1" customHeight="1">
      <c r="A402" s="324">
        <v>2056</v>
      </c>
      <c r="G402" s="324">
        <v>15</v>
      </c>
      <c r="H402" s="324" t="s">
        <v>430</v>
      </c>
      <c r="I402" s="324">
        <v>2024</v>
      </c>
      <c r="J402" s="324">
        <v>2</v>
      </c>
      <c r="K402" s="324">
        <v>15</v>
      </c>
      <c r="L402" s="324">
        <v>240000</v>
      </c>
      <c r="M402" s="324">
        <v>240000</v>
      </c>
      <c r="N402" s="324">
        <v>240000</v>
      </c>
    </row>
    <row r="403" spans="1:14" s="324" customFormat="1" ht="0.65" hidden="1" customHeight="1">
      <c r="A403" s="324">
        <v>2057</v>
      </c>
      <c r="G403" s="324">
        <v>16</v>
      </c>
      <c r="H403" s="324" t="s">
        <v>431</v>
      </c>
      <c r="I403" s="324">
        <v>2024</v>
      </c>
      <c r="J403" s="324">
        <v>3</v>
      </c>
      <c r="K403" s="324">
        <v>16</v>
      </c>
      <c r="L403" s="324" t="s">
        <v>1014</v>
      </c>
      <c r="M403" s="324" t="s">
        <v>1014</v>
      </c>
      <c r="N403" s="324" t="s">
        <v>658</v>
      </c>
    </row>
    <row r="404" spans="1:14" s="324" customFormat="1" ht="0.65" hidden="1" customHeight="1">
      <c r="A404" s="324">
        <v>2058</v>
      </c>
      <c r="G404" s="324">
        <v>17</v>
      </c>
      <c r="H404" s="324" t="s">
        <v>432</v>
      </c>
      <c r="I404" s="324">
        <v>2024</v>
      </c>
      <c r="J404" s="324">
        <v>4</v>
      </c>
      <c r="K404" s="324">
        <v>17</v>
      </c>
      <c r="L404" s="324" t="s">
        <v>1024</v>
      </c>
      <c r="M404" s="324" t="s">
        <v>1024</v>
      </c>
      <c r="N404" s="324" t="s">
        <v>660</v>
      </c>
    </row>
    <row r="405" spans="1:14" s="324" customFormat="1" ht="0.65" hidden="1" customHeight="1">
      <c r="A405" s="324">
        <v>2059</v>
      </c>
      <c r="G405" s="324">
        <v>18</v>
      </c>
      <c r="H405" s="324" t="s">
        <v>433</v>
      </c>
      <c r="I405" s="324">
        <v>2024</v>
      </c>
      <c r="J405" s="324">
        <v>5</v>
      </c>
      <c r="K405" s="324">
        <v>18</v>
      </c>
      <c r="L405" s="324" t="s">
        <v>1025</v>
      </c>
      <c r="M405" s="324" t="s">
        <v>1025</v>
      </c>
      <c r="N405" s="324" t="s">
        <v>662</v>
      </c>
    </row>
    <row r="406" spans="1:14" s="324" customFormat="1" ht="0.65" hidden="1" customHeight="1">
      <c r="A406" s="324">
        <v>2060</v>
      </c>
      <c r="G406" s="324">
        <v>19</v>
      </c>
      <c r="H406" s="324" t="s">
        <v>434</v>
      </c>
      <c r="I406" s="324">
        <v>2024</v>
      </c>
      <c r="J406" s="324">
        <v>6</v>
      </c>
      <c r="K406" s="324">
        <v>19</v>
      </c>
      <c r="L406" s="324" t="s">
        <v>1026</v>
      </c>
      <c r="M406" s="324" t="s">
        <v>1026</v>
      </c>
      <c r="N406" s="324" t="s">
        <v>664</v>
      </c>
    </row>
    <row r="407" spans="1:14" s="324" customFormat="1" ht="0.65" hidden="1" customHeight="1">
      <c r="A407" s="324">
        <v>2061</v>
      </c>
      <c r="G407" s="324">
        <v>20</v>
      </c>
      <c r="H407" s="324" t="s">
        <v>435</v>
      </c>
      <c r="I407" s="324">
        <v>2024</v>
      </c>
      <c r="J407" s="324">
        <v>7</v>
      </c>
      <c r="K407" s="324">
        <v>20</v>
      </c>
      <c r="L407" s="324" t="s">
        <v>1027</v>
      </c>
      <c r="M407" s="324" t="s">
        <v>1027</v>
      </c>
      <c r="N407" s="324" t="s">
        <v>666</v>
      </c>
    </row>
    <row r="408" spans="1:14" s="324" customFormat="1" ht="0.65" hidden="1" customHeight="1">
      <c r="A408" s="324">
        <v>2062</v>
      </c>
      <c r="G408" s="324">
        <v>26</v>
      </c>
      <c r="H408" s="324" t="s">
        <v>429</v>
      </c>
      <c r="I408" s="324">
        <v>2025</v>
      </c>
      <c r="J408" s="324">
        <v>1</v>
      </c>
      <c r="K408" s="324">
        <v>26</v>
      </c>
      <c r="L408" s="324">
        <v>360000</v>
      </c>
      <c r="M408" s="324">
        <v>360000</v>
      </c>
      <c r="N408" s="324">
        <v>360000</v>
      </c>
    </row>
    <row r="409" spans="1:14" s="324" customFormat="1" ht="0.65" hidden="1" customHeight="1">
      <c r="A409" s="324">
        <v>2063</v>
      </c>
      <c r="G409" s="324">
        <v>27</v>
      </c>
      <c r="H409" s="324" t="s">
        <v>430</v>
      </c>
      <c r="I409" s="324">
        <v>2025</v>
      </c>
      <c r="J409" s="324">
        <v>2</v>
      </c>
      <c r="K409" s="324">
        <v>27</v>
      </c>
      <c r="L409" s="324">
        <v>240000</v>
      </c>
      <c r="M409" s="324">
        <v>240000</v>
      </c>
      <c r="N409" s="324">
        <v>240000</v>
      </c>
    </row>
    <row r="410" spans="1:14" s="324" customFormat="1" ht="0.65" hidden="1" customHeight="1">
      <c r="A410" s="324">
        <v>2064</v>
      </c>
      <c r="G410" s="324">
        <v>28</v>
      </c>
      <c r="H410" s="324" t="s">
        <v>431</v>
      </c>
      <c r="I410" s="324">
        <v>2025</v>
      </c>
      <c r="J410" s="324">
        <v>3</v>
      </c>
      <c r="K410" s="324">
        <v>28</v>
      </c>
      <c r="L410" s="324" t="s">
        <v>1014</v>
      </c>
      <c r="M410" s="324" t="s">
        <v>1014</v>
      </c>
      <c r="N410" s="324" t="s">
        <v>658</v>
      </c>
    </row>
    <row r="411" spans="1:14" s="324" customFormat="1" ht="0.65" hidden="1" customHeight="1">
      <c r="A411" s="324">
        <v>2065</v>
      </c>
      <c r="G411" s="324">
        <v>29</v>
      </c>
      <c r="H411" s="324" t="s">
        <v>432</v>
      </c>
      <c r="I411" s="324">
        <v>2025</v>
      </c>
      <c r="J411" s="324">
        <v>4</v>
      </c>
      <c r="K411" s="324">
        <v>29</v>
      </c>
      <c r="L411" s="324" t="s">
        <v>1024</v>
      </c>
      <c r="M411" s="324" t="s">
        <v>1024</v>
      </c>
      <c r="N411" s="324" t="s">
        <v>660</v>
      </c>
    </row>
    <row r="412" spans="1:14" s="324" customFormat="1" ht="0.65" hidden="1" customHeight="1">
      <c r="A412" s="324">
        <v>2066</v>
      </c>
      <c r="G412" s="324">
        <v>30</v>
      </c>
      <c r="H412" s="324" t="s">
        <v>433</v>
      </c>
      <c r="I412" s="324">
        <v>2025</v>
      </c>
      <c r="J412" s="324">
        <v>5</v>
      </c>
      <c r="K412" s="324">
        <v>30</v>
      </c>
      <c r="L412" s="324" t="s">
        <v>1025</v>
      </c>
      <c r="M412" s="324" t="s">
        <v>1025</v>
      </c>
      <c r="N412" s="324" t="s">
        <v>662</v>
      </c>
    </row>
    <row r="413" spans="1:14" s="324" customFormat="1" ht="0.65" hidden="1" customHeight="1">
      <c r="A413" s="324">
        <v>2067</v>
      </c>
      <c r="G413" s="324">
        <v>31</v>
      </c>
      <c r="H413" s="324" t="s">
        <v>434</v>
      </c>
      <c r="I413" s="324">
        <v>2025</v>
      </c>
      <c r="J413" s="324">
        <v>6</v>
      </c>
      <c r="K413" s="324">
        <v>31</v>
      </c>
      <c r="L413" s="324" t="s">
        <v>1026</v>
      </c>
      <c r="M413" s="324" t="s">
        <v>1026</v>
      </c>
      <c r="N413" s="324" t="s">
        <v>664</v>
      </c>
    </row>
    <row r="414" spans="1:14" s="324" customFormat="1" ht="0.65" hidden="1" customHeight="1">
      <c r="A414" s="324">
        <v>2068</v>
      </c>
      <c r="G414" s="324">
        <v>32</v>
      </c>
      <c r="H414" s="324" t="s">
        <v>435</v>
      </c>
      <c r="I414" s="324">
        <v>2025</v>
      </c>
      <c r="J414" s="324">
        <v>7</v>
      </c>
      <c r="K414" s="324">
        <v>32</v>
      </c>
      <c r="L414" s="324" t="s">
        <v>1027</v>
      </c>
      <c r="M414" s="324" t="s">
        <v>1027</v>
      </c>
      <c r="N414" s="324" t="s">
        <v>666</v>
      </c>
    </row>
    <row r="415" spans="1:14" s="324" customFormat="1" ht="0.65" hidden="1" customHeight="1">
      <c r="A415" s="324">
        <v>2069</v>
      </c>
    </row>
    <row r="416" spans="1:14" s="324" customFormat="1" ht="0.65" hidden="1" customHeight="1">
      <c r="A416" s="324">
        <v>2070</v>
      </c>
    </row>
    <row r="417" spans="1:14" s="324" customFormat="1" ht="0.65" hidden="1" customHeight="1">
      <c r="A417" s="324">
        <v>2071</v>
      </c>
    </row>
    <row r="418" spans="1:14" s="324" customFormat="1" ht="0.65" hidden="1" customHeight="1">
      <c r="A418" s="324">
        <v>2072</v>
      </c>
      <c r="M418" s="324" t="s">
        <v>452</v>
      </c>
      <c r="N418" s="324" t="s">
        <v>453</v>
      </c>
    </row>
    <row r="419" spans="1:14" s="324" customFormat="1" ht="0.65" hidden="1" customHeight="1">
      <c r="A419" s="324">
        <v>2073</v>
      </c>
      <c r="H419" s="324" t="s">
        <v>436</v>
      </c>
      <c r="I419" s="324">
        <v>2022</v>
      </c>
      <c r="J419" s="324">
        <v>1</v>
      </c>
    </row>
    <row r="420" spans="1:14" s="324" customFormat="1" ht="0.65" hidden="1" customHeight="1">
      <c r="A420" s="324">
        <v>2074</v>
      </c>
      <c r="H420" s="324" t="s">
        <v>437</v>
      </c>
      <c r="I420" s="324">
        <v>2022</v>
      </c>
      <c r="J420" s="324">
        <v>2</v>
      </c>
    </row>
    <row r="421" spans="1:14" s="324" customFormat="1" ht="0.65" hidden="1" customHeight="1">
      <c r="A421" s="324">
        <v>2075</v>
      </c>
      <c r="H421" s="324" t="s">
        <v>438</v>
      </c>
      <c r="I421" s="324">
        <v>2022</v>
      </c>
      <c r="J421" s="324">
        <v>3</v>
      </c>
    </row>
    <row r="422" spans="1:14" s="324" customFormat="1" ht="0.65" hidden="1" customHeight="1">
      <c r="A422" s="324">
        <v>2076</v>
      </c>
      <c r="H422" s="324" t="s">
        <v>439</v>
      </c>
      <c r="I422" s="324">
        <v>2022</v>
      </c>
      <c r="J422" s="324">
        <v>4</v>
      </c>
    </row>
    <row r="423" spans="1:14" s="324" customFormat="1" ht="0.65" hidden="1" customHeight="1">
      <c r="A423" s="324">
        <v>2077</v>
      </c>
      <c r="G423" s="324">
        <v>9</v>
      </c>
      <c r="H423" s="324" t="s">
        <v>436</v>
      </c>
      <c r="I423" s="324">
        <v>2023</v>
      </c>
      <c r="J423" s="324">
        <v>1</v>
      </c>
      <c r="K423" s="324">
        <v>9</v>
      </c>
      <c r="L423" s="324" t="s">
        <v>1028</v>
      </c>
      <c r="M423" s="324" t="s">
        <v>1028</v>
      </c>
      <c r="N423" s="324" t="s">
        <v>673</v>
      </c>
    </row>
    <row r="424" spans="1:14" s="324" customFormat="1" ht="0.65" hidden="1" customHeight="1">
      <c r="A424" s="324">
        <v>2078</v>
      </c>
      <c r="G424" s="324">
        <v>10</v>
      </c>
      <c r="H424" s="324" t="s">
        <v>437</v>
      </c>
      <c r="I424" s="324">
        <v>2023</v>
      </c>
      <c r="J424" s="324">
        <v>2</v>
      </c>
      <c r="K424" s="324">
        <v>10</v>
      </c>
      <c r="L424" s="324" t="s">
        <v>1016</v>
      </c>
      <c r="M424" s="324" t="s">
        <v>1016</v>
      </c>
      <c r="N424" s="324" t="s">
        <v>674</v>
      </c>
    </row>
    <row r="425" spans="1:14" s="324" customFormat="1" ht="0.65" hidden="1" customHeight="1">
      <c r="A425" s="324">
        <v>2079</v>
      </c>
      <c r="G425" s="324">
        <v>11</v>
      </c>
      <c r="H425" s="324" t="s">
        <v>438</v>
      </c>
      <c r="I425" s="324">
        <v>2023</v>
      </c>
      <c r="J425" s="324">
        <v>3</v>
      </c>
      <c r="K425" s="324">
        <v>11</v>
      </c>
      <c r="L425" s="324" t="s">
        <v>1029</v>
      </c>
      <c r="M425" s="324" t="s">
        <v>1029</v>
      </c>
      <c r="N425" s="324" t="s">
        <v>676</v>
      </c>
    </row>
    <row r="426" spans="1:14" s="324" customFormat="1" ht="0.65" hidden="1" customHeight="1">
      <c r="A426" s="324">
        <v>2080</v>
      </c>
      <c r="G426" s="324">
        <v>12</v>
      </c>
      <c r="H426" s="324" t="s">
        <v>439</v>
      </c>
      <c r="I426" s="324">
        <v>2023</v>
      </c>
      <c r="J426" s="324">
        <v>4</v>
      </c>
      <c r="K426" s="324">
        <v>12</v>
      </c>
      <c r="L426" s="324" t="s">
        <v>1030</v>
      </c>
      <c r="M426" s="324" t="s">
        <v>1030</v>
      </c>
      <c r="N426" s="324" t="s">
        <v>678</v>
      </c>
    </row>
    <row r="427" spans="1:14" s="324" customFormat="1" ht="0.65" hidden="1" customHeight="1">
      <c r="A427" s="324">
        <v>2081</v>
      </c>
      <c r="G427" s="324">
        <v>21</v>
      </c>
      <c r="H427" s="324" t="s">
        <v>436</v>
      </c>
      <c r="I427" s="324">
        <v>2024</v>
      </c>
      <c r="J427" s="324">
        <v>1</v>
      </c>
      <c r="K427" s="324">
        <v>21</v>
      </c>
      <c r="L427" s="324" t="s">
        <v>1028</v>
      </c>
      <c r="M427" s="324" t="s">
        <v>1028</v>
      </c>
      <c r="N427" s="324" t="s">
        <v>673</v>
      </c>
    </row>
    <row r="428" spans="1:14" s="324" customFormat="1" ht="0.65" hidden="1" customHeight="1">
      <c r="A428" s="324">
        <v>2082</v>
      </c>
      <c r="G428" s="324">
        <v>22</v>
      </c>
      <c r="H428" s="324" t="s">
        <v>437</v>
      </c>
      <c r="I428" s="324">
        <v>2024</v>
      </c>
      <c r="J428" s="324">
        <v>2</v>
      </c>
      <c r="K428" s="324">
        <v>22</v>
      </c>
      <c r="L428" s="324" t="s">
        <v>1016</v>
      </c>
      <c r="M428" s="324" t="s">
        <v>1016</v>
      </c>
      <c r="N428" s="324" t="s">
        <v>674</v>
      </c>
    </row>
    <row r="429" spans="1:14" s="324" customFormat="1" ht="0.65" hidden="1" customHeight="1">
      <c r="A429" s="324">
        <v>2083</v>
      </c>
      <c r="G429" s="324">
        <v>23</v>
      </c>
      <c r="H429" s="324" t="s">
        <v>438</v>
      </c>
      <c r="I429" s="324">
        <v>2024</v>
      </c>
      <c r="J429" s="324">
        <v>3</v>
      </c>
      <c r="K429" s="324">
        <v>23</v>
      </c>
      <c r="L429" s="324" t="s">
        <v>1029</v>
      </c>
      <c r="M429" s="324" t="s">
        <v>1029</v>
      </c>
      <c r="N429" s="324" t="s">
        <v>676</v>
      </c>
    </row>
    <row r="430" spans="1:14" s="324" customFormat="1" ht="0.65" hidden="1" customHeight="1">
      <c r="A430" s="324">
        <v>2084</v>
      </c>
      <c r="G430" s="324">
        <v>24</v>
      </c>
      <c r="H430" s="324" t="s">
        <v>439</v>
      </c>
      <c r="I430" s="324">
        <v>2024</v>
      </c>
      <c r="J430" s="324">
        <v>4</v>
      </c>
      <c r="K430" s="324">
        <v>24</v>
      </c>
      <c r="L430" s="324" t="s">
        <v>1031</v>
      </c>
      <c r="M430" s="324" t="s">
        <v>1031</v>
      </c>
      <c r="N430" s="324" t="s">
        <v>680</v>
      </c>
    </row>
    <row r="431" spans="1:14" s="324" customFormat="1" ht="0.65" hidden="1" customHeight="1">
      <c r="A431" s="324">
        <v>2085</v>
      </c>
      <c r="G431" s="324">
        <v>33</v>
      </c>
      <c r="H431" s="324" t="s">
        <v>436</v>
      </c>
      <c r="I431" s="324">
        <v>2025</v>
      </c>
      <c r="J431" s="324">
        <v>1</v>
      </c>
      <c r="K431" s="324">
        <v>33</v>
      </c>
      <c r="L431" s="324" t="s">
        <v>1028</v>
      </c>
      <c r="M431" s="324" t="s">
        <v>1028</v>
      </c>
      <c r="N431" s="324" t="s">
        <v>673</v>
      </c>
    </row>
    <row r="432" spans="1:14" s="324" customFormat="1" ht="0.65" hidden="1" customHeight="1">
      <c r="A432" s="324">
        <v>2086</v>
      </c>
      <c r="G432" s="324">
        <v>34</v>
      </c>
      <c r="H432" s="324" t="s">
        <v>437</v>
      </c>
      <c r="I432" s="324">
        <v>2025</v>
      </c>
      <c r="J432" s="324">
        <v>2</v>
      </c>
      <c r="K432" s="324">
        <v>34</v>
      </c>
      <c r="L432" s="324" t="s">
        <v>1016</v>
      </c>
      <c r="M432" s="324" t="s">
        <v>1016</v>
      </c>
      <c r="N432" s="324" t="s">
        <v>674</v>
      </c>
    </row>
    <row r="433" spans="1:14" s="324" customFormat="1" ht="0.65" hidden="1" customHeight="1">
      <c r="A433" s="324">
        <v>2087</v>
      </c>
      <c r="G433" s="324">
        <v>35</v>
      </c>
      <c r="H433" s="324" t="s">
        <v>438</v>
      </c>
      <c r="I433" s="324">
        <v>2025</v>
      </c>
      <c r="J433" s="324">
        <v>3</v>
      </c>
      <c r="K433" s="324">
        <v>35</v>
      </c>
      <c r="L433" s="324" t="s">
        <v>1029</v>
      </c>
      <c r="M433" s="324" t="s">
        <v>1029</v>
      </c>
      <c r="N433" s="324" t="s">
        <v>676</v>
      </c>
    </row>
    <row r="434" spans="1:14" s="324" customFormat="1" ht="0.65" hidden="1" customHeight="1">
      <c r="A434" s="324">
        <v>2088</v>
      </c>
      <c r="G434" s="324">
        <v>36</v>
      </c>
      <c r="H434" s="324" t="s">
        <v>439</v>
      </c>
      <c r="I434" s="324">
        <v>2025</v>
      </c>
      <c r="J434" s="324">
        <v>4</v>
      </c>
      <c r="K434" s="324">
        <v>36</v>
      </c>
      <c r="L434" s="324" t="s">
        <v>1031</v>
      </c>
      <c r="M434" s="324" t="s">
        <v>1031</v>
      </c>
      <c r="N434" s="324" t="s">
        <v>681</v>
      </c>
    </row>
    <row r="435" spans="1:14" s="324" customFormat="1" ht="0.65" hidden="1" customHeight="1">
      <c r="A435" s="324">
        <v>2089</v>
      </c>
    </row>
    <row r="436" spans="1:14" s="324" customFormat="1" ht="0.65" hidden="1" customHeight="1">
      <c r="A436" s="324">
        <v>2090</v>
      </c>
      <c r="K436" s="324" t="s">
        <v>13</v>
      </c>
      <c r="L436" s="324" t="s">
        <v>992</v>
      </c>
      <c r="M436" s="324" t="s">
        <v>682</v>
      </c>
    </row>
    <row r="437" spans="1:14" s="324" customFormat="1" ht="0.65" hidden="1" customHeight="1">
      <c r="A437" s="324">
        <v>2091</v>
      </c>
      <c r="K437" s="324" t="s">
        <v>28</v>
      </c>
      <c r="L437" s="324" t="s">
        <v>993</v>
      </c>
      <c r="M437" s="324" t="s">
        <v>683</v>
      </c>
    </row>
    <row r="438" spans="1:14" s="324" customFormat="1" ht="0.65" hidden="1" customHeight="1">
      <c r="A438" s="324">
        <v>2092</v>
      </c>
      <c r="K438" s="324" t="s">
        <v>29</v>
      </c>
      <c r="L438" s="324" t="s">
        <v>1019</v>
      </c>
      <c r="M438" s="324" t="s">
        <v>684</v>
      </c>
    </row>
    <row r="439" spans="1:14" s="324" customFormat="1" ht="0.65" hidden="1" customHeight="1">
      <c r="A439" s="324">
        <v>2093</v>
      </c>
      <c r="K439" s="324" t="s">
        <v>30</v>
      </c>
      <c r="L439" s="324" t="s">
        <v>1032</v>
      </c>
      <c r="M439" s="324" t="s">
        <v>1033</v>
      </c>
    </row>
    <row r="440" spans="1:14" s="324" customFormat="1" ht="0.65" hidden="1" customHeight="1">
      <c r="A440" s="324">
        <v>2094</v>
      </c>
    </row>
    <row r="441" spans="1:14" s="324" customFormat="1" ht="0.65" hidden="1" customHeight="1">
      <c r="A441" s="324">
        <v>2095</v>
      </c>
    </row>
    <row r="442" spans="1:14" s="324" customFormat="1" ht="0.65" hidden="1" customHeight="1">
      <c r="A442" s="324">
        <v>2096</v>
      </c>
    </row>
    <row r="443" spans="1:14" s="324" customFormat="1" ht="0.65" hidden="1" customHeight="1">
      <c r="A443" s="324">
        <v>2097</v>
      </c>
      <c r="J443" s="324" t="s">
        <v>1034</v>
      </c>
      <c r="N443" s="324" t="s">
        <v>688</v>
      </c>
    </row>
    <row r="444" spans="1:14" s="324" customFormat="1" ht="0.65" hidden="1" customHeight="1">
      <c r="A444" s="324">
        <v>2098</v>
      </c>
    </row>
    <row r="445" spans="1:14" s="324" customFormat="1" ht="0.65" hidden="1" customHeight="1">
      <c r="A445" s="324">
        <v>2099</v>
      </c>
      <c r="J445" s="324" t="s">
        <v>1035</v>
      </c>
      <c r="N445" s="324" t="s">
        <v>690</v>
      </c>
    </row>
    <row r="446" spans="1:14" s="324" customFormat="1" ht="0.65" hidden="1" customHeight="1">
      <c r="A446" s="324">
        <v>2100</v>
      </c>
      <c r="J446" s="324" t="s">
        <v>1036</v>
      </c>
      <c r="N446" s="324" t="s">
        <v>692</v>
      </c>
    </row>
    <row r="447" spans="1:14" s="324" customFormat="1" ht="0.65" hidden="1" customHeight="1">
      <c r="A447" s="324">
        <v>2101</v>
      </c>
      <c r="J447" s="324" t="s">
        <v>1037</v>
      </c>
      <c r="N447" s="324" t="s">
        <v>694</v>
      </c>
    </row>
    <row r="448" spans="1:14" s="324" customFormat="1" ht="0.65" hidden="1" customHeight="1">
      <c r="A448" s="324">
        <v>2102</v>
      </c>
    </row>
    <row r="449" spans="1:14" s="324" customFormat="1" ht="0.65" hidden="1" customHeight="1">
      <c r="A449" s="324">
        <v>2103</v>
      </c>
      <c r="J449" s="324" t="s">
        <v>1038</v>
      </c>
      <c r="N449" s="324" t="s">
        <v>440</v>
      </c>
    </row>
    <row r="450" spans="1:14" s="324" customFormat="1" ht="0.65" hidden="1" customHeight="1">
      <c r="A450" s="324">
        <v>2104</v>
      </c>
      <c r="J450" s="324" t="s">
        <v>1039</v>
      </c>
      <c r="N450" s="324" t="s">
        <v>441</v>
      </c>
    </row>
    <row r="451" spans="1:14" s="324" customFormat="1" ht="0.65" hidden="1" customHeight="1">
      <c r="A451" s="324">
        <v>2105</v>
      </c>
      <c r="J451" s="324" t="s">
        <v>1040</v>
      </c>
      <c r="N451" s="324" t="s">
        <v>442</v>
      </c>
    </row>
    <row r="452" spans="1:14" s="324" customFormat="1" ht="0.65" hidden="1" customHeight="1">
      <c r="A452" s="324">
        <v>2106</v>
      </c>
    </row>
    <row r="453" spans="1:14" s="324" customFormat="1" ht="0.65" hidden="1" customHeight="1">
      <c r="A453" s="324">
        <v>2107</v>
      </c>
    </row>
    <row r="454" spans="1:14" s="324" customFormat="1" ht="0.65" hidden="1" customHeight="1">
      <c r="A454" s="324">
        <v>2108</v>
      </c>
    </row>
    <row r="455" spans="1:14" s="324" customFormat="1" ht="0.65" hidden="1" customHeight="1">
      <c r="A455" s="324">
        <v>2109</v>
      </c>
    </row>
    <row r="456" spans="1:14" s="324" customFormat="1" ht="0.65" hidden="1" customHeight="1">
      <c r="A456" s="324">
        <v>2110</v>
      </c>
    </row>
    <row r="457" spans="1:14" s="324" customFormat="1" ht="0.65" hidden="1" customHeight="1">
      <c r="A457" s="324">
        <v>2111</v>
      </c>
    </row>
    <row r="458" spans="1:14" s="324" customFormat="1" ht="0.65" hidden="1" customHeight="1">
      <c r="A458" s="324">
        <v>2112</v>
      </c>
    </row>
    <row r="459" spans="1:14" s="324" customFormat="1" ht="0.65" hidden="1" customHeight="1">
      <c r="A459" s="324">
        <v>2113</v>
      </c>
    </row>
    <row r="460" spans="1:14" s="324" customFormat="1" ht="0.65" hidden="1" customHeight="1">
      <c r="A460" s="324">
        <v>2114</v>
      </c>
    </row>
    <row r="461" spans="1:14" s="324" customFormat="1" ht="0.65" hidden="1" customHeight="1">
      <c r="A461" s="324">
        <v>2115</v>
      </c>
      <c r="G461" s="324">
        <v>1</v>
      </c>
      <c r="H461" s="324" t="s">
        <v>490</v>
      </c>
      <c r="I461" s="324">
        <v>543750</v>
      </c>
      <c r="J461" s="324" t="s">
        <v>1034</v>
      </c>
      <c r="M461" s="324" t="s">
        <v>688</v>
      </c>
    </row>
    <row r="462" spans="1:14" s="324" customFormat="1" ht="0.65" hidden="1" customHeight="1">
      <c r="A462" s="324">
        <v>2116</v>
      </c>
      <c r="G462" s="324">
        <v>2</v>
      </c>
      <c r="H462" s="324" t="s">
        <v>698</v>
      </c>
      <c r="I462" s="324">
        <v>360000</v>
      </c>
      <c r="J462" s="324" t="s">
        <v>1041</v>
      </c>
      <c r="M462" s="324" t="s">
        <v>698</v>
      </c>
    </row>
    <row r="463" spans="1:14" s="324" customFormat="1" ht="0.65" hidden="1" customHeight="1">
      <c r="A463" s="324">
        <v>2117</v>
      </c>
      <c r="G463" s="324">
        <v>3</v>
      </c>
      <c r="H463" s="324" t="s">
        <v>700</v>
      </c>
      <c r="I463" s="324">
        <v>240000</v>
      </c>
      <c r="J463" s="324" t="s">
        <v>1042</v>
      </c>
      <c r="M463" s="324" t="s">
        <v>700</v>
      </c>
    </row>
    <row r="464" spans="1:14" s="324" customFormat="1" ht="0.65" hidden="1" customHeight="1">
      <c r="A464" s="324">
        <v>2118</v>
      </c>
      <c r="G464" s="324">
        <v>4</v>
      </c>
      <c r="H464" s="324" t="s">
        <v>702</v>
      </c>
      <c r="I464" s="324">
        <v>30000</v>
      </c>
      <c r="J464" s="324" t="s">
        <v>1043</v>
      </c>
      <c r="M464" s="324" t="s">
        <v>704</v>
      </c>
    </row>
    <row r="465" spans="1:13" s="324" customFormat="1" ht="0.65" hidden="1" customHeight="1">
      <c r="A465" s="324">
        <v>2119</v>
      </c>
      <c r="G465" s="324">
        <v>5</v>
      </c>
      <c r="H465" s="324" t="s">
        <v>705</v>
      </c>
      <c r="I465" s="324">
        <v>90000</v>
      </c>
      <c r="J465" s="324" t="s">
        <v>1044</v>
      </c>
      <c r="M465" s="324" t="s">
        <v>707</v>
      </c>
    </row>
    <row r="466" spans="1:13" s="324" customFormat="1" ht="0.65" hidden="1" customHeight="1">
      <c r="A466" s="324">
        <v>2120</v>
      </c>
      <c r="G466" s="324">
        <v>6</v>
      </c>
      <c r="H466" s="324" t="s">
        <v>708</v>
      </c>
      <c r="I466" s="324">
        <v>22500</v>
      </c>
      <c r="J466" s="324" t="s">
        <v>1045</v>
      </c>
      <c r="M466" s="324" t="s">
        <v>710</v>
      </c>
    </row>
    <row r="467" spans="1:13" s="324" customFormat="1" ht="0.65" hidden="1" customHeight="1">
      <c r="A467" s="324">
        <v>2121</v>
      </c>
      <c r="G467" s="324">
        <v>7</v>
      </c>
      <c r="H467" s="324" t="s">
        <v>711</v>
      </c>
      <c r="I467" s="324">
        <v>67500</v>
      </c>
      <c r="J467" s="324" t="s">
        <v>1046</v>
      </c>
      <c r="M467" s="324" t="s">
        <v>713</v>
      </c>
    </row>
    <row r="468" spans="1:13" s="324" customFormat="1" ht="0.65" hidden="1" customHeight="1">
      <c r="A468" s="324">
        <v>2122</v>
      </c>
      <c r="G468" s="324">
        <v>8</v>
      </c>
      <c r="H468" s="324" t="s">
        <v>714</v>
      </c>
      <c r="I468" s="324">
        <v>97500</v>
      </c>
      <c r="J468" s="324" t="s">
        <v>1047</v>
      </c>
      <c r="M468" s="324" t="s">
        <v>716</v>
      </c>
    </row>
    <row r="469" spans="1:13" s="324" customFormat="1" ht="0.65" hidden="1" customHeight="1">
      <c r="A469" s="324">
        <v>2123</v>
      </c>
      <c r="G469" s="324">
        <v>9</v>
      </c>
      <c r="H469" s="324" t="s">
        <v>717</v>
      </c>
      <c r="I469" s="324">
        <v>30000</v>
      </c>
      <c r="J469" s="324" t="s">
        <v>1048</v>
      </c>
      <c r="M469" s="324" t="s">
        <v>719</v>
      </c>
    </row>
    <row r="470" spans="1:13" s="324" customFormat="1" ht="0.65" hidden="1" customHeight="1">
      <c r="A470" s="324">
        <v>2124</v>
      </c>
      <c r="G470" s="324">
        <v>10</v>
      </c>
      <c r="H470" s="324" t="s">
        <v>720</v>
      </c>
      <c r="I470" s="324">
        <v>40000</v>
      </c>
      <c r="J470" s="324" t="s">
        <v>1049</v>
      </c>
      <c r="M470" s="324" t="s">
        <v>722</v>
      </c>
    </row>
    <row r="471" spans="1:13" s="324" customFormat="1" ht="0.65" hidden="1" customHeight="1">
      <c r="A471" s="324">
        <v>2125</v>
      </c>
      <c r="G471" s="324">
        <v>11</v>
      </c>
      <c r="H471" s="324" t="s">
        <v>723</v>
      </c>
      <c r="I471" s="324">
        <v>-10000</v>
      </c>
      <c r="J471" s="324" t="s">
        <v>1050</v>
      </c>
      <c r="M471" s="324" t="s">
        <v>725</v>
      </c>
    </row>
    <row r="472" spans="1:13" s="324" customFormat="1" ht="0.65" hidden="1" customHeight="1">
      <c r="A472" s="324">
        <v>2126</v>
      </c>
      <c r="G472" s="324">
        <v>12</v>
      </c>
      <c r="H472" s="324" t="s">
        <v>726</v>
      </c>
      <c r="I472" s="324">
        <v>-10000</v>
      </c>
      <c r="J472" s="324" t="s">
        <v>1051</v>
      </c>
      <c r="M472" s="324" t="s">
        <v>728</v>
      </c>
    </row>
    <row r="473" spans="1:13" s="324" customFormat="1" ht="0.65" hidden="1" customHeight="1">
      <c r="A473" s="324">
        <v>2127</v>
      </c>
      <c r="G473" s="324">
        <v>13</v>
      </c>
      <c r="H473" s="324" t="s">
        <v>729</v>
      </c>
      <c r="I473" s="324">
        <v>107500</v>
      </c>
      <c r="J473" s="324" t="s">
        <v>1052</v>
      </c>
    </row>
    <row r="474" spans="1:13" s="324" customFormat="1" ht="0.65" hidden="1" customHeight="1">
      <c r="A474" s="324">
        <v>2128</v>
      </c>
      <c r="G474" s="324">
        <v>14</v>
      </c>
      <c r="H474" s="324" t="s">
        <v>731</v>
      </c>
      <c r="I474" s="324">
        <v>360000</v>
      </c>
      <c r="J474" s="324" t="s">
        <v>1041</v>
      </c>
      <c r="M474" s="324" t="s">
        <v>731</v>
      </c>
    </row>
    <row r="475" spans="1:13" s="324" customFormat="1" ht="0.65" hidden="1" customHeight="1">
      <c r="A475" s="324">
        <v>2129</v>
      </c>
      <c r="G475" s="324">
        <v>15</v>
      </c>
      <c r="H475" s="324" t="s">
        <v>732</v>
      </c>
      <c r="I475" s="324">
        <v>240000</v>
      </c>
      <c r="J475" s="324" t="s">
        <v>1042</v>
      </c>
      <c r="M475" s="324" t="s">
        <v>732</v>
      </c>
    </row>
    <row r="476" spans="1:13" s="324" customFormat="1" ht="0.65" hidden="1" customHeight="1">
      <c r="A476" s="324">
        <v>2130</v>
      </c>
      <c r="G476" s="324">
        <v>16</v>
      </c>
      <c r="H476" s="324" t="s">
        <v>733</v>
      </c>
      <c r="I476" s="324">
        <v>30000</v>
      </c>
      <c r="J476" s="324" t="s">
        <v>1043</v>
      </c>
      <c r="M476" s="324" t="s">
        <v>704</v>
      </c>
    </row>
    <row r="477" spans="1:13" s="324" customFormat="1" ht="0.65" hidden="1" customHeight="1">
      <c r="A477" s="324">
        <v>2131</v>
      </c>
      <c r="G477" s="324">
        <v>17</v>
      </c>
      <c r="H477" s="324" t="s">
        <v>734</v>
      </c>
      <c r="I477" s="324">
        <v>90000</v>
      </c>
      <c r="J477" s="324" t="s">
        <v>1044</v>
      </c>
      <c r="M477" s="324" t="s">
        <v>735</v>
      </c>
    </row>
    <row r="478" spans="1:13" s="324" customFormat="1" ht="0.65" hidden="1" customHeight="1">
      <c r="A478" s="324">
        <v>2132</v>
      </c>
      <c r="G478" s="324">
        <v>18</v>
      </c>
      <c r="H478" s="324" t="s">
        <v>736</v>
      </c>
      <c r="I478" s="324">
        <v>22500</v>
      </c>
      <c r="J478" s="324" t="s">
        <v>1045</v>
      </c>
      <c r="M478" s="324" t="s">
        <v>737</v>
      </c>
    </row>
    <row r="479" spans="1:13" s="324" customFormat="1" ht="0.65" hidden="1" customHeight="1">
      <c r="A479" s="324">
        <v>2133</v>
      </c>
      <c r="G479" s="324">
        <v>19</v>
      </c>
      <c r="H479" s="324" t="s">
        <v>738</v>
      </c>
      <c r="I479" s="324">
        <v>67500</v>
      </c>
      <c r="J479" s="324" t="s">
        <v>1046</v>
      </c>
      <c r="M479" s="324" t="s">
        <v>739</v>
      </c>
    </row>
    <row r="480" spans="1:13" s="324" customFormat="1" ht="0.65" hidden="1" customHeight="1">
      <c r="A480" s="324">
        <v>2134</v>
      </c>
      <c r="G480" s="324">
        <v>20</v>
      </c>
      <c r="H480" s="324" t="s">
        <v>740</v>
      </c>
      <c r="I480" s="324">
        <v>97500</v>
      </c>
      <c r="J480" s="324" t="s">
        <v>1047</v>
      </c>
      <c r="M480" s="324" t="s">
        <v>741</v>
      </c>
    </row>
    <row r="481" spans="1:13" s="324" customFormat="1" ht="0.65" hidden="1" customHeight="1">
      <c r="A481" s="324">
        <v>2135</v>
      </c>
      <c r="G481" s="324">
        <v>21</v>
      </c>
      <c r="H481" s="324" t="s">
        <v>742</v>
      </c>
      <c r="I481" s="324">
        <v>30000</v>
      </c>
      <c r="J481" s="324" t="s">
        <v>1048</v>
      </c>
      <c r="M481" s="324" t="s">
        <v>743</v>
      </c>
    </row>
    <row r="482" spans="1:13" s="324" customFormat="1" ht="0.65" hidden="1" customHeight="1">
      <c r="A482" s="324">
        <v>2136</v>
      </c>
      <c r="G482" s="324">
        <v>22</v>
      </c>
      <c r="H482" s="324" t="s">
        <v>744</v>
      </c>
      <c r="I482" s="324">
        <v>40000</v>
      </c>
      <c r="J482" s="324" t="s">
        <v>1049</v>
      </c>
      <c r="M482" s="324" t="s">
        <v>745</v>
      </c>
    </row>
    <row r="483" spans="1:13" s="324" customFormat="1" ht="0.65" hidden="1" customHeight="1">
      <c r="A483" s="324">
        <v>2137</v>
      </c>
      <c r="G483" s="324">
        <v>23</v>
      </c>
      <c r="H483" s="324" t="s">
        <v>746</v>
      </c>
      <c r="I483" s="324">
        <v>-10000</v>
      </c>
      <c r="J483" s="324" t="s">
        <v>1050</v>
      </c>
      <c r="M483" s="324" t="s">
        <v>747</v>
      </c>
    </row>
    <row r="484" spans="1:13" s="324" customFormat="1" ht="0.65" hidden="1" customHeight="1">
      <c r="A484" s="324">
        <v>2138</v>
      </c>
      <c r="G484" s="324">
        <v>24</v>
      </c>
      <c r="H484" s="324" t="s">
        <v>748</v>
      </c>
      <c r="I484" s="324">
        <v>0</v>
      </c>
      <c r="J484" s="324" t="s">
        <v>1053</v>
      </c>
      <c r="M484" s="324" t="s">
        <v>750</v>
      </c>
    </row>
    <row r="485" spans="1:13" s="324" customFormat="1" ht="0.65" hidden="1" customHeight="1">
      <c r="A485" s="324">
        <v>2139</v>
      </c>
      <c r="G485" s="324">
        <v>25</v>
      </c>
      <c r="H485" s="324" t="s">
        <v>751</v>
      </c>
      <c r="I485" s="324">
        <v>97500</v>
      </c>
      <c r="J485" s="324" t="s">
        <v>1054</v>
      </c>
    </row>
    <row r="486" spans="1:13" s="324" customFormat="1" ht="0.65" hidden="1" customHeight="1">
      <c r="A486" s="324">
        <v>2140</v>
      </c>
      <c r="G486" s="324">
        <v>26</v>
      </c>
      <c r="H486" s="324" t="s">
        <v>753</v>
      </c>
      <c r="I486" s="324">
        <v>360000</v>
      </c>
      <c r="J486" s="324" t="s">
        <v>1041</v>
      </c>
      <c r="M486" s="324" t="s">
        <v>753</v>
      </c>
    </row>
    <row r="487" spans="1:13" s="324" customFormat="1" ht="0.65" hidden="1" customHeight="1">
      <c r="A487" s="324">
        <v>2141</v>
      </c>
      <c r="G487" s="324">
        <v>27</v>
      </c>
      <c r="H487" s="324" t="s">
        <v>754</v>
      </c>
      <c r="I487" s="324">
        <v>240000</v>
      </c>
      <c r="J487" s="324" t="s">
        <v>1042</v>
      </c>
      <c r="M487" s="324" t="s">
        <v>754</v>
      </c>
    </row>
    <row r="488" spans="1:13" s="324" customFormat="1" ht="0.65" hidden="1" customHeight="1">
      <c r="A488" s="324">
        <v>2142</v>
      </c>
      <c r="G488" s="324">
        <v>28</v>
      </c>
      <c r="H488" s="324" t="s">
        <v>755</v>
      </c>
      <c r="I488" s="324">
        <v>30000</v>
      </c>
      <c r="J488" s="324" t="s">
        <v>1043</v>
      </c>
      <c r="M488" s="324" t="s">
        <v>704</v>
      </c>
    </row>
    <row r="489" spans="1:13" s="324" customFormat="1" ht="0.65" hidden="1" customHeight="1">
      <c r="A489" s="324">
        <v>2143</v>
      </c>
      <c r="G489" s="324">
        <v>29</v>
      </c>
      <c r="H489" s="324" t="s">
        <v>758</v>
      </c>
      <c r="I489" s="324">
        <v>90000</v>
      </c>
      <c r="J489" s="324" t="s">
        <v>1044</v>
      </c>
      <c r="M489" s="324" t="s">
        <v>760</v>
      </c>
    </row>
    <row r="490" spans="1:13" s="324" customFormat="1" ht="0.65" hidden="1" customHeight="1">
      <c r="A490" s="324">
        <v>2144</v>
      </c>
      <c r="G490" s="324">
        <v>30</v>
      </c>
      <c r="H490" s="324" t="s">
        <v>761</v>
      </c>
      <c r="I490" s="324">
        <v>22500</v>
      </c>
      <c r="J490" s="324" t="s">
        <v>1045</v>
      </c>
      <c r="M490" s="324" t="s">
        <v>763</v>
      </c>
    </row>
    <row r="491" spans="1:13" s="324" customFormat="1" ht="0.65" hidden="1" customHeight="1">
      <c r="A491" s="324">
        <v>2145</v>
      </c>
      <c r="G491" s="324">
        <v>31</v>
      </c>
      <c r="H491" s="324" t="s">
        <v>764</v>
      </c>
      <c r="I491" s="324">
        <v>67500</v>
      </c>
      <c r="J491" s="324" t="s">
        <v>1046</v>
      </c>
      <c r="M491" s="324" t="s">
        <v>766</v>
      </c>
    </row>
    <row r="492" spans="1:13" s="324" customFormat="1" ht="0.65" hidden="1" customHeight="1">
      <c r="A492" s="324">
        <v>2146</v>
      </c>
      <c r="G492" s="324">
        <v>32</v>
      </c>
      <c r="H492" s="324" t="s">
        <v>767</v>
      </c>
      <c r="I492" s="324">
        <v>97500</v>
      </c>
      <c r="J492" s="324" t="s">
        <v>1047</v>
      </c>
      <c r="M492" s="324" t="s">
        <v>769</v>
      </c>
    </row>
    <row r="493" spans="1:13" s="324" customFormat="1" ht="0.65" hidden="1" customHeight="1">
      <c r="A493" s="324">
        <v>2147</v>
      </c>
      <c r="G493" s="324">
        <v>33</v>
      </c>
      <c r="H493" s="324" t="s">
        <v>770</v>
      </c>
      <c r="I493" s="324">
        <v>30000</v>
      </c>
      <c r="J493" s="324" t="s">
        <v>1048</v>
      </c>
      <c r="M493" s="324" t="s">
        <v>771</v>
      </c>
    </row>
    <row r="494" spans="1:13" s="324" customFormat="1" ht="0.65" hidden="1" customHeight="1">
      <c r="A494" s="324">
        <v>2148</v>
      </c>
      <c r="G494" s="324">
        <v>34</v>
      </c>
      <c r="H494" s="324" t="s">
        <v>772</v>
      </c>
      <c r="I494" s="324">
        <v>40000</v>
      </c>
      <c r="J494" s="324" t="s">
        <v>1049</v>
      </c>
      <c r="M494" s="324" t="s">
        <v>773</v>
      </c>
    </row>
    <row r="495" spans="1:13" s="324" customFormat="1" ht="0.65" hidden="1" customHeight="1">
      <c r="A495" s="324">
        <v>2149</v>
      </c>
      <c r="G495" s="324">
        <v>35</v>
      </c>
      <c r="H495" s="324" t="s">
        <v>774</v>
      </c>
      <c r="I495" s="324">
        <v>-10000</v>
      </c>
      <c r="J495" s="324" t="s">
        <v>1050</v>
      </c>
      <c r="M495" s="324" t="s">
        <v>775</v>
      </c>
    </row>
    <row r="496" spans="1:13" s="324" customFormat="1" ht="0.65" hidden="1" customHeight="1">
      <c r="A496" s="324">
        <v>2150</v>
      </c>
      <c r="G496" s="324">
        <v>36</v>
      </c>
      <c r="H496" s="324" t="s">
        <v>776</v>
      </c>
      <c r="I496" s="324">
        <v>0</v>
      </c>
      <c r="J496" s="324" t="s">
        <v>1053</v>
      </c>
      <c r="M496" s="324" t="s">
        <v>777</v>
      </c>
    </row>
    <row r="497" spans="1:13" s="324" customFormat="1" ht="0.65" hidden="1" customHeight="1">
      <c r="A497" s="324">
        <v>2151</v>
      </c>
      <c r="G497" s="324">
        <v>37</v>
      </c>
      <c r="H497" s="324" t="s">
        <v>778</v>
      </c>
      <c r="I497" s="324">
        <v>97500</v>
      </c>
      <c r="J497" s="324" t="s">
        <v>1054</v>
      </c>
    </row>
    <row r="498" spans="1:13" s="324" customFormat="1" ht="0.65" hidden="1" customHeight="1">
      <c r="A498" s="324">
        <v>2152</v>
      </c>
      <c r="G498" s="324">
        <v>38</v>
      </c>
      <c r="H498" s="324" t="s">
        <v>780</v>
      </c>
      <c r="I498" s="324">
        <v>388125</v>
      </c>
      <c r="J498" s="324" t="s">
        <v>1035</v>
      </c>
      <c r="M498" s="324" t="s">
        <v>690</v>
      </c>
    </row>
    <row r="499" spans="1:13" s="324" customFormat="1" ht="0.65" hidden="1" customHeight="1">
      <c r="A499" s="324">
        <v>2153</v>
      </c>
      <c r="G499" s="324">
        <v>39</v>
      </c>
      <c r="H499" s="324" t="s">
        <v>781</v>
      </c>
      <c r="I499" s="324">
        <v>-10000</v>
      </c>
      <c r="J499" s="324" t="s">
        <v>1050</v>
      </c>
      <c r="M499" s="324" t="s">
        <v>775</v>
      </c>
    </row>
    <row r="500" spans="1:13" s="324" customFormat="1" ht="0.65" hidden="1" customHeight="1">
      <c r="A500" s="324">
        <v>2154</v>
      </c>
      <c r="G500" s="324">
        <v>40</v>
      </c>
      <c r="H500" s="324" t="s">
        <v>782</v>
      </c>
      <c r="I500" s="324">
        <v>378125</v>
      </c>
      <c r="J500" s="324" t="s">
        <v>1055</v>
      </c>
      <c r="M500" s="324" t="s">
        <v>784</v>
      </c>
    </row>
    <row r="501" spans="1:13" s="324" customFormat="1" ht="0.65" hidden="1" customHeight="1">
      <c r="A501" s="324">
        <v>2155</v>
      </c>
      <c r="G501" s="324">
        <v>41</v>
      </c>
      <c r="H501" s="324" t="s">
        <v>607</v>
      </c>
      <c r="I501" s="324">
        <v>-543750</v>
      </c>
      <c r="J501" s="324" t="s">
        <v>1056</v>
      </c>
      <c r="M501" s="324" t="s">
        <v>786</v>
      </c>
    </row>
    <row r="502" spans="1:13" s="324" customFormat="1" ht="0.65" hidden="1" customHeight="1">
      <c r="A502" s="324">
        <v>2156</v>
      </c>
      <c r="G502" s="324">
        <v>42</v>
      </c>
      <c r="H502" s="324" t="s">
        <v>610</v>
      </c>
      <c r="I502" s="324">
        <v>107500</v>
      </c>
      <c r="J502" s="324" t="s">
        <v>1052</v>
      </c>
      <c r="M502" s="324" t="s">
        <v>729</v>
      </c>
    </row>
    <row r="503" spans="1:13" s="324" customFormat="1" ht="0.65" hidden="1" customHeight="1">
      <c r="A503" s="324">
        <v>2157</v>
      </c>
      <c r="G503" s="324">
        <v>43</v>
      </c>
      <c r="H503" s="324" t="s">
        <v>611</v>
      </c>
      <c r="I503" s="324">
        <v>97500</v>
      </c>
      <c r="J503" s="324" t="s">
        <v>1054</v>
      </c>
      <c r="M503" s="324" t="s">
        <v>751</v>
      </c>
    </row>
    <row r="504" spans="1:13" s="324" customFormat="1" ht="0.65" hidden="1" customHeight="1">
      <c r="A504" s="324">
        <v>2158</v>
      </c>
      <c r="G504" s="324">
        <v>44</v>
      </c>
      <c r="H504" s="324" t="s">
        <v>612</v>
      </c>
      <c r="I504" s="324">
        <v>475625</v>
      </c>
      <c r="J504" s="324" t="s">
        <v>1057</v>
      </c>
      <c r="M504" s="324" t="s">
        <v>788</v>
      </c>
    </row>
    <row r="505" spans="1:13" s="324" customFormat="1" ht="0.65" hidden="1" customHeight="1">
      <c r="A505" s="324">
        <v>2159</v>
      </c>
      <c r="G505" s="324">
        <v>45</v>
      </c>
      <c r="H505" s="324" t="s">
        <v>414</v>
      </c>
      <c r="I505" s="324">
        <v>4.4999999999999998E-2</v>
      </c>
      <c r="J505" s="324" t="s">
        <v>1038</v>
      </c>
      <c r="M505" s="324" t="s">
        <v>440</v>
      </c>
    </row>
    <row r="506" spans="1:13" s="324" customFormat="1" ht="0.65" hidden="1" customHeight="1">
      <c r="A506" s="324">
        <v>2160</v>
      </c>
      <c r="G506" s="324">
        <v>46</v>
      </c>
      <c r="H506" s="324" t="s">
        <v>415</v>
      </c>
      <c r="I506" s="324">
        <v>0.08</v>
      </c>
      <c r="J506" s="324" t="s">
        <v>1039</v>
      </c>
      <c r="M506" s="324" t="s">
        <v>441</v>
      </c>
    </row>
    <row r="507" spans="1:13" s="324" customFormat="1" ht="0.65" hidden="1" customHeight="1">
      <c r="A507" s="324">
        <v>2161</v>
      </c>
      <c r="G507" s="324">
        <v>47</v>
      </c>
      <c r="H507" s="324" t="s">
        <v>416</v>
      </c>
      <c r="I507" s="324">
        <v>5.3750000000000006E-2</v>
      </c>
      <c r="J507" s="324" t="s">
        <v>1040</v>
      </c>
      <c r="M507" s="324" t="s">
        <v>442</v>
      </c>
    </row>
    <row r="508" spans="1:13" s="324" customFormat="1" ht="0.65" hidden="1" customHeight="1">
      <c r="A508" s="324">
        <v>2162</v>
      </c>
      <c r="G508" s="324">
        <v>48</v>
      </c>
      <c r="H508" s="324" t="s">
        <v>13</v>
      </c>
      <c r="I508" s="324">
        <v>52565.582461407641</v>
      </c>
      <c r="J508" s="324" t="s">
        <v>1058</v>
      </c>
      <c r="M508" s="324" t="s">
        <v>622</v>
      </c>
    </row>
    <row r="509" spans="1:13" s="324" customFormat="1" ht="0.65" hidden="1" customHeight="1">
      <c r="A509" s="324">
        <v>2163</v>
      </c>
      <c r="G509" s="324">
        <v>49</v>
      </c>
      <c r="H509" s="324" t="s">
        <v>28</v>
      </c>
      <c r="I509" s="324">
        <v>9.3380333972086005E-2</v>
      </c>
      <c r="J509" s="324" t="s">
        <v>993</v>
      </c>
      <c r="M509" s="324" t="s">
        <v>624</v>
      </c>
    </row>
    <row r="510" spans="1:13" s="324" customFormat="1" ht="0.65" hidden="1" customHeight="1">
      <c r="A510" s="324">
        <v>2164</v>
      </c>
      <c r="G510" s="324">
        <v>50</v>
      </c>
      <c r="H510" s="324" t="s">
        <v>29</v>
      </c>
      <c r="I510" s="324">
        <v>9.6672335561209452E-2</v>
      </c>
      <c r="J510" s="324" t="s">
        <v>1059</v>
      </c>
      <c r="M510" s="324" t="s">
        <v>791</v>
      </c>
    </row>
    <row r="511" spans="1:13" s="324" customFormat="1" ht="0.65" hidden="1" customHeight="1">
      <c r="A511" s="324">
        <v>2165</v>
      </c>
      <c r="G511" s="324">
        <v>51</v>
      </c>
      <c r="H511" s="324" t="s">
        <v>30</v>
      </c>
      <c r="I511" s="324">
        <v>3</v>
      </c>
      <c r="J511" s="324" t="s">
        <v>1032</v>
      </c>
      <c r="M511" s="324" t="s">
        <v>1060</v>
      </c>
    </row>
    <row r="512" spans="1:13" s="324" customFormat="1" ht="0.65" hidden="1" customHeight="1"/>
    <row r="513" spans="1:28" s="324" customFormat="1" ht="0.65" hidden="1" customHeight="1"/>
    <row r="514" spans="1:28" s="324" customFormat="1" ht="0.65" hidden="1" customHeight="1"/>
    <row r="515" spans="1:28" s="324" customFormat="1" ht="0.65" hidden="1" customHeight="1">
      <c r="B515" s="324" t="s">
        <v>19</v>
      </c>
      <c r="D515" s="324" t="s">
        <v>336</v>
      </c>
      <c r="E515" s="324">
        <v>3</v>
      </c>
      <c r="H515" s="324" t="s">
        <v>24</v>
      </c>
    </row>
    <row r="516" spans="1:28" s="324" customFormat="1" ht="0.65" hidden="1" customHeight="1">
      <c r="B516" s="324" t="s">
        <v>3951</v>
      </c>
      <c r="D516" s="324" t="s">
        <v>336</v>
      </c>
      <c r="E516" s="324" t="s">
        <v>486</v>
      </c>
    </row>
    <row r="517" spans="1:28" s="324" customFormat="1" ht="0.65" hidden="1" customHeight="1">
      <c r="A517" s="324">
        <v>3001</v>
      </c>
      <c r="C517" s="324" t="s">
        <v>5</v>
      </c>
      <c r="D517" s="324">
        <v>2022</v>
      </c>
      <c r="H517" s="324" t="s">
        <v>490</v>
      </c>
      <c r="I517" s="324">
        <v>175000</v>
      </c>
      <c r="J517" s="324" t="s">
        <v>1200</v>
      </c>
      <c r="U517" s="324" t="s">
        <v>151</v>
      </c>
    </row>
    <row r="518" spans="1:28" s="324" customFormat="1" ht="0.65" hidden="1" customHeight="1">
      <c r="A518" s="324">
        <v>3002</v>
      </c>
    </row>
    <row r="519" spans="1:28" s="324" customFormat="1" ht="0.65" hidden="1" customHeight="1">
      <c r="A519" s="324">
        <v>3003</v>
      </c>
      <c r="C519" s="324" t="s">
        <v>32</v>
      </c>
      <c r="H519" s="324" t="s">
        <v>21</v>
      </c>
      <c r="N519" s="324" t="s">
        <v>646</v>
      </c>
      <c r="U519" s="324" t="s">
        <v>152</v>
      </c>
      <c r="Z519" s="324" t="s">
        <v>176</v>
      </c>
      <c r="AA519" s="324">
        <v>149235.38433886995</v>
      </c>
    </row>
    <row r="520" spans="1:28" s="324" customFormat="1" ht="0.65" hidden="1" customHeight="1">
      <c r="A520" s="324">
        <v>3004</v>
      </c>
      <c r="C520" s="324" t="s">
        <v>488</v>
      </c>
      <c r="D520" s="324">
        <v>300000</v>
      </c>
      <c r="H520" s="324" t="s">
        <v>454</v>
      </c>
      <c r="K520" s="324">
        <v>16</v>
      </c>
      <c r="L520" s="324" t="s">
        <v>55</v>
      </c>
      <c r="M520" s="324" t="s">
        <v>185</v>
      </c>
      <c r="N520" s="324" t="s">
        <v>1243</v>
      </c>
      <c r="O520" s="324" t="s">
        <v>1244</v>
      </c>
      <c r="Y520" s="324" t="s">
        <v>139</v>
      </c>
      <c r="Z520" s="324" t="s">
        <v>174</v>
      </c>
    </row>
    <row r="521" spans="1:28" s="324" customFormat="1" ht="0.65" hidden="1" customHeight="1">
      <c r="A521" s="324">
        <v>3005</v>
      </c>
      <c r="C521" s="324" t="s">
        <v>6</v>
      </c>
      <c r="D521" s="324">
        <v>6</v>
      </c>
      <c r="T521" s="324" t="s">
        <v>187</v>
      </c>
      <c r="V521" s="324" t="s">
        <v>180</v>
      </c>
      <c r="X521" s="324" t="s">
        <v>177</v>
      </c>
      <c r="Y521" s="324" t="s">
        <v>173</v>
      </c>
      <c r="Z521" s="324" t="s">
        <v>175</v>
      </c>
      <c r="AA521" s="324" t="s">
        <v>172</v>
      </c>
      <c r="AB521" s="324" t="s">
        <v>417</v>
      </c>
    </row>
    <row r="522" spans="1:28" s="324" customFormat="1" ht="0.65" hidden="1" customHeight="1">
      <c r="A522" s="324">
        <v>3006</v>
      </c>
      <c r="C522" s="324" t="s">
        <v>489</v>
      </c>
      <c r="D522" s="324">
        <v>100000</v>
      </c>
      <c r="H522" s="324" t="s">
        <v>0</v>
      </c>
      <c r="I522" s="324" t="s">
        <v>69</v>
      </c>
      <c r="J522" s="324" t="s">
        <v>70</v>
      </c>
      <c r="K522" s="324" t="s">
        <v>71</v>
      </c>
      <c r="L522" s="324" t="s">
        <v>72</v>
      </c>
      <c r="M522" s="324" t="s">
        <v>73</v>
      </c>
      <c r="N522" s="324" t="s">
        <v>74</v>
      </c>
      <c r="O522" s="324" t="s">
        <v>75</v>
      </c>
      <c r="T522" s="324">
        <v>1</v>
      </c>
      <c r="U522" s="324" t="s">
        <v>153</v>
      </c>
      <c r="X522" s="324" t="s">
        <v>6</v>
      </c>
      <c r="Y522" s="324">
        <v>6</v>
      </c>
      <c r="Z522" s="324">
        <v>9</v>
      </c>
      <c r="AA522" s="324">
        <v>148493.70481090917</v>
      </c>
      <c r="AB522" s="324">
        <v>-741.67952796077589</v>
      </c>
    </row>
    <row r="523" spans="1:28" s="324" customFormat="1" ht="0.65" hidden="1" customHeight="1">
      <c r="A523" s="324">
        <v>3007</v>
      </c>
      <c r="H523" s="324">
        <v>2023</v>
      </c>
      <c r="I523" s="324">
        <v>720000</v>
      </c>
      <c r="J523" s="324">
        <v>576000</v>
      </c>
      <c r="K523" s="324">
        <v>-16666.666666666672</v>
      </c>
      <c r="L523" s="324">
        <v>160666.66666666669</v>
      </c>
      <c r="M523" s="324">
        <v>40166.666666666672</v>
      </c>
      <c r="N523" s="324">
        <v>120500.00000000001</v>
      </c>
      <c r="O523" s="324">
        <v>103833.33333333334</v>
      </c>
      <c r="T523" s="324">
        <v>2</v>
      </c>
      <c r="U523" s="324" t="s">
        <v>154</v>
      </c>
      <c r="X523" s="324" t="s">
        <v>488</v>
      </c>
      <c r="Y523" s="324">
        <v>300000</v>
      </c>
      <c r="Z523" s="324">
        <v>330000</v>
      </c>
      <c r="AA523" s="324">
        <v>125558.71588050353</v>
      </c>
      <c r="AB523" s="324">
        <v>-23676.668458366417</v>
      </c>
    </row>
    <row r="524" spans="1:28" s="324" customFormat="1" ht="0.65" hidden="1" customHeight="1">
      <c r="A524" s="324">
        <v>3008</v>
      </c>
      <c r="C524" s="324" t="s">
        <v>34</v>
      </c>
      <c r="D524" s="324">
        <v>720000</v>
      </c>
      <c r="H524" s="324">
        <v>2024</v>
      </c>
      <c r="I524" s="324">
        <v>720000</v>
      </c>
      <c r="J524" s="324">
        <v>576000</v>
      </c>
      <c r="K524" s="324">
        <v>-16666.666666666672</v>
      </c>
      <c r="L524" s="324">
        <v>160666.66666666669</v>
      </c>
      <c r="M524" s="324">
        <v>40166.666666666672</v>
      </c>
      <c r="N524" s="324">
        <v>120500.00000000001</v>
      </c>
      <c r="O524" s="324">
        <v>103833.33333333334</v>
      </c>
      <c r="T524" s="324">
        <v>3</v>
      </c>
      <c r="U524" s="324" t="s">
        <v>155</v>
      </c>
      <c r="X524" s="324" t="s">
        <v>489</v>
      </c>
      <c r="Y524" s="324">
        <v>100000</v>
      </c>
      <c r="Z524" s="324">
        <v>90000</v>
      </c>
      <c r="AA524" s="324">
        <v>143134.55665562459</v>
      </c>
      <c r="AB524" s="324">
        <v>-6100.8276832453557</v>
      </c>
    </row>
    <row r="525" spans="1:28" s="324" customFormat="1" ht="0.65" hidden="1" customHeight="1">
      <c r="A525" s="324">
        <v>3009</v>
      </c>
      <c r="C525" s="324" t="s">
        <v>35</v>
      </c>
      <c r="D525" s="324">
        <v>576000</v>
      </c>
      <c r="H525" s="324">
        <v>2025</v>
      </c>
      <c r="I525" s="324">
        <v>720000</v>
      </c>
      <c r="J525" s="324">
        <v>576000</v>
      </c>
      <c r="K525" s="324">
        <v>-16666.666666666672</v>
      </c>
      <c r="L525" s="324">
        <v>160666.66666666669</v>
      </c>
      <c r="M525" s="324">
        <v>40166.666666666672</v>
      </c>
      <c r="N525" s="324">
        <v>120500.00000000001</v>
      </c>
      <c r="O525" s="324">
        <v>103833.33333333334</v>
      </c>
      <c r="T525" s="324">
        <v>4</v>
      </c>
      <c r="U525" s="324" t="s">
        <v>156</v>
      </c>
      <c r="X525" s="324" t="s">
        <v>492</v>
      </c>
      <c r="Y525" s="324">
        <v>100000</v>
      </c>
      <c r="Z525" s="324">
        <v>110000.00000000001</v>
      </c>
      <c r="AA525" s="324">
        <v>156735.38433886995</v>
      </c>
      <c r="AB525" s="324">
        <v>7500</v>
      </c>
    </row>
    <row r="526" spans="1:28" s="324" customFormat="1" ht="0.65" hidden="1" customHeight="1">
      <c r="A526" s="324">
        <v>3010</v>
      </c>
      <c r="T526" s="324">
        <v>5</v>
      </c>
      <c r="U526" s="324" t="s">
        <v>157</v>
      </c>
      <c r="X526" s="324" t="s">
        <v>6</v>
      </c>
      <c r="Y526" s="324">
        <v>3</v>
      </c>
      <c r="Z526" s="324">
        <v>2</v>
      </c>
      <c r="AA526" s="324">
        <v>147752.02528294839</v>
      </c>
      <c r="AB526" s="324">
        <v>-1483.3590559215518</v>
      </c>
    </row>
    <row r="527" spans="1:28" s="324" customFormat="1" ht="0.65" hidden="1" customHeight="1">
      <c r="A527" s="324">
        <v>3011</v>
      </c>
      <c r="C527" s="324" t="s">
        <v>7</v>
      </c>
      <c r="D527" s="324">
        <v>60</v>
      </c>
      <c r="H527" s="324" t="s">
        <v>22</v>
      </c>
      <c r="N527" s="324" t="s">
        <v>649</v>
      </c>
      <c r="T527" s="324">
        <v>6</v>
      </c>
      <c r="U527" s="324" t="s">
        <v>158</v>
      </c>
      <c r="X527" s="324" t="s">
        <v>495</v>
      </c>
      <c r="Y527" s="324">
        <v>200000</v>
      </c>
      <c r="Z527" s="324">
        <v>220000.00000000003</v>
      </c>
      <c r="AA527" s="324">
        <v>149871.49407218874</v>
      </c>
      <c r="AB527" s="324">
        <v>636.10973331879359</v>
      </c>
    </row>
    <row r="528" spans="1:28" s="324" customFormat="1" ht="0.65" hidden="1" customHeight="1">
      <c r="A528" s="324">
        <v>3012</v>
      </c>
      <c r="C528" s="324" t="s">
        <v>8</v>
      </c>
      <c r="D528" s="324">
        <v>30</v>
      </c>
      <c r="H528" s="324" t="s">
        <v>454</v>
      </c>
      <c r="K528" s="324">
        <v>34</v>
      </c>
      <c r="L528" s="324" t="s">
        <v>55</v>
      </c>
      <c r="M528" s="324" t="s">
        <v>185</v>
      </c>
      <c r="N528" s="324" t="s">
        <v>1245</v>
      </c>
      <c r="O528" s="324" t="s">
        <v>1246</v>
      </c>
      <c r="T528" s="324">
        <v>7</v>
      </c>
      <c r="U528" s="324" t="s">
        <v>159</v>
      </c>
      <c r="X528" s="324" t="s">
        <v>492</v>
      </c>
      <c r="Y528" s="324">
        <v>100000</v>
      </c>
      <c r="Z528" s="324">
        <v>90000</v>
      </c>
      <c r="AA528" s="324">
        <v>141735.38433886995</v>
      </c>
      <c r="AB528" s="324">
        <v>-7500</v>
      </c>
    </row>
    <row r="529" spans="1:28" s="324" customFormat="1" ht="0.65" hidden="1" customHeight="1">
      <c r="A529" s="324">
        <v>3013</v>
      </c>
      <c r="T529" s="324">
        <v>8</v>
      </c>
      <c r="U529" s="324" t="s">
        <v>160</v>
      </c>
      <c r="X529" s="324" t="s">
        <v>489</v>
      </c>
      <c r="Y529" s="324">
        <v>50000</v>
      </c>
      <c r="Z529" s="324">
        <v>55000.000000000007</v>
      </c>
      <c r="AA529" s="324">
        <v>146184.97049724724</v>
      </c>
      <c r="AB529" s="324">
        <v>-3050.413841622707</v>
      </c>
    </row>
    <row r="530" spans="1:28" s="324" customFormat="1" ht="0.65" hidden="1" customHeight="1">
      <c r="A530" s="324">
        <v>3014</v>
      </c>
      <c r="C530" s="324" t="s">
        <v>33</v>
      </c>
      <c r="H530" s="324" t="s">
        <v>0</v>
      </c>
      <c r="I530" s="324" t="s">
        <v>76</v>
      </c>
      <c r="J530" s="324" t="s">
        <v>77</v>
      </c>
      <c r="K530" s="324" t="s">
        <v>78</v>
      </c>
      <c r="L530" s="324" t="s">
        <v>79</v>
      </c>
      <c r="T530" s="324">
        <v>9</v>
      </c>
      <c r="U530" s="324" t="s">
        <v>161</v>
      </c>
      <c r="X530" s="324" t="s">
        <v>34</v>
      </c>
      <c r="Y530" s="324">
        <v>720000</v>
      </c>
      <c r="Z530" s="324">
        <v>792000.00000000012</v>
      </c>
      <c r="AA530" s="324">
        <v>289184.88629470416</v>
      </c>
      <c r="AB530" s="324">
        <v>139949.50195583422</v>
      </c>
    </row>
    <row r="531" spans="1:28" s="324" customFormat="1" ht="0.65" hidden="1" customHeight="1">
      <c r="A531" s="324">
        <v>3015</v>
      </c>
      <c r="C531" s="324" t="s">
        <v>492</v>
      </c>
      <c r="D531" s="324">
        <v>100000</v>
      </c>
      <c r="H531" s="324">
        <v>2022</v>
      </c>
      <c r="I531" s="324">
        <v>0</v>
      </c>
      <c r="J531" s="324">
        <v>0</v>
      </c>
      <c r="K531" s="324">
        <v>0</v>
      </c>
      <c r="L531" s="324">
        <v>0</v>
      </c>
      <c r="T531" s="324">
        <v>10</v>
      </c>
      <c r="U531" s="324" t="s">
        <v>162</v>
      </c>
      <c r="X531" s="324" t="s">
        <v>7</v>
      </c>
      <c r="Y531" s="324">
        <v>60</v>
      </c>
      <c r="Z531" s="324">
        <v>90</v>
      </c>
      <c r="AA531" s="324">
        <v>142032.67091568443</v>
      </c>
      <c r="AB531" s="324">
        <v>-7202.7134231855161</v>
      </c>
    </row>
    <row r="532" spans="1:28" s="324" customFormat="1" ht="0.65" hidden="1" customHeight="1">
      <c r="A532" s="324">
        <v>3016</v>
      </c>
      <c r="C532" s="324" t="s">
        <v>495</v>
      </c>
      <c r="D532" s="324">
        <v>200000</v>
      </c>
      <c r="H532" s="324">
        <v>2023</v>
      </c>
      <c r="I532" s="324">
        <v>120000</v>
      </c>
      <c r="J532" s="324">
        <v>48000</v>
      </c>
      <c r="K532" s="324">
        <v>72000</v>
      </c>
      <c r="L532" s="324">
        <v>72000</v>
      </c>
      <c r="T532" s="324">
        <v>11</v>
      </c>
      <c r="U532" s="324" t="s">
        <v>163</v>
      </c>
      <c r="X532" s="324" t="s">
        <v>35</v>
      </c>
      <c r="Y532" s="324">
        <v>576000</v>
      </c>
      <c r="Z532" s="324">
        <v>518400</v>
      </c>
      <c r="AA532" s="324">
        <v>261771.20297739207</v>
      </c>
      <c r="AB532" s="324">
        <v>112535.81863852212</v>
      </c>
    </row>
    <row r="533" spans="1:28" s="324" customFormat="1" ht="0.65" hidden="1" customHeight="1">
      <c r="A533" s="324">
        <v>3017</v>
      </c>
      <c r="C533" s="324" t="s">
        <v>6</v>
      </c>
      <c r="D533" s="324">
        <v>3</v>
      </c>
      <c r="H533" s="324">
        <v>2024</v>
      </c>
      <c r="I533" s="324">
        <v>120000</v>
      </c>
      <c r="J533" s="324">
        <v>48000</v>
      </c>
      <c r="K533" s="324">
        <v>72000</v>
      </c>
      <c r="L533" s="324">
        <v>0</v>
      </c>
      <c r="T533" s="324">
        <v>12</v>
      </c>
      <c r="U533" s="324" t="s">
        <v>164</v>
      </c>
      <c r="X533" s="324" t="s">
        <v>8</v>
      </c>
      <c r="Y533" s="324">
        <v>30</v>
      </c>
      <c r="Z533" s="324">
        <v>0</v>
      </c>
      <c r="AA533" s="324">
        <v>143473.21360032156</v>
      </c>
      <c r="AB533" s="324">
        <v>-5762.1707385483896</v>
      </c>
    </row>
    <row r="534" spans="1:28" s="324" customFormat="1" ht="0.65" hidden="1" customHeight="1">
      <c r="A534" s="324">
        <v>3018</v>
      </c>
      <c r="C534" s="324" t="s">
        <v>489</v>
      </c>
      <c r="D534" s="324">
        <v>50000</v>
      </c>
      <c r="H534" s="324">
        <v>2025</v>
      </c>
      <c r="I534" s="324">
        <v>120000</v>
      </c>
      <c r="J534" s="324">
        <v>48000</v>
      </c>
      <c r="K534" s="324">
        <v>72000</v>
      </c>
      <c r="L534" s="324">
        <v>0</v>
      </c>
      <c r="T534" s="324">
        <v>13</v>
      </c>
      <c r="U534" s="324" t="s">
        <v>165</v>
      </c>
      <c r="X534" s="324" t="s">
        <v>10</v>
      </c>
      <c r="Y534" s="324">
        <v>180000</v>
      </c>
      <c r="Z534" s="324">
        <v>198000.00000000003</v>
      </c>
      <c r="AA534" s="324">
        <v>148372.98664488952</v>
      </c>
      <c r="AB534" s="324">
        <v>-862.39769398042699</v>
      </c>
    </row>
    <row r="535" spans="1:28" s="324" customFormat="1" ht="0.65" hidden="1" customHeight="1">
      <c r="A535" s="324">
        <v>3019</v>
      </c>
      <c r="T535" s="324">
        <v>14</v>
      </c>
      <c r="U535" s="324" t="s">
        <v>166</v>
      </c>
      <c r="X535" s="324" t="s">
        <v>12</v>
      </c>
      <c r="Y535" s="324">
        <v>0.03</v>
      </c>
      <c r="Z535" s="324">
        <v>1.9999999999999997E-2</v>
      </c>
      <c r="AA535" s="324">
        <v>155071.51115351083</v>
      </c>
      <c r="AB535" s="324">
        <v>5836.1268146408838</v>
      </c>
    </row>
    <row r="536" spans="1:28" s="324" customFormat="1" ht="0.65" hidden="1" customHeight="1">
      <c r="A536" s="324">
        <v>3020</v>
      </c>
      <c r="C536" s="324" t="s">
        <v>4</v>
      </c>
      <c r="D536" s="324">
        <v>0.25</v>
      </c>
      <c r="H536" s="324" t="s">
        <v>23</v>
      </c>
      <c r="T536" s="324">
        <v>15</v>
      </c>
      <c r="U536" s="324" t="s">
        <v>167</v>
      </c>
      <c r="X536" s="324" t="s">
        <v>11</v>
      </c>
      <c r="Y536" s="324">
        <v>450000</v>
      </c>
      <c r="Z536" s="324">
        <v>495000.00000000006</v>
      </c>
      <c r="AA536" s="324">
        <v>146373.71552190377</v>
      </c>
      <c r="AB536" s="324">
        <v>-2861.6688169661793</v>
      </c>
    </row>
    <row r="537" spans="1:28" s="324" customFormat="1" ht="0.65" hidden="1" customHeight="1">
      <c r="A537" s="324">
        <v>3021</v>
      </c>
      <c r="D537" s="324" t="s">
        <v>9</v>
      </c>
      <c r="T537" s="324">
        <v>16</v>
      </c>
      <c r="U537" s="324" t="s">
        <v>168</v>
      </c>
      <c r="X537" s="324" t="s">
        <v>3</v>
      </c>
      <c r="Y537" s="324">
        <v>9000000</v>
      </c>
      <c r="Z537" s="324">
        <v>9900000</v>
      </c>
      <c r="AA537" s="324">
        <v>151456.87081343675</v>
      </c>
      <c r="AB537" s="324">
        <v>2221.4864745668019</v>
      </c>
    </row>
    <row r="538" spans="1:28" s="324" customFormat="1" ht="0.65" hidden="1" customHeight="1">
      <c r="A538" s="324">
        <v>3022</v>
      </c>
      <c r="H538" s="324" t="s">
        <v>491</v>
      </c>
      <c r="I538" s="324">
        <v>75000</v>
      </c>
      <c r="J538" s="324" t="s">
        <v>1214</v>
      </c>
      <c r="T538" s="324">
        <v>17</v>
      </c>
      <c r="U538" s="324" t="s">
        <v>169</v>
      </c>
      <c r="X538" s="324" t="s">
        <v>2</v>
      </c>
      <c r="Y538" s="324">
        <v>3000000</v>
      </c>
      <c r="Z538" s="324">
        <v>1500000</v>
      </c>
      <c r="AA538" s="324">
        <v>141553.19782606786</v>
      </c>
      <c r="AB538" s="324">
        <v>-7682.1865128020872</v>
      </c>
    </row>
    <row r="539" spans="1:28" s="324" customFormat="1" ht="0.65" hidden="1" customHeight="1">
      <c r="A539" s="324">
        <v>3023</v>
      </c>
      <c r="C539" s="324" t="s">
        <v>10</v>
      </c>
      <c r="D539" s="324">
        <v>180000</v>
      </c>
      <c r="H539" s="324" t="s">
        <v>493</v>
      </c>
      <c r="I539" s="324">
        <v>72000</v>
      </c>
      <c r="J539" s="324" t="s">
        <v>1215</v>
      </c>
      <c r="T539" s="324">
        <v>18</v>
      </c>
      <c r="U539" s="324" t="s">
        <v>170</v>
      </c>
      <c r="X539" s="324" t="s">
        <v>4</v>
      </c>
      <c r="Y539" s="324">
        <v>0.25</v>
      </c>
      <c r="Z539" s="324">
        <v>0.3</v>
      </c>
      <c r="AA539" s="324">
        <v>137825.19575384242</v>
      </c>
      <c r="AB539" s="324">
        <v>-11410.188585027528</v>
      </c>
    </row>
    <row r="540" spans="1:28" s="324" customFormat="1" ht="0.65" hidden="1" customHeight="1">
      <c r="A540" s="324">
        <v>3024</v>
      </c>
      <c r="C540" s="324" t="s">
        <v>11</v>
      </c>
      <c r="D540" s="324">
        <v>450000</v>
      </c>
      <c r="H540" s="324" t="s">
        <v>494</v>
      </c>
      <c r="I540" s="324">
        <v>147000</v>
      </c>
      <c r="J540" s="324" t="s">
        <v>1216</v>
      </c>
      <c r="T540" s="324">
        <v>19</v>
      </c>
      <c r="U540" s="324" t="s">
        <v>171</v>
      </c>
      <c r="X540" s="324" t="s">
        <v>14</v>
      </c>
      <c r="Y540" s="324" t="s">
        <v>16</v>
      </c>
      <c r="Z540" s="324" t="e">
        <v>#REF!</v>
      </c>
      <c r="AA540" s="324">
        <v>223291.03220732341</v>
      </c>
      <c r="AB540" s="324">
        <v>74055.647868453467</v>
      </c>
    </row>
    <row r="541" spans="1:28" s="324" customFormat="1" ht="0.65" hidden="1" customHeight="1">
      <c r="A541" s="324">
        <v>3025</v>
      </c>
      <c r="C541" s="324" t="s">
        <v>12</v>
      </c>
      <c r="D541" s="324">
        <v>0.03</v>
      </c>
    </row>
    <row r="542" spans="1:28" s="324" customFormat="1" ht="0.65" hidden="1" customHeight="1">
      <c r="A542" s="324">
        <v>3026</v>
      </c>
      <c r="C542" s="324" t="s">
        <v>2</v>
      </c>
      <c r="D542" s="324">
        <v>3000000</v>
      </c>
      <c r="H542" s="324" t="s">
        <v>26</v>
      </c>
    </row>
    <row r="543" spans="1:28" s="324" customFormat="1" ht="0.65" hidden="1" customHeight="1">
      <c r="A543" s="324">
        <v>3027</v>
      </c>
      <c r="C543" s="324" t="s">
        <v>3</v>
      </c>
      <c r="D543" s="324">
        <v>9000000</v>
      </c>
      <c r="L543" s="324" t="s">
        <v>81</v>
      </c>
    </row>
    <row r="544" spans="1:28" s="324" customFormat="1" ht="0.65" hidden="1" customHeight="1">
      <c r="A544" s="324">
        <v>3028</v>
      </c>
      <c r="H544" s="324" t="s">
        <v>0</v>
      </c>
      <c r="I544" s="324" t="s">
        <v>75</v>
      </c>
      <c r="J544" s="324" t="s">
        <v>79</v>
      </c>
      <c r="K544" s="324" t="s">
        <v>80</v>
      </c>
      <c r="L544" s="324" t="s">
        <v>1</v>
      </c>
      <c r="N544" s="324" t="s">
        <v>31</v>
      </c>
    </row>
    <row r="545" spans="1:15" s="324" customFormat="1" ht="0.65" hidden="1" customHeight="1">
      <c r="A545" s="324">
        <v>3029</v>
      </c>
      <c r="C545" s="324" t="s">
        <v>14</v>
      </c>
      <c r="D545" s="324" t="s">
        <v>16</v>
      </c>
      <c r="H545" s="324">
        <v>2022</v>
      </c>
      <c r="I545" s="324">
        <v>0</v>
      </c>
      <c r="J545" s="324">
        <v>0</v>
      </c>
      <c r="K545" s="324">
        <v>0</v>
      </c>
      <c r="L545" s="324">
        <v>-175000</v>
      </c>
      <c r="N545" s="324">
        <v>-175000</v>
      </c>
    </row>
    <row r="546" spans="1:15" s="324" customFormat="1" ht="0.65" hidden="1" customHeight="1">
      <c r="A546" s="324">
        <v>3030</v>
      </c>
      <c r="H546" s="324">
        <v>2023</v>
      </c>
      <c r="I546" s="324">
        <v>103833.33333333334</v>
      </c>
      <c r="J546" s="324">
        <v>72000</v>
      </c>
      <c r="K546" s="324">
        <v>31833.333333333343</v>
      </c>
      <c r="L546" s="324">
        <v>31833.333333333343</v>
      </c>
      <c r="N546" s="324">
        <v>-143166.66666666666</v>
      </c>
      <c r="O546" s="324" t="s">
        <v>55</v>
      </c>
    </row>
    <row r="547" spans="1:15" s="324" customFormat="1" ht="0.65" hidden="1" customHeight="1">
      <c r="A547" s="324">
        <v>3031</v>
      </c>
      <c r="E547" s="324" t="s">
        <v>55</v>
      </c>
      <c r="H547" s="324">
        <v>2024</v>
      </c>
      <c r="I547" s="324">
        <v>103833.33333333334</v>
      </c>
      <c r="J547" s="324">
        <v>0</v>
      </c>
      <c r="K547" s="324">
        <v>103833.33333333334</v>
      </c>
      <c r="L547" s="324">
        <v>103833.33333333334</v>
      </c>
      <c r="N547" s="324">
        <v>-39333.333333333314</v>
      </c>
      <c r="O547" s="324" t="s">
        <v>55</v>
      </c>
    </row>
    <row r="548" spans="1:15" s="324" customFormat="1" ht="0.65" hidden="1" customHeight="1">
      <c r="A548" s="324">
        <v>3032</v>
      </c>
      <c r="D548" s="324" t="s">
        <v>20</v>
      </c>
      <c r="E548" s="324" t="s">
        <v>36</v>
      </c>
      <c r="H548" s="324">
        <v>2025</v>
      </c>
      <c r="I548" s="324">
        <v>103833.33333333334</v>
      </c>
      <c r="J548" s="324">
        <v>0</v>
      </c>
      <c r="K548" s="324">
        <v>103833.33333333334</v>
      </c>
      <c r="L548" s="324">
        <v>250833.33333333334</v>
      </c>
      <c r="N548" s="324">
        <v>211500.00000000003</v>
      </c>
      <c r="O548" s="324">
        <v>2025</v>
      </c>
    </row>
    <row r="549" spans="1:15" s="324" customFormat="1" ht="0.65" hidden="1" customHeight="1">
      <c r="A549" s="324">
        <v>3033</v>
      </c>
      <c r="D549" s="324" t="s">
        <v>420</v>
      </c>
      <c r="E549" s="324" t="s">
        <v>38</v>
      </c>
    </row>
    <row r="550" spans="1:15" s="324" customFormat="1" ht="0.65" hidden="1" customHeight="1">
      <c r="A550" s="324">
        <v>3034</v>
      </c>
      <c r="E550" s="324" t="s">
        <v>424</v>
      </c>
      <c r="H550" s="324" t="s">
        <v>25</v>
      </c>
    </row>
    <row r="551" spans="1:15" s="324" customFormat="1" ht="0.65" hidden="1" customHeight="1">
      <c r="A551" s="324">
        <v>3035</v>
      </c>
    </row>
    <row r="552" spans="1:15" s="324" customFormat="1" ht="0.65" hidden="1" customHeight="1">
      <c r="A552" s="324">
        <v>3036</v>
      </c>
      <c r="H552" s="324" t="s">
        <v>124</v>
      </c>
      <c r="I552" s="324">
        <v>4.4999999999999998E-2</v>
      </c>
      <c r="J552" s="324" t="s">
        <v>1247</v>
      </c>
    </row>
    <row r="553" spans="1:15" s="324" customFormat="1" ht="0.65" hidden="1" customHeight="1">
      <c r="A553" s="324">
        <v>3037</v>
      </c>
      <c r="B553" s="324" t="s">
        <v>460</v>
      </c>
      <c r="H553" s="324" t="s">
        <v>125</v>
      </c>
      <c r="I553" s="324">
        <v>0.08</v>
      </c>
      <c r="J553" s="324" t="s">
        <v>1220</v>
      </c>
    </row>
    <row r="554" spans="1:15" s="324" customFormat="1" ht="0.65" hidden="1" customHeight="1">
      <c r="A554" s="324">
        <v>3038</v>
      </c>
      <c r="B554" s="324" t="s">
        <v>461</v>
      </c>
      <c r="H554" s="324" t="s">
        <v>126</v>
      </c>
      <c r="I554" s="324">
        <v>7.1249999999999994E-2</v>
      </c>
      <c r="J554" s="324" t="s">
        <v>1221</v>
      </c>
    </row>
    <row r="555" spans="1:15" s="324" customFormat="1" ht="0.65" hidden="1" customHeight="1">
      <c r="A555" s="324">
        <v>3039</v>
      </c>
    </row>
    <row r="556" spans="1:15" s="324" customFormat="1" ht="0.65" hidden="1" customHeight="1">
      <c r="A556" s="324">
        <v>3040</v>
      </c>
      <c r="H556" s="324" t="s">
        <v>27</v>
      </c>
      <c r="K556" s="324" t="s">
        <v>185</v>
      </c>
      <c r="L556" s="324" t="s">
        <v>1248</v>
      </c>
      <c r="M556" s="324" t="s">
        <v>1249</v>
      </c>
    </row>
    <row r="557" spans="1:15" s="324" customFormat="1" ht="0.65" hidden="1" customHeight="1">
      <c r="A557" s="324">
        <v>3041</v>
      </c>
      <c r="H557" s="324" t="s">
        <v>123</v>
      </c>
      <c r="K557" s="324" t="s">
        <v>29</v>
      </c>
      <c r="L557" s="324" t="s">
        <v>55</v>
      </c>
    </row>
    <row r="558" spans="1:15" s="324" customFormat="1" ht="0.65" hidden="1" customHeight="1">
      <c r="A558" s="324">
        <v>3042</v>
      </c>
      <c r="H558" s="324" t="s">
        <v>13</v>
      </c>
      <c r="I558" s="324">
        <v>149235.38433886995</v>
      </c>
      <c r="J558" s="324" t="s">
        <v>1020</v>
      </c>
    </row>
    <row r="559" spans="1:15" s="324" customFormat="1" ht="0.65" hidden="1" customHeight="1">
      <c r="A559" s="324">
        <v>3043</v>
      </c>
      <c r="H559" s="324" t="s">
        <v>28</v>
      </c>
      <c r="I559" s="324">
        <v>0.37357216681627725</v>
      </c>
      <c r="J559" s="324" t="s">
        <v>1021</v>
      </c>
    </row>
    <row r="560" spans="1:15" s="324" customFormat="1" ht="0.65" hidden="1" customHeight="1">
      <c r="A560" s="324">
        <v>3044</v>
      </c>
      <c r="H560" s="324" t="s">
        <v>29</v>
      </c>
      <c r="I560" s="324">
        <v>0.85277362479354257</v>
      </c>
      <c r="J560" s="324" t="s">
        <v>1022</v>
      </c>
    </row>
    <row r="561" spans="1:18" s="324" customFormat="1" ht="0.65" hidden="1" customHeight="1">
      <c r="A561" s="324">
        <v>3045</v>
      </c>
      <c r="H561" s="324" t="s">
        <v>30</v>
      </c>
      <c r="I561" s="324">
        <v>3</v>
      </c>
      <c r="J561" s="324" t="s">
        <v>1023</v>
      </c>
    </row>
    <row r="562" spans="1:18" s="324" customFormat="1" ht="0.65" hidden="1" customHeight="1">
      <c r="A562" s="324">
        <v>3046</v>
      </c>
      <c r="B562" s="324">
        <v>2</v>
      </c>
      <c r="C562" s="324">
        <v>3</v>
      </c>
      <c r="D562" s="324">
        <v>4</v>
      </c>
      <c r="E562" s="324">
        <v>5</v>
      </c>
      <c r="F562" s="324">
        <v>6</v>
      </c>
      <c r="G562" s="324">
        <v>7</v>
      </c>
      <c r="H562" s="324">
        <v>8</v>
      </c>
      <c r="I562" s="324">
        <v>9</v>
      </c>
      <c r="J562" s="324">
        <v>10</v>
      </c>
      <c r="K562" s="324">
        <v>11</v>
      </c>
      <c r="L562" s="324">
        <v>12</v>
      </c>
      <c r="M562" s="324">
        <v>13</v>
      </c>
      <c r="N562" s="324">
        <v>14</v>
      </c>
      <c r="O562" s="324">
        <v>15</v>
      </c>
      <c r="P562" s="324">
        <v>16</v>
      </c>
      <c r="Q562" s="324">
        <v>17</v>
      </c>
      <c r="R562" s="324">
        <v>18</v>
      </c>
    </row>
    <row r="563" spans="1:18" s="324" customFormat="1" ht="0.65" hidden="1" customHeight="1">
      <c r="A563" s="324">
        <v>3047</v>
      </c>
      <c r="M563" s="324" t="s">
        <v>452</v>
      </c>
      <c r="N563" s="324" t="s">
        <v>453</v>
      </c>
    </row>
    <row r="564" spans="1:18" s="324" customFormat="1" ht="0.65" hidden="1" customHeight="1">
      <c r="A564" s="324">
        <v>3048</v>
      </c>
      <c r="G564" s="324">
        <v>2</v>
      </c>
      <c r="H564" s="324" t="s">
        <v>429</v>
      </c>
      <c r="I564" s="324">
        <v>2023</v>
      </c>
      <c r="J564" s="324">
        <v>1</v>
      </c>
      <c r="K564" s="324">
        <v>2</v>
      </c>
      <c r="L564" s="324">
        <v>720000</v>
      </c>
      <c r="M564" s="324">
        <v>720000</v>
      </c>
      <c r="N564" s="324">
        <v>720000</v>
      </c>
    </row>
    <row r="565" spans="1:18" s="324" customFormat="1" ht="0.65" hidden="1" customHeight="1">
      <c r="A565" s="324">
        <v>3049</v>
      </c>
      <c r="G565" s="324">
        <v>3</v>
      </c>
      <c r="H565" s="324" t="s">
        <v>430</v>
      </c>
      <c r="I565" s="324">
        <v>2023</v>
      </c>
      <c r="J565" s="324">
        <v>2</v>
      </c>
      <c r="K565" s="324">
        <v>3</v>
      </c>
      <c r="L565" s="324">
        <v>576000</v>
      </c>
      <c r="M565" s="324">
        <v>576000</v>
      </c>
      <c r="N565" s="324">
        <v>576000</v>
      </c>
    </row>
    <row r="566" spans="1:18" s="324" customFormat="1" ht="0.65" hidden="1" customHeight="1">
      <c r="A566" s="324">
        <v>3050</v>
      </c>
      <c r="G566" s="324">
        <v>4</v>
      </c>
      <c r="H566" s="324" t="s">
        <v>431</v>
      </c>
      <c r="I566" s="324">
        <v>2023</v>
      </c>
      <c r="J566" s="324">
        <v>3</v>
      </c>
      <c r="K566" s="324">
        <v>4</v>
      </c>
      <c r="L566" s="324" t="s">
        <v>1244</v>
      </c>
      <c r="M566" s="324" t="s">
        <v>1244</v>
      </c>
      <c r="N566" s="324" t="s">
        <v>658</v>
      </c>
    </row>
    <row r="567" spans="1:18" s="324" customFormat="1" ht="0.65" hidden="1" customHeight="1">
      <c r="A567" s="324">
        <v>3051</v>
      </c>
      <c r="G567" s="324">
        <v>5</v>
      </c>
      <c r="H567" s="324" t="s">
        <v>432</v>
      </c>
      <c r="I567" s="324">
        <v>2023</v>
      </c>
      <c r="J567" s="324">
        <v>4</v>
      </c>
      <c r="K567" s="324">
        <v>5</v>
      </c>
      <c r="L567" s="324" t="s">
        <v>1250</v>
      </c>
      <c r="M567" s="324" t="s">
        <v>1250</v>
      </c>
      <c r="N567" s="324" t="s">
        <v>660</v>
      </c>
    </row>
    <row r="568" spans="1:18" s="324" customFormat="1" ht="0.65" hidden="1" customHeight="1">
      <c r="A568" s="324">
        <v>3052</v>
      </c>
      <c r="G568" s="324">
        <v>6</v>
      </c>
      <c r="H568" s="324" t="s">
        <v>433</v>
      </c>
      <c r="I568" s="324">
        <v>2023</v>
      </c>
      <c r="J568" s="324">
        <v>5</v>
      </c>
      <c r="K568" s="324">
        <v>6</v>
      </c>
      <c r="L568" s="324" t="s">
        <v>1251</v>
      </c>
      <c r="M568" s="324" t="s">
        <v>1251</v>
      </c>
      <c r="N568" s="324" t="s">
        <v>662</v>
      </c>
    </row>
    <row r="569" spans="1:18" s="324" customFormat="1" ht="0.65" hidden="1" customHeight="1">
      <c r="A569" s="324">
        <v>3053</v>
      </c>
      <c r="G569" s="324">
        <v>7</v>
      </c>
      <c r="H569" s="324" t="s">
        <v>434</v>
      </c>
      <c r="I569" s="324">
        <v>2023</v>
      </c>
      <c r="J569" s="324">
        <v>6</v>
      </c>
      <c r="K569" s="324">
        <v>7</v>
      </c>
      <c r="L569" s="324" t="s">
        <v>1252</v>
      </c>
      <c r="M569" s="324" t="s">
        <v>1252</v>
      </c>
      <c r="N569" s="324" t="s">
        <v>664</v>
      </c>
    </row>
    <row r="570" spans="1:18" s="324" customFormat="1" ht="0.65" hidden="1" customHeight="1">
      <c r="A570" s="324">
        <v>3054</v>
      </c>
      <c r="G570" s="324">
        <v>8</v>
      </c>
      <c r="H570" s="324" t="s">
        <v>435</v>
      </c>
      <c r="I570" s="324">
        <v>2023</v>
      </c>
      <c r="J570" s="324">
        <v>7</v>
      </c>
      <c r="K570" s="324">
        <v>8</v>
      </c>
      <c r="L570" s="324" t="s">
        <v>1253</v>
      </c>
      <c r="M570" s="324" t="s">
        <v>1253</v>
      </c>
      <c r="N570" s="324" t="s">
        <v>666</v>
      </c>
    </row>
    <row r="571" spans="1:18" s="324" customFormat="1" ht="0.65" hidden="1" customHeight="1">
      <c r="A571" s="324">
        <v>3055</v>
      </c>
      <c r="G571" s="324">
        <v>14</v>
      </c>
      <c r="H571" s="324" t="s">
        <v>429</v>
      </c>
      <c r="I571" s="324">
        <v>2024</v>
      </c>
      <c r="J571" s="324">
        <v>1</v>
      </c>
      <c r="K571" s="324">
        <v>14</v>
      </c>
      <c r="L571" s="324">
        <v>720000</v>
      </c>
      <c r="M571" s="324">
        <v>720000</v>
      </c>
      <c r="N571" s="324">
        <v>720000</v>
      </c>
    </row>
    <row r="572" spans="1:18" s="324" customFormat="1" ht="0.65" hidden="1" customHeight="1">
      <c r="A572" s="324">
        <v>3056</v>
      </c>
      <c r="G572" s="324">
        <v>15</v>
      </c>
      <c r="H572" s="324" t="s">
        <v>430</v>
      </c>
      <c r="I572" s="324">
        <v>2024</v>
      </c>
      <c r="J572" s="324">
        <v>2</v>
      </c>
      <c r="K572" s="324">
        <v>15</v>
      </c>
      <c r="L572" s="324">
        <v>576000</v>
      </c>
      <c r="M572" s="324">
        <v>576000</v>
      </c>
      <c r="N572" s="324">
        <v>576000</v>
      </c>
    </row>
    <row r="573" spans="1:18" s="324" customFormat="1" ht="0.65" hidden="1" customHeight="1">
      <c r="A573" s="324">
        <v>3057</v>
      </c>
      <c r="G573" s="324">
        <v>16</v>
      </c>
      <c r="H573" s="324" t="s">
        <v>431</v>
      </c>
      <c r="I573" s="324">
        <v>2024</v>
      </c>
      <c r="J573" s="324">
        <v>3</v>
      </c>
      <c r="K573" s="324">
        <v>16</v>
      </c>
      <c r="L573" s="324" t="s">
        <v>1244</v>
      </c>
      <c r="M573" s="324" t="s">
        <v>1244</v>
      </c>
      <c r="N573" s="324" t="s">
        <v>658</v>
      </c>
    </row>
    <row r="574" spans="1:18" s="324" customFormat="1" ht="0.65" hidden="1" customHeight="1">
      <c r="A574" s="324">
        <v>3058</v>
      </c>
      <c r="G574" s="324">
        <v>17</v>
      </c>
      <c r="H574" s="324" t="s">
        <v>432</v>
      </c>
      <c r="I574" s="324">
        <v>2024</v>
      </c>
      <c r="J574" s="324">
        <v>4</v>
      </c>
      <c r="K574" s="324">
        <v>17</v>
      </c>
      <c r="L574" s="324" t="s">
        <v>1250</v>
      </c>
      <c r="M574" s="324" t="s">
        <v>1250</v>
      </c>
      <c r="N574" s="324" t="s">
        <v>660</v>
      </c>
    </row>
    <row r="575" spans="1:18" s="324" customFormat="1" ht="0.65" hidden="1" customHeight="1">
      <c r="A575" s="324">
        <v>3059</v>
      </c>
      <c r="G575" s="324">
        <v>18</v>
      </c>
      <c r="H575" s="324" t="s">
        <v>433</v>
      </c>
      <c r="I575" s="324">
        <v>2024</v>
      </c>
      <c r="J575" s="324">
        <v>5</v>
      </c>
      <c r="K575" s="324">
        <v>18</v>
      </c>
      <c r="L575" s="324" t="s">
        <v>1251</v>
      </c>
      <c r="M575" s="324" t="s">
        <v>1251</v>
      </c>
      <c r="N575" s="324" t="s">
        <v>662</v>
      </c>
    </row>
    <row r="576" spans="1:18" s="324" customFormat="1" ht="0.65" hidden="1" customHeight="1">
      <c r="A576" s="324">
        <v>3060</v>
      </c>
      <c r="G576" s="324">
        <v>19</v>
      </c>
      <c r="H576" s="324" t="s">
        <v>434</v>
      </c>
      <c r="I576" s="324">
        <v>2024</v>
      </c>
      <c r="J576" s="324">
        <v>6</v>
      </c>
      <c r="K576" s="324">
        <v>19</v>
      </c>
      <c r="L576" s="324" t="s">
        <v>1252</v>
      </c>
      <c r="M576" s="324" t="s">
        <v>1252</v>
      </c>
      <c r="N576" s="324" t="s">
        <v>664</v>
      </c>
    </row>
    <row r="577" spans="1:14" s="324" customFormat="1" ht="0.65" hidden="1" customHeight="1">
      <c r="A577" s="324">
        <v>3061</v>
      </c>
      <c r="G577" s="324">
        <v>20</v>
      </c>
      <c r="H577" s="324" t="s">
        <v>435</v>
      </c>
      <c r="I577" s="324">
        <v>2024</v>
      </c>
      <c r="J577" s="324">
        <v>7</v>
      </c>
      <c r="K577" s="324">
        <v>20</v>
      </c>
      <c r="L577" s="324" t="s">
        <v>1253</v>
      </c>
      <c r="M577" s="324" t="s">
        <v>1253</v>
      </c>
      <c r="N577" s="324" t="s">
        <v>666</v>
      </c>
    </row>
    <row r="578" spans="1:14" s="324" customFormat="1" ht="0.65" hidden="1" customHeight="1">
      <c r="A578" s="324">
        <v>3062</v>
      </c>
      <c r="G578" s="324">
        <v>26</v>
      </c>
      <c r="H578" s="324" t="s">
        <v>429</v>
      </c>
      <c r="I578" s="324">
        <v>2025</v>
      </c>
      <c r="J578" s="324">
        <v>1</v>
      </c>
      <c r="K578" s="324">
        <v>26</v>
      </c>
      <c r="L578" s="324">
        <v>720000</v>
      </c>
      <c r="M578" s="324">
        <v>720000</v>
      </c>
      <c r="N578" s="324">
        <v>720000</v>
      </c>
    </row>
    <row r="579" spans="1:14" s="324" customFormat="1" ht="0.65" hidden="1" customHeight="1">
      <c r="A579" s="324">
        <v>3063</v>
      </c>
      <c r="G579" s="324">
        <v>27</v>
      </c>
      <c r="H579" s="324" t="s">
        <v>430</v>
      </c>
      <c r="I579" s="324">
        <v>2025</v>
      </c>
      <c r="J579" s="324">
        <v>2</v>
      </c>
      <c r="K579" s="324">
        <v>27</v>
      </c>
      <c r="L579" s="324">
        <v>576000</v>
      </c>
      <c r="M579" s="324">
        <v>576000</v>
      </c>
      <c r="N579" s="324">
        <v>576000</v>
      </c>
    </row>
    <row r="580" spans="1:14" s="324" customFormat="1" ht="0.65" hidden="1" customHeight="1">
      <c r="A580" s="324">
        <v>3064</v>
      </c>
      <c r="G580" s="324">
        <v>28</v>
      </c>
      <c r="H580" s="324" t="s">
        <v>431</v>
      </c>
      <c r="I580" s="324">
        <v>2025</v>
      </c>
      <c r="J580" s="324">
        <v>3</v>
      </c>
      <c r="K580" s="324">
        <v>28</v>
      </c>
      <c r="L580" s="324" t="s">
        <v>1244</v>
      </c>
      <c r="M580" s="324" t="s">
        <v>1244</v>
      </c>
      <c r="N580" s="324" t="s">
        <v>658</v>
      </c>
    </row>
    <row r="581" spans="1:14" s="324" customFormat="1" ht="0.65" hidden="1" customHeight="1">
      <c r="A581" s="324">
        <v>3065</v>
      </c>
      <c r="G581" s="324">
        <v>29</v>
      </c>
      <c r="H581" s="324" t="s">
        <v>432</v>
      </c>
      <c r="I581" s="324">
        <v>2025</v>
      </c>
      <c r="J581" s="324">
        <v>4</v>
      </c>
      <c r="K581" s="324">
        <v>29</v>
      </c>
      <c r="L581" s="324" t="s">
        <v>1250</v>
      </c>
      <c r="M581" s="324" t="s">
        <v>1250</v>
      </c>
      <c r="N581" s="324" t="s">
        <v>660</v>
      </c>
    </row>
    <row r="582" spans="1:14" s="324" customFormat="1" ht="0.65" hidden="1" customHeight="1">
      <c r="A582" s="324">
        <v>3066</v>
      </c>
      <c r="G582" s="324">
        <v>30</v>
      </c>
      <c r="H582" s="324" t="s">
        <v>433</v>
      </c>
      <c r="I582" s="324">
        <v>2025</v>
      </c>
      <c r="J582" s="324">
        <v>5</v>
      </c>
      <c r="K582" s="324">
        <v>30</v>
      </c>
      <c r="L582" s="324" t="s">
        <v>1251</v>
      </c>
      <c r="M582" s="324" t="s">
        <v>1251</v>
      </c>
      <c r="N582" s="324" t="s">
        <v>662</v>
      </c>
    </row>
    <row r="583" spans="1:14" s="324" customFormat="1" ht="0.65" hidden="1" customHeight="1">
      <c r="A583" s="324">
        <v>3067</v>
      </c>
      <c r="G583" s="324">
        <v>31</v>
      </c>
      <c r="H583" s="324" t="s">
        <v>434</v>
      </c>
      <c r="I583" s="324">
        <v>2025</v>
      </c>
      <c r="J583" s="324">
        <v>6</v>
      </c>
      <c r="K583" s="324">
        <v>31</v>
      </c>
      <c r="L583" s="324" t="s">
        <v>1252</v>
      </c>
      <c r="M583" s="324" t="s">
        <v>1252</v>
      </c>
      <c r="N583" s="324" t="s">
        <v>664</v>
      </c>
    </row>
    <row r="584" spans="1:14" s="324" customFormat="1" ht="0.65" hidden="1" customHeight="1">
      <c r="A584" s="324">
        <v>3068</v>
      </c>
      <c r="G584" s="324">
        <v>32</v>
      </c>
      <c r="H584" s="324" t="s">
        <v>435</v>
      </c>
      <c r="I584" s="324">
        <v>2025</v>
      </c>
      <c r="J584" s="324">
        <v>7</v>
      </c>
      <c r="K584" s="324">
        <v>32</v>
      </c>
      <c r="L584" s="324" t="s">
        <v>1253</v>
      </c>
      <c r="M584" s="324" t="s">
        <v>1253</v>
      </c>
      <c r="N584" s="324" t="s">
        <v>666</v>
      </c>
    </row>
    <row r="585" spans="1:14" s="324" customFormat="1" ht="0.65" hidden="1" customHeight="1">
      <c r="A585" s="324">
        <v>3069</v>
      </c>
    </row>
    <row r="586" spans="1:14" s="324" customFormat="1" ht="0.65" hidden="1" customHeight="1">
      <c r="A586" s="324">
        <v>3070</v>
      </c>
    </row>
    <row r="587" spans="1:14" s="324" customFormat="1" ht="0.65" hidden="1" customHeight="1">
      <c r="A587" s="324">
        <v>3071</v>
      </c>
    </row>
    <row r="588" spans="1:14" s="324" customFormat="1" ht="0.65" hidden="1" customHeight="1">
      <c r="A588" s="324">
        <v>3072</v>
      </c>
      <c r="M588" s="324" t="s">
        <v>452</v>
      </c>
      <c r="N588" s="324" t="s">
        <v>453</v>
      </c>
    </row>
    <row r="589" spans="1:14" s="324" customFormat="1" ht="0.65" hidden="1" customHeight="1">
      <c r="A589" s="324">
        <v>3073</v>
      </c>
      <c r="H589" s="324" t="s">
        <v>436</v>
      </c>
      <c r="I589" s="324">
        <v>2022</v>
      </c>
      <c r="J589" s="324">
        <v>1</v>
      </c>
    </row>
    <row r="590" spans="1:14" s="324" customFormat="1" ht="0.65" hidden="1" customHeight="1">
      <c r="A590" s="324">
        <v>3074</v>
      </c>
      <c r="H590" s="324" t="s">
        <v>437</v>
      </c>
      <c r="I590" s="324">
        <v>2022</v>
      </c>
      <c r="J590" s="324">
        <v>2</v>
      </c>
    </row>
    <row r="591" spans="1:14" s="324" customFormat="1" ht="0.65" hidden="1" customHeight="1">
      <c r="A591" s="324">
        <v>3075</v>
      </c>
      <c r="H591" s="324" t="s">
        <v>438</v>
      </c>
      <c r="I591" s="324">
        <v>2022</v>
      </c>
      <c r="J591" s="324">
        <v>3</v>
      </c>
    </row>
    <row r="592" spans="1:14" s="324" customFormat="1" ht="0.65" hidden="1" customHeight="1">
      <c r="A592" s="324">
        <v>3076</v>
      </c>
      <c r="H592" s="324" t="s">
        <v>439</v>
      </c>
      <c r="I592" s="324">
        <v>2022</v>
      </c>
      <c r="J592" s="324">
        <v>4</v>
      </c>
    </row>
    <row r="593" spans="1:14" s="324" customFormat="1" ht="0.65" hidden="1" customHeight="1">
      <c r="A593" s="324">
        <v>3077</v>
      </c>
      <c r="G593" s="324">
        <v>9</v>
      </c>
      <c r="H593" s="324" t="s">
        <v>436</v>
      </c>
      <c r="I593" s="324">
        <v>2023</v>
      </c>
      <c r="J593" s="324">
        <v>1</v>
      </c>
      <c r="K593" s="324">
        <v>9</v>
      </c>
      <c r="L593" s="324" t="s">
        <v>1254</v>
      </c>
      <c r="M593" s="324" t="s">
        <v>1254</v>
      </c>
      <c r="N593" s="324" t="s">
        <v>673</v>
      </c>
    </row>
    <row r="594" spans="1:14" s="324" customFormat="1" ht="0.65" hidden="1" customHeight="1">
      <c r="A594" s="324">
        <v>3078</v>
      </c>
      <c r="G594" s="324">
        <v>10</v>
      </c>
      <c r="H594" s="324" t="s">
        <v>437</v>
      </c>
      <c r="I594" s="324">
        <v>2023</v>
      </c>
      <c r="J594" s="324">
        <v>2</v>
      </c>
      <c r="K594" s="324">
        <v>10</v>
      </c>
      <c r="L594" s="324" t="s">
        <v>1246</v>
      </c>
      <c r="M594" s="324" t="s">
        <v>1246</v>
      </c>
      <c r="N594" s="324" t="s">
        <v>674</v>
      </c>
    </row>
    <row r="595" spans="1:14" s="324" customFormat="1" ht="0.65" hidden="1" customHeight="1">
      <c r="A595" s="324">
        <v>3079</v>
      </c>
      <c r="G595" s="324">
        <v>11</v>
      </c>
      <c r="H595" s="324" t="s">
        <v>438</v>
      </c>
      <c r="I595" s="324">
        <v>2023</v>
      </c>
      <c r="J595" s="324">
        <v>3</v>
      </c>
      <c r="K595" s="324">
        <v>11</v>
      </c>
      <c r="L595" s="324" t="s">
        <v>1255</v>
      </c>
      <c r="M595" s="324" t="s">
        <v>1255</v>
      </c>
      <c r="N595" s="324" t="s">
        <v>676</v>
      </c>
    </row>
    <row r="596" spans="1:14" s="324" customFormat="1" ht="0.65" hidden="1" customHeight="1">
      <c r="A596" s="324">
        <v>3080</v>
      </c>
      <c r="G596" s="324">
        <v>12</v>
      </c>
      <c r="H596" s="324" t="s">
        <v>439</v>
      </c>
      <c r="I596" s="324">
        <v>2023</v>
      </c>
      <c r="J596" s="324">
        <v>4</v>
      </c>
      <c r="K596" s="324">
        <v>12</v>
      </c>
      <c r="L596" s="324" t="s">
        <v>1256</v>
      </c>
      <c r="M596" s="324" t="s">
        <v>1256</v>
      </c>
      <c r="N596" s="324" t="s">
        <v>678</v>
      </c>
    </row>
    <row r="597" spans="1:14" s="324" customFormat="1" ht="0.65" hidden="1" customHeight="1">
      <c r="A597" s="324">
        <v>3081</v>
      </c>
      <c r="G597" s="324">
        <v>21</v>
      </c>
      <c r="H597" s="324" t="s">
        <v>436</v>
      </c>
      <c r="I597" s="324">
        <v>2024</v>
      </c>
      <c r="J597" s="324">
        <v>1</v>
      </c>
      <c r="K597" s="324">
        <v>21</v>
      </c>
      <c r="L597" s="324" t="s">
        <v>1254</v>
      </c>
      <c r="M597" s="324" t="s">
        <v>1254</v>
      </c>
      <c r="N597" s="324" t="s">
        <v>673</v>
      </c>
    </row>
    <row r="598" spans="1:14" s="324" customFormat="1" ht="0.65" hidden="1" customHeight="1">
      <c r="A598" s="324">
        <v>3082</v>
      </c>
      <c r="G598" s="324">
        <v>22</v>
      </c>
      <c r="H598" s="324" t="s">
        <v>437</v>
      </c>
      <c r="I598" s="324">
        <v>2024</v>
      </c>
      <c r="J598" s="324">
        <v>2</v>
      </c>
      <c r="K598" s="324">
        <v>22</v>
      </c>
      <c r="L598" s="324" t="s">
        <v>1246</v>
      </c>
      <c r="M598" s="324" t="s">
        <v>1246</v>
      </c>
      <c r="N598" s="324" t="s">
        <v>674</v>
      </c>
    </row>
    <row r="599" spans="1:14" s="324" customFormat="1" ht="0.65" hidden="1" customHeight="1">
      <c r="A599" s="324">
        <v>3083</v>
      </c>
      <c r="G599" s="324">
        <v>23</v>
      </c>
      <c r="H599" s="324" t="s">
        <v>438</v>
      </c>
      <c r="I599" s="324">
        <v>2024</v>
      </c>
      <c r="J599" s="324">
        <v>3</v>
      </c>
      <c r="K599" s="324">
        <v>23</v>
      </c>
      <c r="L599" s="324" t="s">
        <v>1255</v>
      </c>
      <c r="M599" s="324" t="s">
        <v>1255</v>
      </c>
      <c r="N599" s="324" t="s">
        <v>676</v>
      </c>
    </row>
    <row r="600" spans="1:14" s="324" customFormat="1" ht="0.65" hidden="1" customHeight="1">
      <c r="A600" s="324">
        <v>3084</v>
      </c>
      <c r="G600" s="324">
        <v>24</v>
      </c>
      <c r="H600" s="324" t="s">
        <v>439</v>
      </c>
      <c r="I600" s="324">
        <v>2024</v>
      </c>
      <c r="J600" s="324">
        <v>4</v>
      </c>
      <c r="K600" s="324">
        <v>24</v>
      </c>
      <c r="L600" s="324" t="s">
        <v>1257</v>
      </c>
      <c r="M600" s="324" t="s">
        <v>1257</v>
      </c>
      <c r="N600" s="324" t="s">
        <v>680</v>
      </c>
    </row>
    <row r="601" spans="1:14" s="324" customFormat="1" ht="0.65" hidden="1" customHeight="1">
      <c r="A601" s="324">
        <v>3085</v>
      </c>
      <c r="G601" s="324">
        <v>33</v>
      </c>
      <c r="H601" s="324" t="s">
        <v>436</v>
      </c>
      <c r="I601" s="324">
        <v>2025</v>
      </c>
      <c r="J601" s="324">
        <v>1</v>
      </c>
      <c r="K601" s="324">
        <v>33</v>
      </c>
      <c r="L601" s="324" t="s">
        <v>1254</v>
      </c>
      <c r="M601" s="324" t="s">
        <v>1254</v>
      </c>
      <c r="N601" s="324" t="s">
        <v>673</v>
      </c>
    </row>
    <row r="602" spans="1:14" s="324" customFormat="1" ht="0.65" hidden="1" customHeight="1">
      <c r="A602" s="324">
        <v>3086</v>
      </c>
      <c r="G602" s="324">
        <v>34</v>
      </c>
      <c r="H602" s="324" t="s">
        <v>437</v>
      </c>
      <c r="I602" s="324">
        <v>2025</v>
      </c>
      <c r="J602" s="324">
        <v>2</v>
      </c>
      <c r="K602" s="324">
        <v>34</v>
      </c>
      <c r="L602" s="324" t="s">
        <v>1246</v>
      </c>
      <c r="M602" s="324" t="s">
        <v>1246</v>
      </c>
      <c r="N602" s="324" t="s">
        <v>674</v>
      </c>
    </row>
    <row r="603" spans="1:14" s="324" customFormat="1" ht="0.65" hidden="1" customHeight="1">
      <c r="A603" s="324">
        <v>3087</v>
      </c>
      <c r="G603" s="324">
        <v>35</v>
      </c>
      <c r="H603" s="324" t="s">
        <v>438</v>
      </c>
      <c r="I603" s="324">
        <v>2025</v>
      </c>
      <c r="J603" s="324">
        <v>3</v>
      </c>
      <c r="K603" s="324">
        <v>35</v>
      </c>
      <c r="L603" s="324" t="s">
        <v>1255</v>
      </c>
      <c r="M603" s="324" t="s">
        <v>1255</v>
      </c>
      <c r="N603" s="324" t="s">
        <v>676</v>
      </c>
    </row>
    <row r="604" spans="1:14" s="324" customFormat="1" ht="0.65" hidden="1" customHeight="1">
      <c r="A604" s="324">
        <v>3088</v>
      </c>
      <c r="G604" s="324">
        <v>36</v>
      </c>
      <c r="H604" s="324" t="s">
        <v>439</v>
      </c>
      <c r="I604" s="324">
        <v>2025</v>
      </c>
      <c r="J604" s="324">
        <v>4</v>
      </c>
      <c r="K604" s="324">
        <v>36</v>
      </c>
      <c r="L604" s="324" t="s">
        <v>1257</v>
      </c>
      <c r="M604" s="324" t="s">
        <v>1257</v>
      </c>
      <c r="N604" s="324" t="s">
        <v>681</v>
      </c>
    </row>
    <row r="605" spans="1:14" s="324" customFormat="1" ht="0.65" hidden="1" customHeight="1">
      <c r="A605" s="324">
        <v>3089</v>
      </c>
    </row>
    <row r="606" spans="1:14" s="324" customFormat="1" ht="0.65" hidden="1" customHeight="1">
      <c r="A606" s="324">
        <v>3090</v>
      </c>
      <c r="K606" s="324" t="s">
        <v>13</v>
      </c>
      <c r="L606" s="324" t="s">
        <v>1222</v>
      </c>
      <c r="M606" s="324" t="s">
        <v>682</v>
      </c>
    </row>
    <row r="607" spans="1:14" s="324" customFormat="1" ht="0.65" hidden="1" customHeight="1">
      <c r="A607" s="324">
        <v>3091</v>
      </c>
      <c r="K607" s="324" t="s">
        <v>28</v>
      </c>
      <c r="L607" s="324" t="s">
        <v>1223</v>
      </c>
      <c r="M607" s="324" t="s">
        <v>683</v>
      </c>
    </row>
    <row r="608" spans="1:14" s="324" customFormat="1" ht="0.65" hidden="1" customHeight="1">
      <c r="A608" s="324">
        <v>3092</v>
      </c>
      <c r="K608" s="324" t="s">
        <v>29</v>
      </c>
      <c r="L608" s="324" t="s">
        <v>1249</v>
      </c>
      <c r="M608" s="324" t="s">
        <v>684</v>
      </c>
    </row>
    <row r="609" spans="1:14" s="324" customFormat="1" ht="0.65" hidden="1" customHeight="1">
      <c r="A609" s="324">
        <v>3093</v>
      </c>
      <c r="K609" s="324" t="s">
        <v>30</v>
      </c>
      <c r="L609" s="324" t="s">
        <v>1258</v>
      </c>
      <c r="M609" s="324" t="s">
        <v>1033</v>
      </c>
    </row>
    <row r="610" spans="1:14" s="324" customFormat="1" ht="0.65" hidden="1" customHeight="1">
      <c r="A610" s="324">
        <v>3094</v>
      </c>
    </row>
    <row r="611" spans="1:14" s="324" customFormat="1" ht="0.65" hidden="1" customHeight="1">
      <c r="A611" s="324">
        <v>3095</v>
      </c>
    </row>
    <row r="612" spans="1:14" s="324" customFormat="1" ht="0.65" hidden="1" customHeight="1">
      <c r="A612" s="324">
        <v>3096</v>
      </c>
    </row>
    <row r="613" spans="1:14" s="324" customFormat="1" ht="0.65" hidden="1" customHeight="1">
      <c r="A613" s="324">
        <v>3097</v>
      </c>
      <c r="J613" s="324" t="s">
        <v>1259</v>
      </c>
      <c r="N613" s="324" t="s">
        <v>688</v>
      </c>
    </row>
    <row r="614" spans="1:14" s="324" customFormat="1" ht="0.65" hidden="1" customHeight="1">
      <c r="A614" s="324">
        <v>3098</v>
      </c>
    </row>
    <row r="615" spans="1:14" s="324" customFormat="1" ht="0.65" hidden="1" customHeight="1">
      <c r="A615" s="324">
        <v>3099</v>
      </c>
      <c r="J615" s="324" t="s">
        <v>1260</v>
      </c>
      <c r="N615" s="324" t="s">
        <v>690</v>
      </c>
    </row>
    <row r="616" spans="1:14" s="324" customFormat="1" ht="0.65" hidden="1" customHeight="1">
      <c r="A616" s="324">
        <v>3100</v>
      </c>
      <c r="J616" s="324" t="s">
        <v>1261</v>
      </c>
      <c r="N616" s="324" t="s">
        <v>692</v>
      </c>
    </row>
    <row r="617" spans="1:14" s="324" customFormat="1" ht="0.65" hidden="1" customHeight="1">
      <c r="A617" s="324">
        <v>3101</v>
      </c>
      <c r="J617" s="324" t="s">
        <v>1262</v>
      </c>
      <c r="N617" s="324" t="s">
        <v>694</v>
      </c>
    </row>
    <row r="618" spans="1:14" s="324" customFormat="1" ht="0.65" hidden="1" customHeight="1">
      <c r="A618" s="324">
        <v>3102</v>
      </c>
    </row>
    <row r="619" spans="1:14" s="324" customFormat="1" ht="0.65" hidden="1" customHeight="1">
      <c r="A619" s="324">
        <v>3103</v>
      </c>
      <c r="J619" s="324" t="s">
        <v>1263</v>
      </c>
      <c r="N619" s="324" t="s">
        <v>440</v>
      </c>
    </row>
    <row r="620" spans="1:14" s="324" customFormat="1" ht="0.65" hidden="1" customHeight="1">
      <c r="A620" s="324">
        <v>3104</v>
      </c>
      <c r="J620" s="324" t="s">
        <v>1264</v>
      </c>
      <c r="N620" s="324" t="s">
        <v>441</v>
      </c>
    </row>
    <row r="621" spans="1:14" s="324" customFormat="1" ht="0.65" hidden="1" customHeight="1">
      <c r="A621" s="324">
        <v>3105</v>
      </c>
      <c r="J621" s="324" t="s">
        <v>1265</v>
      </c>
      <c r="N621" s="324" t="s">
        <v>442</v>
      </c>
    </row>
    <row r="622" spans="1:14" s="324" customFormat="1" ht="0.65" hidden="1" customHeight="1">
      <c r="A622" s="324">
        <v>3106</v>
      </c>
    </row>
    <row r="623" spans="1:14" s="324" customFormat="1" ht="0.65" hidden="1" customHeight="1">
      <c r="A623" s="324">
        <v>3107</v>
      </c>
    </row>
    <row r="624" spans="1:14" s="324" customFormat="1" ht="0.65" hidden="1" customHeight="1">
      <c r="A624" s="324">
        <v>3108</v>
      </c>
    </row>
    <row r="625" spans="1:13" s="324" customFormat="1" ht="0.65" hidden="1" customHeight="1">
      <c r="A625" s="324">
        <v>3109</v>
      </c>
    </row>
    <row r="626" spans="1:13" s="324" customFormat="1" ht="0.65" hidden="1" customHeight="1">
      <c r="A626" s="324">
        <v>3110</v>
      </c>
    </row>
    <row r="627" spans="1:13" s="324" customFormat="1" ht="0.65" hidden="1" customHeight="1">
      <c r="A627" s="324">
        <v>3111</v>
      </c>
    </row>
    <row r="628" spans="1:13" s="324" customFormat="1" ht="0.65" hidden="1" customHeight="1">
      <c r="A628" s="324">
        <v>3112</v>
      </c>
    </row>
    <row r="629" spans="1:13" s="324" customFormat="1" ht="0.65" hidden="1" customHeight="1">
      <c r="A629" s="324">
        <v>3113</v>
      </c>
    </row>
    <row r="630" spans="1:13" s="324" customFormat="1" ht="0.65" hidden="1" customHeight="1">
      <c r="A630" s="324">
        <v>3114</v>
      </c>
    </row>
    <row r="631" spans="1:13" s="324" customFormat="1" ht="0.65" hidden="1" customHeight="1">
      <c r="A631" s="324">
        <v>3115</v>
      </c>
      <c r="G631" s="324">
        <v>1</v>
      </c>
      <c r="H631" s="324" t="s">
        <v>490</v>
      </c>
      <c r="I631" s="324">
        <v>175000</v>
      </c>
      <c r="J631" s="324" t="s">
        <v>1259</v>
      </c>
      <c r="M631" s="324" t="s">
        <v>688</v>
      </c>
    </row>
    <row r="632" spans="1:13" s="324" customFormat="1" ht="0.65" hidden="1" customHeight="1">
      <c r="A632" s="324">
        <v>3116</v>
      </c>
      <c r="G632" s="324">
        <v>2</v>
      </c>
      <c r="H632" s="324" t="s">
        <v>698</v>
      </c>
      <c r="I632" s="324">
        <v>720000</v>
      </c>
      <c r="J632" s="324" t="s">
        <v>1266</v>
      </c>
      <c r="M632" s="324" t="s">
        <v>698</v>
      </c>
    </row>
    <row r="633" spans="1:13" s="324" customFormat="1" ht="0.65" hidden="1" customHeight="1">
      <c r="A633" s="324">
        <v>3117</v>
      </c>
      <c r="G633" s="324">
        <v>3</v>
      </c>
      <c r="H633" s="324" t="s">
        <v>700</v>
      </c>
      <c r="I633" s="324">
        <v>576000</v>
      </c>
      <c r="J633" s="324" t="s">
        <v>1267</v>
      </c>
      <c r="M633" s="324" t="s">
        <v>700</v>
      </c>
    </row>
    <row r="634" spans="1:13" s="324" customFormat="1" ht="0.65" hidden="1" customHeight="1">
      <c r="A634" s="324">
        <v>3118</v>
      </c>
      <c r="G634" s="324">
        <v>4</v>
      </c>
      <c r="H634" s="324" t="s">
        <v>702</v>
      </c>
      <c r="I634" s="324">
        <v>-16666.666666666672</v>
      </c>
      <c r="J634" s="324" t="s">
        <v>1268</v>
      </c>
      <c r="M634" s="324" t="s">
        <v>704</v>
      </c>
    </row>
    <row r="635" spans="1:13" s="324" customFormat="1" ht="0.65" hidden="1" customHeight="1">
      <c r="A635" s="324">
        <v>3119</v>
      </c>
      <c r="G635" s="324">
        <v>5</v>
      </c>
      <c r="H635" s="324" t="s">
        <v>705</v>
      </c>
      <c r="I635" s="324">
        <v>160666.66666666669</v>
      </c>
      <c r="J635" s="324" t="s">
        <v>1269</v>
      </c>
      <c r="M635" s="324" t="s">
        <v>707</v>
      </c>
    </row>
    <row r="636" spans="1:13" s="324" customFormat="1" ht="0.65" hidden="1" customHeight="1">
      <c r="A636" s="324">
        <v>3120</v>
      </c>
      <c r="G636" s="324">
        <v>6</v>
      </c>
      <c r="H636" s="324" t="s">
        <v>708</v>
      </c>
      <c r="I636" s="324">
        <v>40166.666666666672</v>
      </c>
      <c r="J636" s="324" t="s">
        <v>1270</v>
      </c>
      <c r="M636" s="324" t="s">
        <v>710</v>
      </c>
    </row>
    <row r="637" spans="1:13" s="324" customFormat="1" ht="0.65" hidden="1" customHeight="1">
      <c r="A637" s="324">
        <v>3121</v>
      </c>
      <c r="G637" s="324">
        <v>7</v>
      </c>
      <c r="H637" s="324" t="s">
        <v>711</v>
      </c>
      <c r="I637" s="324">
        <v>120500.00000000001</v>
      </c>
      <c r="J637" s="324" t="s">
        <v>1271</v>
      </c>
      <c r="M637" s="324" t="s">
        <v>713</v>
      </c>
    </row>
    <row r="638" spans="1:13" s="324" customFormat="1" ht="0.65" hidden="1" customHeight="1">
      <c r="A638" s="324">
        <v>3122</v>
      </c>
      <c r="G638" s="324">
        <v>8</v>
      </c>
      <c r="H638" s="324" t="s">
        <v>714</v>
      </c>
      <c r="I638" s="324">
        <v>103833.33333333334</v>
      </c>
      <c r="J638" s="324" t="s">
        <v>1272</v>
      </c>
      <c r="M638" s="324" t="s">
        <v>716</v>
      </c>
    </row>
    <row r="639" spans="1:13" s="324" customFormat="1" ht="0.65" hidden="1" customHeight="1">
      <c r="A639" s="324">
        <v>3123</v>
      </c>
      <c r="G639" s="324">
        <v>9</v>
      </c>
      <c r="H639" s="324" t="s">
        <v>717</v>
      </c>
      <c r="I639" s="324">
        <v>120000</v>
      </c>
      <c r="J639" s="324" t="s">
        <v>1273</v>
      </c>
      <c r="M639" s="324" t="s">
        <v>719</v>
      </c>
    </row>
    <row r="640" spans="1:13" s="324" customFormat="1" ht="0.65" hidden="1" customHeight="1">
      <c r="A640" s="324">
        <v>3124</v>
      </c>
      <c r="G640" s="324">
        <v>10</v>
      </c>
      <c r="H640" s="324" t="s">
        <v>720</v>
      </c>
      <c r="I640" s="324">
        <v>48000</v>
      </c>
      <c r="J640" s="324" t="s">
        <v>1274</v>
      </c>
      <c r="M640" s="324" t="s">
        <v>722</v>
      </c>
    </row>
    <row r="641" spans="1:13" s="324" customFormat="1" ht="0.65" hidden="1" customHeight="1">
      <c r="A641" s="324">
        <v>3125</v>
      </c>
      <c r="G641" s="324">
        <v>11</v>
      </c>
      <c r="H641" s="324" t="s">
        <v>723</v>
      </c>
      <c r="I641" s="324">
        <v>72000</v>
      </c>
      <c r="J641" s="324" t="s">
        <v>1275</v>
      </c>
      <c r="M641" s="324" t="s">
        <v>725</v>
      </c>
    </row>
    <row r="642" spans="1:13" s="324" customFormat="1" ht="0.65" hidden="1" customHeight="1">
      <c r="A642" s="324">
        <v>3126</v>
      </c>
      <c r="G642" s="324">
        <v>12</v>
      </c>
      <c r="H642" s="324" t="s">
        <v>726</v>
      </c>
      <c r="I642" s="324">
        <v>72000</v>
      </c>
      <c r="J642" s="324" t="s">
        <v>1276</v>
      </c>
      <c r="M642" s="324" t="s">
        <v>728</v>
      </c>
    </row>
    <row r="643" spans="1:13" s="324" customFormat="1" ht="0.65" hidden="1" customHeight="1">
      <c r="A643" s="324">
        <v>3127</v>
      </c>
      <c r="G643" s="324">
        <v>13</v>
      </c>
      <c r="H643" s="324" t="s">
        <v>729</v>
      </c>
      <c r="I643" s="324">
        <v>31833.333333333343</v>
      </c>
      <c r="J643" s="324" t="s">
        <v>1277</v>
      </c>
    </row>
    <row r="644" spans="1:13" s="324" customFormat="1" ht="0.65" hidden="1" customHeight="1">
      <c r="A644" s="324">
        <v>3128</v>
      </c>
      <c r="G644" s="324">
        <v>14</v>
      </c>
      <c r="H644" s="324" t="s">
        <v>731</v>
      </c>
      <c r="I644" s="324">
        <v>720000</v>
      </c>
      <c r="J644" s="324" t="s">
        <v>1266</v>
      </c>
      <c r="M644" s="324" t="s">
        <v>731</v>
      </c>
    </row>
    <row r="645" spans="1:13" s="324" customFormat="1" ht="0.65" hidden="1" customHeight="1">
      <c r="A645" s="324">
        <v>3129</v>
      </c>
      <c r="G645" s="324">
        <v>15</v>
      </c>
      <c r="H645" s="324" t="s">
        <v>732</v>
      </c>
      <c r="I645" s="324">
        <v>576000</v>
      </c>
      <c r="J645" s="324" t="s">
        <v>1267</v>
      </c>
      <c r="M645" s="324" t="s">
        <v>732</v>
      </c>
    </row>
    <row r="646" spans="1:13" s="324" customFormat="1" ht="0.65" hidden="1" customHeight="1">
      <c r="A646" s="324">
        <v>3130</v>
      </c>
      <c r="G646" s="324">
        <v>16</v>
      </c>
      <c r="H646" s="324" t="s">
        <v>733</v>
      </c>
      <c r="I646" s="324">
        <v>-16666.666666666672</v>
      </c>
      <c r="J646" s="324" t="s">
        <v>1268</v>
      </c>
      <c r="M646" s="324" t="s">
        <v>704</v>
      </c>
    </row>
    <row r="647" spans="1:13" s="324" customFormat="1" ht="0.65" hidden="1" customHeight="1">
      <c r="A647" s="324">
        <v>3131</v>
      </c>
      <c r="G647" s="324">
        <v>17</v>
      </c>
      <c r="H647" s="324" t="s">
        <v>734</v>
      </c>
      <c r="I647" s="324">
        <v>160666.66666666669</v>
      </c>
      <c r="J647" s="324" t="s">
        <v>1269</v>
      </c>
      <c r="M647" s="324" t="s">
        <v>735</v>
      </c>
    </row>
    <row r="648" spans="1:13" s="324" customFormat="1" ht="0.65" hidden="1" customHeight="1">
      <c r="A648" s="324">
        <v>3132</v>
      </c>
      <c r="G648" s="324">
        <v>18</v>
      </c>
      <c r="H648" s="324" t="s">
        <v>736</v>
      </c>
      <c r="I648" s="324">
        <v>40166.666666666672</v>
      </c>
      <c r="J648" s="324" t="s">
        <v>1270</v>
      </c>
      <c r="M648" s="324" t="s">
        <v>737</v>
      </c>
    </row>
    <row r="649" spans="1:13" s="324" customFormat="1" ht="0.65" hidden="1" customHeight="1">
      <c r="A649" s="324">
        <v>3133</v>
      </c>
      <c r="G649" s="324">
        <v>19</v>
      </c>
      <c r="H649" s="324" t="s">
        <v>738</v>
      </c>
      <c r="I649" s="324">
        <v>120500.00000000001</v>
      </c>
      <c r="J649" s="324" t="s">
        <v>1271</v>
      </c>
      <c r="M649" s="324" t="s">
        <v>739</v>
      </c>
    </row>
    <row r="650" spans="1:13" s="324" customFormat="1" ht="0.65" hidden="1" customHeight="1">
      <c r="A650" s="324">
        <v>3134</v>
      </c>
      <c r="G650" s="324">
        <v>20</v>
      </c>
      <c r="H650" s="324" t="s">
        <v>740</v>
      </c>
      <c r="I650" s="324">
        <v>103833.33333333334</v>
      </c>
      <c r="J650" s="324" t="s">
        <v>1272</v>
      </c>
      <c r="M650" s="324" t="s">
        <v>741</v>
      </c>
    </row>
    <row r="651" spans="1:13" s="324" customFormat="1" ht="0.65" hidden="1" customHeight="1">
      <c r="A651" s="324">
        <v>3135</v>
      </c>
      <c r="G651" s="324">
        <v>21</v>
      </c>
      <c r="H651" s="324" t="s">
        <v>742</v>
      </c>
      <c r="I651" s="324">
        <v>120000</v>
      </c>
      <c r="J651" s="324" t="s">
        <v>1273</v>
      </c>
      <c r="M651" s="324" t="s">
        <v>743</v>
      </c>
    </row>
    <row r="652" spans="1:13" s="324" customFormat="1" ht="0.65" hidden="1" customHeight="1">
      <c r="A652" s="324">
        <v>3136</v>
      </c>
      <c r="G652" s="324">
        <v>22</v>
      </c>
      <c r="H652" s="324" t="s">
        <v>744</v>
      </c>
      <c r="I652" s="324">
        <v>48000</v>
      </c>
      <c r="J652" s="324" t="s">
        <v>1274</v>
      </c>
      <c r="M652" s="324" t="s">
        <v>745</v>
      </c>
    </row>
    <row r="653" spans="1:13" s="324" customFormat="1" ht="0.65" hidden="1" customHeight="1">
      <c r="A653" s="324">
        <v>3137</v>
      </c>
      <c r="G653" s="324">
        <v>23</v>
      </c>
      <c r="H653" s="324" t="s">
        <v>746</v>
      </c>
      <c r="I653" s="324">
        <v>72000</v>
      </c>
      <c r="J653" s="324" t="s">
        <v>1275</v>
      </c>
      <c r="M653" s="324" t="s">
        <v>747</v>
      </c>
    </row>
    <row r="654" spans="1:13" s="324" customFormat="1" ht="0.65" hidden="1" customHeight="1">
      <c r="A654" s="324">
        <v>3138</v>
      </c>
      <c r="G654" s="324">
        <v>24</v>
      </c>
      <c r="H654" s="324" t="s">
        <v>748</v>
      </c>
      <c r="I654" s="324">
        <v>0</v>
      </c>
      <c r="J654" s="324" t="s">
        <v>1278</v>
      </c>
      <c r="M654" s="324" t="s">
        <v>750</v>
      </c>
    </row>
    <row r="655" spans="1:13" s="324" customFormat="1" ht="0.65" hidden="1" customHeight="1">
      <c r="A655" s="324">
        <v>3139</v>
      </c>
      <c r="G655" s="324">
        <v>25</v>
      </c>
      <c r="H655" s="324" t="s">
        <v>751</v>
      </c>
      <c r="I655" s="324">
        <v>103833.33333333334</v>
      </c>
      <c r="J655" s="324" t="s">
        <v>1279</v>
      </c>
    </row>
    <row r="656" spans="1:13" s="324" customFormat="1" ht="0.65" hidden="1" customHeight="1">
      <c r="A656" s="324">
        <v>3140</v>
      </c>
      <c r="G656" s="324">
        <v>26</v>
      </c>
      <c r="H656" s="324" t="s">
        <v>753</v>
      </c>
      <c r="I656" s="324">
        <v>720000</v>
      </c>
      <c r="J656" s="324" t="s">
        <v>1266</v>
      </c>
      <c r="M656" s="324" t="s">
        <v>753</v>
      </c>
    </row>
    <row r="657" spans="1:13" s="324" customFormat="1" ht="0.65" hidden="1" customHeight="1">
      <c r="A657" s="324">
        <v>3141</v>
      </c>
      <c r="G657" s="324">
        <v>27</v>
      </c>
      <c r="H657" s="324" t="s">
        <v>754</v>
      </c>
      <c r="I657" s="324">
        <v>576000</v>
      </c>
      <c r="J657" s="324" t="s">
        <v>1267</v>
      </c>
      <c r="M657" s="324" t="s">
        <v>754</v>
      </c>
    </row>
    <row r="658" spans="1:13" s="324" customFormat="1" ht="0.65" hidden="1" customHeight="1">
      <c r="A658" s="324">
        <v>3142</v>
      </c>
      <c r="G658" s="324">
        <v>28</v>
      </c>
      <c r="H658" s="324" t="s">
        <v>755</v>
      </c>
      <c r="I658" s="324">
        <v>-16666.666666666672</v>
      </c>
      <c r="J658" s="324" t="s">
        <v>1268</v>
      </c>
      <c r="M658" s="324" t="s">
        <v>704</v>
      </c>
    </row>
    <row r="659" spans="1:13" s="324" customFormat="1" ht="0.65" hidden="1" customHeight="1">
      <c r="A659" s="324">
        <v>3143</v>
      </c>
      <c r="G659" s="324">
        <v>29</v>
      </c>
      <c r="H659" s="324" t="s">
        <v>758</v>
      </c>
      <c r="I659" s="324">
        <v>160666.66666666669</v>
      </c>
      <c r="J659" s="324" t="s">
        <v>1269</v>
      </c>
      <c r="M659" s="324" t="s">
        <v>760</v>
      </c>
    </row>
    <row r="660" spans="1:13" s="324" customFormat="1" ht="0.65" hidden="1" customHeight="1">
      <c r="A660" s="324">
        <v>3144</v>
      </c>
      <c r="G660" s="324">
        <v>30</v>
      </c>
      <c r="H660" s="324" t="s">
        <v>761</v>
      </c>
      <c r="I660" s="324">
        <v>40166.666666666672</v>
      </c>
      <c r="J660" s="324" t="s">
        <v>1270</v>
      </c>
      <c r="M660" s="324" t="s">
        <v>763</v>
      </c>
    </row>
    <row r="661" spans="1:13" s="324" customFormat="1" ht="0.65" hidden="1" customHeight="1">
      <c r="A661" s="324">
        <v>3145</v>
      </c>
      <c r="G661" s="324">
        <v>31</v>
      </c>
      <c r="H661" s="324" t="s">
        <v>764</v>
      </c>
      <c r="I661" s="324">
        <v>120500.00000000001</v>
      </c>
      <c r="J661" s="324" t="s">
        <v>1271</v>
      </c>
      <c r="M661" s="324" t="s">
        <v>766</v>
      </c>
    </row>
    <row r="662" spans="1:13" s="324" customFormat="1" ht="0.65" hidden="1" customHeight="1">
      <c r="A662" s="324">
        <v>3146</v>
      </c>
      <c r="G662" s="324">
        <v>32</v>
      </c>
      <c r="H662" s="324" t="s">
        <v>767</v>
      </c>
      <c r="I662" s="324">
        <v>103833.33333333334</v>
      </c>
      <c r="J662" s="324" t="s">
        <v>1272</v>
      </c>
      <c r="M662" s="324" t="s">
        <v>769</v>
      </c>
    </row>
    <row r="663" spans="1:13" s="324" customFormat="1" ht="0.65" hidden="1" customHeight="1">
      <c r="A663" s="324">
        <v>3147</v>
      </c>
      <c r="G663" s="324">
        <v>33</v>
      </c>
      <c r="H663" s="324" t="s">
        <v>770</v>
      </c>
      <c r="I663" s="324">
        <v>120000</v>
      </c>
      <c r="J663" s="324" t="s">
        <v>1273</v>
      </c>
      <c r="M663" s="324" t="s">
        <v>771</v>
      </c>
    </row>
    <row r="664" spans="1:13" s="324" customFormat="1" ht="0.65" hidden="1" customHeight="1">
      <c r="A664" s="324">
        <v>3148</v>
      </c>
      <c r="G664" s="324">
        <v>34</v>
      </c>
      <c r="H664" s="324" t="s">
        <v>772</v>
      </c>
      <c r="I664" s="324">
        <v>48000</v>
      </c>
      <c r="J664" s="324" t="s">
        <v>1274</v>
      </c>
      <c r="M664" s="324" t="s">
        <v>773</v>
      </c>
    </row>
    <row r="665" spans="1:13" s="324" customFormat="1" ht="0.65" hidden="1" customHeight="1">
      <c r="A665" s="324">
        <v>3149</v>
      </c>
      <c r="G665" s="324">
        <v>35</v>
      </c>
      <c r="H665" s="324" t="s">
        <v>774</v>
      </c>
      <c r="I665" s="324">
        <v>72000</v>
      </c>
      <c r="J665" s="324" t="s">
        <v>1275</v>
      </c>
      <c r="M665" s="324" t="s">
        <v>775</v>
      </c>
    </row>
    <row r="666" spans="1:13" s="324" customFormat="1" ht="0.65" hidden="1" customHeight="1">
      <c r="A666" s="324">
        <v>3150</v>
      </c>
      <c r="G666" s="324">
        <v>36</v>
      </c>
      <c r="H666" s="324" t="s">
        <v>776</v>
      </c>
      <c r="I666" s="324">
        <v>0</v>
      </c>
      <c r="J666" s="324" t="s">
        <v>1278</v>
      </c>
      <c r="M666" s="324" t="s">
        <v>777</v>
      </c>
    </row>
    <row r="667" spans="1:13" s="324" customFormat="1" ht="0.65" hidden="1" customHeight="1">
      <c r="A667" s="324">
        <v>3151</v>
      </c>
      <c r="G667" s="324">
        <v>37</v>
      </c>
      <c r="H667" s="324" t="s">
        <v>778</v>
      </c>
      <c r="I667" s="324">
        <v>103833.33333333334</v>
      </c>
      <c r="J667" s="324" t="s">
        <v>1279</v>
      </c>
    </row>
    <row r="668" spans="1:13" s="324" customFormat="1" ht="0.65" hidden="1" customHeight="1">
      <c r="A668" s="324">
        <v>3152</v>
      </c>
      <c r="G668" s="324">
        <v>38</v>
      </c>
      <c r="H668" s="324" t="s">
        <v>780</v>
      </c>
      <c r="I668" s="324">
        <v>75000</v>
      </c>
      <c r="J668" s="324" t="s">
        <v>1260</v>
      </c>
      <c r="M668" s="324" t="s">
        <v>690</v>
      </c>
    </row>
    <row r="669" spans="1:13" s="324" customFormat="1" ht="0.65" hidden="1" customHeight="1">
      <c r="A669" s="324">
        <v>3153</v>
      </c>
      <c r="G669" s="324">
        <v>39</v>
      </c>
      <c r="H669" s="324" t="s">
        <v>781</v>
      </c>
      <c r="I669" s="324">
        <v>72000</v>
      </c>
      <c r="J669" s="324" t="s">
        <v>1275</v>
      </c>
      <c r="M669" s="324" t="s">
        <v>775</v>
      </c>
    </row>
    <row r="670" spans="1:13" s="324" customFormat="1" ht="0.65" hidden="1" customHeight="1">
      <c r="A670" s="324">
        <v>3154</v>
      </c>
      <c r="G670" s="324">
        <v>40</v>
      </c>
      <c r="H670" s="324" t="s">
        <v>782</v>
      </c>
      <c r="I670" s="324">
        <v>147000</v>
      </c>
      <c r="J670" s="324" t="s">
        <v>1280</v>
      </c>
      <c r="M670" s="324" t="s">
        <v>784</v>
      </c>
    </row>
    <row r="671" spans="1:13" s="324" customFormat="1" ht="0.65" hidden="1" customHeight="1">
      <c r="A671" s="324">
        <v>3155</v>
      </c>
      <c r="G671" s="324">
        <v>41</v>
      </c>
      <c r="H671" s="324" t="s">
        <v>607</v>
      </c>
      <c r="I671" s="324">
        <v>-175000</v>
      </c>
      <c r="J671" s="324" t="s">
        <v>1281</v>
      </c>
      <c r="M671" s="324" t="s">
        <v>786</v>
      </c>
    </row>
    <row r="672" spans="1:13" s="324" customFormat="1" ht="0.65" hidden="1" customHeight="1">
      <c r="A672" s="324">
        <v>3156</v>
      </c>
      <c r="G672" s="324">
        <v>42</v>
      </c>
      <c r="H672" s="324" t="s">
        <v>610</v>
      </c>
      <c r="I672" s="324">
        <v>31833.333333333343</v>
      </c>
      <c r="J672" s="324" t="s">
        <v>1277</v>
      </c>
      <c r="M672" s="324" t="s">
        <v>729</v>
      </c>
    </row>
    <row r="673" spans="1:21" s="324" customFormat="1" ht="0.65" hidden="1" customHeight="1">
      <c r="A673" s="324">
        <v>3157</v>
      </c>
      <c r="G673" s="324">
        <v>43</v>
      </c>
      <c r="H673" s="324" t="s">
        <v>611</v>
      </c>
      <c r="I673" s="324">
        <v>103833.33333333334</v>
      </c>
      <c r="J673" s="324" t="s">
        <v>1279</v>
      </c>
      <c r="M673" s="324" t="s">
        <v>751</v>
      </c>
    </row>
    <row r="674" spans="1:21" s="324" customFormat="1" ht="0.65" hidden="1" customHeight="1">
      <c r="A674" s="324">
        <v>3158</v>
      </c>
      <c r="G674" s="324">
        <v>44</v>
      </c>
      <c r="H674" s="324" t="s">
        <v>612</v>
      </c>
      <c r="I674" s="324">
        <v>250833.33333333334</v>
      </c>
      <c r="J674" s="324" t="s">
        <v>1282</v>
      </c>
      <c r="M674" s="324" t="s">
        <v>788</v>
      </c>
    </row>
    <row r="675" spans="1:21" s="324" customFormat="1" ht="0.65" hidden="1" customHeight="1">
      <c r="A675" s="324">
        <v>3159</v>
      </c>
      <c r="G675" s="324">
        <v>45</v>
      </c>
      <c r="H675" s="324" t="s">
        <v>414</v>
      </c>
      <c r="I675" s="324">
        <v>4.4999999999999998E-2</v>
      </c>
      <c r="J675" s="324" t="s">
        <v>1263</v>
      </c>
      <c r="M675" s="324" t="s">
        <v>440</v>
      </c>
    </row>
    <row r="676" spans="1:21" s="324" customFormat="1" ht="0.65" hidden="1" customHeight="1">
      <c r="A676" s="324">
        <v>3160</v>
      </c>
      <c r="G676" s="324">
        <v>46</v>
      </c>
      <c r="H676" s="324" t="s">
        <v>415</v>
      </c>
      <c r="I676" s="324">
        <v>0.08</v>
      </c>
      <c r="J676" s="324" t="s">
        <v>1264</v>
      </c>
      <c r="M676" s="324" t="s">
        <v>441</v>
      </c>
    </row>
    <row r="677" spans="1:21" s="324" customFormat="1" ht="0.65" hidden="1" customHeight="1">
      <c r="A677" s="324">
        <v>3161</v>
      </c>
      <c r="G677" s="324">
        <v>47</v>
      </c>
      <c r="H677" s="324" t="s">
        <v>416</v>
      </c>
      <c r="I677" s="324">
        <v>7.1249999999999994E-2</v>
      </c>
      <c r="J677" s="324" t="s">
        <v>1265</v>
      </c>
      <c r="M677" s="324" t="s">
        <v>442</v>
      </c>
    </row>
    <row r="678" spans="1:21" s="324" customFormat="1" ht="0.65" hidden="1" customHeight="1">
      <c r="A678" s="324">
        <v>3162</v>
      </c>
      <c r="G678" s="324">
        <v>48</v>
      </c>
      <c r="H678" s="324" t="s">
        <v>13</v>
      </c>
      <c r="I678" s="324">
        <v>149235.38433886995</v>
      </c>
      <c r="J678" s="324" t="s">
        <v>1283</v>
      </c>
      <c r="M678" s="324" t="s">
        <v>622</v>
      </c>
    </row>
    <row r="679" spans="1:21" s="324" customFormat="1" ht="0.65" hidden="1" customHeight="1">
      <c r="A679" s="324">
        <v>3163</v>
      </c>
      <c r="G679" s="324">
        <v>49</v>
      </c>
      <c r="H679" s="324" t="s">
        <v>28</v>
      </c>
      <c r="I679" s="324">
        <v>0.37357216681627725</v>
      </c>
      <c r="J679" s="324" t="s">
        <v>1223</v>
      </c>
      <c r="M679" s="324" t="s">
        <v>624</v>
      </c>
    </row>
    <row r="680" spans="1:21" s="324" customFormat="1" ht="0.65" hidden="1" customHeight="1">
      <c r="A680" s="324">
        <v>3164</v>
      </c>
      <c r="G680" s="324">
        <v>50</v>
      </c>
      <c r="H680" s="324" t="s">
        <v>29</v>
      </c>
      <c r="I680" s="324">
        <v>0.85277362479354257</v>
      </c>
      <c r="J680" s="324" t="s">
        <v>1284</v>
      </c>
      <c r="M680" s="324" t="s">
        <v>791</v>
      </c>
    </row>
    <row r="681" spans="1:21" s="324" customFormat="1" ht="0.65" hidden="1" customHeight="1">
      <c r="A681" s="324">
        <v>3165</v>
      </c>
      <c r="G681" s="324">
        <v>51</v>
      </c>
      <c r="H681" s="324" t="s">
        <v>30</v>
      </c>
      <c r="I681" s="324">
        <v>3</v>
      </c>
      <c r="J681" s="324" t="s">
        <v>1258</v>
      </c>
      <c r="M681" s="324" t="s">
        <v>1060</v>
      </c>
    </row>
    <row r="682" spans="1:21" s="324" customFormat="1" ht="0.65" hidden="1" customHeight="1"/>
    <row r="683" spans="1:21" s="324" customFormat="1" ht="0.65" hidden="1" customHeight="1"/>
    <row r="684" spans="1:21" s="324" customFormat="1" ht="0.65" hidden="1" customHeight="1"/>
    <row r="685" spans="1:21" s="324" customFormat="1" ht="0.65" hidden="1" customHeight="1">
      <c r="B685" s="324" t="s">
        <v>19</v>
      </c>
      <c r="D685" s="324" t="s">
        <v>336</v>
      </c>
      <c r="E685" s="324">
        <v>4</v>
      </c>
      <c r="H685" s="324" t="s">
        <v>24</v>
      </c>
    </row>
    <row r="686" spans="1:21" s="324" customFormat="1" ht="0.65" hidden="1" customHeight="1">
      <c r="B686" s="324" t="s">
        <v>3951</v>
      </c>
      <c r="D686" s="324" t="s">
        <v>336</v>
      </c>
      <c r="E686" s="324" t="s">
        <v>486</v>
      </c>
    </row>
    <row r="687" spans="1:21" s="324" customFormat="1" ht="0.65" hidden="1" customHeight="1">
      <c r="A687" s="324">
        <v>4001</v>
      </c>
      <c r="C687" s="324" t="s">
        <v>5</v>
      </c>
      <c r="D687" s="324">
        <v>2022</v>
      </c>
      <c r="H687" s="324" t="s">
        <v>490</v>
      </c>
      <c r="I687" s="324">
        <v>306250</v>
      </c>
      <c r="J687" s="324" t="s">
        <v>1407</v>
      </c>
      <c r="U687" s="324" t="s">
        <v>151</v>
      </c>
    </row>
    <row r="688" spans="1:21" s="324" customFormat="1" ht="0.65" hidden="1" customHeight="1">
      <c r="A688" s="324">
        <v>4002</v>
      </c>
    </row>
    <row r="689" spans="1:28" s="324" customFormat="1" ht="0.65" hidden="1" customHeight="1">
      <c r="A689" s="324">
        <v>4003</v>
      </c>
      <c r="C689" s="324" t="s">
        <v>32</v>
      </c>
      <c r="H689" s="324" t="s">
        <v>21</v>
      </c>
      <c r="N689" s="324" t="s">
        <v>646</v>
      </c>
      <c r="U689" s="324" t="s">
        <v>152</v>
      </c>
      <c r="Z689" s="324" t="s">
        <v>176</v>
      </c>
      <c r="AA689" s="324">
        <v>-36847.959271750646</v>
      </c>
    </row>
    <row r="690" spans="1:28" s="324" customFormat="1" ht="0.65" hidden="1" customHeight="1">
      <c r="A690" s="324">
        <v>4004</v>
      </c>
      <c r="C690" s="324" t="s">
        <v>488</v>
      </c>
      <c r="D690" s="324">
        <v>500000</v>
      </c>
      <c r="H690" s="324" t="s">
        <v>454</v>
      </c>
      <c r="K690" s="324">
        <v>16</v>
      </c>
      <c r="L690" s="324" t="s">
        <v>55</v>
      </c>
      <c r="M690" s="324" t="s">
        <v>185</v>
      </c>
      <c r="N690" s="324" t="s">
        <v>1450</v>
      </c>
      <c r="O690" s="324" t="s">
        <v>1451</v>
      </c>
      <c r="Y690" s="324" t="s">
        <v>139</v>
      </c>
      <c r="Z690" s="324" t="s">
        <v>174</v>
      </c>
    </row>
    <row r="691" spans="1:28" s="324" customFormat="1" ht="0.65" hidden="1" customHeight="1">
      <c r="A691" s="324">
        <v>4005</v>
      </c>
      <c r="C691" s="324" t="s">
        <v>6</v>
      </c>
      <c r="D691" s="324">
        <v>10</v>
      </c>
      <c r="T691" s="324" t="s">
        <v>187</v>
      </c>
      <c r="V691" s="324" t="s">
        <v>180</v>
      </c>
      <c r="X691" s="324" t="s">
        <v>177</v>
      </c>
      <c r="Y691" s="324" t="s">
        <v>173</v>
      </c>
      <c r="Z691" s="324" t="s">
        <v>175</v>
      </c>
      <c r="AA691" s="324" t="s">
        <v>172</v>
      </c>
      <c r="AB691" s="324" t="s">
        <v>417</v>
      </c>
    </row>
    <row r="692" spans="1:28" s="324" customFormat="1" ht="0.65" hidden="1" customHeight="1">
      <c r="A692" s="324">
        <v>4006</v>
      </c>
      <c r="C692" s="324" t="s">
        <v>489</v>
      </c>
      <c r="D692" s="324">
        <v>100000</v>
      </c>
      <c r="H692" s="324" t="s">
        <v>0</v>
      </c>
      <c r="I692" s="324" t="s">
        <v>69</v>
      </c>
      <c r="J692" s="324" t="s">
        <v>70</v>
      </c>
      <c r="K692" s="324" t="s">
        <v>71</v>
      </c>
      <c r="L692" s="324" t="s">
        <v>72</v>
      </c>
      <c r="M692" s="324" t="s">
        <v>73</v>
      </c>
      <c r="N692" s="324" t="s">
        <v>74</v>
      </c>
      <c r="O692" s="324" t="s">
        <v>75</v>
      </c>
      <c r="T692" s="324">
        <v>1</v>
      </c>
      <c r="U692" s="324" t="s">
        <v>153</v>
      </c>
      <c r="X692" s="324" t="s">
        <v>6</v>
      </c>
      <c r="Y692" s="324">
        <v>10</v>
      </c>
      <c r="Z692" s="324">
        <v>15</v>
      </c>
      <c r="AA692" s="324">
        <v>-37703.367922213103</v>
      </c>
      <c r="AB692" s="324">
        <v>-855.40865046245744</v>
      </c>
    </row>
    <row r="693" spans="1:28" s="324" customFormat="1" ht="0.65" hidden="1" customHeight="1">
      <c r="A693" s="324">
        <v>4007</v>
      </c>
      <c r="H693" s="324">
        <v>2023</v>
      </c>
      <c r="I693" s="324">
        <v>600000</v>
      </c>
      <c r="J693" s="324">
        <v>500000</v>
      </c>
      <c r="K693" s="324">
        <v>-12500</v>
      </c>
      <c r="L693" s="324">
        <v>112500</v>
      </c>
      <c r="M693" s="324">
        <v>28125</v>
      </c>
      <c r="N693" s="324">
        <v>84375</v>
      </c>
      <c r="O693" s="324">
        <v>71875</v>
      </c>
      <c r="T693" s="324">
        <v>2</v>
      </c>
      <c r="U693" s="324" t="s">
        <v>154</v>
      </c>
      <c r="X693" s="324" t="s">
        <v>488</v>
      </c>
      <c r="Y693" s="324">
        <v>500000</v>
      </c>
      <c r="Z693" s="324">
        <v>550000</v>
      </c>
      <c r="AA693" s="324">
        <v>-76804.985446227714</v>
      </c>
      <c r="AB693" s="324">
        <v>-39957.026174477069</v>
      </c>
    </row>
    <row r="694" spans="1:28" s="324" customFormat="1" ht="0.65" hidden="1" customHeight="1">
      <c r="A694" s="324">
        <v>4008</v>
      </c>
      <c r="C694" s="324" t="s">
        <v>34</v>
      </c>
      <c r="D694" s="324">
        <v>600000</v>
      </c>
      <c r="H694" s="324">
        <v>2024</v>
      </c>
      <c r="I694" s="324">
        <v>600000</v>
      </c>
      <c r="J694" s="324">
        <v>500000</v>
      </c>
      <c r="K694" s="324">
        <v>-12500</v>
      </c>
      <c r="L694" s="324">
        <v>112500</v>
      </c>
      <c r="M694" s="324">
        <v>28125</v>
      </c>
      <c r="N694" s="324">
        <v>84375</v>
      </c>
      <c r="O694" s="324">
        <v>71875</v>
      </c>
      <c r="T694" s="324">
        <v>3</v>
      </c>
      <c r="U694" s="324" t="s">
        <v>155</v>
      </c>
      <c r="X694" s="324" t="s">
        <v>489</v>
      </c>
      <c r="Y694" s="324">
        <v>100000</v>
      </c>
      <c r="Z694" s="324">
        <v>90000</v>
      </c>
      <c r="AA694" s="324">
        <v>-42719.770009981061</v>
      </c>
      <c r="AB694" s="324">
        <v>-5871.8107382304152</v>
      </c>
    </row>
    <row r="695" spans="1:28" s="324" customFormat="1" ht="0.65" hidden="1" customHeight="1">
      <c r="A695" s="324">
        <v>4009</v>
      </c>
      <c r="C695" s="324" t="s">
        <v>35</v>
      </c>
      <c r="D695" s="324">
        <v>500000</v>
      </c>
      <c r="H695" s="324">
        <v>2025</v>
      </c>
      <c r="I695" s="324">
        <v>600000</v>
      </c>
      <c r="J695" s="324">
        <v>500000</v>
      </c>
      <c r="K695" s="324">
        <v>-12500</v>
      </c>
      <c r="L695" s="324">
        <v>112500</v>
      </c>
      <c r="M695" s="324">
        <v>28125</v>
      </c>
      <c r="N695" s="324">
        <v>84375</v>
      </c>
      <c r="O695" s="324">
        <v>71875</v>
      </c>
      <c r="T695" s="324">
        <v>4</v>
      </c>
      <c r="U695" s="324" t="s">
        <v>156</v>
      </c>
      <c r="X695" s="324" t="s">
        <v>492</v>
      </c>
      <c r="Y695" s="324">
        <v>175000</v>
      </c>
      <c r="Z695" s="324">
        <v>192500.00000000003</v>
      </c>
      <c r="AA695" s="324">
        <v>-23722.959271750646</v>
      </c>
      <c r="AB695" s="324">
        <v>13125</v>
      </c>
    </row>
    <row r="696" spans="1:28" s="324" customFormat="1" ht="0.65" hidden="1" customHeight="1">
      <c r="A696" s="324">
        <v>4010</v>
      </c>
      <c r="T696" s="324">
        <v>5</v>
      </c>
      <c r="U696" s="324" t="s">
        <v>157</v>
      </c>
      <c r="X696" s="324" t="s">
        <v>6</v>
      </c>
      <c r="Y696" s="324">
        <v>4</v>
      </c>
      <c r="Z696" s="324">
        <v>3</v>
      </c>
      <c r="AA696" s="324">
        <v>-37917.220084828732</v>
      </c>
      <c r="AB696" s="324">
        <v>-1069.2608130780864</v>
      </c>
    </row>
    <row r="697" spans="1:28" s="324" customFormat="1" ht="0.65" hidden="1" customHeight="1">
      <c r="A697" s="324">
        <v>4011</v>
      </c>
      <c r="C697" s="324" t="s">
        <v>7</v>
      </c>
      <c r="D697" s="324">
        <v>90</v>
      </c>
      <c r="H697" s="324" t="s">
        <v>22</v>
      </c>
      <c r="N697" s="324" t="s">
        <v>649</v>
      </c>
      <c r="T697" s="324">
        <v>6</v>
      </c>
      <c r="U697" s="324" t="s">
        <v>158</v>
      </c>
      <c r="X697" s="324" t="s">
        <v>495</v>
      </c>
      <c r="Y697" s="324">
        <v>250000</v>
      </c>
      <c r="Z697" s="324">
        <v>275000</v>
      </c>
      <c r="AA697" s="324">
        <v>-35811.913130866073</v>
      </c>
      <c r="AB697" s="324">
        <v>1036.0461408845731</v>
      </c>
    </row>
    <row r="698" spans="1:28" s="324" customFormat="1" ht="0.65" hidden="1" customHeight="1">
      <c r="A698" s="324">
        <v>4012</v>
      </c>
      <c r="C698" s="324" t="s">
        <v>8</v>
      </c>
      <c r="D698" s="324">
        <v>90</v>
      </c>
      <c r="H698" s="324" t="s">
        <v>454</v>
      </c>
      <c r="K698" s="324">
        <v>34</v>
      </c>
      <c r="L698" s="324" t="s">
        <v>55</v>
      </c>
      <c r="M698" s="324" t="s">
        <v>185</v>
      </c>
      <c r="N698" s="324" t="s">
        <v>1452</v>
      </c>
      <c r="O698" s="324" t="s">
        <v>1453</v>
      </c>
      <c r="T698" s="324">
        <v>7</v>
      </c>
      <c r="U698" s="324" t="s">
        <v>159</v>
      </c>
      <c r="X698" s="324" t="s">
        <v>492</v>
      </c>
      <c r="Y698" s="324">
        <v>175000</v>
      </c>
      <c r="Z698" s="324">
        <v>157500</v>
      </c>
      <c r="AA698" s="324">
        <v>-49972.959271750646</v>
      </c>
      <c r="AB698" s="324">
        <v>-13125</v>
      </c>
    </row>
    <row r="699" spans="1:28" s="324" customFormat="1" ht="0.65" hidden="1" customHeight="1">
      <c r="A699" s="324">
        <v>4013</v>
      </c>
      <c r="T699" s="324">
        <v>8</v>
      </c>
      <c r="U699" s="324" t="s">
        <v>160</v>
      </c>
      <c r="X699" s="324" t="s">
        <v>489</v>
      </c>
      <c r="Y699" s="324">
        <v>43750</v>
      </c>
      <c r="Z699" s="324">
        <v>48125.000000000007</v>
      </c>
      <c r="AA699" s="324">
        <v>-39416.876469726441</v>
      </c>
      <c r="AB699" s="324">
        <v>-2568.9171979757957</v>
      </c>
    </row>
    <row r="700" spans="1:28" s="324" customFormat="1" ht="0.65" hidden="1" customHeight="1">
      <c r="A700" s="324">
        <v>4014</v>
      </c>
      <c r="C700" s="324" t="s">
        <v>33</v>
      </c>
      <c r="H700" s="324" t="s">
        <v>0</v>
      </c>
      <c r="I700" s="324" t="s">
        <v>76</v>
      </c>
      <c r="J700" s="324" t="s">
        <v>77</v>
      </c>
      <c r="K700" s="324" t="s">
        <v>78</v>
      </c>
      <c r="L700" s="324" t="s">
        <v>79</v>
      </c>
      <c r="T700" s="324">
        <v>9</v>
      </c>
      <c r="U700" s="324" t="s">
        <v>161</v>
      </c>
      <c r="X700" s="324" t="s">
        <v>34</v>
      </c>
      <c r="Y700" s="324">
        <v>600000</v>
      </c>
      <c r="Z700" s="324">
        <v>660000</v>
      </c>
      <c r="AA700" s="324">
        <v>76001.784125226957</v>
      </c>
      <c r="AB700" s="324">
        <v>112849.7433969776</v>
      </c>
    </row>
    <row r="701" spans="1:28" s="324" customFormat="1" ht="0.65" hidden="1" customHeight="1">
      <c r="A701" s="324">
        <v>4015</v>
      </c>
      <c r="C701" s="324" t="s">
        <v>492</v>
      </c>
      <c r="D701" s="324">
        <v>175000</v>
      </c>
      <c r="H701" s="324">
        <v>2022</v>
      </c>
      <c r="I701" s="324">
        <v>0</v>
      </c>
      <c r="J701" s="324">
        <v>0</v>
      </c>
      <c r="K701" s="324">
        <v>0</v>
      </c>
      <c r="L701" s="324">
        <v>0</v>
      </c>
      <c r="T701" s="324">
        <v>10</v>
      </c>
      <c r="U701" s="324" t="s">
        <v>162</v>
      </c>
      <c r="X701" s="324" t="s">
        <v>7</v>
      </c>
      <c r="Y701" s="324">
        <v>90</v>
      </c>
      <c r="Z701" s="324">
        <v>120</v>
      </c>
      <c r="AA701" s="324">
        <v>-43785.503658969945</v>
      </c>
      <c r="AB701" s="324">
        <v>-6937.5443872192991</v>
      </c>
    </row>
    <row r="702" spans="1:28" s="324" customFormat="1" ht="0.65" hidden="1" customHeight="1">
      <c r="A702" s="324">
        <v>4016</v>
      </c>
      <c r="C702" s="324" t="s">
        <v>495</v>
      </c>
      <c r="D702" s="324">
        <v>250000</v>
      </c>
      <c r="H702" s="324">
        <v>2023</v>
      </c>
      <c r="I702" s="324">
        <v>150000</v>
      </c>
      <c r="J702" s="324">
        <v>125000</v>
      </c>
      <c r="K702" s="324">
        <v>25000</v>
      </c>
      <c r="L702" s="324">
        <v>25000</v>
      </c>
      <c r="T702" s="324">
        <v>11</v>
      </c>
      <c r="U702" s="324" t="s">
        <v>163</v>
      </c>
      <c r="X702" s="324" t="s">
        <v>35</v>
      </c>
      <c r="Y702" s="324">
        <v>500000</v>
      </c>
      <c r="Z702" s="324">
        <v>450000</v>
      </c>
      <c r="AA702" s="324">
        <v>57193.493559063994</v>
      </c>
      <c r="AB702" s="324">
        <v>94041.45283081464</v>
      </c>
    </row>
    <row r="703" spans="1:28" s="324" customFormat="1" ht="0.65" hidden="1" customHeight="1">
      <c r="A703" s="324">
        <v>4017</v>
      </c>
      <c r="C703" s="324" t="s">
        <v>6</v>
      </c>
      <c r="D703" s="324">
        <v>4</v>
      </c>
      <c r="H703" s="324">
        <v>2024</v>
      </c>
      <c r="I703" s="324">
        <v>150000</v>
      </c>
      <c r="J703" s="324">
        <v>125000</v>
      </c>
      <c r="K703" s="324">
        <v>25000</v>
      </c>
      <c r="L703" s="324">
        <v>0</v>
      </c>
      <c r="T703" s="324">
        <v>12</v>
      </c>
      <c r="U703" s="324" t="s">
        <v>164</v>
      </c>
      <c r="X703" s="324" t="s">
        <v>8</v>
      </c>
      <c r="Y703" s="324">
        <v>90</v>
      </c>
      <c r="Z703" s="324">
        <v>60</v>
      </c>
      <c r="AA703" s="324">
        <v>-42629.246261099994</v>
      </c>
      <c r="AB703" s="324">
        <v>-5781.286989349348</v>
      </c>
    </row>
    <row r="704" spans="1:28" s="324" customFormat="1" ht="0.65" hidden="1" customHeight="1">
      <c r="A704" s="324">
        <v>4018</v>
      </c>
      <c r="C704" s="324" t="s">
        <v>489</v>
      </c>
      <c r="D704" s="324">
        <v>43750</v>
      </c>
      <c r="H704" s="324">
        <v>2025</v>
      </c>
      <c r="I704" s="324">
        <v>150000</v>
      </c>
      <c r="J704" s="324">
        <v>125000</v>
      </c>
      <c r="K704" s="324">
        <v>25000</v>
      </c>
      <c r="L704" s="324">
        <v>0</v>
      </c>
      <c r="T704" s="324">
        <v>13</v>
      </c>
      <c r="U704" s="324" t="s">
        <v>165</v>
      </c>
      <c r="X704" s="324" t="s">
        <v>10</v>
      </c>
      <c r="Y704" s="324">
        <v>400000</v>
      </c>
      <c r="Z704" s="324">
        <v>440000.00000000006</v>
      </c>
      <c r="AA704" s="324">
        <v>-38665.641661988979</v>
      </c>
      <c r="AB704" s="324">
        <v>-1817.682390238333</v>
      </c>
    </row>
    <row r="705" spans="1:28" s="324" customFormat="1" ht="0.65" hidden="1" customHeight="1">
      <c r="A705" s="324">
        <v>4019</v>
      </c>
      <c r="T705" s="324">
        <v>14</v>
      </c>
      <c r="U705" s="324" t="s">
        <v>166</v>
      </c>
      <c r="X705" s="324" t="s">
        <v>12</v>
      </c>
      <c r="Y705" s="324">
        <v>0.01</v>
      </c>
      <c r="Z705" s="324">
        <v>0</v>
      </c>
      <c r="AA705" s="324">
        <v>-33777.006172839552</v>
      </c>
      <c r="AB705" s="324">
        <v>3070.9530989110935</v>
      </c>
    </row>
    <row r="706" spans="1:28" s="324" customFormat="1" ht="0.65" hidden="1" customHeight="1">
      <c r="A706" s="324">
        <v>4020</v>
      </c>
      <c r="C706" s="324" t="s">
        <v>4</v>
      </c>
      <c r="D706" s="324">
        <v>0.25</v>
      </c>
      <c r="H706" s="324" t="s">
        <v>23</v>
      </c>
      <c r="T706" s="324">
        <v>15</v>
      </c>
      <c r="U706" s="324" t="s">
        <v>167</v>
      </c>
      <c r="X706" s="324" t="s">
        <v>11</v>
      </c>
      <c r="Y706" s="324">
        <v>500000</v>
      </c>
      <c r="Z706" s="324">
        <v>550000</v>
      </c>
      <c r="AA706" s="324">
        <v>-39867.210502622009</v>
      </c>
      <c r="AB706" s="324">
        <v>-3019.2512308713631</v>
      </c>
    </row>
    <row r="707" spans="1:28" s="324" customFormat="1" ht="0.65" hidden="1" customHeight="1">
      <c r="A707" s="324">
        <v>4021</v>
      </c>
      <c r="D707" s="324" t="s">
        <v>9</v>
      </c>
      <c r="T707" s="324">
        <v>16</v>
      </c>
      <c r="U707" s="324" t="s">
        <v>168</v>
      </c>
      <c r="X707" s="324" t="s">
        <v>3</v>
      </c>
      <c r="Y707" s="324">
        <v>5000000</v>
      </c>
      <c r="Z707" s="324">
        <v>5500000</v>
      </c>
      <c r="AA707" s="324">
        <v>-34659.763750390674</v>
      </c>
      <c r="AB707" s="324">
        <v>2188.1955213599722</v>
      </c>
    </row>
    <row r="708" spans="1:28" s="324" customFormat="1" ht="0.65" hidden="1" customHeight="1">
      <c r="A708" s="324">
        <v>4022</v>
      </c>
      <c r="H708" s="324" t="s">
        <v>491</v>
      </c>
      <c r="I708" s="324">
        <v>114062.5</v>
      </c>
      <c r="J708" s="324" t="s">
        <v>1421</v>
      </c>
      <c r="T708" s="324">
        <v>17</v>
      </c>
      <c r="U708" s="324" t="s">
        <v>169</v>
      </c>
      <c r="X708" s="324" t="s">
        <v>2</v>
      </c>
      <c r="Y708" s="324">
        <v>5000000</v>
      </c>
      <c r="Z708" s="324">
        <v>2500000</v>
      </c>
      <c r="AA708" s="324">
        <v>-53305.659647752385</v>
      </c>
      <c r="AB708" s="324">
        <v>-16457.70037600174</v>
      </c>
    </row>
    <row r="709" spans="1:28" s="324" customFormat="1" ht="0.65" hidden="1" customHeight="1">
      <c r="A709" s="324">
        <v>4023</v>
      </c>
      <c r="C709" s="324" t="s">
        <v>10</v>
      </c>
      <c r="D709" s="324">
        <v>400000</v>
      </c>
      <c r="H709" s="324" t="s">
        <v>493</v>
      </c>
      <c r="I709" s="324">
        <v>25000</v>
      </c>
      <c r="J709" s="324" t="s">
        <v>1422</v>
      </c>
      <c r="T709" s="324">
        <v>18</v>
      </c>
      <c r="U709" s="324" t="s">
        <v>170</v>
      </c>
      <c r="X709" s="324" t="s">
        <v>4</v>
      </c>
      <c r="Y709" s="324">
        <v>0.25</v>
      </c>
      <c r="Z709" s="324">
        <v>0.3</v>
      </c>
      <c r="AA709" s="324">
        <v>-37191.284269529977</v>
      </c>
      <c r="AB709" s="324">
        <v>-343.32499777933117</v>
      </c>
    </row>
    <row r="710" spans="1:28" s="324" customFormat="1" ht="0.65" hidden="1" customHeight="1">
      <c r="A710" s="324">
        <v>4024</v>
      </c>
      <c r="C710" s="324" t="s">
        <v>11</v>
      </c>
      <c r="D710" s="324">
        <v>500000</v>
      </c>
      <c r="H710" s="324" t="s">
        <v>494</v>
      </c>
      <c r="I710" s="324">
        <v>139062.5</v>
      </c>
      <c r="J710" s="324" t="s">
        <v>1423</v>
      </c>
      <c r="T710" s="324">
        <v>19</v>
      </c>
      <c r="U710" s="324" t="s">
        <v>171</v>
      </c>
      <c r="X710" s="324" t="s">
        <v>14</v>
      </c>
      <c r="Y710" s="324" t="s">
        <v>16</v>
      </c>
      <c r="Z710" s="324" t="e">
        <v>#REF!</v>
      </c>
      <c r="AA710" s="324">
        <v>8740.8785163348075</v>
      </c>
      <c r="AB710" s="324">
        <v>45588.837788085453</v>
      </c>
    </row>
    <row r="711" spans="1:28" s="324" customFormat="1" ht="0.65" hidden="1" customHeight="1">
      <c r="A711" s="324">
        <v>4025</v>
      </c>
      <c r="C711" s="324" t="s">
        <v>12</v>
      </c>
      <c r="D711" s="324">
        <v>0.01</v>
      </c>
    </row>
    <row r="712" spans="1:28" s="324" customFormat="1" ht="0.65" hidden="1" customHeight="1">
      <c r="A712" s="324">
        <v>4026</v>
      </c>
      <c r="C712" s="324" t="s">
        <v>2</v>
      </c>
      <c r="D712" s="324">
        <v>5000000</v>
      </c>
      <c r="H712" s="324" t="s">
        <v>26</v>
      </c>
    </row>
    <row r="713" spans="1:28" s="324" customFormat="1" ht="0.65" hidden="1" customHeight="1">
      <c r="A713" s="324">
        <v>4027</v>
      </c>
      <c r="C713" s="324" t="s">
        <v>3</v>
      </c>
      <c r="D713" s="324">
        <v>5000000</v>
      </c>
      <c r="L713" s="324" t="s">
        <v>81</v>
      </c>
    </row>
    <row r="714" spans="1:28" s="324" customFormat="1" ht="0.65" hidden="1" customHeight="1">
      <c r="A714" s="324">
        <v>4028</v>
      </c>
      <c r="H714" s="324" t="s">
        <v>0</v>
      </c>
      <c r="I714" s="324" t="s">
        <v>75</v>
      </c>
      <c r="J714" s="324" t="s">
        <v>79</v>
      </c>
      <c r="K714" s="324" t="s">
        <v>80</v>
      </c>
      <c r="L714" s="324" t="s">
        <v>1</v>
      </c>
      <c r="N714" s="324" t="s">
        <v>31</v>
      </c>
    </row>
    <row r="715" spans="1:28" s="324" customFormat="1" ht="0.65" hidden="1" customHeight="1">
      <c r="A715" s="324">
        <v>4029</v>
      </c>
      <c r="C715" s="324" t="s">
        <v>14</v>
      </c>
      <c r="D715" s="324" t="s">
        <v>16</v>
      </c>
      <c r="H715" s="324">
        <v>2022</v>
      </c>
      <c r="I715" s="324">
        <v>0</v>
      </c>
      <c r="J715" s="324">
        <v>0</v>
      </c>
      <c r="K715" s="324">
        <v>0</v>
      </c>
      <c r="L715" s="324">
        <v>-306250</v>
      </c>
      <c r="N715" s="324">
        <v>-306250</v>
      </c>
    </row>
    <row r="716" spans="1:28" s="324" customFormat="1" ht="0.65" hidden="1" customHeight="1">
      <c r="A716" s="324">
        <v>4030</v>
      </c>
      <c r="H716" s="324">
        <v>2023</v>
      </c>
      <c r="I716" s="324">
        <v>71875</v>
      </c>
      <c r="J716" s="324">
        <v>25000</v>
      </c>
      <c r="K716" s="324">
        <v>46875</v>
      </c>
      <c r="L716" s="324">
        <v>46875</v>
      </c>
      <c r="N716" s="324">
        <v>-259375</v>
      </c>
      <c r="O716" s="324" t="s">
        <v>55</v>
      </c>
    </row>
    <row r="717" spans="1:28" s="324" customFormat="1" ht="0.65" hidden="1" customHeight="1">
      <c r="A717" s="324">
        <v>4031</v>
      </c>
      <c r="E717" s="324" t="s">
        <v>55</v>
      </c>
      <c r="H717" s="324">
        <v>2024</v>
      </c>
      <c r="I717" s="324">
        <v>71875</v>
      </c>
      <c r="J717" s="324">
        <v>0</v>
      </c>
      <c r="K717" s="324">
        <v>71875</v>
      </c>
      <c r="L717" s="324">
        <v>71875</v>
      </c>
      <c r="N717" s="324">
        <v>-187500</v>
      </c>
      <c r="O717" s="324" t="s">
        <v>55</v>
      </c>
    </row>
    <row r="718" spans="1:28" s="324" customFormat="1" ht="0.65" hidden="1" customHeight="1">
      <c r="A718" s="324">
        <v>4032</v>
      </c>
      <c r="D718" s="324" t="s">
        <v>20</v>
      </c>
      <c r="E718" s="324" t="s">
        <v>36</v>
      </c>
      <c r="H718" s="324">
        <v>2025</v>
      </c>
      <c r="I718" s="324">
        <v>71875</v>
      </c>
      <c r="J718" s="324">
        <v>0</v>
      </c>
      <c r="K718" s="324">
        <v>71875</v>
      </c>
      <c r="L718" s="324">
        <v>210937.5</v>
      </c>
      <c r="N718" s="324">
        <v>23437.5</v>
      </c>
      <c r="O718" s="324">
        <v>2025</v>
      </c>
    </row>
    <row r="719" spans="1:28" s="324" customFormat="1" ht="0.65" hidden="1" customHeight="1">
      <c r="A719" s="324">
        <v>4033</v>
      </c>
      <c r="D719" s="324" t="s">
        <v>420</v>
      </c>
      <c r="E719" s="324" t="s">
        <v>38</v>
      </c>
    </row>
    <row r="720" spans="1:28" s="324" customFormat="1" ht="0.65" hidden="1" customHeight="1">
      <c r="A720" s="324">
        <v>4034</v>
      </c>
      <c r="E720" s="324" t="s">
        <v>424</v>
      </c>
      <c r="H720" s="324" t="s">
        <v>25</v>
      </c>
    </row>
    <row r="721" spans="1:18" s="324" customFormat="1" ht="0.65" hidden="1" customHeight="1">
      <c r="A721" s="324">
        <v>4035</v>
      </c>
    </row>
    <row r="722" spans="1:18" s="324" customFormat="1" ht="0.65" hidden="1" customHeight="1">
      <c r="A722" s="324">
        <v>4036</v>
      </c>
      <c r="H722" s="324" t="s">
        <v>124</v>
      </c>
      <c r="I722" s="324">
        <v>0.06</v>
      </c>
      <c r="J722" s="324" t="s">
        <v>1454</v>
      </c>
    </row>
    <row r="723" spans="1:18" s="324" customFormat="1" ht="0.65" hidden="1" customHeight="1">
      <c r="A723" s="324">
        <v>4037</v>
      </c>
      <c r="B723" s="324" t="s">
        <v>460</v>
      </c>
      <c r="H723" s="324" t="s">
        <v>125</v>
      </c>
      <c r="I723" s="324">
        <v>0.11</v>
      </c>
      <c r="J723" s="324" t="s">
        <v>1427</v>
      </c>
    </row>
    <row r="724" spans="1:18" s="324" customFormat="1" ht="0.65" hidden="1" customHeight="1">
      <c r="A724" s="324">
        <v>4038</v>
      </c>
      <c r="B724" s="324" t="s">
        <v>461</v>
      </c>
      <c r="H724" s="324" t="s">
        <v>126</v>
      </c>
      <c r="I724" s="324">
        <v>8.4999999999999992E-2</v>
      </c>
      <c r="J724" s="324" t="s">
        <v>1428</v>
      </c>
    </row>
    <row r="725" spans="1:18" s="324" customFormat="1" ht="0.65" hidden="1" customHeight="1">
      <c r="A725" s="324">
        <v>4039</v>
      </c>
    </row>
    <row r="726" spans="1:18" s="324" customFormat="1" ht="0.65" hidden="1" customHeight="1">
      <c r="A726" s="324">
        <v>4040</v>
      </c>
      <c r="H726" s="324" t="s">
        <v>27</v>
      </c>
      <c r="K726" s="324" t="s">
        <v>185</v>
      </c>
      <c r="L726" s="324" t="s">
        <v>1455</v>
      </c>
      <c r="M726" s="324" t="s">
        <v>1456</v>
      </c>
    </row>
    <row r="727" spans="1:18" s="324" customFormat="1" ht="0.65" hidden="1" customHeight="1">
      <c r="A727" s="324">
        <v>4041</v>
      </c>
      <c r="H727" s="324" t="s">
        <v>123</v>
      </c>
      <c r="K727" s="324" t="s">
        <v>29</v>
      </c>
      <c r="L727" s="324" t="s">
        <v>55</v>
      </c>
    </row>
    <row r="728" spans="1:18" s="324" customFormat="1" ht="0.65" hidden="1" customHeight="1">
      <c r="A728" s="324">
        <v>4042</v>
      </c>
      <c r="H728" s="324" t="s">
        <v>13</v>
      </c>
      <c r="I728" s="324">
        <v>-36847.959271750646</v>
      </c>
      <c r="J728" s="324" t="s">
        <v>654</v>
      </c>
    </row>
    <row r="729" spans="1:18" s="324" customFormat="1" ht="0.65" hidden="1" customHeight="1">
      <c r="A729" s="324">
        <v>4043</v>
      </c>
      <c r="H729" s="324" t="s">
        <v>28</v>
      </c>
      <c r="I729" s="324">
        <v>3.0062994449785885E-2</v>
      </c>
      <c r="J729" s="324" t="s">
        <v>655</v>
      </c>
    </row>
    <row r="730" spans="1:18" s="324" customFormat="1" ht="0.65" hidden="1" customHeight="1">
      <c r="A730" s="324">
        <v>4044</v>
      </c>
      <c r="H730" s="324" t="s">
        <v>29</v>
      </c>
      <c r="I730" s="324">
        <v>-0.12031986700979802</v>
      </c>
      <c r="J730" s="324" t="s">
        <v>656</v>
      </c>
    </row>
    <row r="731" spans="1:18" s="324" customFormat="1" ht="0.65" hidden="1" customHeight="1">
      <c r="A731" s="324">
        <v>4045</v>
      </c>
      <c r="H731" s="324" t="s">
        <v>30</v>
      </c>
      <c r="I731" s="324">
        <v>3</v>
      </c>
      <c r="J731" s="324" t="s">
        <v>1023</v>
      </c>
    </row>
    <row r="732" spans="1:18" s="324" customFormat="1" ht="0.65" hidden="1" customHeight="1">
      <c r="A732" s="324">
        <v>4046</v>
      </c>
      <c r="B732" s="324">
        <v>2</v>
      </c>
      <c r="C732" s="324">
        <v>3</v>
      </c>
      <c r="D732" s="324">
        <v>4</v>
      </c>
      <c r="E732" s="324">
        <v>5</v>
      </c>
      <c r="F732" s="324">
        <v>6</v>
      </c>
      <c r="G732" s="324">
        <v>7</v>
      </c>
      <c r="H732" s="324">
        <v>8</v>
      </c>
      <c r="I732" s="324">
        <v>9</v>
      </c>
      <c r="J732" s="324">
        <v>10</v>
      </c>
      <c r="K732" s="324">
        <v>11</v>
      </c>
      <c r="L732" s="324">
        <v>12</v>
      </c>
      <c r="M732" s="324">
        <v>13</v>
      </c>
      <c r="N732" s="324">
        <v>14</v>
      </c>
      <c r="O732" s="324">
        <v>15</v>
      </c>
      <c r="P732" s="324">
        <v>16</v>
      </c>
      <c r="Q732" s="324">
        <v>17</v>
      </c>
      <c r="R732" s="324">
        <v>18</v>
      </c>
    </row>
    <row r="733" spans="1:18" s="324" customFormat="1" ht="0.65" hidden="1" customHeight="1">
      <c r="A733" s="324">
        <v>4047</v>
      </c>
      <c r="M733" s="324" t="s">
        <v>452</v>
      </c>
      <c r="N733" s="324" t="s">
        <v>453</v>
      </c>
    </row>
    <row r="734" spans="1:18" s="324" customFormat="1" ht="0.65" hidden="1" customHeight="1">
      <c r="A734" s="324">
        <v>4048</v>
      </c>
      <c r="G734" s="324">
        <v>2</v>
      </c>
      <c r="H734" s="324" t="s">
        <v>429</v>
      </c>
      <c r="I734" s="324">
        <v>2023</v>
      </c>
      <c r="J734" s="324">
        <v>1</v>
      </c>
      <c r="K734" s="324">
        <v>2</v>
      </c>
      <c r="L734" s="324">
        <v>600000</v>
      </c>
      <c r="M734" s="324">
        <v>600000</v>
      </c>
      <c r="N734" s="324">
        <v>600000</v>
      </c>
    </row>
    <row r="735" spans="1:18" s="324" customFormat="1" ht="0.65" hidden="1" customHeight="1">
      <c r="A735" s="324">
        <v>4049</v>
      </c>
      <c r="G735" s="324">
        <v>3</v>
      </c>
      <c r="H735" s="324" t="s">
        <v>430</v>
      </c>
      <c r="I735" s="324">
        <v>2023</v>
      </c>
      <c r="J735" s="324">
        <v>2</v>
      </c>
      <c r="K735" s="324">
        <v>3</v>
      </c>
      <c r="L735" s="324">
        <v>500000</v>
      </c>
      <c r="M735" s="324">
        <v>500000</v>
      </c>
      <c r="N735" s="324">
        <v>500000</v>
      </c>
    </row>
    <row r="736" spans="1:18" s="324" customFormat="1" ht="0.65" hidden="1" customHeight="1">
      <c r="A736" s="324">
        <v>4050</v>
      </c>
      <c r="G736" s="324">
        <v>4</v>
      </c>
      <c r="H736" s="324" t="s">
        <v>431</v>
      </c>
      <c r="I736" s="324">
        <v>2023</v>
      </c>
      <c r="J736" s="324">
        <v>3</v>
      </c>
      <c r="K736" s="324">
        <v>4</v>
      </c>
      <c r="L736" s="324" t="s">
        <v>1451</v>
      </c>
      <c r="M736" s="324" t="s">
        <v>1451</v>
      </c>
      <c r="N736" s="324" t="s">
        <v>658</v>
      </c>
    </row>
    <row r="737" spans="1:14" s="324" customFormat="1" ht="0.65" hidden="1" customHeight="1">
      <c r="A737" s="324">
        <v>4051</v>
      </c>
      <c r="G737" s="324">
        <v>5</v>
      </c>
      <c r="H737" s="324" t="s">
        <v>432</v>
      </c>
      <c r="I737" s="324">
        <v>2023</v>
      </c>
      <c r="J737" s="324">
        <v>4</v>
      </c>
      <c r="K737" s="324">
        <v>5</v>
      </c>
      <c r="L737" s="324" t="s">
        <v>1457</v>
      </c>
      <c r="M737" s="324" t="s">
        <v>1457</v>
      </c>
      <c r="N737" s="324" t="s">
        <v>660</v>
      </c>
    </row>
    <row r="738" spans="1:14" s="324" customFormat="1" ht="0.65" hidden="1" customHeight="1">
      <c r="A738" s="324">
        <v>4052</v>
      </c>
      <c r="G738" s="324">
        <v>6</v>
      </c>
      <c r="H738" s="324" t="s">
        <v>433</v>
      </c>
      <c r="I738" s="324">
        <v>2023</v>
      </c>
      <c r="J738" s="324">
        <v>5</v>
      </c>
      <c r="K738" s="324">
        <v>6</v>
      </c>
      <c r="L738" s="324" t="s">
        <v>1458</v>
      </c>
      <c r="M738" s="324" t="s">
        <v>1458</v>
      </c>
      <c r="N738" s="324" t="s">
        <v>662</v>
      </c>
    </row>
    <row r="739" spans="1:14" s="324" customFormat="1" ht="0.65" hidden="1" customHeight="1">
      <c r="A739" s="324">
        <v>4053</v>
      </c>
      <c r="G739" s="324">
        <v>7</v>
      </c>
      <c r="H739" s="324" t="s">
        <v>434</v>
      </c>
      <c r="I739" s="324">
        <v>2023</v>
      </c>
      <c r="J739" s="324">
        <v>6</v>
      </c>
      <c r="K739" s="324">
        <v>7</v>
      </c>
      <c r="L739" s="324" t="s">
        <v>1459</v>
      </c>
      <c r="M739" s="324" t="s">
        <v>1459</v>
      </c>
      <c r="N739" s="324" t="s">
        <v>664</v>
      </c>
    </row>
    <row r="740" spans="1:14" s="324" customFormat="1" ht="0.65" hidden="1" customHeight="1">
      <c r="A740" s="324">
        <v>4054</v>
      </c>
      <c r="G740" s="324">
        <v>8</v>
      </c>
      <c r="H740" s="324" t="s">
        <v>435</v>
      </c>
      <c r="I740" s="324">
        <v>2023</v>
      </c>
      <c r="J740" s="324">
        <v>7</v>
      </c>
      <c r="K740" s="324">
        <v>8</v>
      </c>
      <c r="L740" s="324" t="s">
        <v>1460</v>
      </c>
      <c r="M740" s="324" t="s">
        <v>1460</v>
      </c>
      <c r="N740" s="324" t="s">
        <v>666</v>
      </c>
    </row>
    <row r="741" spans="1:14" s="324" customFormat="1" ht="0.65" hidden="1" customHeight="1">
      <c r="A741" s="324">
        <v>4055</v>
      </c>
      <c r="G741" s="324">
        <v>14</v>
      </c>
      <c r="H741" s="324" t="s">
        <v>429</v>
      </c>
      <c r="I741" s="324">
        <v>2024</v>
      </c>
      <c r="J741" s="324">
        <v>1</v>
      </c>
      <c r="K741" s="324">
        <v>14</v>
      </c>
      <c r="L741" s="324">
        <v>600000</v>
      </c>
      <c r="M741" s="324">
        <v>600000</v>
      </c>
      <c r="N741" s="324">
        <v>600000</v>
      </c>
    </row>
    <row r="742" spans="1:14" s="324" customFormat="1" ht="0.65" hidden="1" customHeight="1">
      <c r="A742" s="324">
        <v>4056</v>
      </c>
      <c r="G742" s="324">
        <v>15</v>
      </c>
      <c r="H742" s="324" t="s">
        <v>430</v>
      </c>
      <c r="I742" s="324">
        <v>2024</v>
      </c>
      <c r="J742" s="324">
        <v>2</v>
      </c>
      <c r="K742" s="324">
        <v>15</v>
      </c>
      <c r="L742" s="324">
        <v>500000</v>
      </c>
      <c r="M742" s="324">
        <v>500000</v>
      </c>
      <c r="N742" s="324">
        <v>500000</v>
      </c>
    </row>
    <row r="743" spans="1:14" s="324" customFormat="1" ht="0.65" hidden="1" customHeight="1">
      <c r="A743" s="324">
        <v>4057</v>
      </c>
      <c r="G743" s="324">
        <v>16</v>
      </c>
      <c r="H743" s="324" t="s">
        <v>431</v>
      </c>
      <c r="I743" s="324">
        <v>2024</v>
      </c>
      <c r="J743" s="324">
        <v>3</v>
      </c>
      <c r="K743" s="324">
        <v>16</v>
      </c>
      <c r="L743" s="324" t="s">
        <v>1451</v>
      </c>
      <c r="M743" s="324" t="s">
        <v>1451</v>
      </c>
      <c r="N743" s="324" t="s">
        <v>658</v>
      </c>
    </row>
    <row r="744" spans="1:14" s="324" customFormat="1" ht="0.65" hidden="1" customHeight="1">
      <c r="A744" s="324">
        <v>4058</v>
      </c>
      <c r="G744" s="324">
        <v>17</v>
      </c>
      <c r="H744" s="324" t="s">
        <v>432</v>
      </c>
      <c r="I744" s="324">
        <v>2024</v>
      </c>
      <c r="J744" s="324">
        <v>4</v>
      </c>
      <c r="K744" s="324">
        <v>17</v>
      </c>
      <c r="L744" s="324" t="s">
        <v>1457</v>
      </c>
      <c r="M744" s="324" t="s">
        <v>1457</v>
      </c>
      <c r="N744" s="324" t="s">
        <v>660</v>
      </c>
    </row>
    <row r="745" spans="1:14" s="324" customFormat="1" ht="0.65" hidden="1" customHeight="1">
      <c r="A745" s="324">
        <v>4059</v>
      </c>
      <c r="G745" s="324">
        <v>18</v>
      </c>
      <c r="H745" s="324" t="s">
        <v>433</v>
      </c>
      <c r="I745" s="324">
        <v>2024</v>
      </c>
      <c r="J745" s="324">
        <v>5</v>
      </c>
      <c r="K745" s="324">
        <v>18</v>
      </c>
      <c r="L745" s="324" t="s">
        <v>1458</v>
      </c>
      <c r="M745" s="324" t="s">
        <v>1458</v>
      </c>
      <c r="N745" s="324" t="s">
        <v>662</v>
      </c>
    </row>
    <row r="746" spans="1:14" s="324" customFormat="1" ht="0.65" hidden="1" customHeight="1">
      <c r="A746" s="324">
        <v>4060</v>
      </c>
      <c r="G746" s="324">
        <v>19</v>
      </c>
      <c r="H746" s="324" t="s">
        <v>434</v>
      </c>
      <c r="I746" s="324">
        <v>2024</v>
      </c>
      <c r="J746" s="324">
        <v>6</v>
      </c>
      <c r="K746" s="324">
        <v>19</v>
      </c>
      <c r="L746" s="324" t="s">
        <v>1459</v>
      </c>
      <c r="M746" s="324" t="s">
        <v>1459</v>
      </c>
      <c r="N746" s="324" t="s">
        <v>664</v>
      </c>
    </row>
    <row r="747" spans="1:14" s="324" customFormat="1" ht="0.65" hidden="1" customHeight="1">
      <c r="A747" s="324">
        <v>4061</v>
      </c>
      <c r="G747" s="324">
        <v>20</v>
      </c>
      <c r="H747" s="324" t="s">
        <v>435</v>
      </c>
      <c r="I747" s="324">
        <v>2024</v>
      </c>
      <c r="J747" s="324">
        <v>7</v>
      </c>
      <c r="K747" s="324">
        <v>20</v>
      </c>
      <c r="L747" s="324" t="s">
        <v>1460</v>
      </c>
      <c r="M747" s="324" t="s">
        <v>1460</v>
      </c>
      <c r="N747" s="324" t="s">
        <v>666</v>
      </c>
    </row>
    <row r="748" spans="1:14" s="324" customFormat="1" ht="0.65" hidden="1" customHeight="1">
      <c r="A748" s="324">
        <v>4062</v>
      </c>
      <c r="G748" s="324">
        <v>26</v>
      </c>
      <c r="H748" s="324" t="s">
        <v>429</v>
      </c>
      <c r="I748" s="324">
        <v>2025</v>
      </c>
      <c r="J748" s="324">
        <v>1</v>
      </c>
      <c r="K748" s="324">
        <v>26</v>
      </c>
      <c r="L748" s="324">
        <v>600000</v>
      </c>
      <c r="M748" s="324">
        <v>600000</v>
      </c>
      <c r="N748" s="324">
        <v>600000</v>
      </c>
    </row>
    <row r="749" spans="1:14" s="324" customFormat="1" ht="0.65" hidden="1" customHeight="1">
      <c r="A749" s="324">
        <v>4063</v>
      </c>
      <c r="G749" s="324">
        <v>27</v>
      </c>
      <c r="H749" s="324" t="s">
        <v>430</v>
      </c>
      <c r="I749" s="324">
        <v>2025</v>
      </c>
      <c r="J749" s="324">
        <v>2</v>
      </c>
      <c r="K749" s="324">
        <v>27</v>
      </c>
      <c r="L749" s="324">
        <v>500000</v>
      </c>
      <c r="M749" s="324">
        <v>500000</v>
      </c>
      <c r="N749" s="324">
        <v>500000</v>
      </c>
    </row>
    <row r="750" spans="1:14" s="324" customFormat="1" ht="0.65" hidden="1" customHeight="1">
      <c r="A750" s="324">
        <v>4064</v>
      </c>
      <c r="G750" s="324">
        <v>28</v>
      </c>
      <c r="H750" s="324" t="s">
        <v>431</v>
      </c>
      <c r="I750" s="324">
        <v>2025</v>
      </c>
      <c r="J750" s="324">
        <v>3</v>
      </c>
      <c r="K750" s="324">
        <v>28</v>
      </c>
      <c r="L750" s="324" t="s">
        <v>1451</v>
      </c>
      <c r="M750" s="324" t="s">
        <v>1451</v>
      </c>
      <c r="N750" s="324" t="s">
        <v>658</v>
      </c>
    </row>
    <row r="751" spans="1:14" s="324" customFormat="1" ht="0.65" hidden="1" customHeight="1">
      <c r="A751" s="324">
        <v>4065</v>
      </c>
      <c r="G751" s="324">
        <v>29</v>
      </c>
      <c r="H751" s="324" t="s">
        <v>432</v>
      </c>
      <c r="I751" s="324">
        <v>2025</v>
      </c>
      <c r="J751" s="324">
        <v>4</v>
      </c>
      <c r="K751" s="324">
        <v>29</v>
      </c>
      <c r="L751" s="324" t="s">
        <v>1457</v>
      </c>
      <c r="M751" s="324" t="s">
        <v>1457</v>
      </c>
      <c r="N751" s="324" t="s">
        <v>660</v>
      </c>
    </row>
    <row r="752" spans="1:14" s="324" customFormat="1" ht="0.65" hidden="1" customHeight="1">
      <c r="A752" s="324">
        <v>4066</v>
      </c>
      <c r="G752" s="324">
        <v>30</v>
      </c>
      <c r="H752" s="324" t="s">
        <v>433</v>
      </c>
      <c r="I752" s="324">
        <v>2025</v>
      </c>
      <c r="J752" s="324">
        <v>5</v>
      </c>
      <c r="K752" s="324">
        <v>30</v>
      </c>
      <c r="L752" s="324" t="s">
        <v>1458</v>
      </c>
      <c r="M752" s="324" t="s">
        <v>1458</v>
      </c>
      <c r="N752" s="324" t="s">
        <v>662</v>
      </c>
    </row>
    <row r="753" spans="1:14" s="324" customFormat="1" ht="0.65" hidden="1" customHeight="1">
      <c r="A753" s="324">
        <v>4067</v>
      </c>
      <c r="G753" s="324">
        <v>31</v>
      </c>
      <c r="H753" s="324" t="s">
        <v>434</v>
      </c>
      <c r="I753" s="324">
        <v>2025</v>
      </c>
      <c r="J753" s="324">
        <v>6</v>
      </c>
      <c r="K753" s="324">
        <v>31</v>
      </c>
      <c r="L753" s="324" t="s">
        <v>1459</v>
      </c>
      <c r="M753" s="324" t="s">
        <v>1459</v>
      </c>
      <c r="N753" s="324" t="s">
        <v>664</v>
      </c>
    </row>
    <row r="754" spans="1:14" s="324" customFormat="1" ht="0.65" hidden="1" customHeight="1">
      <c r="A754" s="324">
        <v>4068</v>
      </c>
      <c r="G754" s="324">
        <v>32</v>
      </c>
      <c r="H754" s="324" t="s">
        <v>435</v>
      </c>
      <c r="I754" s="324">
        <v>2025</v>
      </c>
      <c r="J754" s="324">
        <v>7</v>
      </c>
      <c r="K754" s="324">
        <v>32</v>
      </c>
      <c r="L754" s="324" t="s">
        <v>1460</v>
      </c>
      <c r="M754" s="324" t="s">
        <v>1460</v>
      </c>
      <c r="N754" s="324" t="s">
        <v>666</v>
      </c>
    </row>
    <row r="755" spans="1:14" s="324" customFormat="1" ht="0.65" hidden="1" customHeight="1">
      <c r="A755" s="324">
        <v>4069</v>
      </c>
    </row>
    <row r="756" spans="1:14" s="324" customFormat="1" ht="0.65" hidden="1" customHeight="1">
      <c r="A756" s="324">
        <v>4070</v>
      </c>
    </row>
    <row r="757" spans="1:14" s="324" customFormat="1" ht="0.65" hidden="1" customHeight="1">
      <c r="A757" s="324">
        <v>4071</v>
      </c>
    </row>
    <row r="758" spans="1:14" s="324" customFormat="1" ht="0.65" hidden="1" customHeight="1">
      <c r="A758" s="324">
        <v>4072</v>
      </c>
      <c r="M758" s="324" t="s">
        <v>452</v>
      </c>
      <c r="N758" s="324" t="s">
        <v>453</v>
      </c>
    </row>
    <row r="759" spans="1:14" s="324" customFormat="1" ht="0.65" hidden="1" customHeight="1">
      <c r="A759" s="324">
        <v>4073</v>
      </c>
      <c r="H759" s="324" t="s">
        <v>436</v>
      </c>
      <c r="I759" s="324">
        <v>2022</v>
      </c>
      <c r="J759" s="324">
        <v>1</v>
      </c>
    </row>
    <row r="760" spans="1:14" s="324" customFormat="1" ht="0.65" hidden="1" customHeight="1">
      <c r="A760" s="324">
        <v>4074</v>
      </c>
      <c r="H760" s="324" t="s">
        <v>437</v>
      </c>
      <c r="I760" s="324">
        <v>2022</v>
      </c>
      <c r="J760" s="324">
        <v>2</v>
      </c>
    </row>
    <row r="761" spans="1:14" s="324" customFormat="1" ht="0.65" hidden="1" customHeight="1">
      <c r="A761" s="324">
        <v>4075</v>
      </c>
      <c r="H761" s="324" t="s">
        <v>438</v>
      </c>
      <c r="I761" s="324">
        <v>2022</v>
      </c>
      <c r="J761" s="324">
        <v>3</v>
      </c>
    </row>
    <row r="762" spans="1:14" s="324" customFormat="1" ht="0.65" hidden="1" customHeight="1">
      <c r="A762" s="324">
        <v>4076</v>
      </c>
      <c r="H762" s="324" t="s">
        <v>439</v>
      </c>
      <c r="I762" s="324">
        <v>2022</v>
      </c>
      <c r="J762" s="324">
        <v>4</v>
      </c>
    </row>
    <row r="763" spans="1:14" s="324" customFormat="1" ht="0.65" hidden="1" customHeight="1">
      <c r="A763" s="324">
        <v>4077</v>
      </c>
      <c r="G763" s="324">
        <v>9</v>
      </c>
      <c r="H763" s="324" t="s">
        <v>436</v>
      </c>
      <c r="I763" s="324">
        <v>2023</v>
      </c>
      <c r="J763" s="324">
        <v>1</v>
      </c>
      <c r="K763" s="324">
        <v>9</v>
      </c>
      <c r="L763" s="324" t="s">
        <v>1461</v>
      </c>
      <c r="M763" s="324" t="s">
        <v>1461</v>
      </c>
      <c r="N763" s="324" t="s">
        <v>673</v>
      </c>
    </row>
    <row r="764" spans="1:14" s="324" customFormat="1" ht="0.65" hidden="1" customHeight="1">
      <c r="A764" s="324">
        <v>4078</v>
      </c>
      <c r="G764" s="324">
        <v>10</v>
      </c>
      <c r="H764" s="324" t="s">
        <v>437</v>
      </c>
      <c r="I764" s="324">
        <v>2023</v>
      </c>
      <c r="J764" s="324">
        <v>2</v>
      </c>
      <c r="K764" s="324">
        <v>10</v>
      </c>
      <c r="L764" s="324" t="s">
        <v>1453</v>
      </c>
      <c r="M764" s="324" t="s">
        <v>1453</v>
      </c>
      <c r="N764" s="324" t="s">
        <v>674</v>
      </c>
    </row>
    <row r="765" spans="1:14" s="324" customFormat="1" ht="0.65" hidden="1" customHeight="1">
      <c r="A765" s="324">
        <v>4079</v>
      </c>
      <c r="G765" s="324">
        <v>11</v>
      </c>
      <c r="H765" s="324" t="s">
        <v>438</v>
      </c>
      <c r="I765" s="324">
        <v>2023</v>
      </c>
      <c r="J765" s="324">
        <v>3</v>
      </c>
      <c r="K765" s="324">
        <v>11</v>
      </c>
      <c r="L765" s="324" t="s">
        <v>1462</v>
      </c>
      <c r="M765" s="324" t="s">
        <v>1462</v>
      </c>
      <c r="N765" s="324" t="s">
        <v>676</v>
      </c>
    </row>
    <row r="766" spans="1:14" s="324" customFormat="1" ht="0.65" hidden="1" customHeight="1">
      <c r="A766" s="324">
        <v>4080</v>
      </c>
      <c r="G766" s="324">
        <v>12</v>
      </c>
      <c r="H766" s="324" t="s">
        <v>439</v>
      </c>
      <c r="I766" s="324">
        <v>2023</v>
      </c>
      <c r="J766" s="324">
        <v>4</v>
      </c>
      <c r="K766" s="324">
        <v>12</v>
      </c>
      <c r="L766" s="324" t="s">
        <v>1463</v>
      </c>
      <c r="M766" s="324" t="s">
        <v>1463</v>
      </c>
      <c r="N766" s="324" t="s">
        <v>678</v>
      </c>
    </row>
    <row r="767" spans="1:14" s="324" customFormat="1" ht="0.65" hidden="1" customHeight="1">
      <c r="A767" s="324">
        <v>4081</v>
      </c>
      <c r="G767" s="324">
        <v>21</v>
      </c>
      <c r="H767" s="324" t="s">
        <v>436</v>
      </c>
      <c r="I767" s="324">
        <v>2024</v>
      </c>
      <c r="J767" s="324">
        <v>1</v>
      </c>
      <c r="K767" s="324">
        <v>21</v>
      </c>
      <c r="L767" s="324" t="s">
        <v>1461</v>
      </c>
      <c r="M767" s="324" t="s">
        <v>1461</v>
      </c>
      <c r="N767" s="324" t="s">
        <v>673</v>
      </c>
    </row>
    <row r="768" spans="1:14" s="324" customFormat="1" ht="0.65" hidden="1" customHeight="1">
      <c r="A768" s="324">
        <v>4082</v>
      </c>
      <c r="G768" s="324">
        <v>22</v>
      </c>
      <c r="H768" s="324" t="s">
        <v>437</v>
      </c>
      <c r="I768" s="324">
        <v>2024</v>
      </c>
      <c r="J768" s="324">
        <v>2</v>
      </c>
      <c r="K768" s="324">
        <v>22</v>
      </c>
      <c r="L768" s="324" t="s">
        <v>1453</v>
      </c>
      <c r="M768" s="324" t="s">
        <v>1453</v>
      </c>
      <c r="N768" s="324" t="s">
        <v>674</v>
      </c>
    </row>
    <row r="769" spans="1:14" s="324" customFormat="1" ht="0.65" hidden="1" customHeight="1">
      <c r="A769" s="324">
        <v>4083</v>
      </c>
      <c r="G769" s="324">
        <v>23</v>
      </c>
      <c r="H769" s="324" t="s">
        <v>438</v>
      </c>
      <c r="I769" s="324">
        <v>2024</v>
      </c>
      <c r="J769" s="324">
        <v>3</v>
      </c>
      <c r="K769" s="324">
        <v>23</v>
      </c>
      <c r="L769" s="324" t="s">
        <v>1462</v>
      </c>
      <c r="M769" s="324" t="s">
        <v>1462</v>
      </c>
      <c r="N769" s="324" t="s">
        <v>676</v>
      </c>
    </row>
    <row r="770" spans="1:14" s="324" customFormat="1" ht="0.65" hidden="1" customHeight="1">
      <c r="A770" s="324">
        <v>4084</v>
      </c>
      <c r="G770" s="324">
        <v>24</v>
      </c>
      <c r="H770" s="324" t="s">
        <v>439</v>
      </c>
      <c r="I770" s="324">
        <v>2024</v>
      </c>
      <c r="J770" s="324">
        <v>4</v>
      </c>
      <c r="K770" s="324">
        <v>24</v>
      </c>
      <c r="L770" s="324" t="s">
        <v>1464</v>
      </c>
      <c r="M770" s="324" t="s">
        <v>1464</v>
      </c>
      <c r="N770" s="324" t="s">
        <v>680</v>
      </c>
    </row>
    <row r="771" spans="1:14" s="324" customFormat="1" ht="0.65" hidden="1" customHeight="1">
      <c r="A771" s="324">
        <v>4085</v>
      </c>
      <c r="G771" s="324">
        <v>33</v>
      </c>
      <c r="H771" s="324" t="s">
        <v>436</v>
      </c>
      <c r="I771" s="324">
        <v>2025</v>
      </c>
      <c r="J771" s="324">
        <v>1</v>
      </c>
      <c r="K771" s="324">
        <v>33</v>
      </c>
      <c r="L771" s="324" t="s">
        <v>1461</v>
      </c>
      <c r="M771" s="324" t="s">
        <v>1461</v>
      </c>
      <c r="N771" s="324" t="s">
        <v>673</v>
      </c>
    </row>
    <row r="772" spans="1:14" s="324" customFormat="1" ht="0.65" hidden="1" customHeight="1">
      <c r="A772" s="324">
        <v>4086</v>
      </c>
      <c r="G772" s="324">
        <v>34</v>
      </c>
      <c r="H772" s="324" t="s">
        <v>437</v>
      </c>
      <c r="I772" s="324">
        <v>2025</v>
      </c>
      <c r="J772" s="324">
        <v>2</v>
      </c>
      <c r="K772" s="324">
        <v>34</v>
      </c>
      <c r="L772" s="324" t="s">
        <v>1453</v>
      </c>
      <c r="M772" s="324" t="s">
        <v>1453</v>
      </c>
      <c r="N772" s="324" t="s">
        <v>674</v>
      </c>
    </row>
    <row r="773" spans="1:14" s="324" customFormat="1" ht="0.65" hidden="1" customHeight="1">
      <c r="A773" s="324">
        <v>4087</v>
      </c>
      <c r="G773" s="324">
        <v>35</v>
      </c>
      <c r="H773" s="324" t="s">
        <v>438</v>
      </c>
      <c r="I773" s="324">
        <v>2025</v>
      </c>
      <c r="J773" s="324">
        <v>3</v>
      </c>
      <c r="K773" s="324">
        <v>35</v>
      </c>
      <c r="L773" s="324" t="s">
        <v>1462</v>
      </c>
      <c r="M773" s="324" t="s">
        <v>1462</v>
      </c>
      <c r="N773" s="324" t="s">
        <v>676</v>
      </c>
    </row>
    <row r="774" spans="1:14" s="324" customFormat="1" ht="0.65" hidden="1" customHeight="1">
      <c r="A774" s="324">
        <v>4088</v>
      </c>
      <c r="G774" s="324">
        <v>36</v>
      </c>
      <c r="H774" s="324" t="s">
        <v>439</v>
      </c>
      <c r="I774" s="324">
        <v>2025</v>
      </c>
      <c r="J774" s="324">
        <v>4</v>
      </c>
      <c r="K774" s="324">
        <v>36</v>
      </c>
      <c r="L774" s="324" t="s">
        <v>1464</v>
      </c>
      <c r="M774" s="324" t="s">
        <v>1464</v>
      </c>
      <c r="N774" s="324" t="s">
        <v>681</v>
      </c>
    </row>
    <row r="775" spans="1:14" s="324" customFormat="1" ht="0.65" hidden="1" customHeight="1">
      <c r="A775" s="324">
        <v>4089</v>
      </c>
    </row>
    <row r="776" spans="1:14" s="324" customFormat="1" ht="0.65" hidden="1" customHeight="1">
      <c r="A776" s="324">
        <v>4090</v>
      </c>
      <c r="K776" s="324" t="s">
        <v>13</v>
      </c>
      <c r="L776" s="324" t="s">
        <v>1429</v>
      </c>
      <c r="M776" s="324" t="s">
        <v>682</v>
      </c>
    </row>
    <row r="777" spans="1:14" s="324" customFormat="1" ht="0.65" hidden="1" customHeight="1">
      <c r="A777" s="324">
        <v>4091</v>
      </c>
      <c r="K777" s="324" t="s">
        <v>28</v>
      </c>
      <c r="L777" s="324" t="s">
        <v>1430</v>
      </c>
      <c r="M777" s="324" t="s">
        <v>683</v>
      </c>
    </row>
    <row r="778" spans="1:14" s="324" customFormat="1" ht="0.65" hidden="1" customHeight="1">
      <c r="A778" s="324">
        <v>4092</v>
      </c>
      <c r="K778" s="324" t="s">
        <v>29</v>
      </c>
      <c r="L778" s="324" t="s">
        <v>1456</v>
      </c>
      <c r="M778" s="324" t="s">
        <v>684</v>
      </c>
    </row>
    <row r="779" spans="1:14" s="324" customFormat="1" ht="0.65" hidden="1" customHeight="1">
      <c r="A779" s="324">
        <v>4093</v>
      </c>
      <c r="K779" s="324" t="s">
        <v>30</v>
      </c>
      <c r="L779" s="324" t="s">
        <v>1465</v>
      </c>
      <c r="M779" s="324" t="s">
        <v>1033</v>
      </c>
    </row>
    <row r="780" spans="1:14" s="324" customFormat="1" ht="0.65" hidden="1" customHeight="1">
      <c r="A780" s="324">
        <v>4094</v>
      </c>
    </row>
    <row r="781" spans="1:14" s="324" customFormat="1" ht="0.65" hidden="1" customHeight="1">
      <c r="A781" s="324">
        <v>4095</v>
      </c>
    </row>
    <row r="782" spans="1:14" s="324" customFormat="1" ht="0.65" hidden="1" customHeight="1">
      <c r="A782" s="324">
        <v>4096</v>
      </c>
    </row>
    <row r="783" spans="1:14" s="324" customFormat="1" ht="0.65" hidden="1" customHeight="1">
      <c r="A783" s="324">
        <v>4097</v>
      </c>
      <c r="J783" s="324" t="s">
        <v>1466</v>
      </c>
      <c r="N783" s="324" t="s">
        <v>688</v>
      </c>
    </row>
    <row r="784" spans="1:14" s="324" customFormat="1" ht="0.65" hidden="1" customHeight="1">
      <c r="A784" s="324">
        <v>4098</v>
      </c>
    </row>
    <row r="785" spans="1:14" s="324" customFormat="1" ht="0.65" hidden="1" customHeight="1">
      <c r="A785" s="324">
        <v>4099</v>
      </c>
      <c r="J785" s="324" t="s">
        <v>1467</v>
      </c>
      <c r="N785" s="324" t="s">
        <v>690</v>
      </c>
    </row>
    <row r="786" spans="1:14" s="324" customFormat="1" ht="0.65" hidden="1" customHeight="1">
      <c r="A786" s="324">
        <v>4100</v>
      </c>
      <c r="J786" s="324" t="s">
        <v>1468</v>
      </c>
      <c r="N786" s="324" t="s">
        <v>692</v>
      </c>
    </row>
    <row r="787" spans="1:14" s="324" customFormat="1" ht="0.65" hidden="1" customHeight="1">
      <c r="A787" s="324">
        <v>4101</v>
      </c>
      <c r="J787" s="324" t="s">
        <v>1469</v>
      </c>
      <c r="N787" s="324" t="s">
        <v>694</v>
      </c>
    </row>
    <row r="788" spans="1:14" s="324" customFormat="1" ht="0.65" hidden="1" customHeight="1">
      <c r="A788" s="324">
        <v>4102</v>
      </c>
    </row>
    <row r="789" spans="1:14" s="324" customFormat="1" ht="0.65" hidden="1" customHeight="1">
      <c r="A789" s="324">
        <v>4103</v>
      </c>
      <c r="J789" s="324" t="s">
        <v>1470</v>
      </c>
      <c r="N789" s="324" t="s">
        <v>440</v>
      </c>
    </row>
    <row r="790" spans="1:14" s="324" customFormat="1" ht="0.65" hidden="1" customHeight="1">
      <c r="A790" s="324">
        <v>4104</v>
      </c>
      <c r="J790" s="324" t="s">
        <v>1471</v>
      </c>
      <c r="N790" s="324" t="s">
        <v>441</v>
      </c>
    </row>
    <row r="791" spans="1:14" s="324" customFormat="1" ht="0.65" hidden="1" customHeight="1">
      <c r="A791" s="324">
        <v>4105</v>
      </c>
      <c r="J791" s="324" t="s">
        <v>1472</v>
      </c>
      <c r="N791" s="324" t="s">
        <v>442</v>
      </c>
    </row>
    <row r="792" spans="1:14" s="324" customFormat="1" ht="0.65" hidden="1" customHeight="1">
      <c r="A792" s="324">
        <v>4106</v>
      </c>
    </row>
    <row r="793" spans="1:14" s="324" customFormat="1" ht="0.65" hidden="1" customHeight="1">
      <c r="A793" s="324">
        <v>4107</v>
      </c>
    </row>
    <row r="794" spans="1:14" s="324" customFormat="1" ht="0.65" hidden="1" customHeight="1">
      <c r="A794" s="324">
        <v>4108</v>
      </c>
    </row>
    <row r="795" spans="1:14" s="324" customFormat="1" ht="0.65" hidden="1" customHeight="1">
      <c r="A795" s="324">
        <v>4109</v>
      </c>
    </row>
    <row r="796" spans="1:14" s="324" customFormat="1" ht="0.65" hidden="1" customHeight="1">
      <c r="A796" s="324">
        <v>4110</v>
      </c>
    </row>
    <row r="797" spans="1:14" s="324" customFormat="1" ht="0.65" hidden="1" customHeight="1">
      <c r="A797" s="324">
        <v>4111</v>
      </c>
    </row>
    <row r="798" spans="1:14" s="324" customFormat="1" ht="0.65" hidden="1" customHeight="1">
      <c r="A798" s="324">
        <v>4112</v>
      </c>
    </row>
    <row r="799" spans="1:14" s="324" customFormat="1" ht="0.65" hidden="1" customHeight="1">
      <c r="A799" s="324">
        <v>4113</v>
      </c>
    </row>
    <row r="800" spans="1:14" s="324" customFormat="1" ht="0.65" hidden="1" customHeight="1">
      <c r="A800" s="324">
        <v>4114</v>
      </c>
    </row>
    <row r="801" spans="1:13" s="324" customFormat="1" ht="0.65" hidden="1" customHeight="1">
      <c r="A801" s="324">
        <v>4115</v>
      </c>
      <c r="G801" s="324">
        <v>1</v>
      </c>
      <c r="H801" s="324" t="s">
        <v>490</v>
      </c>
      <c r="I801" s="324">
        <v>306250</v>
      </c>
      <c r="J801" s="324" t="s">
        <v>1466</v>
      </c>
      <c r="M801" s="324" t="s">
        <v>688</v>
      </c>
    </row>
    <row r="802" spans="1:13" s="324" customFormat="1" ht="0.65" hidden="1" customHeight="1">
      <c r="A802" s="324">
        <v>4116</v>
      </c>
      <c r="G802" s="324">
        <v>2</v>
      </c>
      <c r="H802" s="324" t="s">
        <v>698</v>
      </c>
      <c r="I802" s="324">
        <v>600000</v>
      </c>
      <c r="J802" s="324" t="s">
        <v>1473</v>
      </c>
      <c r="M802" s="324" t="s">
        <v>698</v>
      </c>
    </row>
    <row r="803" spans="1:13" s="324" customFormat="1" ht="0.65" hidden="1" customHeight="1">
      <c r="A803" s="324">
        <v>4117</v>
      </c>
      <c r="G803" s="324">
        <v>3</v>
      </c>
      <c r="H803" s="324" t="s">
        <v>700</v>
      </c>
      <c r="I803" s="324">
        <v>500000</v>
      </c>
      <c r="J803" s="324" t="s">
        <v>1474</v>
      </c>
      <c r="M803" s="324" t="s">
        <v>700</v>
      </c>
    </row>
    <row r="804" spans="1:13" s="324" customFormat="1" ht="0.65" hidden="1" customHeight="1">
      <c r="A804" s="324">
        <v>4118</v>
      </c>
      <c r="G804" s="324">
        <v>4</v>
      </c>
      <c r="H804" s="324" t="s">
        <v>702</v>
      </c>
      <c r="I804" s="324">
        <v>-12500</v>
      </c>
      <c r="J804" s="324" t="s">
        <v>1475</v>
      </c>
      <c r="M804" s="324" t="s">
        <v>704</v>
      </c>
    </row>
    <row r="805" spans="1:13" s="324" customFormat="1" ht="0.65" hidden="1" customHeight="1">
      <c r="A805" s="324">
        <v>4119</v>
      </c>
      <c r="G805" s="324">
        <v>5</v>
      </c>
      <c r="H805" s="324" t="s">
        <v>705</v>
      </c>
      <c r="I805" s="324">
        <v>112500</v>
      </c>
      <c r="J805" s="324" t="s">
        <v>1476</v>
      </c>
      <c r="M805" s="324" t="s">
        <v>707</v>
      </c>
    </row>
    <row r="806" spans="1:13" s="324" customFormat="1" ht="0.65" hidden="1" customHeight="1">
      <c r="A806" s="324">
        <v>4120</v>
      </c>
      <c r="G806" s="324">
        <v>6</v>
      </c>
      <c r="H806" s="324" t="s">
        <v>708</v>
      </c>
      <c r="I806" s="324">
        <v>28125</v>
      </c>
      <c r="J806" s="324" t="s">
        <v>1477</v>
      </c>
      <c r="M806" s="324" t="s">
        <v>710</v>
      </c>
    </row>
    <row r="807" spans="1:13" s="324" customFormat="1" ht="0.65" hidden="1" customHeight="1">
      <c r="A807" s="324">
        <v>4121</v>
      </c>
      <c r="G807" s="324">
        <v>7</v>
      </c>
      <c r="H807" s="324" t="s">
        <v>711</v>
      </c>
      <c r="I807" s="324">
        <v>84375</v>
      </c>
      <c r="J807" s="324" t="s">
        <v>1478</v>
      </c>
      <c r="M807" s="324" t="s">
        <v>713</v>
      </c>
    </row>
    <row r="808" spans="1:13" s="324" customFormat="1" ht="0.65" hidden="1" customHeight="1">
      <c r="A808" s="324">
        <v>4122</v>
      </c>
      <c r="G808" s="324">
        <v>8</v>
      </c>
      <c r="H808" s="324" t="s">
        <v>714</v>
      </c>
      <c r="I808" s="324">
        <v>71875</v>
      </c>
      <c r="J808" s="324" t="s">
        <v>1479</v>
      </c>
      <c r="M808" s="324" t="s">
        <v>716</v>
      </c>
    </row>
    <row r="809" spans="1:13" s="324" customFormat="1" ht="0.65" hidden="1" customHeight="1">
      <c r="A809" s="324">
        <v>4123</v>
      </c>
      <c r="G809" s="324">
        <v>9</v>
      </c>
      <c r="H809" s="324" t="s">
        <v>717</v>
      </c>
      <c r="I809" s="324">
        <v>150000</v>
      </c>
      <c r="J809" s="324" t="s">
        <v>1480</v>
      </c>
      <c r="M809" s="324" t="s">
        <v>719</v>
      </c>
    </row>
    <row r="810" spans="1:13" s="324" customFormat="1" ht="0.65" hidden="1" customHeight="1">
      <c r="A810" s="324">
        <v>4124</v>
      </c>
      <c r="G810" s="324">
        <v>10</v>
      </c>
      <c r="H810" s="324" t="s">
        <v>720</v>
      </c>
      <c r="I810" s="324">
        <v>125000</v>
      </c>
      <c r="J810" s="324" t="s">
        <v>1481</v>
      </c>
      <c r="M810" s="324" t="s">
        <v>722</v>
      </c>
    </row>
    <row r="811" spans="1:13" s="324" customFormat="1" ht="0.65" hidden="1" customHeight="1">
      <c r="A811" s="324">
        <v>4125</v>
      </c>
      <c r="G811" s="324">
        <v>11</v>
      </c>
      <c r="H811" s="324" t="s">
        <v>723</v>
      </c>
      <c r="I811" s="324">
        <v>25000</v>
      </c>
      <c r="J811" s="324" t="s">
        <v>1482</v>
      </c>
      <c r="M811" s="324" t="s">
        <v>725</v>
      </c>
    </row>
    <row r="812" spans="1:13" s="324" customFormat="1" ht="0.65" hidden="1" customHeight="1">
      <c r="A812" s="324">
        <v>4126</v>
      </c>
      <c r="G812" s="324">
        <v>12</v>
      </c>
      <c r="H812" s="324" t="s">
        <v>726</v>
      </c>
      <c r="I812" s="324">
        <v>25000</v>
      </c>
      <c r="J812" s="324" t="s">
        <v>1483</v>
      </c>
      <c r="M812" s="324" t="s">
        <v>728</v>
      </c>
    </row>
    <row r="813" spans="1:13" s="324" customFormat="1" ht="0.65" hidden="1" customHeight="1">
      <c r="A813" s="324">
        <v>4127</v>
      </c>
      <c r="G813" s="324">
        <v>13</v>
      </c>
      <c r="H813" s="324" t="s">
        <v>729</v>
      </c>
      <c r="I813" s="324">
        <v>46875</v>
      </c>
      <c r="J813" s="324" t="s">
        <v>1484</v>
      </c>
    </row>
    <row r="814" spans="1:13" s="324" customFormat="1" ht="0.65" hidden="1" customHeight="1">
      <c r="A814" s="324">
        <v>4128</v>
      </c>
      <c r="G814" s="324">
        <v>14</v>
      </c>
      <c r="H814" s="324" t="s">
        <v>731</v>
      </c>
      <c r="I814" s="324">
        <v>600000</v>
      </c>
      <c r="J814" s="324" t="s">
        <v>1473</v>
      </c>
      <c r="M814" s="324" t="s">
        <v>731</v>
      </c>
    </row>
    <row r="815" spans="1:13" s="324" customFormat="1" ht="0.65" hidden="1" customHeight="1">
      <c r="A815" s="324">
        <v>4129</v>
      </c>
      <c r="G815" s="324">
        <v>15</v>
      </c>
      <c r="H815" s="324" t="s">
        <v>732</v>
      </c>
      <c r="I815" s="324">
        <v>500000</v>
      </c>
      <c r="J815" s="324" t="s">
        <v>1474</v>
      </c>
      <c r="M815" s="324" t="s">
        <v>732</v>
      </c>
    </row>
    <row r="816" spans="1:13" s="324" customFormat="1" ht="0.65" hidden="1" customHeight="1">
      <c r="A816" s="324">
        <v>4130</v>
      </c>
      <c r="G816" s="324">
        <v>16</v>
      </c>
      <c r="H816" s="324" t="s">
        <v>733</v>
      </c>
      <c r="I816" s="324">
        <v>-12500</v>
      </c>
      <c r="J816" s="324" t="s">
        <v>1475</v>
      </c>
      <c r="M816" s="324" t="s">
        <v>704</v>
      </c>
    </row>
    <row r="817" spans="1:13" s="324" customFormat="1" ht="0.65" hidden="1" customHeight="1">
      <c r="A817" s="324">
        <v>4131</v>
      </c>
      <c r="G817" s="324">
        <v>17</v>
      </c>
      <c r="H817" s="324" t="s">
        <v>734</v>
      </c>
      <c r="I817" s="324">
        <v>112500</v>
      </c>
      <c r="J817" s="324" t="s">
        <v>1476</v>
      </c>
      <c r="M817" s="324" t="s">
        <v>735</v>
      </c>
    </row>
    <row r="818" spans="1:13" s="324" customFormat="1" ht="0.65" hidden="1" customHeight="1">
      <c r="A818" s="324">
        <v>4132</v>
      </c>
      <c r="G818" s="324">
        <v>18</v>
      </c>
      <c r="H818" s="324" t="s">
        <v>736</v>
      </c>
      <c r="I818" s="324">
        <v>28125</v>
      </c>
      <c r="J818" s="324" t="s">
        <v>1477</v>
      </c>
      <c r="M818" s="324" t="s">
        <v>737</v>
      </c>
    </row>
    <row r="819" spans="1:13" s="324" customFormat="1" ht="0.65" hidden="1" customHeight="1">
      <c r="A819" s="324">
        <v>4133</v>
      </c>
      <c r="G819" s="324">
        <v>19</v>
      </c>
      <c r="H819" s="324" t="s">
        <v>738</v>
      </c>
      <c r="I819" s="324">
        <v>84375</v>
      </c>
      <c r="J819" s="324" t="s">
        <v>1478</v>
      </c>
      <c r="M819" s="324" t="s">
        <v>739</v>
      </c>
    </row>
    <row r="820" spans="1:13" s="324" customFormat="1" ht="0.65" hidden="1" customHeight="1">
      <c r="A820" s="324">
        <v>4134</v>
      </c>
      <c r="G820" s="324">
        <v>20</v>
      </c>
      <c r="H820" s="324" t="s">
        <v>740</v>
      </c>
      <c r="I820" s="324">
        <v>71875</v>
      </c>
      <c r="J820" s="324" t="s">
        <v>1479</v>
      </c>
      <c r="M820" s="324" t="s">
        <v>741</v>
      </c>
    </row>
    <row r="821" spans="1:13" s="324" customFormat="1" ht="0.65" hidden="1" customHeight="1">
      <c r="A821" s="324">
        <v>4135</v>
      </c>
      <c r="G821" s="324">
        <v>21</v>
      </c>
      <c r="H821" s="324" t="s">
        <v>742</v>
      </c>
      <c r="I821" s="324">
        <v>150000</v>
      </c>
      <c r="J821" s="324" t="s">
        <v>1480</v>
      </c>
      <c r="M821" s="324" t="s">
        <v>743</v>
      </c>
    </row>
    <row r="822" spans="1:13" s="324" customFormat="1" ht="0.65" hidden="1" customHeight="1">
      <c r="A822" s="324">
        <v>4136</v>
      </c>
      <c r="G822" s="324">
        <v>22</v>
      </c>
      <c r="H822" s="324" t="s">
        <v>744</v>
      </c>
      <c r="I822" s="324">
        <v>125000</v>
      </c>
      <c r="J822" s="324" t="s">
        <v>1481</v>
      </c>
      <c r="M822" s="324" t="s">
        <v>745</v>
      </c>
    </row>
    <row r="823" spans="1:13" s="324" customFormat="1" ht="0.65" hidden="1" customHeight="1">
      <c r="A823" s="324">
        <v>4137</v>
      </c>
      <c r="G823" s="324">
        <v>23</v>
      </c>
      <c r="H823" s="324" t="s">
        <v>746</v>
      </c>
      <c r="I823" s="324">
        <v>25000</v>
      </c>
      <c r="J823" s="324" t="s">
        <v>1482</v>
      </c>
      <c r="M823" s="324" t="s">
        <v>747</v>
      </c>
    </row>
    <row r="824" spans="1:13" s="324" customFormat="1" ht="0.65" hidden="1" customHeight="1">
      <c r="A824" s="324">
        <v>4138</v>
      </c>
      <c r="G824" s="324">
        <v>24</v>
      </c>
      <c r="H824" s="324" t="s">
        <v>748</v>
      </c>
      <c r="I824" s="324">
        <v>0</v>
      </c>
      <c r="J824" s="324" t="s">
        <v>1485</v>
      </c>
      <c r="M824" s="324" t="s">
        <v>750</v>
      </c>
    </row>
    <row r="825" spans="1:13" s="324" customFormat="1" ht="0.65" hidden="1" customHeight="1">
      <c r="A825" s="324">
        <v>4139</v>
      </c>
      <c r="G825" s="324">
        <v>25</v>
      </c>
      <c r="H825" s="324" t="s">
        <v>751</v>
      </c>
      <c r="I825" s="324">
        <v>71875</v>
      </c>
      <c r="J825" s="324" t="s">
        <v>1486</v>
      </c>
    </row>
    <row r="826" spans="1:13" s="324" customFormat="1" ht="0.65" hidden="1" customHeight="1">
      <c r="A826" s="324">
        <v>4140</v>
      </c>
      <c r="G826" s="324">
        <v>26</v>
      </c>
      <c r="H826" s="324" t="s">
        <v>753</v>
      </c>
      <c r="I826" s="324">
        <v>600000</v>
      </c>
      <c r="J826" s="324" t="s">
        <v>1473</v>
      </c>
      <c r="M826" s="324" t="s">
        <v>753</v>
      </c>
    </row>
    <row r="827" spans="1:13" s="324" customFormat="1" ht="0.65" hidden="1" customHeight="1">
      <c r="A827" s="324">
        <v>4141</v>
      </c>
      <c r="G827" s="324">
        <v>27</v>
      </c>
      <c r="H827" s="324" t="s">
        <v>754</v>
      </c>
      <c r="I827" s="324">
        <v>500000</v>
      </c>
      <c r="J827" s="324" t="s">
        <v>1474</v>
      </c>
      <c r="M827" s="324" t="s">
        <v>754</v>
      </c>
    </row>
    <row r="828" spans="1:13" s="324" customFormat="1" ht="0.65" hidden="1" customHeight="1">
      <c r="A828" s="324">
        <v>4142</v>
      </c>
      <c r="G828" s="324">
        <v>28</v>
      </c>
      <c r="H828" s="324" t="s">
        <v>755</v>
      </c>
      <c r="I828" s="324">
        <v>-12500</v>
      </c>
      <c r="J828" s="324" t="s">
        <v>1475</v>
      </c>
      <c r="M828" s="324" t="s">
        <v>704</v>
      </c>
    </row>
    <row r="829" spans="1:13" s="324" customFormat="1" ht="0.65" hidden="1" customHeight="1">
      <c r="A829" s="324">
        <v>4143</v>
      </c>
      <c r="G829" s="324">
        <v>29</v>
      </c>
      <c r="H829" s="324" t="s">
        <v>758</v>
      </c>
      <c r="I829" s="324">
        <v>112500</v>
      </c>
      <c r="J829" s="324" t="s">
        <v>1476</v>
      </c>
      <c r="M829" s="324" t="s">
        <v>760</v>
      </c>
    </row>
    <row r="830" spans="1:13" s="324" customFormat="1" ht="0.65" hidden="1" customHeight="1">
      <c r="A830" s="324">
        <v>4144</v>
      </c>
      <c r="G830" s="324">
        <v>30</v>
      </c>
      <c r="H830" s="324" t="s">
        <v>761</v>
      </c>
      <c r="I830" s="324">
        <v>28125</v>
      </c>
      <c r="J830" s="324" t="s">
        <v>1477</v>
      </c>
      <c r="M830" s="324" t="s">
        <v>763</v>
      </c>
    </row>
    <row r="831" spans="1:13" s="324" customFormat="1" ht="0.65" hidden="1" customHeight="1">
      <c r="A831" s="324">
        <v>4145</v>
      </c>
      <c r="G831" s="324">
        <v>31</v>
      </c>
      <c r="H831" s="324" t="s">
        <v>764</v>
      </c>
      <c r="I831" s="324">
        <v>84375</v>
      </c>
      <c r="J831" s="324" t="s">
        <v>1478</v>
      </c>
      <c r="M831" s="324" t="s">
        <v>766</v>
      </c>
    </row>
    <row r="832" spans="1:13" s="324" customFormat="1" ht="0.65" hidden="1" customHeight="1">
      <c r="A832" s="324">
        <v>4146</v>
      </c>
      <c r="G832" s="324">
        <v>32</v>
      </c>
      <c r="H832" s="324" t="s">
        <v>767</v>
      </c>
      <c r="I832" s="324">
        <v>71875</v>
      </c>
      <c r="J832" s="324" t="s">
        <v>1479</v>
      </c>
      <c r="M832" s="324" t="s">
        <v>769</v>
      </c>
    </row>
    <row r="833" spans="1:13" s="324" customFormat="1" ht="0.65" hidden="1" customHeight="1">
      <c r="A833" s="324">
        <v>4147</v>
      </c>
      <c r="G833" s="324">
        <v>33</v>
      </c>
      <c r="H833" s="324" t="s">
        <v>770</v>
      </c>
      <c r="I833" s="324">
        <v>150000</v>
      </c>
      <c r="J833" s="324" t="s">
        <v>1480</v>
      </c>
      <c r="M833" s="324" t="s">
        <v>771</v>
      </c>
    </row>
    <row r="834" spans="1:13" s="324" customFormat="1" ht="0.65" hidden="1" customHeight="1">
      <c r="A834" s="324">
        <v>4148</v>
      </c>
      <c r="G834" s="324">
        <v>34</v>
      </c>
      <c r="H834" s="324" t="s">
        <v>772</v>
      </c>
      <c r="I834" s="324">
        <v>125000</v>
      </c>
      <c r="J834" s="324" t="s">
        <v>1481</v>
      </c>
      <c r="M834" s="324" t="s">
        <v>773</v>
      </c>
    </row>
    <row r="835" spans="1:13" s="324" customFormat="1" ht="0.65" hidden="1" customHeight="1">
      <c r="A835" s="324">
        <v>4149</v>
      </c>
      <c r="G835" s="324">
        <v>35</v>
      </c>
      <c r="H835" s="324" t="s">
        <v>774</v>
      </c>
      <c r="I835" s="324">
        <v>25000</v>
      </c>
      <c r="J835" s="324" t="s">
        <v>1482</v>
      </c>
      <c r="M835" s="324" t="s">
        <v>775</v>
      </c>
    </row>
    <row r="836" spans="1:13" s="324" customFormat="1" ht="0.65" hidden="1" customHeight="1">
      <c r="A836" s="324">
        <v>4150</v>
      </c>
      <c r="G836" s="324">
        <v>36</v>
      </c>
      <c r="H836" s="324" t="s">
        <v>776</v>
      </c>
      <c r="I836" s="324">
        <v>0</v>
      </c>
      <c r="J836" s="324" t="s">
        <v>1485</v>
      </c>
      <c r="M836" s="324" t="s">
        <v>777</v>
      </c>
    </row>
    <row r="837" spans="1:13" s="324" customFormat="1" ht="0.65" hidden="1" customHeight="1">
      <c r="A837" s="324">
        <v>4151</v>
      </c>
      <c r="G837" s="324">
        <v>37</v>
      </c>
      <c r="H837" s="324" t="s">
        <v>778</v>
      </c>
      <c r="I837" s="324">
        <v>71875</v>
      </c>
      <c r="J837" s="324" t="s">
        <v>1486</v>
      </c>
    </row>
    <row r="838" spans="1:13" s="324" customFormat="1" ht="0.65" hidden="1" customHeight="1">
      <c r="A838" s="324">
        <v>4152</v>
      </c>
      <c r="G838" s="324">
        <v>38</v>
      </c>
      <c r="H838" s="324" t="s">
        <v>780</v>
      </c>
      <c r="I838" s="324">
        <v>114062.5</v>
      </c>
      <c r="J838" s="324" t="s">
        <v>1467</v>
      </c>
      <c r="M838" s="324" t="s">
        <v>690</v>
      </c>
    </row>
    <row r="839" spans="1:13" s="324" customFormat="1" ht="0.65" hidden="1" customHeight="1">
      <c r="A839" s="324">
        <v>4153</v>
      </c>
      <c r="G839" s="324">
        <v>39</v>
      </c>
      <c r="H839" s="324" t="s">
        <v>781</v>
      </c>
      <c r="I839" s="324">
        <v>25000</v>
      </c>
      <c r="J839" s="324" t="s">
        <v>1482</v>
      </c>
      <c r="M839" s="324" t="s">
        <v>775</v>
      </c>
    </row>
    <row r="840" spans="1:13" s="324" customFormat="1" ht="0.65" hidden="1" customHeight="1">
      <c r="A840" s="324">
        <v>4154</v>
      </c>
      <c r="G840" s="324">
        <v>40</v>
      </c>
      <c r="H840" s="324" t="s">
        <v>782</v>
      </c>
      <c r="I840" s="324">
        <v>139062.5</v>
      </c>
      <c r="J840" s="324" t="s">
        <v>1487</v>
      </c>
      <c r="M840" s="324" t="s">
        <v>784</v>
      </c>
    </row>
    <row r="841" spans="1:13" s="324" customFormat="1" ht="0.65" hidden="1" customHeight="1">
      <c r="A841" s="324">
        <v>4155</v>
      </c>
      <c r="G841" s="324">
        <v>41</v>
      </c>
      <c r="H841" s="324" t="s">
        <v>607</v>
      </c>
      <c r="I841" s="324">
        <v>-306250</v>
      </c>
      <c r="J841" s="324" t="s">
        <v>1488</v>
      </c>
      <c r="M841" s="324" t="s">
        <v>786</v>
      </c>
    </row>
    <row r="842" spans="1:13" s="324" customFormat="1" ht="0.65" hidden="1" customHeight="1">
      <c r="A842" s="324">
        <v>4156</v>
      </c>
      <c r="G842" s="324">
        <v>42</v>
      </c>
      <c r="H842" s="324" t="s">
        <v>610</v>
      </c>
      <c r="I842" s="324">
        <v>46875</v>
      </c>
      <c r="J842" s="324" t="s">
        <v>1484</v>
      </c>
      <c r="M842" s="324" t="s">
        <v>729</v>
      </c>
    </row>
    <row r="843" spans="1:13" s="324" customFormat="1" ht="0.65" hidden="1" customHeight="1">
      <c r="A843" s="324">
        <v>4157</v>
      </c>
      <c r="G843" s="324">
        <v>43</v>
      </c>
      <c r="H843" s="324" t="s">
        <v>611</v>
      </c>
      <c r="I843" s="324">
        <v>71875</v>
      </c>
      <c r="J843" s="324" t="s">
        <v>1486</v>
      </c>
      <c r="M843" s="324" t="s">
        <v>751</v>
      </c>
    </row>
    <row r="844" spans="1:13" s="324" customFormat="1" ht="0.65" hidden="1" customHeight="1">
      <c r="A844" s="324">
        <v>4158</v>
      </c>
      <c r="G844" s="324">
        <v>44</v>
      </c>
      <c r="H844" s="324" t="s">
        <v>612</v>
      </c>
      <c r="I844" s="324">
        <v>210937.5</v>
      </c>
      <c r="J844" s="324" t="s">
        <v>1489</v>
      </c>
      <c r="M844" s="324" t="s">
        <v>788</v>
      </c>
    </row>
    <row r="845" spans="1:13" s="324" customFormat="1" ht="0.65" hidden="1" customHeight="1">
      <c r="A845" s="324">
        <v>4159</v>
      </c>
      <c r="G845" s="324">
        <v>45</v>
      </c>
      <c r="H845" s="324" t="s">
        <v>414</v>
      </c>
      <c r="I845" s="324">
        <v>0.06</v>
      </c>
      <c r="J845" s="324" t="s">
        <v>1470</v>
      </c>
      <c r="M845" s="324" t="s">
        <v>440</v>
      </c>
    </row>
    <row r="846" spans="1:13" s="324" customFormat="1" ht="0.65" hidden="1" customHeight="1">
      <c r="A846" s="324">
        <v>4160</v>
      </c>
      <c r="G846" s="324">
        <v>46</v>
      </c>
      <c r="H846" s="324" t="s">
        <v>415</v>
      </c>
      <c r="I846" s="324">
        <v>0.11</v>
      </c>
      <c r="J846" s="324" t="s">
        <v>1471</v>
      </c>
      <c r="M846" s="324" t="s">
        <v>441</v>
      </c>
    </row>
    <row r="847" spans="1:13" s="324" customFormat="1" ht="0.65" hidden="1" customHeight="1">
      <c r="A847" s="324">
        <v>4161</v>
      </c>
      <c r="G847" s="324">
        <v>47</v>
      </c>
      <c r="H847" s="324" t="s">
        <v>416</v>
      </c>
      <c r="I847" s="324">
        <v>8.4999999999999992E-2</v>
      </c>
      <c r="J847" s="324" t="s">
        <v>1472</v>
      </c>
      <c r="M847" s="324" t="s">
        <v>442</v>
      </c>
    </row>
    <row r="848" spans="1:13" s="324" customFormat="1" ht="0.65" hidden="1" customHeight="1">
      <c r="A848" s="324">
        <v>4162</v>
      </c>
      <c r="G848" s="324">
        <v>48</v>
      </c>
      <c r="H848" s="324" t="s">
        <v>13</v>
      </c>
      <c r="I848" s="324">
        <v>-36847.959271750646</v>
      </c>
      <c r="J848" s="324" t="s">
        <v>1490</v>
      </c>
      <c r="M848" s="324" t="s">
        <v>622</v>
      </c>
    </row>
    <row r="849" spans="1:28" s="324" customFormat="1" ht="0.65" hidden="1" customHeight="1">
      <c r="A849" s="324">
        <v>4163</v>
      </c>
      <c r="G849" s="324">
        <v>49</v>
      </c>
      <c r="H849" s="324" t="s">
        <v>28</v>
      </c>
      <c r="I849" s="324">
        <v>3.0062994449785885E-2</v>
      </c>
      <c r="J849" s="324" t="s">
        <v>1430</v>
      </c>
      <c r="M849" s="324" t="s">
        <v>624</v>
      </c>
    </row>
    <row r="850" spans="1:28" s="324" customFormat="1" ht="0.65" hidden="1" customHeight="1">
      <c r="A850" s="324">
        <v>4164</v>
      </c>
      <c r="G850" s="324">
        <v>50</v>
      </c>
      <c r="H850" s="324" t="s">
        <v>29</v>
      </c>
      <c r="I850" s="324">
        <v>-0.12031986700979802</v>
      </c>
      <c r="J850" s="324" t="s">
        <v>1491</v>
      </c>
      <c r="M850" s="324" t="s">
        <v>791</v>
      </c>
    </row>
    <row r="851" spans="1:28" s="324" customFormat="1" ht="0.65" hidden="1" customHeight="1">
      <c r="A851" s="324">
        <v>4165</v>
      </c>
      <c r="G851" s="324">
        <v>51</v>
      </c>
      <c r="H851" s="324" t="s">
        <v>30</v>
      </c>
      <c r="I851" s="324">
        <v>3</v>
      </c>
      <c r="J851" s="324" t="s">
        <v>1465</v>
      </c>
      <c r="M851" s="324" t="s">
        <v>1060</v>
      </c>
    </row>
    <row r="852" spans="1:28" s="324" customFormat="1" ht="0.65" hidden="1" customHeight="1"/>
    <row r="853" spans="1:28" s="324" customFormat="1" ht="0.65" hidden="1" customHeight="1"/>
    <row r="854" spans="1:28" s="324" customFormat="1" ht="0.65" hidden="1" customHeight="1"/>
    <row r="855" spans="1:28" s="324" customFormat="1" ht="0.65" hidden="1" customHeight="1">
      <c r="B855" s="324" t="s">
        <v>19</v>
      </c>
      <c r="D855" s="324" t="s">
        <v>336</v>
      </c>
      <c r="E855" s="324">
        <v>5</v>
      </c>
      <c r="H855" s="324" t="s">
        <v>24</v>
      </c>
    </row>
    <row r="856" spans="1:28" s="324" customFormat="1" ht="0.65" hidden="1" customHeight="1">
      <c r="B856" s="324" t="s">
        <v>3951</v>
      </c>
      <c r="D856" s="324" t="s">
        <v>336</v>
      </c>
      <c r="E856" s="324" t="s">
        <v>486</v>
      </c>
    </row>
    <row r="857" spans="1:28" s="324" customFormat="1" ht="0.65" hidden="1" customHeight="1">
      <c r="A857" s="324">
        <v>5001</v>
      </c>
      <c r="C857" s="324" t="s">
        <v>5</v>
      </c>
      <c r="D857" s="324">
        <v>2022</v>
      </c>
      <c r="H857" s="324" t="s">
        <v>490</v>
      </c>
      <c r="I857" s="324">
        <v>967500</v>
      </c>
      <c r="J857" s="324" t="s">
        <v>1626</v>
      </c>
      <c r="U857" s="324" t="s">
        <v>151</v>
      </c>
    </row>
    <row r="858" spans="1:28" s="324" customFormat="1" ht="0.65" hidden="1" customHeight="1">
      <c r="A858" s="324">
        <v>5002</v>
      </c>
    </row>
    <row r="859" spans="1:28" s="324" customFormat="1" ht="0.65" hidden="1" customHeight="1">
      <c r="A859" s="324">
        <v>5003</v>
      </c>
      <c r="C859" s="324" t="s">
        <v>32</v>
      </c>
      <c r="H859" s="324" t="s">
        <v>21</v>
      </c>
      <c r="N859" s="324" t="s">
        <v>646</v>
      </c>
      <c r="U859" s="324" t="s">
        <v>152</v>
      </c>
      <c r="Z859" s="324" t="s">
        <v>176</v>
      </c>
      <c r="AA859" s="324">
        <v>104229.1490951411</v>
      </c>
    </row>
    <row r="860" spans="1:28" s="324" customFormat="1" ht="0.65" hidden="1" customHeight="1">
      <c r="A860" s="324">
        <v>5004</v>
      </c>
      <c r="C860" s="324" t="s">
        <v>488</v>
      </c>
      <c r="D860" s="324">
        <v>1200000</v>
      </c>
      <c r="H860" s="324" t="s">
        <v>454</v>
      </c>
      <c r="K860" s="324">
        <v>16</v>
      </c>
      <c r="L860" s="324" t="s">
        <v>55</v>
      </c>
      <c r="M860" s="324" t="s">
        <v>185</v>
      </c>
      <c r="N860" s="324" t="s">
        <v>1674</v>
      </c>
      <c r="O860" s="324" t="s">
        <v>1675</v>
      </c>
      <c r="Y860" s="324" t="s">
        <v>139</v>
      </c>
      <c r="Z860" s="324" t="s">
        <v>174</v>
      </c>
    </row>
    <row r="861" spans="1:28" s="324" customFormat="1" ht="0.65" hidden="1" customHeight="1">
      <c r="A861" s="324">
        <v>5005</v>
      </c>
      <c r="C861" s="324" t="s">
        <v>6</v>
      </c>
      <c r="D861" s="324">
        <v>10</v>
      </c>
      <c r="T861" s="324" t="s">
        <v>187</v>
      </c>
      <c r="V861" s="324" t="s">
        <v>180</v>
      </c>
      <c r="X861" s="324" t="s">
        <v>177</v>
      </c>
      <c r="Y861" s="324" t="s">
        <v>173</v>
      </c>
      <c r="Z861" s="324" t="s">
        <v>175</v>
      </c>
      <c r="AA861" s="324" t="s">
        <v>172</v>
      </c>
      <c r="AB861" s="324" t="s">
        <v>417</v>
      </c>
    </row>
    <row r="862" spans="1:28" s="324" customFormat="1" ht="0.65" hidden="1" customHeight="1">
      <c r="A862" s="324">
        <v>5006</v>
      </c>
      <c r="C862" s="324" t="s">
        <v>489</v>
      </c>
      <c r="D862" s="324">
        <v>120000</v>
      </c>
      <c r="H862" s="324" t="s">
        <v>0</v>
      </c>
      <c r="I862" s="324" t="s">
        <v>69</v>
      </c>
      <c r="J862" s="324" t="s">
        <v>70</v>
      </c>
      <c r="K862" s="324" t="s">
        <v>71</v>
      </c>
      <c r="L862" s="324" t="s">
        <v>72</v>
      </c>
      <c r="M862" s="324" t="s">
        <v>73</v>
      </c>
      <c r="N862" s="324" t="s">
        <v>74</v>
      </c>
      <c r="O862" s="324" t="s">
        <v>75</v>
      </c>
      <c r="T862" s="324">
        <v>1</v>
      </c>
      <c r="U862" s="324" t="s">
        <v>153</v>
      </c>
      <c r="X862" s="324" t="s">
        <v>6</v>
      </c>
      <c r="Y862" s="324">
        <v>10</v>
      </c>
      <c r="Z862" s="324">
        <v>15</v>
      </c>
      <c r="AA862" s="324">
        <v>102100.40098369634</v>
      </c>
      <c r="AB862" s="324">
        <v>-2128.7481114447583</v>
      </c>
    </row>
    <row r="863" spans="1:28" s="324" customFormat="1" ht="0.65" hidden="1" customHeight="1">
      <c r="A863" s="324">
        <v>5007</v>
      </c>
      <c r="H863" s="324">
        <v>2023</v>
      </c>
      <c r="I863" s="324">
        <v>600000</v>
      </c>
      <c r="J863" s="324">
        <v>150000</v>
      </c>
      <c r="K863" s="324">
        <v>-30000</v>
      </c>
      <c r="L863" s="324">
        <v>480000</v>
      </c>
      <c r="M863" s="324">
        <v>120000</v>
      </c>
      <c r="N863" s="324">
        <v>360000</v>
      </c>
      <c r="O863" s="324">
        <v>330000</v>
      </c>
      <c r="T863" s="324">
        <v>2</v>
      </c>
      <c r="U863" s="324" t="s">
        <v>154</v>
      </c>
      <c r="X863" s="324" t="s">
        <v>488</v>
      </c>
      <c r="Y863" s="324">
        <v>1200000</v>
      </c>
      <c r="Z863" s="324">
        <v>1320000</v>
      </c>
      <c r="AA863" s="324">
        <v>8097.153366178507</v>
      </c>
      <c r="AB863" s="324">
        <v>-96131.995728962589</v>
      </c>
    </row>
    <row r="864" spans="1:28" s="324" customFormat="1" ht="0.65" hidden="1" customHeight="1">
      <c r="A864" s="324">
        <v>5008</v>
      </c>
      <c r="C864" s="324" t="s">
        <v>34</v>
      </c>
      <c r="D864" s="324">
        <v>600000</v>
      </c>
      <c r="H864" s="324">
        <v>2024</v>
      </c>
      <c r="I864" s="324">
        <v>600000</v>
      </c>
      <c r="J864" s="324">
        <v>150000</v>
      </c>
      <c r="K864" s="324">
        <v>-30000</v>
      </c>
      <c r="L864" s="324">
        <v>480000</v>
      </c>
      <c r="M864" s="324">
        <v>120000</v>
      </c>
      <c r="N864" s="324">
        <v>360000</v>
      </c>
      <c r="O864" s="324">
        <v>330000</v>
      </c>
      <c r="T864" s="324">
        <v>3</v>
      </c>
      <c r="U864" s="324" t="s">
        <v>155</v>
      </c>
      <c r="X864" s="324" t="s">
        <v>489</v>
      </c>
      <c r="Y864" s="324">
        <v>120000</v>
      </c>
      <c r="Z864" s="324">
        <v>108000</v>
      </c>
      <c r="AA864" s="324">
        <v>97260.335143859964</v>
      </c>
      <c r="AB864" s="324">
        <v>-6968.8139512811322</v>
      </c>
    </row>
    <row r="865" spans="1:28" s="324" customFormat="1" ht="0.65" hidden="1" customHeight="1">
      <c r="A865" s="324">
        <v>5009</v>
      </c>
      <c r="C865" s="324" t="s">
        <v>35</v>
      </c>
      <c r="D865" s="324">
        <v>150000</v>
      </c>
      <c r="H865" s="324">
        <v>2025</v>
      </c>
      <c r="I865" s="324">
        <v>600000</v>
      </c>
      <c r="J865" s="324">
        <v>150000</v>
      </c>
      <c r="K865" s="324">
        <v>120000</v>
      </c>
      <c r="L865" s="324">
        <v>330000</v>
      </c>
      <c r="M865" s="324">
        <v>82500</v>
      </c>
      <c r="N865" s="324">
        <v>247500</v>
      </c>
      <c r="O865" s="324">
        <v>367500</v>
      </c>
      <c r="T865" s="324">
        <v>4</v>
      </c>
      <c r="U865" s="324" t="s">
        <v>156</v>
      </c>
      <c r="X865" s="324" t="s">
        <v>492</v>
      </c>
      <c r="Y865" s="324">
        <v>210000</v>
      </c>
      <c r="Z865" s="324">
        <v>231000.00000000003</v>
      </c>
      <c r="AA865" s="324">
        <v>119979.1490951411</v>
      </c>
      <c r="AB865" s="324">
        <v>15750</v>
      </c>
    </row>
    <row r="866" spans="1:28" s="324" customFormat="1" ht="0.65" hidden="1" customHeight="1">
      <c r="A866" s="324">
        <v>5010</v>
      </c>
      <c r="T866" s="324">
        <v>5</v>
      </c>
      <c r="U866" s="324" t="s">
        <v>157</v>
      </c>
      <c r="X866" s="324" t="s">
        <v>6</v>
      </c>
      <c r="Y866" s="324">
        <v>2</v>
      </c>
      <c r="Z866" s="324">
        <v>1</v>
      </c>
      <c r="AA866" s="324">
        <v>101414.8806910906</v>
      </c>
      <c r="AB866" s="324">
        <v>-2814.2684040504973</v>
      </c>
    </row>
    <row r="867" spans="1:28" s="324" customFormat="1" ht="0.65" hidden="1" customHeight="1">
      <c r="A867" s="324">
        <v>5011</v>
      </c>
      <c r="C867" s="324" t="s">
        <v>7</v>
      </c>
      <c r="D867" s="324">
        <v>60</v>
      </c>
      <c r="H867" s="324" t="s">
        <v>22</v>
      </c>
      <c r="N867" s="324" t="s">
        <v>649</v>
      </c>
      <c r="T867" s="324">
        <v>6</v>
      </c>
      <c r="U867" s="324" t="s">
        <v>158</v>
      </c>
      <c r="X867" s="324" t="s">
        <v>495</v>
      </c>
      <c r="Y867" s="324">
        <v>300000</v>
      </c>
      <c r="Z867" s="324">
        <v>330000</v>
      </c>
      <c r="AA867" s="324">
        <v>105123.52359394822</v>
      </c>
      <c r="AB867" s="324">
        <v>894.37449880712666</v>
      </c>
    </row>
    <row r="868" spans="1:28" s="324" customFormat="1" ht="0.65" hidden="1" customHeight="1">
      <c r="A868" s="324">
        <v>5012</v>
      </c>
      <c r="C868" s="324" t="s">
        <v>8</v>
      </c>
      <c r="D868" s="324">
        <v>90</v>
      </c>
      <c r="H868" s="324" t="s">
        <v>454</v>
      </c>
      <c r="K868" s="324">
        <v>34</v>
      </c>
      <c r="L868" s="324" t="s">
        <v>55</v>
      </c>
      <c r="M868" s="324" t="s">
        <v>185</v>
      </c>
      <c r="N868" s="324" t="s">
        <v>1676</v>
      </c>
      <c r="O868" s="324" t="s">
        <v>1677</v>
      </c>
      <c r="T868" s="324">
        <v>7</v>
      </c>
      <c r="U868" s="324" t="s">
        <v>159</v>
      </c>
      <c r="X868" s="324" t="s">
        <v>492</v>
      </c>
      <c r="Y868" s="324">
        <v>210000</v>
      </c>
      <c r="Z868" s="324">
        <v>189000</v>
      </c>
      <c r="AA868" s="324">
        <v>88479.149095141096</v>
      </c>
      <c r="AB868" s="324">
        <v>-15750</v>
      </c>
    </row>
    <row r="869" spans="1:28" s="324" customFormat="1" ht="0.65" hidden="1" customHeight="1">
      <c r="A869" s="324">
        <v>5013</v>
      </c>
      <c r="T869" s="324">
        <v>8</v>
      </c>
      <c r="U869" s="324" t="s">
        <v>160</v>
      </c>
      <c r="X869" s="324" t="s">
        <v>489</v>
      </c>
      <c r="Y869" s="324">
        <v>30000</v>
      </c>
      <c r="Z869" s="324">
        <v>33000</v>
      </c>
      <c r="AA869" s="324">
        <v>102486.94560732064</v>
      </c>
      <c r="AB869" s="324">
        <v>-1742.2034878204577</v>
      </c>
    </row>
    <row r="870" spans="1:28" s="324" customFormat="1" ht="0.65" hidden="1" customHeight="1">
      <c r="A870" s="324">
        <v>5014</v>
      </c>
      <c r="C870" s="324" t="s">
        <v>33</v>
      </c>
      <c r="H870" s="324" t="s">
        <v>0</v>
      </c>
      <c r="I870" s="324" t="s">
        <v>76</v>
      </c>
      <c r="J870" s="324" t="s">
        <v>77</v>
      </c>
      <c r="K870" s="324" t="s">
        <v>78</v>
      </c>
      <c r="L870" s="324" t="s">
        <v>79</v>
      </c>
      <c r="T870" s="324">
        <v>9</v>
      </c>
      <c r="U870" s="324" t="s">
        <v>161</v>
      </c>
      <c r="X870" s="324" t="s">
        <v>34</v>
      </c>
      <c r="Y870" s="324">
        <v>600000</v>
      </c>
      <c r="Z870" s="324">
        <v>660000</v>
      </c>
      <c r="AA870" s="324">
        <v>216901.11502293102</v>
      </c>
      <c r="AB870" s="324">
        <v>112671.96592778992</v>
      </c>
    </row>
    <row r="871" spans="1:28" s="324" customFormat="1" ht="0.65" hidden="1" customHeight="1">
      <c r="A871" s="324">
        <v>5015</v>
      </c>
      <c r="C871" s="324" t="s">
        <v>492</v>
      </c>
      <c r="D871" s="324">
        <v>210000</v>
      </c>
      <c r="H871" s="324">
        <v>2022</v>
      </c>
      <c r="I871" s="324">
        <v>0</v>
      </c>
      <c r="J871" s="324">
        <v>0</v>
      </c>
      <c r="K871" s="324">
        <v>0</v>
      </c>
      <c r="L871" s="324">
        <v>0</v>
      </c>
      <c r="T871" s="324">
        <v>10</v>
      </c>
      <c r="U871" s="324" t="s">
        <v>162</v>
      </c>
      <c r="X871" s="324" t="s">
        <v>7</v>
      </c>
      <c r="Y871" s="324">
        <v>60</v>
      </c>
      <c r="Z871" s="324">
        <v>90</v>
      </c>
      <c r="AA871" s="324">
        <v>97031.099880495807</v>
      </c>
      <c r="AB871" s="324">
        <v>-7198.0492146452889</v>
      </c>
    </row>
    <row r="872" spans="1:28" s="324" customFormat="1" ht="0.65" hidden="1" customHeight="1">
      <c r="A872" s="324">
        <v>5016</v>
      </c>
      <c r="C872" s="324" t="s">
        <v>495</v>
      </c>
      <c r="D872" s="324">
        <v>300000</v>
      </c>
      <c r="H872" s="324">
        <v>2023</v>
      </c>
      <c r="I872" s="324">
        <v>100000</v>
      </c>
      <c r="J872" s="324">
        <v>37500</v>
      </c>
      <c r="K872" s="324">
        <v>62500</v>
      </c>
      <c r="L872" s="324">
        <v>62500</v>
      </c>
      <c r="T872" s="324">
        <v>11</v>
      </c>
      <c r="U872" s="324" t="s">
        <v>163</v>
      </c>
      <c r="X872" s="324" t="s">
        <v>35</v>
      </c>
      <c r="Y872" s="324">
        <v>150000</v>
      </c>
      <c r="Z872" s="324">
        <v>135000</v>
      </c>
      <c r="AA872" s="324">
        <v>132217.18934672233</v>
      </c>
      <c r="AB872" s="324">
        <v>27988.040251581231</v>
      </c>
    </row>
    <row r="873" spans="1:28" s="324" customFormat="1" ht="0.65" hidden="1" customHeight="1">
      <c r="A873" s="324">
        <v>5017</v>
      </c>
      <c r="C873" s="324" t="s">
        <v>6</v>
      </c>
      <c r="D873" s="324">
        <v>2</v>
      </c>
      <c r="H873" s="324">
        <v>2024</v>
      </c>
      <c r="I873" s="324">
        <v>100000</v>
      </c>
      <c r="J873" s="324">
        <v>37500</v>
      </c>
      <c r="K873" s="324">
        <v>62500</v>
      </c>
      <c r="L873" s="324">
        <v>0</v>
      </c>
      <c r="T873" s="324">
        <v>12</v>
      </c>
      <c r="U873" s="324" t="s">
        <v>164</v>
      </c>
      <c r="X873" s="324" t="s">
        <v>8</v>
      </c>
      <c r="Y873" s="324">
        <v>90</v>
      </c>
      <c r="Z873" s="324">
        <v>60</v>
      </c>
      <c r="AA873" s="324">
        <v>102429.63679147977</v>
      </c>
      <c r="AB873" s="324">
        <v>-1799.5123036613222</v>
      </c>
    </row>
    <row r="874" spans="1:28" s="324" customFormat="1" ht="0.65" hidden="1" customHeight="1">
      <c r="A874" s="324">
        <v>5018</v>
      </c>
      <c r="C874" s="324" t="s">
        <v>489</v>
      </c>
      <c r="D874" s="324">
        <v>30000</v>
      </c>
      <c r="H874" s="324">
        <v>2025</v>
      </c>
      <c r="I874" s="324">
        <v>100000</v>
      </c>
      <c r="J874" s="324">
        <v>37500</v>
      </c>
      <c r="K874" s="324">
        <v>62500</v>
      </c>
      <c r="L874" s="324">
        <v>0</v>
      </c>
      <c r="T874" s="324">
        <v>13</v>
      </c>
      <c r="U874" s="324" t="s">
        <v>165</v>
      </c>
      <c r="X874" s="324" t="s">
        <v>10</v>
      </c>
      <c r="Y874" s="324">
        <v>360000</v>
      </c>
      <c r="Z874" s="324">
        <v>396000.00000000006</v>
      </c>
      <c r="AA874" s="324">
        <v>102210.93293227185</v>
      </c>
      <c r="AB874" s="324">
        <v>-2018.2161628692411</v>
      </c>
    </row>
    <row r="875" spans="1:28" s="324" customFormat="1" ht="0.65" hidden="1" customHeight="1">
      <c r="A875" s="324">
        <v>5019</v>
      </c>
      <c r="T875" s="324">
        <v>14</v>
      </c>
      <c r="U875" s="324" t="s">
        <v>166</v>
      </c>
      <c r="X875" s="324" t="s">
        <v>12</v>
      </c>
      <c r="Y875" s="324">
        <v>0.02</v>
      </c>
      <c r="Z875" s="324">
        <v>0.01</v>
      </c>
      <c r="AA875" s="324">
        <v>122433.76168979378</v>
      </c>
      <c r="AB875" s="324">
        <v>18204.612594652688</v>
      </c>
    </row>
    <row r="876" spans="1:28" s="324" customFormat="1" ht="0.65" hidden="1" customHeight="1">
      <c r="A876" s="324">
        <v>5020</v>
      </c>
      <c r="C876" s="324" t="s">
        <v>4</v>
      </c>
      <c r="D876" s="324">
        <v>0.25</v>
      </c>
      <c r="H876" s="324" t="s">
        <v>23</v>
      </c>
      <c r="T876" s="324">
        <v>15</v>
      </c>
      <c r="U876" s="324" t="s">
        <v>167</v>
      </c>
      <c r="X876" s="324" t="s">
        <v>11</v>
      </c>
      <c r="Y876" s="324">
        <v>1920000</v>
      </c>
      <c r="Z876" s="324">
        <v>2112000</v>
      </c>
      <c r="AA876" s="324">
        <v>90005.672004841967</v>
      </c>
      <c r="AB876" s="324">
        <v>-14223.477090299129</v>
      </c>
    </row>
    <row r="877" spans="1:28" s="324" customFormat="1" ht="0.65" hidden="1" customHeight="1">
      <c r="A877" s="324">
        <v>5021</v>
      </c>
      <c r="D877" s="324" t="s">
        <v>9</v>
      </c>
      <c r="T877" s="324">
        <v>16</v>
      </c>
      <c r="U877" s="324" t="s">
        <v>168</v>
      </c>
      <c r="X877" s="324" t="s">
        <v>3</v>
      </c>
      <c r="Y877" s="324">
        <v>24000000</v>
      </c>
      <c r="Z877" s="324">
        <v>26400000.000000004</v>
      </c>
      <c r="AA877" s="324">
        <v>115804.45860167756</v>
      </c>
      <c r="AB877" s="324">
        <v>11575.309506536461</v>
      </c>
    </row>
    <row r="878" spans="1:28" s="324" customFormat="1" ht="0.65" hidden="1" customHeight="1">
      <c r="A878" s="324">
        <v>5022</v>
      </c>
      <c r="H878" s="324" t="s">
        <v>491</v>
      </c>
      <c r="I878" s="324">
        <v>277500</v>
      </c>
      <c r="J878" s="324" t="s">
        <v>1645</v>
      </c>
      <c r="T878" s="324">
        <v>17</v>
      </c>
      <c r="U878" s="324" t="s">
        <v>169</v>
      </c>
      <c r="X878" s="324" t="s">
        <v>2</v>
      </c>
      <c r="Y878" s="324">
        <v>6000000</v>
      </c>
      <c r="Z878" s="324">
        <v>3000000</v>
      </c>
      <c r="AA878" s="324">
        <v>82376.032197840046</v>
      </c>
      <c r="AB878" s="324">
        <v>-21853.11689730105</v>
      </c>
    </row>
    <row r="879" spans="1:28" s="324" customFormat="1" ht="0.65" hidden="1" customHeight="1">
      <c r="A879" s="324">
        <v>5023</v>
      </c>
      <c r="C879" s="324" t="s">
        <v>10</v>
      </c>
      <c r="D879" s="324">
        <v>360000</v>
      </c>
      <c r="H879" s="324" t="s">
        <v>493</v>
      </c>
      <c r="I879" s="324">
        <v>62500</v>
      </c>
      <c r="J879" s="324" t="s">
        <v>1646</v>
      </c>
      <c r="T879" s="324">
        <v>18</v>
      </c>
      <c r="U879" s="324" t="s">
        <v>170</v>
      </c>
      <c r="X879" s="324" t="s">
        <v>4</v>
      </c>
      <c r="Y879" s="324">
        <v>0.25</v>
      </c>
      <c r="Z879" s="324">
        <v>0.3</v>
      </c>
      <c r="AA879" s="324">
        <v>84054.941027964931</v>
      </c>
      <c r="AB879" s="324">
        <v>-20174.208067176165</v>
      </c>
    </row>
    <row r="880" spans="1:28" s="324" customFormat="1" ht="0.65" hidden="1" customHeight="1">
      <c r="A880" s="324">
        <v>5024</v>
      </c>
      <c r="C880" s="324" t="s">
        <v>11</v>
      </c>
      <c r="D880" s="324">
        <v>1920000</v>
      </c>
      <c r="H880" s="324" t="s">
        <v>494</v>
      </c>
      <c r="I880" s="324">
        <v>340000</v>
      </c>
      <c r="J880" s="324" t="s">
        <v>1647</v>
      </c>
      <c r="T880" s="324">
        <v>19</v>
      </c>
      <c r="U880" s="324" t="s">
        <v>171</v>
      </c>
      <c r="X880" s="324" t="s">
        <v>14</v>
      </c>
      <c r="Y880" s="324" t="s">
        <v>16</v>
      </c>
      <c r="Z880" s="324" t="e">
        <v>#REF!</v>
      </c>
      <c r="AA880" s="324">
        <v>322686.28595787333</v>
      </c>
      <c r="AB880" s="324">
        <v>218457.13686273224</v>
      </c>
    </row>
    <row r="881" spans="1:15" s="324" customFormat="1" ht="0.65" hidden="1" customHeight="1">
      <c r="A881" s="324">
        <v>5025</v>
      </c>
      <c r="C881" s="324" t="s">
        <v>12</v>
      </c>
      <c r="D881" s="324">
        <v>0.02</v>
      </c>
    </row>
    <row r="882" spans="1:15" s="324" customFormat="1" ht="0.65" hidden="1" customHeight="1">
      <c r="A882" s="324">
        <v>5026</v>
      </c>
      <c r="C882" s="324" t="s">
        <v>2</v>
      </c>
      <c r="D882" s="324">
        <v>6000000</v>
      </c>
      <c r="H882" s="324" t="s">
        <v>26</v>
      </c>
    </row>
    <row r="883" spans="1:15" s="324" customFormat="1" ht="0.65" hidden="1" customHeight="1">
      <c r="A883" s="324">
        <v>5027</v>
      </c>
      <c r="C883" s="324" t="s">
        <v>3</v>
      </c>
      <c r="D883" s="324">
        <v>24000000</v>
      </c>
      <c r="L883" s="324" t="s">
        <v>81</v>
      </c>
    </row>
    <row r="884" spans="1:15" s="324" customFormat="1" ht="0.65" hidden="1" customHeight="1">
      <c r="A884" s="324">
        <v>5028</v>
      </c>
      <c r="H884" s="324" t="s">
        <v>0</v>
      </c>
      <c r="I884" s="324" t="s">
        <v>75</v>
      </c>
      <c r="J884" s="324" t="s">
        <v>79</v>
      </c>
      <c r="K884" s="324" t="s">
        <v>80</v>
      </c>
      <c r="L884" s="324" t="s">
        <v>1</v>
      </c>
      <c r="N884" s="324" t="s">
        <v>31</v>
      </c>
    </row>
    <row r="885" spans="1:15" s="324" customFormat="1" ht="0.65" hidden="1" customHeight="1">
      <c r="A885" s="324">
        <v>5029</v>
      </c>
      <c r="C885" s="324" t="s">
        <v>14</v>
      </c>
      <c r="D885" s="324" t="s">
        <v>16</v>
      </c>
      <c r="H885" s="324">
        <v>2022</v>
      </c>
      <c r="I885" s="324">
        <v>0</v>
      </c>
      <c r="J885" s="324">
        <v>0</v>
      </c>
      <c r="K885" s="324">
        <v>0</v>
      </c>
      <c r="L885" s="324">
        <v>-967500</v>
      </c>
      <c r="N885" s="324">
        <v>-967500</v>
      </c>
    </row>
    <row r="886" spans="1:15" s="324" customFormat="1" ht="0.65" hidden="1" customHeight="1">
      <c r="A886" s="324">
        <v>5030</v>
      </c>
      <c r="H886" s="324">
        <v>2023</v>
      </c>
      <c r="I886" s="324">
        <v>330000</v>
      </c>
      <c r="J886" s="324">
        <v>62500</v>
      </c>
      <c r="K886" s="324">
        <v>267500</v>
      </c>
      <c r="L886" s="324">
        <v>267500</v>
      </c>
      <c r="N886" s="324">
        <v>-700000</v>
      </c>
      <c r="O886" s="324" t="s">
        <v>55</v>
      </c>
    </row>
    <row r="887" spans="1:15" s="324" customFormat="1" ht="0.65" hidden="1" customHeight="1">
      <c r="A887" s="324">
        <v>5031</v>
      </c>
      <c r="E887" s="324" t="s">
        <v>55</v>
      </c>
      <c r="H887" s="324">
        <v>2024</v>
      </c>
      <c r="I887" s="324">
        <v>330000</v>
      </c>
      <c r="J887" s="324">
        <v>0</v>
      </c>
      <c r="K887" s="324">
        <v>330000</v>
      </c>
      <c r="L887" s="324">
        <v>330000</v>
      </c>
      <c r="N887" s="324">
        <v>-370000</v>
      </c>
      <c r="O887" s="324" t="s">
        <v>55</v>
      </c>
    </row>
    <row r="888" spans="1:15" s="324" customFormat="1" ht="0.65" hidden="1" customHeight="1">
      <c r="A888" s="324">
        <v>5032</v>
      </c>
      <c r="D888" s="324" t="s">
        <v>20</v>
      </c>
      <c r="E888" s="324" t="s">
        <v>36</v>
      </c>
      <c r="H888" s="324">
        <v>2025</v>
      </c>
      <c r="I888" s="324">
        <v>367500</v>
      </c>
      <c r="J888" s="324">
        <v>0</v>
      </c>
      <c r="K888" s="324">
        <v>367500</v>
      </c>
      <c r="L888" s="324">
        <v>707500</v>
      </c>
      <c r="N888" s="324">
        <v>337500</v>
      </c>
      <c r="O888" s="324">
        <v>2025</v>
      </c>
    </row>
    <row r="889" spans="1:15" s="324" customFormat="1" ht="0.65" hidden="1" customHeight="1">
      <c r="A889" s="324">
        <v>5033</v>
      </c>
      <c r="D889" s="324" t="s">
        <v>420</v>
      </c>
      <c r="E889" s="324" t="s">
        <v>38</v>
      </c>
    </row>
    <row r="890" spans="1:15" s="324" customFormat="1" ht="0.65" hidden="1" customHeight="1">
      <c r="A890" s="324">
        <v>5034</v>
      </c>
      <c r="E890" s="324" t="s">
        <v>424</v>
      </c>
      <c r="H890" s="324" t="s">
        <v>25</v>
      </c>
    </row>
    <row r="891" spans="1:15" s="324" customFormat="1" ht="0.65" hidden="1" customHeight="1">
      <c r="A891" s="324">
        <v>5035</v>
      </c>
    </row>
    <row r="892" spans="1:15" s="324" customFormat="1" ht="0.65" hidden="1" customHeight="1">
      <c r="A892" s="324">
        <v>5036</v>
      </c>
      <c r="H892" s="324" t="s">
        <v>124</v>
      </c>
      <c r="I892" s="324">
        <v>4.4999999999999998E-2</v>
      </c>
      <c r="J892" s="324" t="s">
        <v>1678</v>
      </c>
    </row>
    <row r="893" spans="1:15" s="324" customFormat="1" ht="0.65" hidden="1" customHeight="1">
      <c r="A893" s="324">
        <v>5037</v>
      </c>
      <c r="B893" s="324" t="s">
        <v>460</v>
      </c>
      <c r="H893" s="324" t="s">
        <v>125</v>
      </c>
      <c r="I893" s="324">
        <v>0.1</v>
      </c>
      <c r="J893" s="324" t="s">
        <v>1651</v>
      </c>
    </row>
    <row r="894" spans="1:15" s="324" customFormat="1" ht="0.65" hidden="1" customHeight="1">
      <c r="A894" s="324">
        <v>5038</v>
      </c>
      <c r="B894" s="324" t="s">
        <v>461</v>
      </c>
      <c r="H894" s="324" t="s">
        <v>126</v>
      </c>
      <c r="I894" s="324">
        <v>8.8999999999999996E-2</v>
      </c>
      <c r="J894" s="324" t="s">
        <v>1652</v>
      </c>
    </row>
    <row r="895" spans="1:15" s="324" customFormat="1" ht="0.65" hidden="1" customHeight="1">
      <c r="A895" s="324">
        <v>5039</v>
      </c>
    </row>
    <row r="896" spans="1:15" s="324" customFormat="1" ht="0.65" hidden="1" customHeight="1">
      <c r="A896" s="324">
        <v>5040</v>
      </c>
      <c r="H896" s="324" t="s">
        <v>27</v>
      </c>
      <c r="K896" s="324" t="s">
        <v>185</v>
      </c>
      <c r="L896" s="324" t="s">
        <v>1679</v>
      </c>
      <c r="M896" s="324" t="s">
        <v>1680</v>
      </c>
    </row>
    <row r="897" spans="1:18" s="324" customFormat="1" ht="0.65" hidden="1" customHeight="1">
      <c r="A897" s="324">
        <v>5041</v>
      </c>
      <c r="H897" s="324" t="s">
        <v>123</v>
      </c>
      <c r="K897" s="324" t="s">
        <v>29</v>
      </c>
      <c r="L897" s="324" t="s">
        <v>55</v>
      </c>
    </row>
    <row r="898" spans="1:18" s="324" customFormat="1" ht="0.65" hidden="1" customHeight="1">
      <c r="A898" s="324">
        <v>5042</v>
      </c>
      <c r="H898" s="324" t="s">
        <v>13</v>
      </c>
      <c r="I898" s="324">
        <v>104229.1490951411</v>
      </c>
      <c r="J898" s="324" t="s">
        <v>1020</v>
      </c>
    </row>
    <row r="899" spans="1:18" s="324" customFormat="1" ht="0.65" hidden="1" customHeight="1">
      <c r="A899" s="324">
        <v>5043</v>
      </c>
      <c r="H899" s="324" t="s">
        <v>28</v>
      </c>
      <c r="I899" s="324">
        <v>0.13927532491339289</v>
      </c>
      <c r="J899" s="324" t="s">
        <v>1021</v>
      </c>
    </row>
    <row r="900" spans="1:18" s="324" customFormat="1" ht="0.65" hidden="1" customHeight="1">
      <c r="A900" s="324">
        <v>5044</v>
      </c>
      <c r="H900" s="324" t="s">
        <v>29</v>
      </c>
      <c r="I900" s="324">
        <v>0.10773038666164454</v>
      </c>
      <c r="J900" s="324" t="s">
        <v>1022</v>
      </c>
    </row>
    <row r="901" spans="1:18" s="324" customFormat="1" ht="0.65" hidden="1" customHeight="1">
      <c r="A901" s="324">
        <v>5045</v>
      </c>
      <c r="H901" s="324" t="s">
        <v>30</v>
      </c>
      <c r="I901" s="324">
        <v>3</v>
      </c>
      <c r="J901" s="324" t="s">
        <v>1023</v>
      </c>
    </row>
    <row r="902" spans="1:18" s="324" customFormat="1" ht="0.65" hidden="1" customHeight="1">
      <c r="A902" s="324">
        <v>5046</v>
      </c>
      <c r="B902" s="324">
        <v>2</v>
      </c>
      <c r="C902" s="324">
        <v>3</v>
      </c>
      <c r="D902" s="324">
        <v>4</v>
      </c>
      <c r="E902" s="324">
        <v>5</v>
      </c>
      <c r="F902" s="324">
        <v>6</v>
      </c>
      <c r="G902" s="324">
        <v>7</v>
      </c>
      <c r="H902" s="324">
        <v>8</v>
      </c>
      <c r="I902" s="324">
        <v>9</v>
      </c>
      <c r="J902" s="324">
        <v>10</v>
      </c>
      <c r="K902" s="324">
        <v>11</v>
      </c>
      <c r="L902" s="324">
        <v>12</v>
      </c>
      <c r="M902" s="324">
        <v>13</v>
      </c>
      <c r="N902" s="324">
        <v>14</v>
      </c>
      <c r="O902" s="324">
        <v>15</v>
      </c>
      <c r="P902" s="324">
        <v>16</v>
      </c>
      <c r="Q902" s="324">
        <v>17</v>
      </c>
      <c r="R902" s="324">
        <v>18</v>
      </c>
    </row>
    <row r="903" spans="1:18" s="324" customFormat="1" ht="0.65" hidden="1" customHeight="1">
      <c r="A903" s="324">
        <v>5047</v>
      </c>
      <c r="M903" s="324" t="s">
        <v>452</v>
      </c>
      <c r="N903" s="324" t="s">
        <v>453</v>
      </c>
    </row>
    <row r="904" spans="1:18" s="324" customFormat="1" ht="0.65" hidden="1" customHeight="1">
      <c r="A904" s="324">
        <v>5048</v>
      </c>
      <c r="G904" s="324">
        <v>2</v>
      </c>
      <c r="H904" s="324" t="s">
        <v>429</v>
      </c>
      <c r="I904" s="324">
        <v>2023</v>
      </c>
      <c r="J904" s="324">
        <v>1</v>
      </c>
      <c r="K904" s="324">
        <v>2</v>
      </c>
      <c r="L904" s="324">
        <v>600000</v>
      </c>
      <c r="M904" s="324">
        <v>600000</v>
      </c>
      <c r="N904" s="324">
        <v>600000</v>
      </c>
    </row>
    <row r="905" spans="1:18" s="324" customFormat="1" ht="0.65" hidden="1" customHeight="1">
      <c r="A905" s="324">
        <v>5049</v>
      </c>
      <c r="G905" s="324">
        <v>3</v>
      </c>
      <c r="H905" s="324" t="s">
        <v>430</v>
      </c>
      <c r="I905" s="324">
        <v>2023</v>
      </c>
      <c r="J905" s="324">
        <v>2</v>
      </c>
      <c r="K905" s="324">
        <v>3</v>
      </c>
      <c r="L905" s="324">
        <v>150000</v>
      </c>
      <c r="M905" s="324">
        <v>150000</v>
      </c>
      <c r="N905" s="324">
        <v>150000</v>
      </c>
    </row>
    <row r="906" spans="1:18" s="324" customFormat="1" ht="0.65" hidden="1" customHeight="1">
      <c r="A906" s="324">
        <v>5050</v>
      </c>
      <c r="G906" s="324">
        <v>4</v>
      </c>
      <c r="H906" s="324" t="s">
        <v>431</v>
      </c>
      <c r="I906" s="324">
        <v>2023</v>
      </c>
      <c r="J906" s="324">
        <v>3</v>
      </c>
      <c r="K906" s="324">
        <v>4</v>
      </c>
      <c r="L906" s="324" t="s">
        <v>1675</v>
      </c>
      <c r="M906" s="324" t="s">
        <v>1675</v>
      </c>
      <c r="N906" s="324" t="s">
        <v>658</v>
      </c>
    </row>
    <row r="907" spans="1:18" s="324" customFormat="1" ht="0.65" hidden="1" customHeight="1">
      <c r="A907" s="324">
        <v>5051</v>
      </c>
      <c r="G907" s="324">
        <v>5</v>
      </c>
      <c r="H907" s="324" t="s">
        <v>432</v>
      </c>
      <c r="I907" s="324">
        <v>2023</v>
      </c>
      <c r="J907" s="324">
        <v>4</v>
      </c>
      <c r="K907" s="324">
        <v>5</v>
      </c>
      <c r="L907" s="324" t="s">
        <v>1681</v>
      </c>
      <c r="M907" s="324" t="s">
        <v>1681</v>
      </c>
      <c r="N907" s="324" t="s">
        <v>660</v>
      </c>
    </row>
    <row r="908" spans="1:18" s="324" customFormat="1" ht="0.65" hidden="1" customHeight="1">
      <c r="A908" s="324">
        <v>5052</v>
      </c>
      <c r="G908" s="324">
        <v>6</v>
      </c>
      <c r="H908" s="324" t="s">
        <v>433</v>
      </c>
      <c r="I908" s="324">
        <v>2023</v>
      </c>
      <c r="J908" s="324">
        <v>5</v>
      </c>
      <c r="K908" s="324">
        <v>6</v>
      </c>
      <c r="L908" s="324" t="s">
        <v>1682</v>
      </c>
      <c r="M908" s="324" t="s">
        <v>1682</v>
      </c>
      <c r="N908" s="324" t="s">
        <v>662</v>
      </c>
    </row>
    <row r="909" spans="1:18" s="324" customFormat="1" ht="0.65" hidden="1" customHeight="1">
      <c r="A909" s="324">
        <v>5053</v>
      </c>
      <c r="G909" s="324">
        <v>7</v>
      </c>
      <c r="H909" s="324" t="s">
        <v>434</v>
      </c>
      <c r="I909" s="324">
        <v>2023</v>
      </c>
      <c r="J909" s="324">
        <v>6</v>
      </c>
      <c r="K909" s="324">
        <v>7</v>
      </c>
      <c r="L909" s="324" t="s">
        <v>1683</v>
      </c>
      <c r="M909" s="324" t="s">
        <v>1683</v>
      </c>
      <c r="N909" s="324" t="s">
        <v>664</v>
      </c>
    </row>
    <row r="910" spans="1:18" s="324" customFormat="1" ht="0.65" hidden="1" customHeight="1">
      <c r="A910" s="324">
        <v>5054</v>
      </c>
      <c r="G910" s="324">
        <v>8</v>
      </c>
      <c r="H910" s="324" t="s">
        <v>435</v>
      </c>
      <c r="I910" s="324">
        <v>2023</v>
      </c>
      <c r="J910" s="324">
        <v>7</v>
      </c>
      <c r="K910" s="324">
        <v>8</v>
      </c>
      <c r="L910" s="324" t="s">
        <v>1684</v>
      </c>
      <c r="M910" s="324" t="s">
        <v>1684</v>
      </c>
      <c r="N910" s="324" t="s">
        <v>666</v>
      </c>
    </row>
    <row r="911" spans="1:18" s="324" customFormat="1" ht="0.65" hidden="1" customHeight="1">
      <c r="A911" s="324">
        <v>5055</v>
      </c>
      <c r="G911" s="324">
        <v>14</v>
      </c>
      <c r="H911" s="324" t="s">
        <v>429</v>
      </c>
      <c r="I911" s="324">
        <v>2024</v>
      </c>
      <c r="J911" s="324">
        <v>1</v>
      </c>
      <c r="K911" s="324">
        <v>14</v>
      </c>
      <c r="L911" s="324">
        <v>600000</v>
      </c>
      <c r="M911" s="324">
        <v>600000</v>
      </c>
      <c r="N911" s="324">
        <v>600000</v>
      </c>
    </row>
    <row r="912" spans="1:18" s="324" customFormat="1" ht="0.65" hidden="1" customHeight="1">
      <c r="A912" s="324">
        <v>5056</v>
      </c>
      <c r="G912" s="324">
        <v>15</v>
      </c>
      <c r="H912" s="324" t="s">
        <v>430</v>
      </c>
      <c r="I912" s="324">
        <v>2024</v>
      </c>
      <c r="J912" s="324">
        <v>2</v>
      </c>
      <c r="K912" s="324">
        <v>15</v>
      </c>
      <c r="L912" s="324">
        <v>150000</v>
      </c>
      <c r="M912" s="324">
        <v>150000</v>
      </c>
      <c r="N912" s="324">
        <v>150000</v>
      </c>
    </row>
    <row r="913" spans="1:14" s="324" customFormat="1" ht="0.65" hidden="1" customHeight="1">
      <c r="A913" s="324">
        <v>5057</v>
      </c>
      <c r="G913" s="324">
        <v>16</v>
      </c>
      <c r="H913" s="324" t="s">
        <v>431</v>
      </c>
      <c r="I913" s="324">
        <v>2024</v>
      </c>
      <c r="J913" s="324">
        <v>3</v>
      </c>
      <c r="K913" s="324">
        <v>16</v>
      </c>
      <c r="L913" s="324" t="s">
        <v>1675</v>
      </c>
      <c r="M913" s="324" t="s">
        <v>1675</v>
      </c>
      <c r="N913" s="324" t="s">
        <v>658</v>
      </c>
    </row>
    <row r="914" spans="1:14" s="324" customFormat="1" ht="0.65" hidden="1" customHeight="1">
      <c r="A914" s="324">
        <v>5058</v>
      </c>
      <c r="G914" s="324">
        <v>17</v>
      </c>
      <c r="H914" s="324" t="s">
        <v>432</v>
      </c>
      <c r="I914" s="324">
        <v>2024</v>
      </c>
      <c r="J914" s="324">
        <v>4</v>
      </c>
      <c r="K914" s="324">
        <v>17</v>
      </c>
      <c r="L914" s="324" t="s">
        <v>1681</v>
      </c>
      <c r="M914" s="324" t="s">
        <v>1681</v>
      </c>
      <c r="N914" s="324" t="s">
        <v>660</v>
      </c>
    </row>
    <row r="915" spans="1:14" s="324" customFormat="1" ht="0.65" hidden="1" customHeight="1">
      <c r="A915" s="324">
        <v>5059</v>
      </c>
      <c r="G915" s="324">
        <v>18</v>
      </c>
      <c r="H915" s="324" t="s">
        <v>433</v>
      </c>
      <c r="I915" s="324">
        <v>2024</v>
      </c>
      <c r="J915" s="324">
        <v>5</v>
      </c>
      <c r="K915" s="324">
        <v>18</v>
      </c>
      <c r="L915" s="324" t="s">
        <v>1682</v>
      </c>
      <c r="M915" s="324" t="s">
        <v>1682</v>
      </c>
      <c r="N915" s="324" t="s">
        <v>662</v>
      </c>
    </row>
    <row r="916" spans="1:14" s="324" customFormat="1" ht="0.65" hidden="1" customHeight="1">
      <c r="A916" s="324">
        <v>5060</v>
      </c>
      <c r="G916" s="324">
        <v>19</v>
      </c>
      <c r="H916" s="324" t="s">
        <v>434</v>
      </c>
      <c r="I916" s="324">
        <v>2024</v>
      </c>
      <c r="J916" s="324">
        <v>6</v>
      </c>
      <c r="K916" s="324">
        <v>19</v>
      </c>
      <c r="L916" s="324" t="s">
        <v>1683</v>
      </c>
      <c r="M916" s="324" t="s">
        <v>1683</v>
      </c>
      <c r="N916" s="324" t="s">
        <v>664</v>
      </c>
    </row>
    <row r="917" spans="1:14" s="324" customFormat="1" ht="0.65" hidden="1" customHeight="1">
      <c r="A917" s="324">
        <v>5061</v>
      </c>
      <c r="G917" s="324">
        <v>20</v>
      </c>
      <c r="H917" s="324" t="s">
        <v>435</v>
      </c>
      <c r="I917" s="324">
        <v>2024</v>
      </c>
      <c r="J917" s="324">
        <v>7</v>
      </c>
      <c r="K917" s="324">
        <v>20</v>
      </c>
      <c r="L917" s="324" t="s">
        <v>1684</v>
      </c>
      <c r="M917" s="324" t="s">
        <v>1684</v>
      </c>
      <c r="N917" s="324" t="s">
        <v>666</v>
      </c>
    </row>
    <row r="918" spans="1:14" s="324" customFormat="1" ht="0.65" hidden="1" customHeight="1">
      <c r="A918" s="324">
        <v>5062</v>
      </c>
      <c r="G918" s="324">
        <v>26</v>
      </c>
      <c r="H918" s="324" t="s">
        <v>429</v>
      </c>
      <c r="I918" s="324">
        <v>2025</v>
      </c>
      <c r="J918" s="324">
        <v>1</v>
      </c>
      <c r="K918" s="324">
        <v>26</v>
      </c>
      <c r="L918" s="324">
        <v>600000</v>
      </c>
      <c r="M918" s="324">
        <v>600000</v>
      </c>
      <c r="N918" s="324">
        <v>600000</v>
      </c>
    </row>
    <row r="919" spans="1:14" s="324" customFormat="1" ht="0.65" hidden="1" customHeight="1">
      <c r="A919" s="324">
        <v>5063</v>
      </c>
      <c r="G919" s="324">
        <v>27</v>
      </c>
      <c r="H919" s="324" t="s">
        <v>430</v>
      </c>
      <c r="I919" s="324">
        <v>2025</v>
      </c>
      <c r="J919" s="324">
        <v>2</v>
      </c>
      <c r="K919" s="324">
        <v>27</v>
      </c>
      <c r="L919" s="324">
        <v>150000</v>
      </c>
      <c r="M919" s="324">
        <v>150000</v>
      </c>
      <c r="N919" s="324">
        <v>150000</v>
      </c>
    </row>
    <row r="920" spans="1:14" s="324" customFormat="1" ht="0.65" hidden="1" customHeight="1">
      <c r="A920" s="324">
        <v>5064</v>
      </c>
      <c r="G920" s="324">
        <v>28</v>
      </c>
      <c r="H920" s="324" t="s">
        <v>431</v>
      </c>
      <c r="I920" s="324">
        <v>2025</v>
      </c>
      <c r="J920" s="324">
        <v>3</v>
      </c>
      <c r="K920" s="324">
        <v>28</v>
      </c>
      <c r="L920" s="324" t="s">
        <v>1685</v>
      </c>
      <c r="M920" s="324" t="s">
        <v>1685</v>
      </c>
      <c r="N920" s="324" t="s">
        <v>658</v>
      </c>
    </row>
    <row r="921" spans="1:14" s="324" customFormat="1" ht="0.65" hidden="1" customHeight="1">
      <c r="A921" s="324">
        <v>5065</v>
      </c>
      <c r="G921" s="324">
        <v>29</v>
      </c>
      <c r="H921" s="324" t="s">
        <v>432</v>
      </c>
      <c r="I921" s="324">
        <v>2025</v>
      </c>
      <c r="J921" s="324">
        <v>4</v>
      </c>
      <c r="K921" s="324">
        <v>29</v>
      </c>
      <c r="L921" s="324" t="s">
        <v>1686</v>
      </c>
      <c r="M921" s="324" t="s">
        <v>1686</v>
      </c>
      <c r="N921" s="324" t="s">
        <v>660</v>
      </c>
    </row>
    <row r="922" spans="1:14" s="324" customFormat="1" ht="0.65" hidden="1" customHeight="1">
      <c r="A922" s="324">
        <v>5066</v>
      </c>
      <c r="G922" s="324">
        <v>30</v>
      </c>
      <c r="H922" s="324" t="s">
        <v>433</v>
      </c>
      <c r="I922" s="324">
        <v>2025</v>
      </c>
      <c r="J922" s="324">
        <v>5</v>
      </c>
      <c r="K922" s="324">
        <v>30</v>
      </c>
      <c r="L922" s="324" t="s">
        <v>1687</v>
      </c>
      <c r="M922" s="324" t="s">
        <v>1687</v>
      </c>
      <c r="N922" s="324" t="s">
        <v>662</v>
      </c>
    </row>
    <row r="923" spans="1:14" s="324" customFormat="1" ht="0.65" hidden="1" customHeight="1">
      <c r="A923" s="324">
        <v>5067</v>
      </c>
      <c r="G923" s="324">
        <v>31</v>
      </c>
      <c r="H923" s="324" t="s">
        <v>434</v>
      </c>
      <c r="I923" s="324">
        <v>2025</v>
      </c>
      <c r="J923" s="324">
        <v>6</v>
      </c>
      <c r="K923" s="324">
        <v>31</v>
      </c>
      <c r="L923" s="324" t="s">
        <v>1688</v>
      </c>
      <c r="M923" s="324" t="s">
        <v>1688</v>
      </c>
      <c r="N923" s="324" t="s">
        <v>664</v>
      </c>
    </row>
    <row r="924" spans="1:14" s="324" customFormat="1" ht="0.65" hidden="1" customHeight="1">
      <c r="A924" s="324">
        <v>5068</v>
      </c>
      <c r="G924" s="324">
        <v>32</v>
      </c>
      <c r="H924" s="324" t="s">
        <v>435</v>
      </c>
      <c r="I924" s="324">
        <v>2025</v>
      </c>
      <c r="J924" s="324">
        <v>7</v>
      </c>
      <c r="K924" s="324">
        <v>32</v>
      </c>
      <c r="L924" s="324" t="s">
        <v>1689</v>
      </c>
      <c r="M924" s="324" t="s">
        <v>1689</v>
      </c>
      <c r="N924" s="324" t="s">
        <v>666</v>
      </c>
    </row>
    <row r="925" spans="1:14" s="324" customFormat="1" ht="0.65" hidden="1" customHeight="1">
      <c r="A925" s="324">
        <v>5069</v>
      </c>
    </row>
    <row r="926" spans="1:14" s="324" customFormat="1" ht="0.65" hidden="1" customHeight="1">
      <c r="A926" s="324">
        <v>5070</v>
      </c>
    </row>
    <row r="927" spans="1:14" s="324" customFormat="1" ht="0.65" hidden="1" customHeight="1">
      <c r="A927" s="324">
        <v>5071</v>
      </c>
    </row>
    <row r="928" spans="1:14" s="324" customFormat="1" ht="0.65" hidden="1" customHeight="1">
      <c r="A928" s="324">
        <v>5072</v>
      </c>
      <c r="M928" s="324" t="s">
        <v>452</v>
      </c>
      <c r="N928" s="324" t="s">
        <v>453</v>
      </c>
    </row>
    <row r="929" spans="1:14" s="324" customFormat="1" ht="0.65" hidden="1" customHeight="1">
      <c r="A929" s="324">
        <v>5073</v>
      </c>
      <c r="H929" s="324" t="s">
        <v>436</v>
      </c>
      <c r="I929" s="324">
        <v>2022</v>
      </c>
      <c r="J929" s="324">
        <v>1</v>
      </c>
    </row>
    <row r="930" spans="1:14" s="324" customFormat="1" ht="0.65" hidden="1" customHeight="1">
      <c r="A930" s="324">
        <v>5074</v>
      </c>
      <c r="H930" s="324" t="s">
        <v>437</v>
      </c>
      <c r="I930" s="324">
        <v>2022</v>
      </c>
      <c r="J930" s="324">
        <v>2</v>
      </c>
    </row>
    <row r="931" spans="1:14" s="324" customFormat="1" ht="0.65" hidden="1" customHeight="1">
      <c r="A931" s="324">
        <v>5075</v>
      </c>
      <c r="H931" s="324" t="s">
        <v>438</v>
      </c>
      <c r="I931" s="324">
        <v>2022</v>
      </c>
      <c r="J931" s="324">
        <v>3</v>
      </c>
    </row>
    <row r="932" spans="1:14" s="324" customFormat="1" ht="0.65" hidden="1" customHeight="1">
      <c r="A932" s="324">
        <v>5076</v>
      </c>
      <c r="H932" s="324" t="s">
        <v>439</v>
      </c>
      <c r="I932" s="324">
        <v>2022</v>
      </c>
      <c r="J932" s="324">
        <v>4</v>
      </c>
    </row>
    <row r="933" spans="1:14" s="324" customFormat="1" ht="0.65" hidden="1" customHeight="1">
      <c r="A933" s="324">
        <v>5077</v>
      </c>
      <c r="G933" s="324">
        <v>9</v>
      </c>
      <c r="H933" s="324" t="s">
        <v>436</v>
      </c>
      <c r="I933" s="324">
        <v>2023</v>
      </c>
      <c r="J933" s="324">
        <v>1</v>
      </c>
      <c r="K933" s="324">
        <v>9</v>
      </c>
      <c r="L933" s="324" t="s">
        <v>1690</v>
      </c>
      <c r="M933" s="324" t="s">
        <v>1690</v>
      </c>
      <c r="N933" s="324" t="s">
        <v>673</v>
      </c>
    </row>
    <row r="934" spans="1:14" s="324" customFormat="1" ht="0.65" hidden="1" customHeight="1">
      <c r="A934" s="324">
        <v>5078</v>
      </c>
      <c r="G934" s="324">
        <v>10</v>
      </c>
      <c r="H934" s="324" t="s">
        <v>437</v>
      </c>
      <c r="I934" s="324">
        <v>2023</v>
      </c>
      <c r="J934" s="324">
        <v>2</v>
      </c>
      <c r="K934" s="324">
        <v>10</v>
      </c>
      <c r="L934" s="324" t="s">
        <v>1677</v>
      </c>
      <c r="M934" s="324" t="s">
        <v>1677</v>
      </c>
      <c r="N934" s="324" t="s">
        <v>674</v>
      </c>
    </row>
    <row r="935" spans="1:14" s="324" customFormat="1" ht="0.65" hidden="1" customHeight="1">
      <c r="A935" s="324">
        <v>5079</v>
      </c>
      <c r="G935" s="324">
        <v>11</v>
      </c>
      <c r="H935" s="324" t="s">
        <v>438</v>
      </c>
      <c r="I935" s="324">
        <v>2023</v>
      </c>
      <c r="J935" s="324">
        <v>3</v>
      </c>
      <c r="K935" s="324">
        <v>11</v>
      </c>
      <c r="L935" s="324" t="s">
        <v>1691</v>
      </c>
      <c r="M935" s="324" t="s">
        <v>1691</v>
      </c>
      <c r="N935" s="324" t="s">
        <v>676</v>
      </c>
    </row>
    <row r="936" spans="1:14" s="324" customFormat="1" ht="0.65" hidden="1" customHeight="1">
      <c r="A936" s="324">
        <v>5080</v>
      </c>
      <c r="G936" s="324">
        <v>12</v>
      </c>
      <c r="H936" s="324" t="s">
        <v>439</v>
      </c>
      <c r="I936" s="324">
        <v>2023</v>
      </c>
      <c r="J936" s="324">
        <v>4</v>
      </c>
      <c r="K936" s="324">
        <v>12</v>
      </c>
      <c r="L936" s="324" t="s">
        <v>1692</v>
      </c>
      <c r="M936" s="324" t="s">
        <v>1692</v>
      </c>
      <c r="N936" s="324" t="s">
        <v>678</v>
      </c>
    </row>
    <row r="937" spans="1:14" s="324" customFormat="1" ht="0.65" hidden="1" customHeight="1">
      <c r="A937" s="324">
        <v>5081</v>
      </c>
      <c r="G937" s="324">
        <v>21</v>
      </c>
      <c r="H937" s="324" t="s">
        <v>436</v>
      </c>
      <c r="I937" s="324">
        <v>2024</v>
      </c>
      <c r="J937" s="324">
        <v>1</v>
      </c>
      <c r="K937" s="324">
        <v>21</v>
      </c>
      <c r="L937" s="324" t="s">
        <v>1690</v>
      </c>
      <c r="M937" s="324" t="s">
        <v>1690</v>
      </c>
      <c r="N937" s="324" t="s">
        <v>673</v>
      </c>
    </row>
    <row r="938" spans="1:14" s="324" customFormat="1" ht="0.65" hidden="1" customHeight="1">
      <c r="A938" s="324">
        <v>5082</v>
      </c>
      <c r="G938" s="324">
        <v>22</v>
      </c>
      <c r="H938" s="324" t="s">
        <v>437</v>
      </c>
      <c r="I938" s="324">
        <v>2024</v>
      </c>
      <c r="J938" s="324">
        <v>2</v>
      </c>
      <c r="K938" s="324">
        <v>22</v>
      </c>
      <c r="L938" s="324" t="s">
        <v>1677</v>
      </c>
      <c r="M938" s="324" t="s">
        <v>1677</v>
      </c>
      <c r="N938" s="324" t="s">
        <v>674</v>
      </c>
    </row>
    <row r="939" spans="1:14" s="324" customFormat="1" ht="0.65" hidden="1" customHeight="1">
      <c r="A939" s="324">
        <v>5083</v>
      </c>
      <c r="G939" s="324">
        <v>23</v>
      </c>
      <c r="H939" s="324" t="s">
        <v>438</v>
      </c>
      <c r="I939" s="324">
        <v>2024</v>
      </c>
      <c r="J939" s="324">
        <v>3</v>
      </c>
      <c r="K939" s="324">
        <v>23</v>
      </c>
      <c r="L939" s="324" t="s">
        <v>1691</v>
      </c>
      <c r="M939" s="324" t="s">
        <v>1691</v>
      </c>
      <c r="N939" s="324" t="s">
        <v>676</v>
      </c>
    </row>
    <row r="940" spans="1:14" s="324" customFormat="1" ht="0.65" hidden="1" customHeight="1">
      <c r="A940" s="324">
        <v>5084</v>
      </c>
      <c r="G940" s="324">
        <v>24</v>
      </c>
      <c r="H940" s="324" t="s">
        <v>439</v>
      </c>
      <c r="I940" s="324">
        <v>2024</v>
      </c>
      <c r="J940" s="324">
        <v>4</v>
      </c>
      <c r="K940" s="324">
        <v>24</v>
      </c>
      <c r="L940" s="324" t="s">
        <v>1693</v>
      </c>
      <c r="M940" s="324" t="s">
        <v>1693</v>
      </c>
      <c r="N940" s="324" t="s">
        <v>680</v>
      </c>
    </row>
    <row r="941" spans="1:14" s="324" customFormat="1" ht="0.65" hidden="1" customHeight="1">
      <c r="A941" s="324">
        <v>5085</v>
      </c>
      <c r="G941" s="324">
        <v>33</v>
      </c>
      <c r="H941" s="324" t="s">
        <v>436</v>
      </c>
      <c r="I941" s="324">
        <v>2025</v>
      </c>
      <c r="J941" s="324">
        <v>1</v>
      </c>
      <c r="K941" s="324">
        <v>33</v>
      </c>
      <c r="L941" s="324" t="s">
        <v>1690</v>
      </c>
      <c r="M941" s="324" t="s">
        <v>1690</v>
      </c>
      <c r="N941" s="324" t="s">
        <v>673</v>
      </c>
    </row>
    <row r="942" spans="1:14" s="324" customFormat="1" ht="0.65" hidden="1" customHeight="1">
      <c r="A942" s="324">
        <v>5086</v>
      </c>
      <c r="G942" s="324">
        <v>34</v>
      </c>
      <c r="H942" s="324" t="s">
        <v>437</v>
      </c>
      <c r="I942" s="324">
        <v>2025</v>
      </c>
      <c r="J942" s="324">
        <v>2</v>
      </c>
      <c r="K942" s="324">
        <v>34</v>
      </c>
      <c r="L942" s="324" t="s">
        <v>1677</v>
      </c>
      <c r="M942" s="324" t="s">
        <v>1677</v>
      </c>
      <c r="N942" s="324" t="s">
        <v>674</v>
      </c>
    </row>
    <row r="943" spans="1:14" s="324" customFormat="1" ht="0.65" hidden="1" customHeight="1">
      <c r="A943" s="324">
        <v>5087</v>
      </c>
      <c r="G943" s="324">
        <v>35</v>
      </c>
      <c r="H943" s="324" t="s">
        <v>438</v>
      </c>
      <c r="I943" s="324">
        <v>2025</v>
      </c>
      <c r="J943" s="324">
        <v>3</v>
      </c>
      <c r="K943" s="324">
        <v>35</v>
      </c>
      <c r="L943" s="324" t="s">
        <v>1691</v>
      </c>
      <c r="M943" s="324" t="s">
        <v>1691</v>
      </c>
      <c r="N943" s="324" t="s">
        <v>676</v>
      </c>
    </row>
    <row r="944" spans="1:14" s="324" customFormat="1" ht="0.65" hidden="1" customHeight="1">
      <c r="A944" s="324">
        <v>5088</v>
      </c>
      <c r="G944" s="324">
        <v>36</v>
      </c>
      <c r="H944" s="324" t="s">
        <v>439</v>
      </c>
      <c r="I944" s="324">
        <v>2025</v>
      </c>
      <c r="J944" s="324">
        <v>4</v>
      </c>
      <c r="K944" s="324">
        <v>36</v>
      </c>
      <c r="L944" s="324" t="s">
        <v>1693</v>
      </c>
      <c r="M944" s="324" t="s">
        <v>1693</v>
      </c>
      <c r="N944" s="324" t="s">
        <v>681</v>
      </c>
    </row>
    <row r="945" spans="1:14" s="324" customFormat="1" ht="0.65" hidden="1" customHeight="1">
      <c r="A945" s="324">
        <v>5089</v>
      </c>
    </row>
    <row r="946" spans="1:14" s="324" customFormat="1" ht="0.65" hidden="1" customHeight="1">
      <c r="A946" s="324">
        <v>5090</v>
      </c>
      <c r="K946" s="324" t="s">
        <v>13</v>
      </c>
      <c r="L946" s="324" t="s">
        <v>1653</v>
      </c>
      <c r="M946" s="324" t="s">
        <v>682</v>
      </c>
    </row>
    <row r="947" spans="1:14" s="324" customFormat="1" ht="0.65" hidden="1" customHeight="1">
      <c r="A947" s="324">
        <v>5091</v>
      </c>
      <c r="K947" s="324" t="s">
        <v>28</v>
      </c>
      <c r="L947" s="324" t="s">
        <v>1654</v>
      </c>
      <c r="M947" s="324" t="s">
        <v>683</v>
      </c>
    </row>
    <row r="948" spans="1:14" s="324" customFormat="1" ht="0.65" hidden="1" customHeight="1">
      <c r="A948" s="324">
        <v>5092</v>
      </c>
      <c r="K948" s="324" t="s">
        <v>29</v>
      </c>
      <c r="L948" s="324" t="s">
        <v>1680</v>
      </c>
      <c r="M948" s="324" t="s">
        <v>684</v>
      </c>
    </row>
    <row r="949" spans="1:14" s="324" customFormat="1" ht="0.65" hidden="1" customHeight="1">
      <c r="A949" s="324">
        <v>5093</v>
      </c>
      <c r="K949" s="324" t="s">
        <v>30</v>
      </c>
      <c r="L949" s="324" t="s">
        <v>1694</v>
      </c>
      <c r="M949" s="324" t="s">
        <v>1033</v>
      </c>
    </row>
    <row r="950" spans="1:14" s="324" customFormat="1" ht="0.65" hidden="1" customHeight="1">
      <c r="A950" s="324">
        <v>5094</v>
      </c>
    </row>
    <row r="951" spans="1:14" s="324" customFormat="1" ht="0.65" hidden="1" customHeight="1">
      <c r="A951" s="324">
        <v>5095</v>
      </c>
    </row>
    <row r="952" spans="1:14" s="324" customFormat="1" ht="0.65" hidden="1" customHeight="1">
      <c r="A952" s="324">
        <v>5096</v>
      </c>
    </row>
    <row r="953" spans="1:14" s="324" customFormat="1" ht="0.65" hidden="1" customHeight="1">
      <c r="A953" s="324">
        <v>5097</v>
      </c>
      <c r="J953" s="324" t="s">
        <v>1695</v>
      </c>
      <c r="N953" s="324" t="s">
        <v>688</v>
      </c>
    </row>
    <row r="954" spans="1:14" s="324" customFormat="1" ht="0.65" hidden="1" customHeight="1">
      <c r="A954" s="324">
        <v>5098</v>
      </c>
    </row>
    <row r="955" spans="1:14" s="324" customFormat="1" ht="0.65" hidden="1" customHeight="1">
      <c r="A955" s="324">
        <v>5099</v>
      </c>
      <c r="J955" s="324" t="s">
        <v>1696</v>
      </c>
      <c r="N955" s="324" t="s">
        <v>690</v>
      </c>
    </row>
    <row r="956" spans="1:14" s="324" customFormat="1" ht="0.65" hidden="1" customHeight="1">
      <c r="A956" s="324">
        <v>5100</v>
      </c>
      <c r="J956" s="324" t="s">
        <v>1697</v>
      </c>
      <c r="N956" s="324" t="s">
        <v>692</v>
      </c>
    </row>
    <row r="957" spans="1:14" s="324" customFormat="1" ht="0.65" hidden="1" customHeight="1">
      <c r="A957" s="324">
        <v>5101</v>
      </c>
      <c r="J957" s="324" t="s">
        <v>1698</v>
      </c>
      <c r="N957" s="324" t="s">
        <v>694</v>
      </c>
    </row>
    <row r="958" spans="1:14" s="324" customFormat="1" ht="0.65" hidden="1" customHeight="1">
      <c r="A958" s="324">
        <v>5102</v>
      </c>
    </row>
    <row r="959" spans="1:14" s="324" customFormat="1" ht="0.65" hidden="1" customHeight="1">
      <c r="A959" s="324">
        <v>5103</v>
      </c>
      <c r="J959" s="324" t="s">
        <v>1699</v>
      </c>
      <c r="N959" s="324" t="s">
        <v>440</v>
      </c>
    </row>
    <row r="960" spans="1:14" s="324" customFormat="1" ht="0.65" hidden="1" customHeight="1">
      <c r="A960" s="324">
        <v>5104</v>
      </c>
      <c r="J960" s="324" t="s">
        <v>1700</v>
      </c>
      <c r="N960" s="324" t="s">
        <v>441</v>
      </c>
    </row>
    <row r="961" spans="1:14" s="324" customFormat="1" ht="0.65" hidden="1" customHeight="1">
      <c r="A961" s="324">
        <v>5105</v>
      </c>
      <c r="J961" s="324" t="s">
        <v>1701</v>
      </c>
      <c r="N961" s="324" t="s">
        <v>442</v>
      </c>
    </row>
    <row r="962" spans="1:14" s="324" customFormat="1" ht="0.65" hidden="1" customHeight="1">
      <c r="A962" s="324">
        <v>5106</v>
      </c>
    </row>
    <row r="963" spans="1:14" s="324" customFormat="1" ht="0.65" hidden="1" customHeight="1">
      <c r="A963" s="324">
        <v>5107</v>
      </c>
    </row>
    <row r="964" spans="1:14" s="324" customFormat="1" ht="0.65" hidden="1" customHeight="1">
      <c r="A964" s="324">
        <v>5108</v>
      </c>
    </row>
    <row r="965" spans="1:14" s="324" customFormat="1" ht="0.65" hidden="1" customHeight="1">
      <c r="A965" s="324">
        <v>5109</v>
      </c>
    </row>
    <row r="966" spans="1:14" s="324" customFormat="1" ht="0.65" hidden="1" customHeight="1">
      <c r="A966" s="324">
        <v>5110</v>
      </c>
    </row>
    <row r="967" spans="1:14" s="324" customFormat="1" ht="0.65" hidden="1" customHeight="1">
      <c r="A967" s="324">
        <v>5111</v>
      </c>
    </row>
    <row r="968" spans="1:14" s="324" customFormat="1" ht="0.65" hidden="1" customHeight="1">
      <c r="A968" s="324">
        <v>5112</v>
      </c>
    </row>
    <row r="969" spans="1:14" s="324" customFormat="1" ht="0.65" hidden="1" customHeight="1">
      <c r="A969" s="324">
        <v>5113</v>
      </c>
    </row>
    <row r="970" spans="1:14" s="324" customFormat="1" ht="0.65" hidden="1" customHeight="1">
      <c r="A970" s="324">
        <v>5114</v>
      </c>
    </row>
    <row r="971" spans="1:14" s="324" customFormat="1" ht="0.65" hidden="1" customHeight="1">
      <c r="A971" s="324">
        <v>5115</v>
      </c>
      <c r="G971" s="324">
        <v>1</v>
      </c>
      <c r="H971" s="324" t="s">
        <v>490</v>
      </c>
      <c r="I971" s="324">
        <v>967500</v>
      </c>
      <c r="J971" s="324" t="s">
        <v>1695</v>
      </c>
      <c r="M971" s="324" t="s">
        <v>688</v>
      </c>
    </row>
    <row r="972" spans="1:14" s="324" customFormat="1" ht="0.65" hidden="1" customHeight="1">
      <c r="A972" s="324">
        <v>5116</v>
      </c>
      <c r="G972" s="324">
        <v>2</v>
      </c>
      <c r="H972" s="324" t="s">
        <v>698</v>
      </c>
      <c r="I972" s="324">
        <v>600000</v>
      </c>
      <c r="J972" s="324" t="s">
        <v>1473</v>
      </c>
      <c r="M972" s="324" t="s">
        <v>698</v>
      </c>
    </row>
    <row r="973" spans="1:14" s="324" customFormat="1" ht="0.65" hidden="1" customHeight="1">
      <c r="A973" s="324">
        <v>5117</v>
      </c>
      <c r="G973" s="324">
        <v>3</v>
      </c>
      <c r="H973" s="324" t="s">
        <v>700</v>
      </c>
      <c r="I973" s="324">
        <v>150000</v>
      </c>
      <c r="J973" s="324" t="s">
        <v>1702</v>
      </c>
      <c r="M973" s="324" t="s">
        <v>700</v>
      </c>
    </row>
    <row r="974" spans="1:14" s="324" customFormat="1" ht="0.65" hidden="1" customHeight="1">
      <c r="A974" s="324">
        <v>5118</v>
      </c>
      <c r="G974" s="324">
        <v>4</v>
      </c>
      <c r="H974" s="324" t="s">
        <v>702</v>
      </c>
      <c r="I974" s="324">
        <v>-30000</v>
      </c>
      <c r="J974" s="324" t="s">
        <v>1703</v>
      </c>
      <c r="M974" s="324" t="s">
        <v>704</v>
      </c>
    </row>
    <row r="975" spans="1:14" s="324" customFormat="1" ht="0.65" hidden="1" customHeight="1">
      <c r="A975" s="324">
        <v>5119</v>
      </c>
      <c r="G975" s="324">
        <v>5</v>
      </c>
      <c r="H975" s="324" t="s">
        <v>705</v>
      </c>
      <c r="I975" s="324">
        <v>480000</v>
      </c>
      <c r="J975" s="324" t="s">
        <v>1704</v>
      </c>
      <c r="M975" s="324" t="s">
        <v>707</v>
      </c>
    </row>
    <row r="976" spans="1:14" s="324" customFormat="1" ht="0.65" hidden="1" customHeight="1">
      <c r="A976" s="324">
        <v>5120</v>
      </c>
      <c r="G976" s="324">
        <v>6</v>
      </c>
      <c r="H976" s="324" t="s">
        <v>708</v>
      </c>
      <c r="I976" s="324">
        <v>120000</v>
      </c>
      <c r="J976" s="324" t="s">
        <v>1705</v>
      </c>
      <c r="M976" s="324" t="s">
        <v>710</v>
      </c>
    </row>
    <row r="977" spans="1:13" s="324" customFormat="1" ht="0.65" hidden="1" customHeight="1">
      <c r="A977" s="324">
        <v>5121</v>
      </c>
      <c r="G977" s="324">
        <v>7</v>
      </c>
      <c r="H977" s="324" t="s">
        <v>711</v>
      </c>
      <c r="I977" s="324">
        <v>360000</v>
      </c>
      <c r="J977" s="324" t="s">
        <v>1706</v>
      </c>
      <c r="M977" s="324" t="s">
        <v>713</v>
      </c>
    </row>
    <row r="978" spans="1:13" s="324" customFormat="1" ht="0.65" hidden="1" customHeight="1">
      <c r="A978" s="324">
        <v>5122</v>
      </c>
      <c r="G978" s="324">
        <v>8</v>
      </c>
      <c r="H978" s="324" t="s">
        <v>714</v>
      </c>
      <c r="I978" s="324">
        <v>330000</v>
      </c>
      <c r="J978" s="324" t="s">
        <v>1707</v>
      </c>
      <c r="M978" s="324" t="s">
        <v>716</v>
      </c>
    </row>
    <row r="979" spans="1:13" s="324" customFormat="1" ht="0.65" hidden="1" customHeight="1">
      <c r="A979" s="324">
        <v>5123</v>
      </c>
      <c r="G979" s="324">
        <v>9</v>
      </c>
      <c r="H979" s="324" t="s">
        <v>717</v>
      </c>
      <c r="I979" s="324">
        <v>100000</v>
      </c>
      <c r="J979" s="324" t="s">
        <v>1708</v>
      </c>
      <c r="M979" s="324" t="s">
        <v>719</v>
      </c>
    </row>
    <row r="980" spans="1:13" s="324" customFormat="1" ht="0.65" hidden="1" customHeight="1">
      <c r="A980" s="324">
        <v>5124</v>
      </c>
      <c r="G980" s="324">
        <v>10</v>
      </c>
      <c r="H980" s="324" t="s">
        <v>720</v>
      </c>
      <c r="I980" s="324">
        <v>37500</v>
      </c>
      <c r="J980" s="324" t="s">
        <v>1709</v>
      </c>
      <c r="M980" s="324" t="s">
        <v>722</v>
      </c>
    </row>
    <row r="981" spans="1:13" s="324" customFormat="1" ht="0.65" hidden="1" customHeight="1">
      <c r="A981" s="324">
        <v>5125</v>
      </c>
      <c r="G981" s="324">
        <v>11</v>
      </c>
      <c r="H981" s="324" t="s">
        <v>723</v>
      </c>
      <c r="I981" s="324">
        <v>62500</v>
      </c>
      <c r="J981" s="324" t="s">
        <v>1710</v>
      </c>
      <c r="M981" s="324" t="s">
        <v>725</v>
      </c>
    </row>
    <row r="982" spans="1:13" s="324" customFormat="1" ht="0.65" hidden="1" customHeight="1">
      <c r="A982" s="324">
        <v>5126</v>
      </c>
      <c r="G982" s="324">
        <v>12</v>
      </c>
      <c r="H982" s="324" t="s">
        <v>726</v>
      </c>
      <c r="I982" s="324">
        <v>62500</v>
      </c>
      <c r="J982" s="324" t="s">
        <v>1711</v>
      </c>
      <c r="M982" s="324" t="s">
        <v>728</v>
      </c>
    </row>
    <row r="983" spans="1:13" s="324" customFormat="1" ht="0.65" hidden="1" customHeight="1">
      <c r="A983" s="324">
        <v>5127</v>
      </c>
      <c r="G983" s="324">
        <v>13</v>
      </c>
      <c r="H983" s="324" t="s">
        <v>729</v>
      </c>
      <c r="I983" s="324">
        <v>267500</v>
      </c>
      <c r="J983" s="324" t="s">
        <v>1712</v>
      </c>
    </row>
    <row r="984" spans="1:13" s="324" customFormat="1" ht="0.65" hidden="1" customHeight="1">
      <c r="A984" s="324">
        <v>5128</v>
      </c>
      <c r="G984" s="324">
        <v>14</v>
      </c>
      <c r="H984" s="324" t="s">
        <v>731</v>
      </c>
      <c r="I984" s="324">
        <v>600000</v>
      </c>
      <c r="J984" s="324" t="s">
        <v>1473</v>
      </c>
      <c r="M984" s="324" t="s">
        <v>731</v>
      </c>
    </row>
    <row r="985" spans="1:13" s="324" customFormat="1" ht="0.65" hidden="1" customHeight="1">
      <c r="A985" s="324">
        <v>5129</v>
      </c>
      <c r="G985" s="324">
        <v>15</v>
      </c>
      <c r="H985" s="324" t="s">
        <v>732</v>
      </c>
      <c r="I985" s="324">
        <v>150000</v>
      </c>
      <c r="J985" s="324" t="s">
        <v>1702</v>
      </c>
      <c r="M985" s="324" t="s">
        <v>732</v>
      </c>
    </row>
    <row r="986" spans="1:13" s="324" customFormat="1" ht="0.65" hidden="1" customHeight="1">
      <c r="A986" s="324">
        <v>5130</v>
      </c>
      <c r="G986" s="324">
        <v>16</v>
      </c>
      <c r="H986" s="324" t="s">
        <v>733</v>
      </c>
      <c r="I986" s="324">
        <v>-30000</v>
      </c>
      <c r="J986" s="324" t="s">
        <v>1703</v>
      </c>
      <c r="M986" s="324" t="s">
        <v>704</v>
      </c>
    </row>
    <row r="987" spans="1:13" s="324" customFormat="1" ht="0.65" hidden="1" customHeight="1">
      <c r="A987" s="324">
        <v>5131</v>
      </c>
      <c r="G987" s="324">
        <v>17</v>
      </c>
      <c r="H987" s="324" t="s">
        <v>734</v>
      </c>
      <c r="I987" s="324">
        <v>480000</v>
      </c>
      <c r="J987" s="324" t="s">
        <v>1704</v>
      </c>
      <c r="M987" s="324" t="s">
        <v>735</v>
      </c>
    </row>
    <row r="988" spans="1:13" s="324" customFormat="1" ht="0.65" hidden="1" customHeight="1">
      <c r="A988" s="324">
        <v>5132</v>
      </c>
      <c r="G988" s="324">
        <v>18</v>
      </c>
      <c r="H988" s="324" t="s">
        <v>736</v>
      </c>
      <c r="I988" s="324">
        <v>120000</v>
      </c>
      <c r="J988" s="324" t="s">
        <v>1705</v>
      </c>
      <c r="M988" s="324" t="s">
        <v>737</v>
      </c>
    </row>
    <row r="989" spans="1:13" s="324" customFormat="1" ht="0.65" hidden="1" customHeight="1">
      <c r="A989" s="324">
        <v>5133</v>
      </c>
      <c r="G989" s="324">
        <v>19</v>
      </c>
      <c r="H989" s="324" t="s">
        <v>738</v>
      </c>
      <c r="I989" s="324">
        <v>360000</v>
      </c>
      <c r="J989" s="324" t="s">
        <v>1706</v>
      </c>
      <c r="M989" s="324" t="s">
        <v>739</v>
      </c>
    </row>
    <row r="990" spans="1:13" s="324" customFormat="1" ht="0.65" hidden="1" customHeight="1">
      <c r="A990" s="324">
        <v>5134</v>
      </c>
      <c r="G990" s="324">
        <v>20</v>
      </c>
      <c r="H990" s="324" t="s">
        <v>740</v>
      </c>
      <c r="I990" s="324">
        <v>330000</v>
      </c>
      <c r="J990" s="324" t="s">
        <v>1707</v>
      </c>
      <c r="M990" s="324" t="s">
        <v>741</v>
      </c>
    </row>
    <row r="991" spans="1:13" s="324" customFormat="1" ht="0.65" hidden="1" customHeight="1">
      <c r="A991" s="324">
        <v>5135</v>
      </c>
      <c r="G991" s="324">
        <v>21</v>
      </c>
      <c r="H991" s="324" t="s">
        <v>742</v>
      </c>
      <c r="I991" s="324">
        <v>100000</v>
      </c>
      <c r="J991" s="324" t="s">
        <v>1708</v>
      </c>
      <c r="M991" s="324" t="s">
        <v>743</v>
      </c>
    </row>
    <row r="992" spans="1:13" s="324" customFormat="1" ht="0.65" hidden="1" customHeight="1">
      <c r="A992" s="324">
        <v>5136</v>
      </c>
      <c r="G992" s="324">
        <v>22</v>
      </c>
      <c r="H992" s="324" t="s">
        <v>744</v>
      </c>
      <c r="I992" s="324">
        <v>37500</v>
      </c>
      <c r="J992" s="324" t="s">
        <v>1709</v>
      </c>
      <c r="M992" s="324" t="s">
        <v>745</v>
      </c>
    </row>
    <row r="993" spans="1:13" s="324" customFormat="1" ht="0.65" hidden="1" customHeight="1">
      <c r="A993" s="324">
        <v>5137</v>
      </c>
      <c r="G993" s="324">
        <v>23</v>
      </c>
      <c r="H993" s="324" t="s">
        <v>746</v>
      </c>
      <c r="I993" s="324">
        <v>62500</v>
      </c>
      <c r="J993" s="324" t="s">
        <v>1710</v>
      </c>
      <c r="M993" s="324" t="s">
        <v>747</v>
      </c>
    </row>
    <row r="994" spans="1:13" s="324" customFormat="1" ht="0.65" hidden="1" customHeight="1">
      <c r="A994" s="324">
        <v>5138</v>
      </c>
      <c r="G994" s="324">
        <v>24</v>
      </c>
      <c r="H994" s="324" t="s">
        <v>748</v>
      </c>
      <c r="I994" s="324">
        <v>0</v>
      </c>
      <c r="J994" s="324" t="s">
        <v>1713</v>
      </c>
      <c r="M994" s="324" t="s">
        <v>750</v>
      </c>
    </row>
    <row r="995" spans="1:13" s="324" customFormat="1" ht="0.65" hidden="1" customHeight="1">
      <c r="A995" s="324">
        <v>5139</v>
      </c>
      <c r="G995" s="324">
        <v>25</v>
      </c>
      <c r="H995" s="324" t="s">
        <v>751</v>
      </c>
      <c r="I995" s="324">
        <v>330000</v>
      </c>
      <c r="J995" s="324" t="s">
        <v>1714</v>
      </c>
    </row>
    <row r="996" spans="1:13" s="324" customFormat="1" ht="0.65" hidden="1" customHeight="1">
      <c r="A996" s="324">
        <v>5140</v>
      </c>
      <c r="G996" s="324">
        <v>26</v>
      </c>
      <c r="H996" s="324" t="s">
        <v>753</v>
      </c>
      <c r="I996" s="324">
        <v>600000</v>
      </c>
      <c r="J996" s="324" t="s">
        <v>1473</v>
      </c>
      <c r="M996" s="324" t="s">
        <v>753</v>
      </c>
    </row>
    <row r="997" spans="1:13" s="324" customFormat="1" ht="0.65" hidden="1" customHeight="1">
      <c r="A997" s="324">
        <v>5141</v>
      </c>
      <c r="G997" s="324">
        <v>27</v>
      </c>
      <c r="H997" s="324" t="s">
        <v>754</v>
      </c>
      <c r="I997" s="324">
        <v>150000</v>
      </c>
      <c r="J997" s="324" t="s">
        <v>1702</v>
      </c>
      <c r="M997" s="324" t="s">
        <v>754</v>
      </c>
    </row>
    <row r="998" spans="1:13" s="324" customFormat="1" ht="0.65" hidden="1" customHeight="1">
      <c r="A998" s="324">
        <v>5142</v>
      </c>
      <c r="G998" s="324">
        <v>28</v>
      </c>
      <c r="H998" s="324" t="s">
        <v>755</v>
      </c>
      <c r="I998" s="324">
        <v>120000</v>
      </c>
      <c r="J998" s="324" t="s">
        <v>1715</v>
      </c>
      <c r="M998" s="324" t="s">
        <v>757</v>
      </c>
    </row>
    <row r="999" spans="1:13" s="324" customFormat="1" ht="0.65" hidden="1" customHeight="1">
      <c r="A999" s="324">
        <v>5143</v>
      </c>
      <c r="G999" s="324">
        <v>29</v>
      </c>
      <c r="H999" s="324" t="s">
        <v>758</v>
      </c>
      <c r="I999" s="324">
        <v>330000</v>
      </c>
      <c r="J999" s="324" t="s">
        <v>1716</v>
      </c>
      <c r="M999" s="324" t="s">
        <v>760</v>
      </c>
    </row>
    <row r="1000" spans="1:13" s="324" customFormat="1" ht="0.65" hidden="1" customHeight="1">
      <c r="A1000" s="324">
        <v>5144</v>
      </c>
      <c r="G1000" s="324">
        <v>30</v>
      </c>
      <c r="H1000" s="324" t="s">
        <v>761</v>
      </c>
      <c r="I1000" s="324">
        <v>82500</v>
      </c>
      <c r="J1000" s="324" t="s">
        <v>1717</v>
      </c>
      <c r="M1000" s="324" t="s">
        <v>763</v>
      </c>
    </row>
    <row r="1001" spans="1:13" s="324" customFormat="1" ht="0.65" hidden="1" customHeight="1">
      <c r="A1001" s="324">
        <v>5145</v>
      </c>
      <c r="G1001" s="324">
        <v>31</v>
      </c>
      <c r="H1001" s="324" t="s">
        <v>764</v>
      </c>
      <c r="I1001" s="324">
        <v>247500</v>
      </c>
      <c r="J1001" s="324" t="s">
        <v>1718</v>
      </c>
      <c r="M1001" s="324" t="s">
        <v>766</v>
      </c>
    </row>
    <row r="1002" spans="1:13" s="324" customFormat="1" ht="0.65" hidden="1" customHeight="1">
      <c r="A1002" s="324">
        <v>5146</v>
      </c>
      <c r="G1002" s="324">
        <v>32</v>
      </c>
      <c r="H1002" s="324" t="s">
        <v>767</v>
      </c>
      <c r="I1002" s="324">
        <v>367500</v>
      </c>
      <c r="J1002" s="324" t="s">
        <v>1719</v>
      </c>
      <c r="M1002" s="324" t="s">
        <v>769</v>
      </c>
    </row>
    <row r="1003" spans="1:13" s="324" customFormat="1" ht="0.65" hidden="1" customHeight="1">
      <c r="A1003" s="324">
        <v>5147</v>
      </c>
      <c r="G1003" s="324">
        <v>33</v>
      </c>
      <c r="H1003" s="324" t="s">
        <v>770</v>
      </c>
      <c r="I1003" s="324">
        <v>100000</v>
      </c>
      <c r="J1003" s="324" t="s">
        <v>1708</v>
      </c>
      <c r="M1003" s="324" t="s">
        <v>771</v>
      </c>
    </row>
    <row r="1004" spans="1:13" s="324" customFormat="1" ht="0.65" hidden="1" customHeight="1">
      <c r="A1004" s="324">
        <v>5148</v>
      </c>
      <c r="G1004" s="324">
        <v>34</v>
      </c>
      <c r="H1004" s="324" t="s">
        <v>772</v>
      </c>
      <c r="I1004" s="324">
        <v>37500</v>
      </c>
      <c r="J1004" s="324" t="s">
        <v>1709</v>
      </c>
      <c r="M1004" s="324" t="s">
        <v>773</v>
      </c>
    </row>
    <row r="1005" spans="1:13" s="324" customFormat="1" ht="0.65" hidden="1" customHeight="1">
      <c r="A1005" s="324">
        <v>5149</v>
      </c>
      <c r="G1005" s="324">
        <v>35</v>
      </c>
      <c r="H1005" s="324" t="s">
        <v>774</v>
      </c>
      <c r="I1005" s="324">
        <v>62500</v>
      </c>
      <c r="J1005" s="324" t="s">
        <v>1710</v>
      </c>
      <c r="M1005" s="324" t="s">
        <v>775</v>
      </c>
    </row>
    <row r="1006" spans="1:13" s="324" customFormat="1" ht="0.65" hidden="1" customHeight="1">
      <c r="A1006" s="324">
        <v>5150</v>
      </c>
      <c r="G1006" s="324">
        <v>36</v>
      </c>
      <c r="H1006" s="324" t="s">
        <v>776</v>
      </c>
      <c r="I1006" s="324">
        <v>0</v>
      </c>
      <c r="J1006" s="324" t="s">
        <v>1713</v>
      </c>
      <c r="M1006" s="324" t="s">
        <v>777</v>
      </c>
    </row>
    <row r="1007" spans="1:13" s="324" customFormat="1" ht="0.65" hidden="1" customHeight="1">
      <c r="A1007" s="324">
        <v>5151</v>
      </c>
      <c r="G1007" s="324">
        <v>37</v>
      </c>
      <c r="H1007" s="324" t="s">
        <v>778</v>
      </c>
      <c r="I1007" s="324">
        <v>367500</v>
      </c>
      <c r="J1007" s="324" t="s">
        <v>1720</v>
      </c>
    </row>
    <row r="1008" spans="1:13" s="324" customFormat="1" ht="0.65" hidden="1" customHeight="1">
      <c r="A1008" s="324">
        <v>5152</v>
      </c>
      <c r="G1008" s="324">
        <v>38</v>
      </c>
      <c r="H1008" s="324" t="s">
        <v>780</v>
      </c>
      <c r="I1008" s="324">
        <v>277500</v>
      </c>
      <c r="J1008" s="324" t="s">
        <v>1696</v>
      </c>
      <c r="M1008" s="324" t="s">
        <v>690</v>
      </c>
    </row>
    <row r="1009" spans="1:13" s="324" customFormat="1" ht="0.65" hidden="1" customHeight="1">
      <c r="A1009" s="324">
        <v>5153</v>
      </c>
      <c r="G1009" s="324">
        <v>39</v>
      </c>
      <c r="H1009" s="324" t="s">
        <v>781</v>
      </c>
      <c r="I1009" s="324">
        <v>62500</v>
      </c>
      <c r="J1009" s="324" t="s">
        <v>1710</v>
      </c>
      <c r="M1009" s="324" t="s">
        <v>775</v>
      </c>
    </row>
    <row r="1010" spans="1:13" s="324" customFormat="1" ht="0.65" hidden="1" customHeight="1">
      <c r="A1010" s="324">
        <v>5154</v>
      </c>
      <c r="G1010" s="324">
        <v>40</v>
      </c>
      <c r="H1010" s="324" t="s">
        <v>782</v>
      </c>
      <c r="I1010" s="324">
        <v>340000</v>
      </c>
      <c r="J1010" s="324" t="s">
        <v>1721</v>
      </c>
      <c r="M1010" s="324" t="s">
        <v>784</v>
      </c>
    </row>
    <row r="1011" spans="1:13" s="324" customFormat="1" ht="0.65" hidden="1" customHeight="1">
      <c r="A1011" s="324">
        <v>5155</v>
      </c>
      <c r="G1011" s="324">
        <v>41</v>
      </c>
      <c r="H1011" s="324" t="s">
        <v>607</v>
      </c>
      <c r="I1011" s="324">
        <v>-967500</v>
      </c>
      <c r="J1011" s="324" t="s">
        <v>1722</v>
      </c>
      <c r="M1011" s="324" t="s">
        <v>786</v>
      </c>
    </row>
    <row r="1012" spans="1:13" s="324" customFormat="1" ht="0.65" hidden="1" customHeight="1">
      <c r="A1012" s="324">
        <v>5156</v>
      </c>
      <c r="G1012" s="324">
        <v>42</v>
      </c>
      <c r="H1012" s="324" t="s">
        <v>610</v>
      </c>
      <c r="I1012" s="324">
        <v>267500</v>
      </c>
      <c r="J1012" s="324" t="s">
        <v>1712</v>
      </c>
      <c r="M1012" s="324" t="s">
        <v>729</v>
      </c>
    </row>
    <row r="1013" spans="1:13" s="324" customFormat="1" ht="0.65" hidden="1" customHeight="1">
      <c r="A1013" s="324">
        <v>5157</v>
      </c>
      <c r="G1013" s="324">
        <v>43</v>
      </c>
      <c r="H1013" s="324" t="s">
        <v>611</v>
      </c>
      <c r="I1013" s="324">
        <v>330000</v>
      </c>
      <c r="J1013" s="324" t="s">
        <v>1720</v>
      </c>
      <c r="M1013" s="324" t="s">
        <v>751</v>
      </c>
    </row>
    <row r="1014" spans="1:13" s="324" customFormat="1" ht="0.65" hidden="1" customHeight="1">
      <c r="A1014" s="324">
        <v>5158</v>
      </c>
      <c r="G1014" s="324">
        <v>44</v>
      </c>
      <c r="H1014" s="324" t="s">
        <v>612</v>
      </c>
      <c r="I1014" s="324">
        <v>707500</v>
      </c>
      <c r="J1014" s="324" t="s">
        <v>1723</v>
      </c>
      <c r="M1014" s="324" t="s">
        <v>788</v>
      </c>
    </row>
    <row r="1015" spans="1:13" s="324" customFormat="1" ht="0.65" hidden="1" customHeight="1">
      <c r="A1015" s="324">
        <v>5159</v>
      </c>
      <c r="G1015" s="324">
        <v>45</v>
      </c>
      <c r="H1015" s="324" t="s">
        <v>414</v>
      </c>
      <c r="I1015" s="324">
        <v>4.4999999999999998E-2</v>
      </c>
      <c r="J1015" s="324" t="s">
        <v>1699</v>
      </c>
      <c r="M1015" s="324" t="s">
        <v>440</v>
      </c>
    </row>
    <row r="1016" spans="1:13" s="324" customFormat="1" ht="0.65" hidden="1" customHeight="1">
      <c r="A1016" s="324">
        <v>5160</v>
      </c>
      <c r="G1016" s="324">
        <v>46</v>
      </c>
      <c r="H1016" s="324" t="s">
        <v>415</v>
      </c>
      <c r="I1016" s="324">
        <v>0.1</v>
      </c>
      <c r="J1016" s="324" t="s">
        <v>1700</v>
      </c>
      <c r="M1016" s="324" t="s">
        <v>441</v>
      </c>
    </row>
    <row r="1017" spans="1:13" s="324" customFormat="1" ht="0.65" hidden="1" customHeight="1">
      <c r="A1017" s="324">
        <v>5161</v>
      </c>
      <c r="G1017" s="324">
        <v>47</v>
      </c>
      <c r="H1017" s="324" t="s">
        <v>416</v>
      </c>
      <c r="I1017" s="324">
        <v>8.8999999999999996E-2</v>
      </c>
      <c r="J1017" s="324" t="s">
        <v>1701</v>
      </c>
      <c r="M1017" s="324" t="s">
        <v>442</v>
      </c>
    </row>
    <row r="1018" spans="1:13" s="324" customFormat="1" ht="0.65" hidden="1" customHeight="1">
      <c r="A1018" s="324">
        <v>5162</v>
      </c>
      <c r="G1018" s="324">
        <v>48</v>
      </c>
      <c r="H1018" s="324" t="s">
        <v>13</v>
      </c>
      <c r="I1018" s="324">
        <v>104229.1490951411</v>
      </c>
      <c r="J1018" s="324" t="s">
        <v>1724</v>
      </c>
      <c r="M1018" s="324" t="s">
        <v>622</v>
      </c>
    </row>
    <row r="1019" spans="1:13" s="324" customFormat="1" ht="0.65" hidden="1" customHeight="1">
      <c r="A1019" s="324">
        <v>5163</v>
      </c>
      <c r="G1019" s="324">
        <v>49</v>
      </c>
      <c r="H1019" s="324" t="s">
        <v>28</v>
      </c>
      <c r="I1019" s="324">
        <v>0.13927532491339289</v>
      </c>
      <c r="J1019" s="324" t="s">
        <v>1654</v>
      </c>
      <c r="M1019" s="324" t="s">
        <v>624</v>
      </c>
    </row>
    <row r="1020" spans="1:13" s="324" customFormat="1" ht="0.65" hidden="1" customHeight="1">
      <c r="A1020" s="324">
        <v>5164</v>
      </c>
      <c r="G1020" s="324">
        <v>50</v>
      </c>
      <c r="H1020" s="324" t="s">
        <v>29</v>
      </c>
      <c r="I1020" s="324">
        <v>0.10773038666164454</v>
      </c>
      <c r="J1020" s="324" t="s">
        <v>1725</v>
      </c>
      <c r="M1020" s="324" t="s">
        <v>791</v>
      </c>
    </row>
    <row r="1021" spans="1:13" s="324" customFormat="1" ht="0.65" hidden="1" customHeight="1">
      <c r="A1021" s="324">
        <v>5165</v>
      </c>
      <c r="G1021" s="324">
        <v>51</v>
      </c>
      <c r="H1021" s="324" t="s">
        <v>30</v>
      </c>
      <c r="I1021" s="324">
        <v>3</v>
      </c>
      <c r="J1021" s="324" t="s">
        <v>1694</v>
      </c>
      <c r="M1021" s="324" t="s">
        <v>1060</v>
      </c>
    </row>
    <row r="1022" spans="1:13" s="324" customFormat="1" ht="0.65" hidden="1" customHeight="1"/>
    <row r="1023" spans="1:13" s="324" customFormat="1" ht="0.65" hidden="1" customHeight="1"/>
    <row r="1024" spans="1:13" s="324" customFormat="1" ht="0.65" hidden="1" customHeight="1"/>
    <row r="1025" spans="1:28" s="324" customFormat="1" ht="0.65" hidden="1" customHeight="1">
      <c r="B1025" s="324" t="s">
        <v>19</v>
      </c>
      <c r="D1025" s="324" t="s">
        <v>336</v>
      </c>
      <c r="E1025" s="324">
        <v>6</v>
      </c>
      <c r="H1025" s="324" t="s">
        <v>24</v>
      </c>
    </row>
    <row r="1026" spans="1:28" s="324" customFormat="1" ht="0.65" hidden="1" customHeight="1">
      <c r="B1026" s="324" t="s">
        <v>3951</v>
      </c>
      <c r="D1026" s="324" t="s">
        <v>336</v>
      </c>
      <c r="E1026" s="324" t="s">
        <v>486</v>
      </c>
    </row>
    <row r="1027" spans="1:28" s="324" customFormat="1" ht="0.65" hidden="1" customHeight="1">
      <c r="A1027" s="324">
        <v>6001</v>
      </c>
      <c r="C1027" s="324" t="s">
        <v>5</v>
      </c>
      <c r="D1027" s="324">
        <v>2022</v>
      </c>
      <c r="H1027" s="324" t="s">
        <v>490</v>
      </c>
      <c r="I1027" s="324">
        <v>534375</v>
      </c>
      <c r="J1027" s="324" t="s">
        <v>1858</v>
      </c>
      <c r="U1027" s="324" t="s">
        <v>151</v>
      </c>
    </row>
    <row r="1028" spans="1:28" s="324" customFormat="1" ht="0.65" hidden="1" customHeight="1">
      <c r="A1028" s="324">
        <v>6002</v>
      </c>
    </row>
    <row r="1029" spans="1:28" s="324" customFormat="1" ht="0.65" hidden="1" customHeight="1">
      <c r="A1029" s="324">
        <v>6003</v>
      </c>
      <c r="C1029" s="324" t="s">
        <v>32</v>
      </c>
      <c r="H1029" s="324" t="s">
        <v>21</v>
      </c>
      <c r="N1029" s="324" t="s">
        <v>646</v>
      </c>
      <c r="U1029" s="324" t="s">
        <v>152</v>
      </c>
      <c r="Z1029" s="324" t="s">
        <v>176</v>
      </c>
      <c r="AA1029" s="324">
        <v>87817.478696592501</v>
      </c>
    </row>
    <row r="1030" spans="1:28" s="324" customFormat="1" ht="0.65" hidden="1" customHeight="1">
      <c r="A1030" s="324">
        <v>6004</v>
      </c>
      <c r="C1030" s="324" t="s">
        <v>488</v>
      </c>
      <c r="D1030" s="324">
        <v>750000</v>
      </c>
      <c r="H1030" s="324" t="s">
        <v>454</v>
      </c>
      <c r="K1030" s="324">
        <v>16</v>
      </c>
      <c r="L1030" s="324" t="s">
        <v>55</v>
      </c>
      <c r="M1030" s="324" t="s">
        <v>185</v>
      </c>
      <c r="N1030" s="324" t="s">
        <v>1901</v>
      </c>
      <c r="O1030" s="324" t="s">
        <v>1902</v>
      </c>
      <c r="Y1030" s="324" t="s">
        <v>139</v>
      </c>
      <c r="Z1030" s="324" t="s">
        <v>174</v>
      </c>
    </row>
    <row r="1031" spans="1:28" s="324" customFormat="1" ht="0.65" hidden="1" customHeight="1">
      <c r="A1031" s="324">
        <v>6005</v>
      </c>
      <c r="C1031" s="324" t="s">
        <v>6</v>
      </c>
      <c r="D1031" s="324">
        <v>10</v>
      </c>
      <c r="T1031" s="324" t="s">
        <v>187</v>
      </c>
      <c r="V1031" s="324" t="s">
        <v>180</v>
      </c>
      <c r="X1031" s="324" t="s">
        <v>177</v>
      </c>
      <c r="Y1031" s="324" t="s">
        <v>173</v>
      </c>
      <c r="Z1031" s="324" t="s">
        <v>175</v>
      </c>
      <c r="AA1031" s="324" t="s">
        <v>172</v>
      </c>
      <c r="AB1031" s="324" t="s">
        <v>417</v>
      </c>
    </row>
    <row r="1032" spans="1:28" s="324" customFormat="1" ht="0.65" hidden="1" customHeight="1">
      <c r="A1032" s="324">
        <v>6006</v>
      </c>
      <c r="C1032" s="324" t="s">
        <v>489</v>
      </c>
      <c r="D1032" s="324">
        <v>75000</v>
      </c>
      <c r="H1032" s="324" t="s">
        <v>0</v>
      </c>
      <c r="I1032" s="324" t="s">
        <v>69</v>
      </c>
      <c r="J1032" s="324" t="s">
        <v>70</v>
      </c>
      <c r="K1032" s="324" t="s">
        <v>71</v>
      </c>
      <c r="L1032" s="324" t="s">
        <v>72</v>
      </c>
      <c r="M1032" s="324" t="s">
        <v>73</v>
      </c>
      <c r="N1032" s="324" t="s">
        <v>74</v>
      </c>
      <c r="O1032" s="324" t="s">
        <v>75</v>
      </c>
      <c r="T1032" s="324">
        <v>1</v>
      </c>
      <c r="U1032" s="324" t="s">
        <v>153</v>
      </c>
      <c r="X1032" s="324" t="s">
        <v>6</v>
      </c>
      <c r="Y1032" s="324">
        <v>10</v>
      </c>
      <c r="Z1032" s="324">
        <v>15</v>
      </c>
      <c r="AA1032" s="324">
        <v>86327.537707922282</v>
      </c>
      <c r="AB1032" s="324">
        <v>-1489.9409886702197</v>
      </c>
    </row>
    <row r="1033" spans="1:28" s="324" customFormat="1" ht="0.65" hidden="1" customHeight="1">
      <c r="A1033" s="324">
        <v>6007</v>
      </c>
      <c r="H1033" s="324">
        <v>2023</v>
      </c>
      <c r="I1033" s="324">
        <v>250000</v>
      </c>
      <c r="J1033" s="324">
        <v>-25000</v>
      </c>
      <c r="K1033" s="324">
        <v>28125</v>
      </c>
      <c r="L1033" s="324">
        <v>246875</v>
      </c>
      <c r="M1033" s="324">
        <v>61718.75</v>
      </c>
      <c r="N1033" s="324">
        <v>185156.25</v>
      </c>
      <c r="O1033" s="324">
        <v>213281.25</v>
      </c>
      <c r="T1033" s="324">
        <v>2</v>
      </c>
      <c r="U1033" s="324" t="s">
        <v>154</v>
      </c>
      <c r="X1033" s="324" t="s">
        <v>488</v>
      </c>
      <c r="Y1033" s="324">
        <v>750000</v>
      </c>
      <c r="Z1033" s="324">
        <v>825000.00000000012</v>
      </c>
      <c r="AA1033" s="324">
        <v>27232.231499450398</v>
      </c>
      <c r="AB1033" s="324">
        <v>-60585.247197142104</v>
      </c>
    </row>
    <row r="1034" spans="1:28" s="324" customFormat="1" ht="0.65" hidden="1" customHeight="1">
      <c r="A1034" s="324">
        <v>6008</v>
      </c>
      <c r="C1034" s="324" t="s">
        <v>34</v>
      </c>
      <c r="D1034" s="324">
        <v>250000</v>
      </c>
      <c r="H1034" s="324">
        <v>2024</v>
      </c>
      <c r="I1034" s="324">
        <v>250000</v>
      </c>
      <c r="J1034" s="324">
        <v>-25000</v>
      </c>
      <c r="K1034" s="324">
        <v>28125</v>
      </c>
      <c r="L1034" s="324">
        <v>246875</v>
      </c>
      <c r="M1034" s="324">
        <v>61718.75</v>
      </c>
      <c r="N1034" s="324">
        <v>185156.25</v>
      </c>
      <c r="O1034" s="324">
        <v>213281.25</v>
      </c>
      <c r="T1034" s="324">
        <v>3</v>
      </c>
      <c r="U1034" s="324" t="s">
        <v>155</v>
      </c>
      <c r="X1034" s="324" t="s">
        <v>489</v>
      </c>
      <c r="Y1034" s="324">
        <v>75000</v>
      </c>
      <c r="Z1034" s="324">
        <v>67500</v>
      </c>
      <c r="AA1034" s="324">
        <v>83627.147544715437</v>
      </c>
      <c r="AB1034" s="324">
        <v>-4190.3311518770643</v>
      </c>
    </row>
    <row r="1035" spans="1:28" s="324" customFormat="1" ht="0.65" hidden="1" customHeight="1">
      <c r="A1035" s="324">
        <v>6009</v>
      </c>
      <c r="C1035" s="324" t="s">
        <v>35</v>
      </c>
      <c r="D1035" s="324">
        <v>-25000</v>
      </c>
      <c r="H1035" s="324">
        <v>2025</v>
      </c>
      <c r="I1035" s="324">
        <v>250000</v>
      </c>
      <c r="J1035" s="324">
        <v>-25000</v>
      </c>
      <c r="K1035" s="324">
        <v>28125</v>
      </c>
      <c r="L1035" s="324">
        <v>246875</v>
      </c>
      <c r="M1035" s="324">
        <v>61718.75</v>
      </c>
      <c r="N1035" s="324">
        <v>185156.25</v>
      </c>
      <c r="O1035" s="324">
        <v>213281.25</v>
      </c>
      <c r="T1035" s="324">
        <v>4</v>
      </c>
      <c r="U1035" s="324" t="s">
        <v>156</v>
      </c>
      <c r="X1035" s="324" t="s">
        <v>492</v>
      </c>
      <c r="Y1035" s="324">
        <v>225000</v>
      </c>
      <c r="Z1035" s="324">
        <v>247500.00000000003</v>
      </c>
      <c r="AA1035" s="324">
        <v>104692.4786965925</v>
      </c>
      <c r="AB1035" s="324">
        <v>16875</v>
      </c>
    </row>
    <row r="1036" spans="1:28" s="324" customFormat="1" ht="0.65" hidden="1" customHeight="1">
      <c r="A1036" s="324">
        <v>6010</v>
      </c>
      <c r="T1036" s="324">
        <v>5</v>
      </c>
      <c r="U1036" s="324" t="s">
        <v>157</v>
      </c>
      <c r="X1036" s="324" t="s">
        <v>6</v>
      </c>
      <c r="Y1036" s="324">
        <v>4</v>
      </c>
      <c r="Z1036" s="324">
        <v>3</v>
      </c>
      <c r="AA1036" s="324">
        <v>86886.26557867357</v>
      </c>
      <c r="AB1036" s="324">
        <v>-931.21311791893095</v>
      </c>
    </row>
    <row r="1037" spans="1:28" s="324" customFormat="1" ht="0.65" hidden="1" customHeight="1">
      <c r="A1037" s="324">
        <v>6011</v>
      </c>
      <c r="C1037" s="324" t="s">
        <v>7</v>
      </c>
      <c r="D1037" s="324">
        <v>90</v>
      </c>
      <c r="H1037" s="324" t="s">
        <v>22</v>
      </c>
      <c r="N1037" s="324" t="s">
        <v>649</v>
      </c>
      <c r="T1037" s="324">
        <v>6</v>
      </c>
      <c r="U1037" s="324" t="s">
        <v>158</v>
      </c>
      <c r="X1037" s="324" t="s">
        <v>495</v>
      </c>
      <c r="Y1037" s="324">
        <v>187500</v>
      </c>
      <c r="Z1037" s="324">
        <v>206250.00000000003</v>
      </c>
      <c r="AA1037" s="324">
        <v>88733.672134652734</v>
      </c>
      <c r="AB1037" s="324">
        <v>916.19343806023244</v>
      </c>
    </row>
    <row r="1038" spans="1:28" s="324" customFormat="1" ht="0.65" hidden="1" customHeight="1">
      <c r="A1038" s="324">
        <v>6012</v>
      </c>
      <c r="C1038" s="324" t="s">
        <v>8</v>
      </c>
      <c r="D1038" s="324">
        <v>90</v>
      </c>
      <c r="H1038" s="324" t="s">
        <v>454</v>
      </c>
      <c r="K1038" s="324">
        <v>34</v>
      </c>
      <c r="L1038" s="324" t="s">
        <v>55</v>
      </c>
      <c r="M1038" s="324" t="s">
        <v>185</v>
      </c>
      <c r="N1038" s="324" t="s">
        <v>1903</v>
      </c>
      <c r="O1038" s="324" t="s">
        <v>1904</v>
      </c>
      <c r="T1038" s="324">
        <v>7</v>
      </c>
      <c r="U1038" s="324" t="s">
        <v>159</v>
      </c>
      <c r="X1038" s="324" t="s">
        <v>492</v>
      </c>
      <c r="Y1038" s="324">
        <v>225000</v>
      </c>
      <c r="Z1038" s="324">
        <v>202500</v>
      </c>
      <c r="AA1038" s="324">
        <v>70942.478696592501</v>
      </c>
      <c r="AB1038" s="324">
        <v>-16875</v>
      </c>
    </row>
    <row r="1039" spans="1:28" s="324" customFormat="1" ht="0.65" hidden="1" customHeight="1">
      <c r="A1039" s="324">
        <v>6013</v>
      </c>
      <c r="T1039" s="324">
        <v>8</v>
      </c>
      <c r="U1039" s="324" t="s">
        <v>160</v>
      </c>
      <c r="X1039" s="324" t="s">
        <v>489</v>
      </c>
      <c r="Y1039" s="324">
        <v>45000</v>
      </c>
      <c r="Z1039" s="324">
        <v>49500.000000000007</v>
      </c>
      <c r="AA1039" s="324">
        <v>85303.280005466309</v>
      </c>
      <c r="AB1039" s="324">
        <v>-2514.198691126192</v>
      </c>
    </row>
    <row r="1040" spans="1:28" s="324" customFormat="1" ht="0.65" hidden="1" customHeight="1">
      <c r="A1040" s="324">
        <v>6014</v>
      </c>
      <c r="C1040" s="324" t="s">
        <v>33</v>
      </c>
      <c r="H1040" s="324" t="s">
        <v>0</v>
      </c>
      <c r="I1040" s="324" t="s">
        <v>76</v>
      </c>
      <c r="J1040" s="324" t="s">
        <v>77</v>
      </c>
      <c r="K1040" s="324" t="s">
        <v>78</v>
      </c>
      <c r="L1040" s="324" t="s">
        <v>79</v>
      </c>
      <c r="T1040" s="324">
        <v>9</v>
      </c>
      <c r="U1040" s="324" t="s">
        <v>161</v>
      </c>
      <c r="X1040" s="324" t="s">
        <v>34</v>
      </c>
      <c r="Y1040" s="324">
        <v>250000</v>
      </c>
      <c r="Z1040" s="324">
        <v>275000</v>
      </c>
      <c r="AA1040" s="324">
        <v>133180.81430385646</v>
      </c>
      <c r="AB1040" s="324">
        <v>45363.335607263958</v>
      </c>
    </row>
    <row r="1041" spans="1:28" s="324" customFormat="1" ht="0.65" hidden="1" customHeight="1">
      <c r="A1041" s="324">
        <v>6015</v>
      </c>
      <c r="C1041" s="324" t="s">
        <v>492</v>
      </c>
      <c r="D1041" s="324">
        <v>225000</v>
      </c>
      <c r="H1041" s="324">
        <v>2022</v>
      </c>
      <c r="I1041" s="324">
        <v>0</v>
      </c>
      <c r="J1041" s="324">
        <v>0</v>
      </c>
      <c r="K1041" s="324">
        <v>0</v>
      </c>
      <c r="L1041" s="324">
        <v>0</v>
      </c>
      <c r="T1041" s="324">
        <v>10</v>
      </c>
      <c r="U1041" s="324" t="s">
        <v>162</v>
      </c>
      <c r="X1041" s="324" t="s">
        <v>7</v>
      </c>
      <c r="Y1041" s="324">
        <v>90</v>
      </c>
      <c r="Z1041" s="324">
        <v>120</v>
      </c>
      <c r="AA1041" s="324">
        <v>84451.482438200037</v>
      </c>
      <c r="AB1041" s="324">
        <v>-3365.9962583924644</v>
      </c>
    </row>
    <row r="1042" spans="1:28" s="324" customFormat="1" ht="0.65" hidden="1" customHeight="1">
      <c r="A1042" s="324">
        <v>6016</v>
      </c>
      <c r="C1042" s="324" t="s">
        <v>495</v>
      </c>
      <c r="D1042" s="324">
        <v>187500</v>
      </c>
      <c r="H1042" s="324">
        <v>2023</v>
      </c>
      <c r="I1042" s="324">
        <v>62500</v>
      </c>
      <c r="J1042" s="324">
        <v>-6250</v>
      </c>
      <c r="K1042" s="324">
        <v>68750</v>
      </c>
      <c r="L1042" s="324">
        <v>68750</v>
      </c>
      <c r="T1042" s="324">
        <v>11</v>
      </c>
      <c r="U1042" s="324" t="s">
        <v>163</v>
      </c>
      <c r="X1042" s="324" t="s">
        <v>35</v>
      </c>
      <c r="Y1042" s="324">
        <v>-25000</v>
      </c>
      <c r="Z1042" s="324">
        <v>-27500.000000000004</v>
      </c>
      <c r="AA1042" s="324">
        <v>92353.81225731899</v>
      </c>
      <c r="AB1042" s="324">
        <v>4536.3335607264889</v>
      </c>
    </row>
    <row r="1043" spans="1:28" s="324" customFormat="1" ht="0.65" hidden="1" customHeight="1">
      <c r="A1043" s="324">
        <v>6017</v>
      </c>
      <c r="C1043" s="324" t="s">
        <v>6</v>
      </c>
      <c r="D1043" s="324">
        <v>4</v>
      </c>
      <c r="H1043" s="324">
        <v>2024</v>
      </c>
      <c r="I1043" s="324">
        <v>62500</v>
      </c>
      <c r="J1043" s="324">
        <v>-6250</v>
      </c>
      <c r="K1043" s="324">
        <v>68750</v>
      </c>
      <c r="L1043" s="324">
        <v>0</v>
      </c>
      <c r="T1043" s="324">
        <v>12</v>
      </c>
      <c r="U1043" s="324" t="s">
        <v>164</v>
      </c>
      <c r="X1043" s="324" t="s">
        <v>8</v>
      </c>
      <c r="Y1043" s="324">
        <v>90</v>
      </c>
      <c r="Z1043" s="324">
        <v>60</v>
      </c>
      <c r="AA1043" s="324">
        <v>88154.078322431887</v>
      </c>
      <c r="AB1043" s="324">
        <v>336.59962583938614</v>
      </c>
    </row>
    <row r="1044" spans="1:28" s="324" customFormat="1" ht="0.65" hidden="1" customHeight="1">
      <c r="A1044" s="324">
        <v>6018</v>
      </c>
      <c r="C1044" s="324" t="s">
        <v>489</v>
      </c>
      <c r="D1044" s="324">
        <v>45000</v>
      </c>
      <c r="H1044" s="324">
        <v>2025</v>
      </c>
      <c r="I1044" s="324">
        <v>62500</v>
      </c>
      <c r="J1044" s="324">
        <v>-6250</v>
      </c>
      <c r="K1044" s="324">
        <v>68750</v>
      </c>
      <c r="L1044" s="324">
        <v>0</v>
      </c>
      <c r="T1044" s="324">
        <v>13</v>
      </c>
      <c r="U1044" s="324" t="s">
        <v>165</v>
      </c>
      <c r="X1044" s="324" t="s">
        <v>10</v>
      </c>
      <c r="Y1044" s="324">
        <v>420000.00000000006</v>
      </c>
      <c r="Z1044" s="324">
        <v>462000.00000000012</v>
      </c>
      <c r="AA1044" s="324">
        <v>86120.537699498003</v>
      </c>
      <c r="AB1044" s="324">
        <v>-1696.940997094498</v>
      </c>
    </row>
    <row r="1045" spans="1:28" s="324" customFormat="1" ht="0.65" hidden="1" customHeight="1">
      <c r="A1045" s="324">
        <v>6019</v>
      </c>
      <c r="T1045" s="324">
        <v>14</v>
      </c>
      <c r="U1045" s="324" t="s">
        <v>166</v>
      </c>
      <c r="X1045" s="324" t="s">
        <v>12</v>
      </c>
      <c r="Y1045" s="324">
        <v>0.02</v>
      </c>
      <c r="Z1045" s="324">
        <v>0.01</v>
      </c>
      <c r="AA1045" s="324">
        <v>97654.13544264494</v>
      </c>
      <c r="AB1045" s="324">
        <v>9836.6567460524384</v>
      </c>
    </row>
    <row r="1046" spans="1:28" s="324" customFormat="1" ht="0.65" hidden="1" customHeight="1">
      <c r="A1046" s="324">
        <v>6020</v>
      </c>
      <c r="C1046" s="324" t="s">
        <v>4</v>
      </c>
      <c r="D1046" s="324">
        <v>0.25</v>
      </c>
      <c r="H1046" s="324" t="s">
        <v>23</v>
      </c>
      <c r="T1046" s="324">
        <v>15</v>
      </c>
      <c r="U1046" s="324" t="s">
        <v>167</v>
      </c>
      <c r="X1046" s="324" t="s">
        <v>11</v>
      </c>
      <c r="Y1046" s="324">
        <v>1800000</v>
      </c>
      <c r="Z1046" s="324">
        <v>1980000.0000000002</v>
      </c>
      <c r="AA1046" s="324">
        <v>78216.800022552954</v>
      </c>
      <c r="AB1046" s="324">
        <v>-9600.6786740395473</v>
      </c>
    </row>
    <row r="1047" spans="1:28" s="324" customFormat="1" ht="0.65" hidden="1" customHeight="1">
      <c r="A1047" s="324">
        <v>6021</v>
      </c>
      <c r="D1047" s="324" t="s">
        <v>9</v>
      </c>
      <c r="T1047" s="324">
        <v>16</v>
      </c>
      <c r="U1047" s="324" t="s">
        <v>168</v>
      </c>
      <c r="X1047" s="324" t="s">
        <v>3</v>
      </c>
      <c r="Y1047" s="324">
        <v>18000000</v>
      </c>
      <c r="Z1047" s="324">
        <v>19800000</v>
      </c>
      <c r="AA1047" s="324">
        <v>95402.650565361488</v>
      </c>
      <c r="AB1047" s="324">
        <v>7585.1718687689863</v>
      </c>
    </row>
    <row r="1048" spans="1:28" s="324" customFormat="1" ht="0.65" hidden="1" customHeight="1">
      <c r="A1048" s="324">
        <v>6022</v>
      </c>
      <c r="H1048" s="324" t="s">
        <v>491</v>
      </c>
      <c r="I1048" s="324">
        <v>142031.25</v>
      </c>
      <c r="J1048" s="324" t="s">
        <v>1872</v>
      </c>
      <c r="T1048" s="324">
        <v>17</v>
      </c>
      <c r="U1048" s="324" t="s">
        <v>169</v>
      </c>
      <c r="X1048" s="324" t="s">
        <v>2</v>
      </c>
      <c r="Y1048" s="324">
        <v>6000000</v>
      </c>
      <c r="Z1048" s="324">
        <v>3000000</v>
      </c>
      <c r="AA1048" s="324">
        <v>69175.579318678123</v>
      </c>
      <c r="AB1048" s="324">
        <v>-18641.899377914378</v>
      </c>
    </row>
    <row r="1049" spans="1:28" s="324" customFormat="1" ht="0.65" hidden="1" customHeight="1">
      <c r="A1049" s="324">
        <v>6023</v>
      </c>
      <c r="C1049" s="324" t="s">
        <v>10</v>
      </c>
      <c r="D1049" s="324">
        <v>420000.00000000006</v>
      </c>
      <c r="H1049" s="324" t="s">
        <v>493</v>
      </c>
      <c r="I1049" s="324">
        <v>68750</v>
      </c>
      <c r="J1049" s="324" t="s">
        <v>1873</v>
      </c>
      <c r="T1049" s="324">
        <v>18</v>
      </c>
      <c r="U1049" s="324" t="s">
        <v>170</v>
      </c>
      <c r="X1049" s="324" t="s">
        <v>4</v>
      </c>
      <c r="Y1049" s="324">
        <v>0.25</v>
      </c>
      <c r="Z1049" s="324">
        <v>0.3</v>
      </c>
      <c r="AA1049" s="324">
        <v>73233.162172578741</v>
      </c>
      <c r="AB1049" s="324">
        <v>-14584.31652401376</v>
      </c>
    </row>
    <row r="1050" spans="1:28" s="324" customFormat="1" ht="0.65" hidden="1" customHeight="1">
      <c r="A1050" s="324">
        <v>6024</v>
      </c>
      <c r="C1050" s="324" t="s">
        <v>11</v>
      </c>
      <c r="D1050" s="324">
        <v>1800000</v>
      </c>
      <c r="H1050" s="324" t="s">
        <v>494</v>
      </c>
      <c r="I1050" s="324">
        <v>210781.25</v>
      </c>
      <c r="J1050" s="324" t="s">
        <v>1874</v>
      </c>
      <c r="T1050" s="324">
        <v>19</v>
      </c>
      <c r="U1050" s="324" t="s">
        <v>171</v>
      </c>
      <c r="X1050" s="324" t="s">
        <v>14</v>
      </c>
      <c r="Y1050" s="324" t="s">
        <v>16</v>
      </c>
      <c r="Z1050" s="324" t="e">
        <v>#REF!</v>
      </c>
      <c r="AA1050" s="324">
        <v>212420.47733247245</v>
      </c>
      <c r="AB1050" s="324">
        <v>124602.99863587995</v>
      </c>
    </row>
    <row r="1051" spans="1:28" s="324" customFormat="1" ht="0.65" hidden="1" customHeight="1">
      <c r="A1051" s="324">
        <v>6025</v>
      </c>
      <c r="C1051" s="324" t="s">
        <v>12</v>
      </c>
      <c r="D1051" s="324">
        <v>0.02</v>
      </c>
    </row>
    <row r="1052" spans="1:28" s="324" customFormat="1" ht="0.65" hidden="1" customHeight="1">
      <c r="A1052" s="324">
        <v>6026</v>
      </c>
      <c r="C1052" s="324" t="s">
        <v>2</v>
      </c>
      <c r="D1052" s="324">
        <v>6000000</v>
      </c>
      <c r="H1052" s="324" t="s">
        <v>26</v>
      </c>
    </row>
    <row r="1053" spans="1:28" s="324" customFormat="1" ht="0.65" hidden="1" customHeight="1">
      <c r="A1053" s="324">
        <v>6027</v>
      </c>
      <c r="C1053" s="324" t="s">
        <v>3</v>
      </c>
      <c r="D1053" s="324">
        <v>18000000</v>
      </c>
      <c r="L1053" s="324" t="s">
        <v>81</v>
      </c>
    </row>
    <row r="1054" spans="1:28" s="324" customFormat="1" ht="0.65" hidden="1" customHeight="1">
      <c r="A1054" s="324">
        <v>6028</v>
      </c>
      <c r="H1054" s="324" t="s">
        <v>0</v>
      </c>
      <c r="I1054" s="324" t="s">
        <v>75</v>
      </c>
      <c r="J1054" s="324" t="s">
        <v>79</v>
      </c>
      <c r="K1054" s="324" t="s">
        <v>80</v>
      </c>
      <c r="L1054" s="324" t="s">
        <v>1</v>
      </c>
      <c r="N1054" s="324" t="s">
        <v>31</v>
      </c>
    </row>
    <row r="1055" spans="1:28" s="324" customFormat="1" ht="0.65" hidden="1" customHeight="1">
      <c r="A1055" s="324">
        <v>6029</v>
      </c>
      <c r="C1055" s="324" t="s">
        <v>14</v>
      </c>
      <c r="D1055" s="324" t="s">
        <v>16</v>
      </c>
      <c r="H1055" s="324">
        <v>2022</v>
      </c>
      <c r="I1055" s="324">
        <v>0</v>
      </c>
      <c r="J1055" s="324">
        <v>0</v>
      </c>
      <c r="K1055" s="324">
        <v>0</v>
      </c>
      <c r="L1055" s="324">
        <v>-534375</v>
      </c>
      <c r="N1055" s="324">
        <v>-534375</v>
      </c>
    </row>
    <row r="1056" spans="1:28" s="324" customFormat="1" ht="0.65" hidden="1" customHeight="1">
      <c r="A1056" s="324">
        <v>6030</v>
      </c>
      <c r="H1056" s="324">
        <v>2023</v>
      </c>
      <c r="I1056" s="324">
        <v>213281.25</v>
      </c>
      <c r="J1056" s="324">
        <v>68750</v>
      </c>
      <c r="K1056" s="324">
        <v>144531.25</v>
      </c>
      <c r="L1056" s="324">
        <v>144531.25</v>
      </c>
      <c r="N1056" s="324">
        <v>-389843.75</v>
      </c>
      <c r="O1056" s="324" t="s">
        <v>55</v>
      </c>
    </row>
    <row r="1057" spans="1:18" s="324" customFormat="1" ht="0.65" hidden="1" customHeight="1">
      <c r="A1057" s="324">
        <v>6031</v>
      </c>
      <c r="E1057" s="324" t="s">
        <v>55</v>
      </c>
      <c r="H1057" s="324">
        <v>2024</v>
      </c>
      <c r="I1057" s="324">
        <v>213281.25</v>
      </c>
      <c r="J1057" s="324">
        <v>0</v>
      </c>
      <c r="K1057" s="324">
        <v>213281.25</v>
      </c>
      <c r="L1057" s="324">
        <v>213281.25</v>
      </c>
      <c r="N1057" s="324">
        <v>-176562.5</v>
      </c>
      <c r="O1057" s="324" t="s">
        <v>55</v>
      </c>
    </row>
    <row r="1058" spans="1:18" s="324" customFormat="1" ht="0.65" hidden="1" customHeight="1">
      <c r="A1058" s="324">
        <v>6032</v>
      </c>
      <c r="D1058" s="324" t="s">
        <v>20</v>
      </c>
      <c r="E1058" s="324" t="s">
        <v>36</v>
      </c>
      <c r="H1058" s="324">
        <v>2025</v>
      </c>
      <c r="I1058" s="324">
        <v>213281.25</v>
      </c>
      <c r="J1058" s="324">
        <v>0</v>
      </c>
      <c r="K1058" s="324">
        <v>213281.25</v>
      </c>
      <c r="L1058" s="324">
        <v>424062.5</v>
      </c>
      <c r="N1058" s="324">
        <v>247500</v>
      </c>
      <c r="O1058" s="324">
        <v>2025</v>
      </c>
    </row>
    <row r="1059" spans="1:18" s="324" customFormat="1" ht="0.65" hidden="1" customHeight="1">
      <c r="A1059" s="324">
        <v>6033</v>
      </c>
      <c r="D1059" s="324" t="s">
        <v>420</v>
      </c>
      <c r="E1059" s="324" t="s">
        <v>38</v>
      </c>
    </row>
    <row r="1060" spans="1:18" s="324" customFormat="1" ht="0.65" hidden="1" customHeight="1">
      <c r="A1060" s="324">
        <v>6034</v>
      </c>
      <c r="E1060" s="324" t="s">
        <v>424</v>
      </c>
      <c r="H1060" s="324" t="s">
        <v>25</v>
      </c>
    </row>
    <row r="1061" spans="1:18" s="324" customFormat="1" ht="0.65" hidden="1" customHeight="1">
      <c r="A1061" s="324">
        <v>6035</v>
      </c>
    </row>
    <row r="1062" spans="1:18" s="324" customFormat="1" ht="0.65" hidden="1" customHeight="1">
      <c r="A1062" s="324">
        <v>6036</v>
      </c>
      <c r="H1062" s="324" t="s">
        <v>124</v>
      </c>
      <c r="I1062" s="324">
        <v>5.2500000000000012E-2</v>
      </c>
      <c r="J1062" s="324" t="s">
        <v>1905</v>
      </c>
    </row>
    <row r="1063" spans="1:18" s="324" customFormat="1" ht="0.65" hidden="1" customHeight="1">
      <c r="A1063" s="324">
        <v>6037</v>
      </c>
      <c r="B1063" s="324" t="s">
        <v>460</v>
      </c>
      <c r="H1063" s="324" t="s">
        <v>125</v>
      </c>
      <c r="I1063" s="324">
        <v>0.12000000000000001</v>
      </c>
      <c r="J1063" s="324" t="s">
        <v>1878</v>
      </c>
    </row>
    <row r="1064" spans="1:18" s="324" customFormat="1" ht="0.65" hidden="1" customHeight="1">
      <c r="A1064" s="324">
        <v>6038</v>
      </c>
      <c r="B1064" s="324" t="s">
        <v>461</v>
      </c>
      <c r="H1064" s="324" t="s">
        <v>126</v>
      </c>
      <c r="I1064" s="324">
        <v>0.10312499999999999</v>
      </c>
      <c r="J1064" s="324" t="s">
        <v>1879</v>
      </c>
    </row>
    <row r="1065" spans="1:18" s="324" customFormat="1" ht="0.65" hidden="1" customHeight="1">
      <c r="A1065" s="324">
        <v>6039</v>
      </c>
    </row>
    <row r="1066" spans="1:18" s="324" customFormat="1" ht="0.65" hidden="1" customHeight="1">
      <c r="A1066" s="324">
        <v>6040</v>
      </c>
      <c r="H1066" s="324" t="s">
        <v>27</v>
      </c>
      <c r="K1066" s="324" t="s">
        <v>185</v>
      </c>
      <c r="L1066" s="324" t="s">
        <v>1906</v>
      </c>
      <c r="M1066" s="324" t="s">
        <v>1907</v>
      </c>
    </row>
    <row r="1067" spans="1:18" s="324" customFormat="1" ht="0.65" hidden="1" customHeight="1">
      <c r="A1067" s="324">
        <v>6041</v>
      </c>
      <c r="H1067" s="324" t="s">
        <v>123</v>
      </c>
      <c r="K1067" s="324" t="s">
        <v>29</v>
      </c>
      <c r="L1067" s="324" t="s">
        <v>55</v>
      </c>
    </row>
    <row r="1068" spans="1:18" s="324" customFormat="1" ht="0.65" hidden="1" customHeight="1">
      <c r="A1068" s="324">
        <v>6042</v>
      </c>
      <c r="H1068" s="324" t="s">
        <v>13</v>
      </c>
      <c r="I1068" s="324">
        <v>87817.478696592501</v>
      </c>
      <c r="J1068" s="324" t="s">
        <v>1020</v>
      </c>
    </row>
    <row r="1069" spans="1:18" s="324" customFormat="1" ht="0.65" hidden="1" customHeight="1">
      <c r="A1069" s="324">
        <v>6043</v>
      </c>
      <c r="H1069" s="324" t="s">
        <v>28</v>
      </c>
      <c r="I1069" s="324">
        <v>0.17939434472028948</v>
      </c>
      <c r="J1069" s="324" t="s">
        <v>1021</v>
      </c>
    </row>
    <row r="1070" spans="1:18" s="324" customFormat="1" ht="0.65" hidden="1" customHeight="1">
      <c r="A1070" s="324">
        <v>6044</v>
      </c>
      <c r="H1070" s="324" t="s">
        <v>29</v>
      </c>
      <c r="I1070" s="324">
        <v>0.16433680223923744</v>
      </c>
      <c r="J1070" s="324" t="s">
        <v>1022</v>
      </c>
    </row>
    <row r="1071" spans="1:18" s="324" customFormat="1" ht="0.65" hidden="1" customHeight="1">
      <c r="A1071" s="324">
        <v>6045</v>
      </c>
      <c r="H1071" s="324" t="s">
        <v>30</v>
      </c>
      <c r="I1071" s="324">
        <v>3</v>
      </c>
      <c r="J1071" s="324" t="s">
        <v>1023</v>
      </c>
    </row>
    <row r="1072" spans="1:18" s="324" customFormat="1" ht="0.65" hidden="1" customHeight="1">
      <c r="A1072" s="324">
        <v>6046</v>
      </c>
      <c r="B1072" s="324">
        <v>2</v>
      </c>
      <c r="C1072" s="324">
        <v>3</v>
      </c>
      <c r="D1072" s="324">
        <v>4</v>
      </c>
      <c r="E1072" s="324">
        <v>5</v>
      </c>
      <c r="F1072" s="324">
        <v>6</v>
      </c>
      <c r="G1072" s="324">
        <v>7</v>
      </c>
      <c r="H1072" s="324">
        <v>8</v>
      </c>
      <c r="I1072" s="324">
        <v>9</v>
      </c>
      <c r="J1072" s="324">
        <v>10</v>
      </c>
      <c r="K1072" s="324">
        <v>11</v>
      </c>
      <c r="L1072" s="324">
        <v>12</v>
      </c>
      <c r="M1072" s="324">
        <v>13</v>
      </c>
      <c r="N1072" s="324">
        <v>14</v>
      </c>
      <c r="O1072" s="324">
        <v>15</v>
      </c>
      <c r="P1072" s="324">
        <v>16</v>
      </c>
      <c r="Q1072" s="324">
        <v>17</v>
      </c>
      <c r="R1072" s="324">
        <v>18</v>
      </c>
    </row>
    <row r="1073" spans="1:14" s="324" customFormat="1" ht="0.65" hidden="1" customHeight="1">
      <c r="A1073" s="324">
        <v>6047</v>
      </c>
      <c r="M1073" s="324" t="s">
        <v>452</v>
      </c>
      <c r="N1073" s="324" t="s">
        <v>453</v>
      </c>
    </row>
    <row r="1074" spans="1:14" s="324" customFormat="1" ht="0.65" hidden="1" customHeight="1">
      <c r="A1074" s="324">
        <v>6048</v>
      </c>
      <c r="G1074" s="324">
        <v>2</v>
      </c>
      <c r="H1074" s="324" t="s">
        <v>429</v>
      </c>
      <c r="I1074" s="324">
        <v>2023</v>
      </c>
      <c r="J1074" s="324">
        <v>1</v>
      </c>
      <c r="K1074" s="324">
        <v>2</v>
      </c>
      <c r="L1074" s="324">
        <v>250000</v>
      </c>
      <c r="M1074" s="324">
        <v>250000</v>
      </c>
      <c r="N1074" s="324">
        <v>250000</v>
      </c>
    </row>
    <row r="1075" spans="1:14" s="324" customFormat="1" ht="0.65" hidden="1" customHeight="1">
      <c r="A1075" s="324">
        <v>6049</v>
      </c>
      <c r="G1075" s="324">
        <v>3</v>
      </c>
      <c r="H1075" s="324" t="s">
        <v>430</v>
      </c>
      <c r="I1075" s="324">
        <v>2023</v>
      </c>
      <c r="J1075" s="324">
        <v>2</v>
      </c>
      <c r="K1075" s="324">
        <v>3</v>
      </c>
      <c r="L1075" s="324">
        <v>-25000</v>
      </c>
      <c r="M1075" s="324">
        <v>-25000</v>
      </c>
      <c r="N1075" s="324">
        <v>-25000</v>
      </c>
    </row>
    <row r="1076" spans="1:14" s="324" customFormat="1" ht="0.65" hidden="1" customHeight="1">
      <c r="A1076" s="324">
        <v>6050</v>
      </c>
      <c r="G1076" s="324">
        <v>4</v>
      </c>
      <c r="H1076" s="324" t="s">
        <v>431</v>
      </c>
      <c r="I1076" s="324">
        <v>2023</v>
      </c>
      <c r="J1076" s="324">
        <v>3</v>
      </c>
      <c r="K1076" s="324">
        <v>4</v>
      </c>
      <c r="L1076" s="324" t="s">
        <v>1902</v>
      </c>
      <c r="M1076" s="324" t="s">
        <v>1902</v>
      </c>
      <c r="N1076" s="324" t="s">
        <v>658</v>
      </c>
    </row>
    <row r="1077" spans="1:14" s="324" customFormat="1" ht="0.65" hidden="1" customHeight="1">
      <c r="A1077" s="324">
        <v>6051</v>
      </c>
      <c r="G1077" s="324">
        <v>5</v>
      </c>
      <c r="H1077" s="324" t="s">
        <v>432</v>
      </c>
      <c r="I1077" s="324">
        <v>2023</v>
      </c>
      <c r="J1077" s="324">
        <v>4</v>
      </c>
      <c r="K1077" s="324">
        <v>5</v>
      </c>
      <c r="L1077" s="324" t="s">
        <v>1908</v>
      </c>
      <c r="M1077" s="324" t="s">
        <v>1908</v>
      </c>
      <c r="N1077" s="324" t="s">
        <v>660</v>
      </c>
    </row>
    <row r="1078" spans="1:14" s="324" customFormat="1" ht="0.65" hidden="1" customHeight="1">
      <c r="A1078" s="324">
        <v>6052</v>
      </c>
      <c r="G1078" s="324">
        <v>6</v>
      </c>
      <c r="H1078" s="324" t="s">
        <v>433</v>
      </c>
      <c r="I1078" s="324">
        <v>2023</v>
      </c>
      <c r="J1078" s="324">
        <v>5</v>
      </c>
      <c r="K1078" s="324">
        <v>6</v>
      </c>
      <c r="L1078" s="324" t="s">
        <v>1909</v>
      </c>
      <c r="M1078" s="324" t="s">
        <v>1909</v>
      </c>
      <c r="N1078" s="324" t="s">
        <v>662</v>
      </c>
    </row>
    <row r="1079" spans="1:14" s="324" customFormat="1" ht="0.65" hidden="1" customHeight="1">
      <c r="A1079" s="324">
        <v>6053</v>
      </c>
      <c r="G1079" s="324">
        <v>7</v>
      </c>
      <c r="H1079" s="324" t="s">
        <v>434</v>
      </c>
      <c r="I1079" s="324">
        <v>2023</v>
      </c>
      <c r="J1079" s="324">
        <v>6</v>
      </c>
      <c r="K1079" s="324">
        <v>7</v>
      </c>
      <c r="L1079" s="324" t="s">
        <v>1910</v>
      </c>
      <c r="M1079" s="324" t="s">
        <v>1910</v>
      </c>
      <c r="N1079" s="324" t="s">
        <v>664</v>
      </c>
    </row>
    <row r="1080" spans="1:14" s="324" customFormat="1" ht="0.65" hidden="1" customHeight="1">
      <c r="A1080" s="324">
        <v>6054</v>
      </c>
      <c r="G1080" s="324">
        <v>8</v>
      </c>
      <c r="H1080" s="324" t="s">
        <v>435</v>
      </c>
      <c r="I1080" s="324">
        <v>2023</v>
      </c>
      <c r="J1080" s="324">
        <v>7</v>
      </c>
      <c r="K1080" s="324">
        <v>8</v>
      </c>
      <c r="L1080" s="324" t="s">
        <v>1911</v>
      </c>
      <c r="M1080" s="324" t="s">
        <v>1911</v>
      </c>
      <c r="N1080" s="324" t="s">
        <v>666</v>
      </c>
    </row>
    <row r="1081" spans="1:14" s="324" customFormat="1" ht="0.65" hidden="1" customHeight="1">
      <c r="A1081" s="324">
        <v>6055</v>
      </c>
      <c r="G1081" s="324">
        <v>14</v>
      </c>
      <c r="H1081" s="324" t="s">
        <v>429</v>
      </c>
      <c r="I1081" s="324">
        <v>2024</v>
      </c>
      <c r="J1081" s="324">
        <v>1</v>
      </c>
      <c r="K1081" s="324">
        <v>14</v>
      </c>
      <c r="L1081" s="324">
        <v>250000</v>
      </c>
      <c r="M1081" s="324">
        <v>250000</v>
      </c>
      <c r="N1081" s="324">
        <v>250000</v>
      </c>
    </row>
    <row r="1082" spans="1:14" s="324" customFormat="1" ht="0.65" hidden="1" customHeight="1">
      <c r="A1082" s="324">
        <v>6056</v>
      </c>
      <c r="G1082" s="324">
        <v>15</v>
      </c>
      <c r="H1082" s="324" t="s">
        <v>430</v>
      </c>
      <c r="I1082" s="324">
        <v>2024</v>
      </c>
      <c r="J1082" s="324">
        <v>2</v>
      </c>
      <c r="K1082" s="324">
        <v>15</v>
      </c>
      <c r="L1082" s="324">
        <v>-25000</v>
      </c>
      <c r="M1082" s="324">
        <v>-25000</v>
      </c>
      <c r="N1082" s="324">
        <v>-25000</v>
      </c>
    </row>
    <row r="1083" spans="1:14" s="324" customFormat="1" ht="0.65" hidden="1" customHeight="1">
      <c r="A1083" s="324">
        <v>6057</v>
      </c>
      <c r="G1083" s="324">
        <v>16</v>
      </c>
      <c r="H1083" s="324" t="s">
        <v>431</v>
      </c>
      <c r="I1083" s="324">
        <v>2024</v>
      </c>
      <c r="J1083" s="324">
        <v>3</v>
      </c>
      <c r="K1083" s="324">
        <v>16</v>
      </c>
      <c r="L1083" s="324" t="s">
        <v>1902</v>
      </c>
      <c r="M1083" s="324" t="s">
        <v>1902</v>
      </c>
      <c r="N1083" s="324" t="s">
        <v>658</v>
      </c>
    </row>
    <row r="1084" spans="1:14" s="324" customFormat="1" ht="0.65" hidden="1" customHeight="1">
      <c r="A1084" s="324">
        <v>6058</v>
      </c>
      <c r="G1084" s="324">
        <v>17</v>
      </c>
      <c r="H1084" s="324" t="s">
        <v>432</v>
      </c>
      <c r="I1084" s="324">
        <v>2024</v>
      </c>
      <c r="J1084" s="324">
        <v>4</v>
      </c>
      <c r="K1084" s="324">
        <v>17</v>
      </c>
      <c r="L1084" s="324" t="s">
        <v>1908</v>
      </c>
      <c r="M1084" s="324" t="s">
        <v>1908</v>
      </c>
      <c r="N1084" s="324" t="s">
        <v>660</v>
      </c>
    </row>
    <row r="1085" spans="1:14" s="324" customFormat="1" ht="0.65" hidden="1" customHeight="1">
      <c r="A1085" s="324">
        <v>6059</v>
      </c>
      <c r="G1085" s="324">
        <v>18</v>
      </c>
      <c r="H1085" s="324" t="s">
        <v>433</v>
      </c>
      <c r="I1085" s="324">
        <v>2024</v>
      </c>
      <c r="J1085" s="324">
        <v>5</v>
      </c>
      <c r="K1085" s="324">
        <v>18</v>
      </c>
      <c r="L1085" s="324" t="s">
        <v>1909</v>
      </c>
      <c r="M1085" s="324" t="s">
        <v>1909</v>
      </c>
      <c r="N1085" s="324" t="s">
        <v>662</v>
      </c>
    </row>
    <row r="1086" spans="1:14" s="324" customFormat="1" ht="0.65" hidden="1" customHeight="1">
      <c r="A1086" s="324">
        <v>6060</v>
      </c>
      <c r="G1086" s="324">
        <v>19</v>
      </c>
      <c r="H1086" s="324" t="s">
        <v>434</v>
      </c>
      <c r="I1086" s="324">
        <v>2024</v>
      </c>
      <c r="J1086" s="324">
        <v>6</v>
      </c>
      <c r="K1086" s="324">
        <v>19</v>
      </c>
      <c r="L1086" s="324" t="s">
        <v>1910</v>
      </c>
      <c r="M1086" s="324" t="s">
        <v>1910</v>
      </c>
      <c r="N1086" s="324" t="s">
        <v>664</v>
      </c>
    </row>
    <row r="1087" spans="1:14" s="324" customFormat="1" ht="0.65" hidden="1" customHeight="1">
      <c r="A1087" s="324">
        <v>6061</v>
      </c>
      <c r="G1087" s="324">
        <v>20</v>
      </c>
      <c r="H1087" s="324" t="s">
        <v>435</v>
      </c>
      <c r="I1087" s="324">
        <v>2024</v>
      </c>
      <c r="J1087" s="324">
        <v>7</v>
      </c>
      <c r="K1087" s="324">
        <v>20</v>
      </c>
      <c r="L1087" s="324" t="s">
        <v>1911</v>
      </c>
      <c r="M1087" s="324" t="s">
        <v>1911</v>
      </c>
      <c r="N1087" s="324" t="s">
        <v>666</v>
      </c>
    </row>
    <row r="1088" spans="1:14" s="324" customFormat="1" ht="0.65" hidden="1" customHeight="1">
      <c r="A1088" s="324">
        <v>6062</v>
      </c>
      <c r="G1088" s="324">
        <v>26</v>
      </c>
      <c r="H1088" s="324" t="s">
        <v>429</v>
      </c>
      <c r="I1088" s="324">
        <v>2025</v>
      </c>
      <c r="J1088" s="324">
        <v>1</v>
      </c>
      <c r="K1088" s="324">
        <v>26</v>
      </c>
      <c r="L1088" s="324">
        <v>250000</v>
      </c>
      <c r="M1088" s="324">
        <v>250000</v>
      </c>
      <c r="N1088" s="324">
        <v>250000</v>
      </c>
    </row>
    <row r="1089" spans="1:14" s="324" customFormat="1" ht="0.65" hidden="1" customHeight="1">
      <c r="A1089" s="324">
        <v>6063</v>
      </c>
      <c r="G1089" s="324">
        <v>27</v>
      </c>
      <c r="H1089" s="324" t="s">
        <v>430</v>
      </c>
      <c r="I1089" s="324">
        <v>2025</v>
      </c>
      <c r="J1089" s="324">
        <v>2</v>
      </c>
      <c r="K1089" s="324">
        <v>27</v>
      </c>
      <c r="L1089" s="324">
        <v>-25000</v>
      </c>
      <c r="M1089" s="324">
        <v>-25000</v>
      </c>
      <c r="N1089" s="324">
        <v>-25000</v>
      </c>
    </row>
    <row r="1090" spans="1:14" s="324" customFormat="1" ht="0.65" hidden="1" customHeight="1">
      <c r="A1090" s="324">
        <v>6064</v>
      </c>
      <c r="G1090" s="324">
        <v>28</v>
      </c>
      <c r="H1090" s="324" t="s">
        <v>431</v>
      </c>
      <c r="I1090" s="324">
        <v>2025</v>
      </c>
      <c r="J1090" s="324">
        <v>3</v>
      </c>
      <c r="K1090" s="324">
        <v>28</v>
      </c>
      <c r="L1090" s="324" t="s">
        <v>1902</v>
      </c>
      <c r="M1090" s="324" t="s">
        <v>1902</v>
      </c>
      <c r="N1090" s="324" t="s">
        <v>658</v>
      </c>
    </row>
    <row r="1091" spans="1:14" s="324" customFormat="1" ht="0.65" hidden="1" customHeight="1">
      <c r="A1091" s="324">
        <v>6065</v>
      </c>
      <c r="G1091" s="324">
        <v>29</v>
      </c>
      <c r="H1091" s="324" t="s">
        <v>432</v>
      </c>
      <c r="I1091" s="324">
        <v>2025</v>
      </c>
      <c r="J1091" s="324">
        <v>4</v>
      </c>
      <c r="K1091" s="324">
        <v>29</v>
      </c>
      <c r="L1091" s="324" t="s">
        <v>1908</v>
      </c>
      <c r="M1091" s="324" t="s">
        <v>1908</v>
      </c>
      <c r="N1091" s="324" t="s">
        <v>660</v>
      </c>
    </row>
    <row r="1092" spans="1:14" s="324" customFormat="1" ht="0.65" hidden="1" customHeight="1">
      <c r="A1092" s="324">
        <v>6066</v>
      </c>
      <c r="G1092" s="324">
        <v>30</v>
      </c>
      <c r="H1092" s="324" t="s">
        <v>433</v>
      </c>
      <c r="I1092" s="324">
        <v>2025</v>
      </c>
      <c r="J1092" s="324">
        <v>5</v>
      </c>
      <c r="K1092" s="324">
        <v>30</v>
      </c>
      <c r="L1092" s="324" t="s">
        <v>1909</v>
      </c>
      <c r="M1092" s="324" t="s">
        <v>1909</v>
      </c>
      <c r="N1092" s="324" t="s">
        <v>662</v>
      </c>
    </row>
    <row r="1093" spans="1:14" s="324" customFormat="1" ht="0.65" hidden="1" customHeight="1">
      <c r="A1093" s="324">
        <v>6067</v>
      </c>
      <c r="G1093" s="324">
        <v>31</v>
      </c>
      <c r="H1093" s="324" t="s">
        <v>434</v>
      </c>
      <c r="I1093" s="324">
        <v>2025</v>
      </c>
      <c r="J1093" s="324">
        <v>6</v>
      </c>
      <c r="K1093" s="324">
        <v>31</v>
      </c>
      <c r="L1093" s="324" t="s">
        <v>1910</v>
      </c>
      <c r="M1093" s="324" t="s">
        <v>1910</v>
      </c>
      <c r="N1093" s="324" t="s">
        <v>664</v>
      </c>
    </row>
    <row r="1094" spans="1:14" s="324" customFormat="1" ht="0.65" hidden="1" customHeight="1">
      <c r="A1094" s="324">
        <v>6068</v>
      </c>
      <c r="G1094" s="324">
        <v>32</v>
      </c>
      <c r="H1094" s="324" t="s">
        <v>435</v>
      </c>
      <c r="I1094" s="324">
        <v>2025</v>
      </c>
      <c r="J1094" s="324">
        <v>7</v>
      </c>
      <c r="K1094" s="324">
        <v>32</v>
      </c>
      <c r="L1094" s="324" t="s">
        <v>1911</v>
      </c>
      <c r="M1094" s="324" t="s">
        <v>1911</v>
      </c>
      <c r="N1094" s="324" t="s">
        <v>666</v>
      </c>
    </row>
    <row r="1095" spans="1:14" s="324" customFormat="1" ht="0.65" hidden="1" customHeight="1">
      <c r="A1095" s="324">
        <v>6069</v>
      </c>
    </row>
    <row r="1096" spans="1:14" s="324" customFormat="1" ht="0.65" hidden="1" customHeight="1">
      <c r="A1096" s="324">
        <v>6070</v>
      </c>
    </row>
    <row r="1097" spans="1:14" s="324" customFormat="1" ht="0.65" hidden="1" customHeight="1">
      <c r="A1097" s="324">
        <v>6071</v>
      </c>
    </row>
    <row r="1098" spans="1:14" s="324" customFormat="1" ht="0.65" hidden="1" customHeight="1">
      <c r="A1098" s="324">
        <v>6072</v>
      </c>
      <c r="M1098" s="324" t="s">
        <v>452</v>
      </c>
      <c r="N1098" s="324" t="s">
        <v>453</v>
      </c>
    </row>
    <row r="1099" spans="1:14" s="324" customFormat="1" ht="0.65" hidden="1" customHeight="1">
      <c r="A1099" s="324">
        <v>6073</v>
      </c>
      <c r="H1099" s="324" t="s">
        <v>436</v>
      </c>
      <c r="I1099" s="324">
        <v>2022</v>
      </c>
      <c r="J1099" s="324">
        <v>1</v>
      </c>
    </row>
    <row r="1100" spans="1:14" s="324" customFormat="1" ht="0.65" hidden="1" customHeight="1">
      <c r="A1100" s="324">
        <v>6074</v>
      </c>
      <c r="H1100" s="324" t="s">
        <v>437</v>
      </c>
      <c r="I1100" s="324">
        <v>2022</v>
      </c>
      <c r="J1100" s="324">
        <v>2</v>
      </c>
    </row>
    <row r="1101" spans="1:14" s="324" customFormat="1" ht="0.65" hidden="1" customHeight="1">
      <c r="A1101" s="324">
        <v>6075</v>
      </c>
      <c r="H1101" s="324" t="s">
        <v>438</v>
      </c>
      <c r="I1101" s="324">
        <v>2022</v>
      </c>
      <c r="J1101" s="324">
        <v>3</v>
      </c>
    </row>
    <row r="1102" spans="1:14" s="324" customFormat="1" ht="0.65" hidden="1" customHeight="1">
      <c r="A1102" s="324">
        <v>6076</v>
      </c>
      <c r="H1102" s="324" t="s">
        <v>439</v>
      </c>
      <c r="I1102" s="324">
        <v>2022</v>
      </c>
      <c r="J1102" s="324">
        <v>4</v>
      </c>
    </row>
    <row r="1103" spans="1:14" s="324" customFormat="1" ht="0.65" hidden="1" customHeight="1">
      <c r="A1103" s="324">
        <v>6077</v>
      </c>
      <c r="G1103" s="324">
        <v>9</v>
      </c>
      <c r="H1103" s="324" t="s">
        <v>436</v>
      </c>
      <c r="I1103" s="324">
        <v>2023</v>
      </c>
      <c r="J1103" s="324">
        <v>1</v>
      </c>
      <c r="K1103" s="324">
        <v>9</v>
      </c>
      <c r="L1103" s="324" t="s">
        <v>1912</v>
      </c>
      <c r="M1103" s="324" t="s">
        <v>1912</v>
      </c>
      <c r="N1103" s="324" t="s">
        <v>673</v>
      </c>
    </row>
    <row r="1104" spans="1:14" s="324" customFormat="1" ht="0.65" hidden="1" customHeight="1">
      <c r="A1104" s="324">
        <v>6078</v>
      </c>
      <c r="G1104" s="324">
        <v>10</v>
      </c>
      <c r="H1104" s="324" t="s">
        <v>437</v>
      </c>
      <c r="I1104" s="324">
        <v>2023</v>
      </c>
      <c r="J1104" s="324">
        <v>2</v>
      </c>
      <c r="K1104" s="324">
        <v>10</v>
      </c>
      <c r="L1104" s="324" t="s">
        <v>1904</v>
      </c>
      <c r="M1104" s="324" t="s">
        <v>1904</v>
      </c>
      <c r="N1104" s="324" t="s">
        <v>674</v>
      </c>
    </row>
    <row r="1105" spans="1:14" s="324" customFormat="1" ht="0.65" hidden="1" customHeight="1">
      <c r="A1105" s="324">
        <v>6079</v>
      </c>
      <c r="G1105" s="324">
        <v>11</v>
      </c>
      <c r="H1105" s="324" t="s">
        <v>438</v>
      </c>
      <c r="I1105" s="324">
        <v>2023</v>
      </c>
      <c r="J1105" s="324">
        <v>3</v>
      </c>
      <c r="K1105" s="324">
        <v>11</v>
      </c>
      <c r="L1105" s="324" t="s">
        <v>1913</v>
      </c>
      <c r="M1105" s="324" t="s">
        <v>1913</v>
      </c>
      <c r="N1105" s="324" t="s">
        <v>676</v>
      </c>
    </row>
    <row r="1106" spans="1:14" s="324" customFormat="1" ht="0.65" hidden="1" customHeight="1">
      <c r="A1106" s="324">
        <v>6080</v>
      </c>
      <c r="G1106" s="324">
        <v>12</v>
      </c>
      <c r="H1106" s="324" t="s">
        <v>439</v>
      </c>
      <c r="I1106" s="324">
        <v>2023</v>
      </c>
      <c r="J1106" s="324">
        <v>4</v>
      </c>
      <c r="K1106" s="324">
        <v>12</v>
      </c>
      <c r="L1106" s="324" t="s">
        <v>1914</v>
      </c>
      <c r="M1106" s="324" t="s">
        <v>1914</v>
      </c>
      <c r="N1106" s="324" t="s">
        <v>678</v>
      </c>
    </row>
    <row r="1107" spans="1:14" s="324" customFormat="1" ht="0.65" hidden="1" customHeight="1">
      <c r="A1107" s="324">
        <v>6081</v>
      </c>
      <c r="G1107" s="324">
        <v>21</v>
      </c>
      <c r="H1107" s="324" t="s">
        <v>436</v>
      </c>
      <c r="I1107" s="324">
        <v>2024</v>
      </c>
      <c r="J1107" s="324">
        <v>1</v>
      </c>
      <c r="K1107" s="324">
        <v>21</v>
      </c>
      <c r="L1107" s="324" t="s">
        <v>1912</v>
      </c>
      <c r="M1107" s="324" t="s">
        <v>1912</v>
      </c>
      <c r="N1107" s="324" t="s">
        <v>673</v>
      </c>
    </row>
    <row r="1108" spans="1:14" s="324" customFormat="1" ht="0.65" hidden="1" customHeight="1">
      <c r="A1108" s="324">
        <v>6082</v>
      </c>
      <c r="G1108" s="324">
        <v>22</v>
      </c>
      <c r="H1108" s="324" t="s">
        <v>437</v>
      </c>
      <c r="I1108" s="324">
        <v>2024</v>
      </c>
      <c r="J1108" s="324">
        <v>2</v>
      </c>
      <c r="K1108" s="324">
        <v>22</v>
      </c>
      <c r="L1108" s="324" t="s">
        <v>1904</v>
      </c>
      <c r="M1108" s="324" t="s">
        <v>1904</v>
      </c>
      <c r="N1108" s="324" t="s">
        <v>674</v>
      </c>
    </row>
    <row r="1109" spans="1:14" s="324" customFormat="1" ht="0.65" hidden="1" customHeight="1">
      <c r="A1109" s="324">
        <v>6083</v>
      </c>
      <c r="G1109" s="324">
        <v>23</v>
      </c>
      <c r="H1109" s="324" t="s">
        <v>438</v>
      </c>
      <c r="I1109" s="324">
        <v>2024</v>
      </c>
      <c r="J1109" s="324">
        <v>3</v>
      </c>
      <c r="K1109" s="324">
        <v>23</v>
      </c>
      <c r="L1109" s="324" t="s">
        <v>1913</v>
      </c>
      <c r="M1109" s="324" t="s">
        <v>1913</v>
      </c>
      <c r="N1109" s="324" t="s">
        <v>676</v>
      </c>
    </row>
    <row r="1110" spans="1:14" s="324" customFormat="1" ht="0.65" hidden="1" customHeight="1">
      <c r="A1110" s="324">
        <v>6084</v>
      </c>
      <c r="G1110" s="324">
        <v>24</v>
      </c>
      <c r="H1110" s="324" t="s">
        <v>439</v>
      </c>
      <c r="I1110" s="324">
        <v>2024</v>
      </c>
      <c r="J1110" s="324">
        <v>4</v>
      </c>
      <c r="K1110" s="324">
        <v>24</v>
      </c>
      <c r="L1110" s="324" t="s">
        <v>1915</v>
      </c>
      <c r="M1110" s="324" t="s">
        <v>1915</v>
      </c>
      <c r="N1110" s="324" t="s">
        <v>680</v>
      </c>
    </row>
    <row r="1111" spans="1:14" s="324" customFormat="1" ht="0.65" hidden="1" customHeight="1">
      <c r="A1111" s="324">
        <v>6085</v>
      </c>
      <c r="G1111" s="324">
        <v>33</v>
      </c>
      <c r="H1111" s="324" t="s">
        <v>436</v>
      </c>
      <c r="I1111" s="324">
        <v>2025</v>
      </c>
      <c r="J1111" s="324">
        <v>1</v>
      </c>
      <c r="K1111" s="324">
        <v>33</v>
      </c>
      <c r="L1111" s="324" t="s">
        <v>1912</v>
      </c>
      <c r="M1111" s="324" t="s">
        <v>1912</v>
      </c>
      <c r="N1111" s="324" t="s">
        <v>673</v>
      </c>
    </row>
    <row r="1112" spans="1:14" s="324" customFormat="1" ht="0.65" hidden="1" customHeight="1">
      <c r="A1112" s="324">
        <v>6086</v>
      </c>
      <c r="G1112" s="324">
        <v>34</v>
      </c>
      <c r="H1112" s="324" t="s">
        <v>437</v>
      </c>
      <c r="I1112" s="324">
        <v>2025</v>
      </c>
      <c r="J1112" s="324">
        <v>2</v>
      </c>
      <c r="K1112" s="324">
        <v>34</v>
      </c>
      <c r="L1112" s="324" t="s">
        <v>1904</v>
      </c>
      <c r="M1112" s="324" t="s">
        <v>1904</v>
      </c>
      <c r="N1112" s="324" t="s">
        <v>674</v>
      </c>
    </row>
    <row r="1113" spans="1:14" s="324" customFormat="1" ht="0.65" hidden="1" customHeight="1">
      <c r="A1113" s="324">
        <v>6087</v>
      </c>
      <c r="G1113" s="324">
        <v>35</v>
      </c>
      <c r="H1113" s="324" t="s">
        <v>438</v>
      </c>
      <c r="I1113" s="324">
        <v>2025</v>
      </c>
      <c r="J1113" s="324">
        <v>3</v>
      </c>
      <c r="K1113" s="324">
        <v>35</v>
      </c>
      <c r="L1113" s="324" t="s">
        <v>1913</v>
      </c>
      <c r="M1113" s="324" t="s">
        <v>1913</v>
      </c>
      <c r="N1113" s="324" t="s">
        <v>676</v>
      </c>
    </row>
    <row r="1114" spans="1:14" s="324" customFormat="1" ht="0.65" hidden="1" customHeight="1">
      <c r="A1114" s="324">
        <v>6088</v>
      </c>
      <c r="G1114" s="324">
        <v>36</v>
      </c>
      <c r="H1114" s="324" t="s">
        <v>439</v>
      </c>
      <c r="I1114" s="324">
        <v>2025</v>
      </c>
      <c r="J1114" s="324">
        <v>4</v>
      </c>
      <c r="K1114" s="324">
        <v>36</v>
      </c>
      <c r="L1114" s="324" t="s">
        <v>1915</v>
      </c>
      <c r="M1114" s="324" t="s">
        <v>1915</v>
      </c>
      <c r="N1114" s="324" t="s">
        <v>681</v>
      </c>
    </row>
    <row r="1115" spans="1:14" s="324" customFormat="1" ht="0.65" hidden="1" customHeight="1">
      <c r="A1115" s="324">
        <v>6089</v>
      </c>
    </row>
    <row r="1116" spans="1:14" s="324" customFormat="1" ht="0.65" hidden="1" customHeight="1">
      <c r="A1116" s="324">
        <v>6090</v>
      </c>
      <c r="K1116" s="324" t="s">
        <v>13</v>
      </c>
      <c r="L1116" s="324" t="s">
        <v>1880</v>
      </c>
      <c r="M1116" s="324" t="s">
        <v>682</v>
      </c>
    </row>
    <row r="1117" spans="1:14" s="324" customFormat="1" ht="0.65" hidden="1" customHeight="1">
      <c r="A1117" s="324">
        <v>6091</v>
      </c>
      <c r="K1117" s="324" t="s">
        <v>28</v>
      </c>
      <c r="L1117" s="324" t="s">
        <v>1881</v>
      </c>
      <c r="M1117" s="324" t="s">
        <v>683</v>
      </c>
    </row>
    <row r="1118" spans="1:14" s="324" customFormat="1" ht="0.65" hidden="1" customHeight="1">
      <c r="A1118" s="324">
        <v>6092</v>
      </c>
      <c r="K1118" s="324" t="s">
        <v>29</v>
      </c>
      <c r="L1118" s="324" t="s">
        <v>1907</v>
      </c>
      <c r="M1118" s="324" t="s">
        <v>684</v>
      </c>
    </row>
    <row r="1119" spans="1:14" s="324" customFormat="1" ht="0.65" hidden="1" customHeight="1">
      <c r="A1119" s="324">
        <v>6093</v>
      </c>
      <c r="K1119" s="324" t="s">
        <v>30</v>
      </c>
      <c r="L1119" s="324" t="s">
        <v>1916</v>
      </c>
      <c r="M1119" s="324" t="s">
        <v>1033</v>
      </c>
    </row>
    <row r="1120" spans="1:14" s="324" customFormat="1" ht="0.65" hidden="1" customHeight="1">
      <c r="A1120" s="324">
        <v>6094</v>
      </c>
    </row>
    <row r="1121" spans="1:14" s="324" customFormat="1" ht="0.65" hidden="1" customHeight="1">
      <c r="A1121" s="324">
        <v>6095</v>
      </c>
    </row>
    <row r="1122" spans="1:14" s="324" customFormat="1" ht="0.65" hidden="1" customHeight="1">
      <c r="A1122" s="324">
        <v>6096</v>
      </c>
    </row>
    <row r="1123" spans="1:14" s="324" customFormat="1" ht="0.65" hidden="1" customHeight="1">
      <c r="A1123" s="324">
        <v>6097</v>
      </c>
      <c r="J1123" s="324" t="s">
        <v>1917</v>
      </c>
      <c r="N1123" s="324" t="s">
        <v>688</v>
      </c>
    </row>
    <row r="1124" spans="1:14" s="324" customFormat="1" ht="0.65" hidden="1" customHeight="1">
      <c r="A1124" s="324">
        <v>6098</v>
      </c>
    </row>
    <row r="1125" spans="1:14" s="324" customFormat="1" ht="0.65" hidden="1" customHeight="1">
      <c r="A1125" s="324">
        <v>6099</v>
      </c>
      <c r="J1125" s="324" t="s">
        <v>1918</v>
      </c>
      <c r="N1125" s="324" t="s">
        <v>690</v>
      </c>
    </row>
    <row r="1126" spans="1:14" s="324" customFormat="1" ht="0.65" hidden="1" customHeight="1">
      <c r="A1126" s="324">
        <v>6100</v>
      </c>
      <c r="J1126" s="324" t="s">
        <v>1919</v>
      </c>
      <c r="N1126" s="324" t="s">
        <v>692</v>
      </c>
    </row>
    <row r="1127" spans="1:14" s="324" customFormat="1" ht="0.65" hidden="1" customHeight="1">
      <c r="A1127" s="324">
        <v>6101</v>
      </c>
      <c r="J1127" s="324" t="s">
        <v>1920</v>
      </c>
      <c r="N1127" s="324" t="s">
        <v>694</v>
      </c>
    </row>
    <row r="1128" spans="1:14" s="324" customFormat="1" ht="0.65" hidden="1" customHeight="1">
      <c r="A1128" s="324">
        <v>6102</v>
      </c>
    </row>
    <row r="1129" spans="1:14" s="324" customFormat="1" ht="0.65" hidden="1" customHeight="1">
      <c r="A1129" s="324">
        <v>6103</v>
      </c>
      <c r="J1129" s="324" t="s">
        <v>1921</v>
      </c>
      <c r="N1129" s="324" t="s">
        <v>440</v>
      </c>
    </row>
    <row r="1130" spans="1:14" s="324" customFormat="1" ht="0.65" hidden="1" customHeight="1">
      <c r="A1130" s="324">
        <v>6104</v>
      </c>
      <c r="J1130" s="324" t="s">
        <v>1922</v>
      </c>
      <c r="N1130" s="324" t="s">
        <v>441</v>
      </c>
    </row>
    <row r="1131" spans="1:14" s="324" customFormat="1" ht="0.65" hidden="1" customHeight="1">
      <c r="A1131" s="324">
        <v>6105</v>
      </c>
      <c r="J1131" s="324" t="s">
        <v>1923</v>
      </c>
      <c r="N1131" s="324" t="s">
        <v>442</v>
      </c>
    </row>
    <row r="1132" spans="1:14" s="324" customFormat="1" ht="0.65" hidden="1" customHeight="1">
      <c r="A1132" s="324">
        <v>6106</v>
      </c>
    </row>
    <row r="1133" spans="1:14" s="324" customFormat="1" ht="0.65" hidden="1" customHeight="1">
      <c r="A1133" s="324">
        <v>6107</v>
      </c>
    </row>
    <row r="1134" spans="1:14" s="324" customFormat="1" ht="0.65" hidden="1" customHeight="1">
      <c r="A1134" s="324">
        <v>6108</v>
      </c>
    </row>
    <row r="1135" spans="1:14" s="324" customFormat="1" ht="0.65" hidden="1" customHeight="1">
      <c r="A1135" s="324">
        <v>6109</v>
      </c>
    </row>
    <row r="1136" spans="1:14" s="324" customFormat="1" ht="0.65" hidden="1" customHeight="1">
      <c r="A1136" s="324">
        <v>6110</v>
      </c>
    </row>
    <row r="1137" spans="1:13" s="324" customFormat="1" ht="0.65" hidden="1" customHeight="1">
      <c r="A1137" s="324">
        <v>6111</v>
      </c>
    </row>
    <row r="1138" spans="1:13" s="324" customFormat="1" ht="0.65" hidden="1" customHeight="1">
      <c r="A1138" s="324">
        <v>6112</v>
      </c>
    </row>
    <row r="1139" spans="1:13" s="324" customFormat="1" ht="0.65" hidden="1" customHeight="1">
      <c r="A1139" s="324">
        <v>6113</v>
      </c>
    </row>
    <row r="1140" spans="1:13" s="324" customFormat="1" ht="0.65" hidden="1" customHeight="1">
      <c r="A1140" s="324">
        <v>6114</v>
      </c>
    </row>
    <row r="1141" spans="1:13" s="324" customFormat="1" ht="0.65" hidden="1" customHeight="1">
      <c r="A1141" s="324">
        <v>6115</v>
      </c>
      <c r="G1141" s="324">
        <v>1</v>
      </c>
      <c r="H1141" s="324" t="s">
        <v>490</v>
      </c>
      <c r="I1141" s="324">
        <v>534375</v>
      </c>
      <c r="J1141" s="324" t="s">
        <v>1917</v>
      </c>
      <c r="M1141" s="324" t="s">
        <v>688</v>
      </c>
    </row>
    <row r="1142" spans="1:13" s="324" customFormat="1" ht="0.65" hidden="1" customHeight="1">
      <c r="A1142" s="324">
        <v>6116</v>
      </c>
      <c r="G1142" s="324">
        <v>2</v>
      </c>
      <c r="H1142" s="324" t="s">
        <v>698</v>
      </c>
      <c r="I1142" s="324">
        <v>250000</v>
      </c>
      <c r="J1142" s="324" t="s">
        <v>1924</v>
      </c>
      <c r="M1142" s="324" t="s">
        <v>698</v>
      </c>
    </row>
    <row r="1143" spans="1:13" s="324" customFormat="1" ht="0.65" hidden="1" customHeight="1">
      <c r="A1143" s="324">
        <v>6117</v>
      </c>
      <c r="G1143" s="324">
        <v>3</v>
      </c>
      <c r="H1143" s="324" t="s">
        <v>700</v>
      </c>
      <c r="I1143" s="324">
        <v>-25000</v>
      </c>
      <c r="J1143" s="324" t="s">
        <v>1925</v>
      </c>
      <c r="M1143" s="324" t="s">
        <v>700</v>
      </c>
    </row>
    <row r="1144" spans="1:13" s="324" customFormat="1" ht="0.65" hidden="1" customHeight="1">
      <c r="A1144" s="324">
        <v>6118</v>
      </c>
      <c r="G1144" s="324">
        <v>4</v>
      </c>
      <c r="H1144" s="324" t="s">
        <v>702</v>
      </c>
      <c r="I1144" s="324">
        <v>28125</v>
      </c>
      <c r="J1144" s="324" t="s">
        <v>1926</v>
      </c>
      <c r="M1144" s="324" t="s">
        <v>704</v>
      </c>
    </row>
    <row r="1145" spans="1:13" s="324" customFormat="1" ht="0.65" hidden="1" customHeight="1">
      <c r="A1145" s="324">
        <v>6119</v>
      </c>
      <c r="G1145" s="324">
        <v>5</v>
      </c>
      <c r="H1145" s="324" t="s">
        <v>705</v>
      </c>
      <c r="I1145" s="324">
        <v>246875</v>
      </c>
      <c r="J1145" s="324" t="s">
        <v>1927</v>
      </c>
      <c r="M1145" s="324" t="s">
        <v>707</v>
      </c>
    </row>
    <row r="1146" spans="1:13" s="324" customFormat="1" ht="0.65" hidden="1" customHeight="1">
      <c r="A1146" s="324">
        <v>6120</v>
      </c>
      <c r="G1146" s="324">
        <v>6</v>
      </c>
      <c r="H1146" s="324" t="s">
        <v>708</v>
      </c>
      <c r="I1146" s="324">
        <v>61718.75</v>
      </c>
      <c r="J1146" s="324" t="s">
        <v>1928</v>
      </c>
      <c r="M1146" s="324" t="s">
        <v>710</v>
      </c>
    </row>
    <row r="1147" spans="1:13" s="324" customFormat="1" ht="0.65" hidden="1" customHeight="1">
      <c r="A1147" s="324">
        <v>6121</v>
      </c>
      <c r="G1147" s="324">
        <v>7</v>
      </c>
      <c r="H1147" s="324" t="s">
        <v>711</v>
      </c>
      <c r="I1147" s="324">
        <v>185156.25</v>
      </c>
      <c r="J1147" s="324" t="s">
        <v>1929</v>
      </c>
      <c r="M1147" s="324" t="s">
        <v>713</v>
      </c>
    </row>
    <row r="1148" spans="1:13" s="324" customFormat="1" ht="0.65" hidden="1" customHeight="1">
      <c r="A1148" s="324">
        <v>6122</v>
      </c>
      <c r="G1148" s="324">
        <v>8</v>
      </c>
      <c r="H1148" s="324" t="s">
        <v>714</v>
      </c>
      <c r="I1148" s="324">
        <v>213281.25</v>
      </c>
      <c r="J1148" s="324" t="s">
        <v>1930</v>
      </c>
      <c r="M1148" s="324" t="s">
        <v>716</v>
      </c>
    </row>
    <row r="1149" spans="1:13" s="324" customFormat="1" ht="0.65" hidden="1" customHeight="1">
      <c r="A1149" s="324">
        <v>6123</v>
      </c>
      <c r="G1149" s="324">
        <v>9</v>
      </c>
      <c r="H1149" s="324" t="s">
        <v>717</v>
      </c>
      <c r="I1149" s="324">
        <v>62500</v>
      </c>
      <c r="J1149" s="324" t="s">
        <v>1931</v>
      </c>
      <c r="M1149" s="324" t="s">
        <v>719</v>
      </c>
    </row>
    <row r="1150" spans="1:13" s="324" customFormat="1" ht="0.65" hidden="1" customHeight="1">
      <c r="A1150" s="324">
        <v>6124</v>
      </c>
      <c r="G1150" s="324">
        <v>10</v>
      </c>
      <c r="H1150" s="324" t="s">
        <v>720</v>
      </c>
      <c r="I1150" s="324">
        <v>-6250</v>
      </c>
      <c r="J1150" s="324" t="s">
        <v>1932</v>
      </c>
      <c r="M1150" s="324" t="s">
        <v>722</v>
      </c>
    </row>
    <row r="1151" spans="1:13" s="324" customFormat="1" ht="0.65" hidden="1" customHeight="1">
      <c r="A1151" s="324">
        <v>6125</v>
      </c>
      <c r="G1151" s="324">
        <v>11</v>
      </c>
      <c r="H1151" s="324" t="s">
        <v>723</v>
      </c>
      <c r="I1151" s="324">
        <v>68750</v>
      </c>
      <c r="J1151" s="324" t="s">
        <v>1933</v>
      </c>
      <c r="M1151" s="324" t="s">
        <v>725</v>
      </c>
    </row>
    <row r="1152" spans="1:13" s="324" customFormat="1" ht="0.65" hidden="1" customHeight="1">
      <c r="A1152" s="324">
        <v>6126</v>
      </c>
      <c r="G1152" s="324">
        <v>12</v>
      </c>
      <c r="H1152" s="324" t="s">
        <v>726</v>
      </c>
      <c r="I1152" s="324">
        <v>68750</v>
      </c>
      <c r="J1152" s="324" t="s">
        <v>1934</v>
      </c>
      <c r="M1152" s="324" t="s">
        <v>728</v>
      </c>
    </row>
    <row r="1153" spans="1:13" s="324" customFormat="1" ht="0.65" hidden="1" customHeight="1">
      <c r="A1153" s="324">
        <v>6127</v>
      </c>
      <c r="G1153" s="324">
        <v>13</v>
      </c>
      <c r="H1153" s="324" t="s">
        <v>729</v>
      </c>
      <c r="I1153" s="324">
        <v>144531.25</v>
      </c>
      <c r="J1153" s="324" t="s">
        <v>1935</v>
      </c>
    </row>
    <row r="1154" spans="1:13" s="324" customFormat="1" ht="0.65" hidden="1" customHeight="1">
      <c r="A1154" s="324">
        <v>6128</v>
      </c>
      <c r="G1154" s="324">
        <v>14</v>
      </c>
      <c r="H1154" s="324" t="s">
        <v>731</v>
      </c>
      <c r="I1154" s="324">
        <v>250000</v>
      </c>
      <c r="J1154" s="324" t="s">
        <v>1924</v>
      </c>
      <c r="M1154" s="324" t="s">
        <v>731</v>
      </c>
    </row>
    <row r="1155" spans="1:13" s="324" customFormat="1" ht="0.65" hidden="1" customHeight="1">
      <c r="A1155" s="324">
        <v>6129</v>
      </c>
      <c r="G1155" s="324">
        <v>15</v>
      </c>
      <c r="H1155" s="324" t="s">
        <v>732</v>
      </c>
      <c r="I1155" s="324">
        <v>-25000</v>
      </c>
      <c r="J1155" s="324" t="s">
        <v>1925</v>
      </c>
      <c r="M1155" s="324" t="s">
        <v>732</v>
      </c>
    </row>
    <row r="1156" spans="1:13" s="324" customFormat="1" ht="0.65" hidden="1" customHeight="1">
      <c r="A1156" s="324">
        <v>6130</v>
      </c>
      <c r="G1156" s="324">
        <v>16</v>
      </c>
      <c r="H1156" s="324" t="s">
        <v>733</v>
      </c>
      <c r="I1156" s="324">
        <v>28125</v>
      </c>
      <c r="J1156" s="324" t="s">
        <v>1926</v>
      </c>
      <c r="M1156" s="324" t="s">
        <v>704</v>
      </c>
    </row>
    <row r="1157" spans="1:13" s="324" customFormat="1" ht="0.65" hidden="1" customHeight="1">
      <c r="A1157" s="324">
        <v>6131</v>
      </c>
      <c r="G1157" s="324">
        <v>17</v>
      </c>
      <c r="H1157" s="324" t="s">
        <v>734</v>
      </c>
      <c r="I1157" s="324">
        <v>246875</v>
      </c>
      <c r="J1157" s="324" t="s">
        <v>1927</v>
      </c>
      <c r="M1157" s="324" t="s">
        <v>735</v>
      </c>
    </row>
    <row r="1158" spans="1:13" s="324" customFormat="1" ht="0.65" hidden="1" customHeight="1">
      <c r="A1158" s="324">
        <v>6132</v>
      </c>
      <c r="G1158" s="324">
        <v>18</v>
      </c>
      <c r="H1158" s="324" t="s">
        <v>736</v>
      </c>
      <c r="I1158" s="324">
        <v>61718.75</v>
      </c>
      <c r="J1158" s="324" t="s">
        <v>1928</v>
      </c>
      <c r="M1158" s="324" t="s">
        <v>737</v>
      </c>
    </row>
    <row r="1159" spans="1:13" s="324" customFormat="1" ht="0.65" hidden="1" customHeight="1">
      <c r="A1159" s="324">
        <v>6133</v>
      </c>
      <c r="G1159" s="324">
        <v>19</v>
      </c>
      <c r="H1159" s="324" t="s">
        <v>738</v>
      </c>
      <c r="I1159" s="324">
        <v>185156.25</v>
      </c>
      <c r="J1159" s="324" t="s">
        <v>1929</v>
      </c>
      <c r="M1159" s="324" t="s">
        <v>739</v>
      </c>
    </row>
    <row r="1160" spans="1:13" s="324" customFormat="1" ht="0.65" hidden="1" customHeight="1">
      <c r="A1160" s="324">
        <v>6134</v>
      </c>
      <c r="G1160" s="324">
        <v>20</v>
      </c>
      <c r="H1160" s="324" t="s">
        <v>740</v>
      </c>
      <c r="I1160" s="324">
        <v>213281.25</v>
      </c>
      <c r="J1160" s="324" t="s">
        <v>1930</v>
      </c>
      <c r="M1160" s="324" t="s">
        <v>741</v>
      </c>
    </row>
    <row r="1161" spans="1:13" s="324" customFormat="1" ht="0.65" hidden="1" customHeight="1">
      <c r="A1161" s="324">
        <v>6135</v>
      </c>
      <c r="G1161" s="324">
        <v>21</v>
      </c>
      <c r="H1161" s="324" t="s">
        <v>742</v>
      </c>
      <c r="I1161" s="324">
        <v>62500</v>
      </c>
      <c r="J1161" s="324" t="s">
        <v>1931</v>
      </c>
      <c r="M1161" s="324" t="s">
        <v>743</v>
      </c>
    </row>
    <row r="1162" spans="1:13" s="324" customFormat="1" ht="0.65" hidden="1" customHeight="1">
      <c r="A1162" s="324">
        <v>6136</v>
      </c>
      <c r="G1162" s="324">
        <v>22</v>
      </c>
      <c r="H1162" s="324" t="s">
        <v>744</v>
      </c>
      <c r="I1162" s="324">
        <v>-6250</v>
      </c>
      <c r="J1162" s="324" t="s">
        <v>1932</v>
      </c>
      <c r="M1162" s="324" t="s">
        <v>745</v>
      </c>
    </row>
    <row r="1163" spans="1:13" s="324" customFormat="1" ht="0.65" hidden="1" customHeight="1">
      <c r="A1163" s="324">
        <v>6137</v>
      </c>
      <c r="G1163" s="324">
        <v>23</v>
      </c>
      <c r="H1163" s="324" t="s">
        <v>746</v>
      </c>
      <c r="I1163" s="324">
        <v>68750</v>
      </c>
      <c r="J1163" s="324" t="s">
        <v>1933</v>
      </c>
      <c r="M1163" s="324" t="s">
        <v>747</v>
      </c>
    </row>
    <row r="1164" spans="1:13" s="324" customFormat="1" ht="0.65" hidden="1" customHeight="1">
      <c r="A1164" s="324">
        <v>6138</v>
      </c>
      <c r="G1164" s="324">
        <v>24</v>
      </c>
      <c r="H1164" s="324" t="s">
        <v>748</v>
      </c>
      <c r="I1164" s="324">
        <v>0</v>
      </c>
      <c r="J1164" s="324" t="s">
        <v>1936</v>
      </c>
      <c r="M1164" s="324" t="s">
        <v>750</v>
      </c>
    </row>
    <row r="1165" spans="1:13" s="324" customFormat="1" ht="0.65" hidden="1" customHeight="1">
      <c r="A1165" s="324">
        <v>6139</v>
      </c>
      <c r="G1165" s="324">
        <v>25</v>
      </c>
      <c r="H1165" s="324" t="s">
        <v>751</v>
      </c>
      <c r="I1165" s="324">
        <v>213281.25</v>
      </c>
      <c r="J1165" s="324" t="s">
        <v>1937</v>
      </c>
    </row>
    <row r="1166" spans="1:13" s="324" customFormat="1" ht="0.65" hidden="1" customHeight="1">
      <c r="A1166" s="324">
        <v>6140</v>
      </c>
      <c r="G1166" s="324">
        <v>26</v>
      </c>
      <c r="H1166" s="324" t="s">
        <v>753</v>
      </c>
      <c r="I1166" s="324">
        <v>250000</v>
      </c>
      <c r="J1166" s="324" t="s">
        <v>1924</v>
      </c>
      <c r="M1166" s="324" t="s">
        <v>753</v>
      </c>
    </row>
    <row r="1167" spans="1:13" s="324" customFormat="1" ht="0.65" hidden="1" customHeight="1">
      <c r="A1167" s="324">
        <v>6141</v>
      </c>
      <c r="G1167" s="324">
        <v>27</v>
      </c>
      <c r="H1167" s="324" t="s">
        <v>754</v>
      </c>
      <c r="I1167" s="324">
        <v>-25000</v>
      </c>
      <c r="J1167" s="324" t="s">
        <v>1925</v>
      </c>
      <c r="M1167" s="324" t="s">
        <v>754</v>
      </c>
    </row>
    <row r="1168" spans="1:13" s="324" customFormat="1" ht="0.65" hidden="1" customHeight="1">
      <c r="A1168" s="324">
        <v>6142</v>
      </c>
      <c r="G1168" s="324">
        <v>28</v>
      </c>
      <c r="H1168" s="324" t="s">
        <v>755</v>
      </c>
      <c r="I1168" s="324">
        <v>28125</v>
      </c>
      <c r="J1168" s="324" t="s">
        <v>1926</v>
      </c>
      <c r="M1168" s="324" t="s">
        <v>704</v>
      </c>
    </row>
    <row r="1169" spans="1:13" s="324" customFormat="1" ht="0.65" hidden="1" customHeight="1">
      <c r="A1169" s="324">
        <v>6143</v>
      </c>
      <c r="G1169" s="324">
        <v>29</v>
      </c>
      <c r="H1169" s="324" t="s">
        <v>758</v>
      </c>
      <c r="I1169" s="324">
        <v>246875</v>
      </c>
      <c r="J1169" s="324" t="s">
        <v>1927</v>
      </c>
      <c r="M1169" s="324" t="s">
        <v>760</v>
      </c>
    </row>
    <row r="1170" spans="1:13" s="324" customFormat="1" ht="0.65" hidden="1" customHeight="1">
      <c r="A1170" s="324">
        <v>6144</v>
      </c>
      <c r="G1170" s="324">
        <v>30</v>
      </c>
      <c r="H1170" s="324" t="s">
        <v>761</v>
      </c>
      <c r="I1170" s="324">
        <v>61718.75</v>
      </c>
      <c r="J1170" s="324" t="s">
        <v>1928</v>
      </c>
      <c r="M1170" s="324" t="s">
        <v>763</v>
      </c>
    </row>
    <row r="1171" spans="1:13" s="324" customFormat="1" ht="0.65" hidden="1" customHeight="1">
      <c r="A1171" s="324">
        <v>6145</v>
      </c>
      <c r="G1171" s="324">
        <v>31</v>
      </c>
      <c r="H1171" s="324" t="s">
        <v>764</v>
      </c>
      <c r="I1171" s="324">
        <v>185156.25</v>
      </c>
      <c r="J1171" s="324" t="s">
        <v>1929</v>
      </c>
      <c r="M1171" s="324" t="s">
        <v>766</v>
      </c>
    </row>
    <row r="1172" spans="1:13" s="324" customFormat="1" ht="0.65" hidden="1" customHeight="1">
      <c r="A1172" s="324">
        <v>6146</v>
      </c>
      <c r="G1172" s="324">
        <v>32</v>
      </c>
      <c r="H1172" s="324" t="s">
        <v>767</v>
      </c>
      <c r="I1172" s="324">
        <v>213281.25</v>
      </c>
      <c r="J1172" s="324" t="s">
        <v>1930</v>
      </c>
      <c r="M1172" s="324" t="s">
        <v>769</v>
      </c>
    </row>
    <row r="1173" spans="1:13" s="324" customFormat="1" ht="0.65" hidden="1" customHeight="1">
      <c r="A1173" s="324">
        <v>6147</v>
      </c>
      <c r="G1173" s="324">
        <v>33</v>
      </c>
      <c r="H1173" s="324" t="s">
        <v>770</v>
      </c>
      <c r="I1173" s="324">
        <v>62500</v>
      </c>
      <c r="J1173" s="324" t="s">
        <v>1931</v>
      </c>
      <c r="M1173" s="324" t="s">
        <v>771</v>
      </c>
    </row>
    <row r="1174" spans="1:13" s="324" customFormat="1" ht="0.65" hidden="1" customHeight="1">
      <c r="A1174" s="324">
        <v>6148</v>
      </c>
      <c r="G1174" s="324">
        <v>34</v>
      </c>
      <c r="H1174" s="324" t="s">
        <v>772</v>
      </c>
      <c r="I1174" s="324">
        <v>-6250</v>
      </c>
      <c r="J1174" s="324" t="s">
        <v>1932</v>
      </c>
      <c r="M1174" s="324" t="s">
        <v>773</v>
      </c>
    </row>
    <row r="1175" spans="1:13" s="324" customFormat="1" ht="0.65" hidden="1" customHeight="1">
      <c r="A1175" s="324">
        <v>6149</v>
      </c>
      <c r="G1175" s="324">
        <v>35</v>
      </c>
      <c r="H1175" s="324" t="s">
        <v>774</v>
      </c>
      <c r="I1175" s="324">
        <v>68750</v>
      </c>
      <c r="J1175" s="324" t="s">
        <v>1933</v>
      </c>
      <c r="M1175" s="324" t="s">
        <v>775</v>
      </c>
    </row>
    <row r="1176" spans="1:13" s="324" customFormat="1" ht="0.65" hidden="1" customHeight="1">
      <c r="A1176" s="324">
        <v>6150</v>
      </c>
      <c r="G1176" s="324">
        <v>36</v>
      </c>
      <c r="H1176" s="324" t="s">
        <v>776</v>
      </c>
      <c r="I1176" s="324">
        <v>0</v>
      </c>
      <c r="J1176" s="324" t="s">
        <v>1936</v>
      </c>
      <c r="M1176" s="324" t="s">
        <v>777</v>
      </c>
    </row>
    <row r="1177" spans="1:13" s="324" customFormat="1" ht="0.65" hidden="1" customHeight="1">
      <c r="A1177" s="324">
        <v>6151</v>
      </c>
      <c r="G1177" s="324">
        <v>37</v>
      </c>
      <c r="H1177" s="324" t="s">
        <v>778</v>
      </c>
      <c r="I1177" s="324">
        <v>213281.25</v>
      </c>
      <c r="J1177" s="324" t="s">
        <v>1937</v>
      </c>
    </row>
    <row r="1178" spans="1:13" s="324" customFormat="1" ht="0.65" hidden="1" customHeight="1">
      <c r="A1178" s="324">
        <v>6152</v>
      </c>
      <c r="G1178" s="324">
        <v>38</v>
      </c>
      <c r="H1178" s="324" t="s">
        <v>780</v>
      </c>
      <c r="I1178" s="324">
        <v>142031.25</v>
      </c>
      <c r="J1178" s="324" t="s">
        <v>1918</v>
      </c>
      <c r="M1178" s="324" t="s">
        <v>690</v>
      </c>
    </row>
    <row r="1179" spans="1:13" s="324" customFormat="1" ht="0.65" hidden="1" customHeight="1">
      <c r="A1179" s="324">
        <v>6153</v>
      </c>
      <c r="G1179" s="324">
        <v>39</v>
      </c>
      <c r="H1179" s="324" t="s">
        <v>781</v>
      </c>
      <c r="I1179" s="324">
        <v>68750</v>
      </c>
      <c r="J1179" s="324" t="s">
        <v>1933</v>
      </c>
      <c r="M1179" s="324" t="s">
        <v>775</v>
      </c>
    </row>
    <row r="1180" spans="1:13" s="324" customFormat="1" ht="0.65" hidden="1" customHeight="1">
      <c r="A1180" s="324">
        <v>6154</v>
      </c>
      <c r="G1180" s="324">
        <v>40</v>
      </c>
      <c r="H1180" s="324" t="s">
        <v>782</v>
      </c>
      <c r="I1180" s="324">
        <v>210781.25</v>
      </c>
      <c r="J1180" s="324" t="s">
        <v>1938</v>
      </c>
      <c r="M1180" s="324" t="s">
        <v>784</v>
      </c>
    </row>
    <row r="1181" spans="1:13" s="324" customFormat="1" ht="0.65" hidden="1" customHeight="1">
      <c r="A1181" s="324">
        <v>6155</v>
      </c>
      <c r="G1181" s="324">
        <v>41</v>
      </c>
      <c r="H1181" s="324" t="s">
        <v>607</v>
      </c>
      <c r="I1181" s="324">
        <v>-534375</v>
      </c>
      <c r="J1181" s="324" t="s">
        <v>1939</v>
      </c>
      <c r="M1181" s="324" t="s">
        <v>786</v>
      </c>
    </row>
    <row r="1182" spans="1:13" s="324" customFormat="1" ht="0.65" hidden="1" customHeight="1">
      <c r="A1182" s="324">
        <v>6156</v>
      </c>
      <c r="G1182" s="324">
        <v>42</v>
      </c>
      <c r="H1182" s="324" t="s">
        <v>610</v>
      </c>
      <c r="I1182" s="324">
        <v>144531.25</v>
      </c>
      <c r="J1182" s="324" t="s">
        <v>1935</v>
      </c>
      <c r="M1182" s="324" t="s">
        <v>729</v>
      </c>
    </row>
    <row r="1183" spans="1:13" s="324" customFormat="1" ht="0.65" hidden="1" customHeight="1">
      <c r="A1183" s="324">
        <v>6157</v>
      </c>
      <c r="G1183" s="324">
        <v>43</v>
      </c>
      <c r="H1183" s="324" t="s">
        <v>611</v>
      </c>
      <c r="I1183" s="324">
        <v>213281.25</v>
      </c>
      <c r="J1183" s="324" t="s">
        <v>1937</v>
      </c>
      <c r="M1183" s="324" t="s">
        <v>751</v>
      </c>
    </row>
    <row r="1184" spans="1:13" s="324" customFormat="1" ht="0.65" hidden="1" customHeight="1">
      <c r="A1184" s="324">
        <v>6158</v>
      </c>
      <c r="G1184" s="324">
        <v>44</v>
      </c>
      <c r="H1184" s="324" t="s">
        <v>612</v>
      </c>
      <c r="I1184" s="324">
        <v>424062.5</v>
      </c>
      <c r="J1184" s="324" t="s">
        <v>1940</v>
      </c>
      <c r="M1184" s="324" t="s">
        <v>788</v>
      </c>
    </row>
    <row r="1185" spans="1:13" s="324" customFormat="1" ht="0.65" hidden="1" customHeight="1">
      <c r="A1185" s="324">
        <v>6159</v>
      </c>
      <c r="G1185" s="324">
        <v>45</v>
      </c>
      <c r="H1185" s="324" t="s">
        <v>414</v>
      </c>
      <c r="I1185" s="324">
        <v>5.2500000000000012E-2</v>
      </c>
      <c r="J1185" s="324" t="s">
        <v>1921</v>
      </c>
      <c r="M1185" s="324" t="s">
        <v>440</v>
      </c>
    </row>
    <row r="1186" spans="1:13" s="324" customFormat="1" ht="0.65" hidden="1" customHeight="1">
      <c r="A1186" s="324">
        <v>6160</v>
      </c>
      <c r="G1186" s="324">
        <v>46</v>
      </c>
      <c r="H1186" s="324" t="s">
        <v>415</v>
      </c>
      <c r="I1186" s="324">
        <v>0.12000000000000001</v>
      </c>
      <c r="J1186" s="324" t="s">
        <v>1922</v>
      </c>
      <c r="M1186" s="324" t="s">
        <v>441</v>
      </c>
    </row>
    <row r="1187" spans="1:13" s="324" customFormat="1" ht="0.65" hidden="1" customHeight="1">
      <c r="A1187" s="324">
        <v>6161</v>
      </c>
      <c r="G1187" s="324">
        <v>47</v>
      </c>
      <c r="H1187" s="324" t="s">
        <v>416</v>
      </c>
      <c r="I1187" s="324">
        <v>0.10312499999999999</v>
      </c>
      <c r="J1187" s="324" t="s">
        <v>1923</v>
      </c>
      <c r="M1187" s="324" t="s">
        <v>442</v>
      </c>
    </row>
    <row r="1188" spans="1:13" s="324" customFormat="1" ht="0.65" hidden="1" customHeight="1">
      <c r="A1188" s="324">
        <v>6162</v>
      </c>
      <c r="G1188" s="324">
        <v>48</v>
      </c>
      <c r="H1188" s="324" t="s">
        <v>13</v>
      </c>
      <c r="I1188" s="324">
        <v>87817.478696592501</v>
      </c>
      <c r="J1188" s="324" t="s">
        <v>1941</v>
      </c>
      <c r="M1188" s="324" t="s">
        <v>622</v>
      </c>
    </row>
    <row r="1189" spans="1:13" s="324" customFormat="1" ht="0.65" hidden="1" customHeight="1">
      <c r="A1189" s="324">
        <v>6163</v>
      </c>
      <c r="G1189" s="324">
        <v>49</v>
      </c>
      <c r="H1189" s="324" t="s">
        <v>28</v>
      </c>
      <c r="I1189" s="324">
        <v>0.17939434472028948</v>
      </c>
      <c r="J1189" s="324" t="s">
        <v>1881</v>
      </c>
      <c r="M1189" s="324" t="s">
        <v>624</v>
      </c>
    </row>
    <row r="1190" spans="1:13" s="324" customFormat="1" ht="0.65" hidden="1" customHeight="1">
      <c r="A1190" s="324">
        <v>6164</v>
      </c>
      <c r="G1190" s="324">
        <v>50</v>
      </c>
      <c r="H1190" s="324" t="s">
        <v>29</v>
      </c>
      <c r="I1190" s="324">
        <v>0.16433680223923744</v>
      </c>
      <c r="J1190" s="324" t="s">
        <v>1942</v>
      </c>
      <c r="M1190" s="324" t="s">
        <v>791</v>
      </c>
    </row>
    <row r="1191" spans="1:13" s="324" customFormat="1" ht="0.65" hidden="1" customHeight="1">
      <c r="A1191" s="324">
        <v>6165</v>
      </c>
      <c r="G1191" s="324">
        <v>51</v>
      </c>
      <c r="H1191" s="324" t="s">
        <v>30</v>
      </c>
      <c r="I1191" s="324">
        <v>3</v>
      </c>
      <c r="J1191" s="324" t="s">
        <v>1916</v>
      </c>
      <c r="M1191" s="324" t="s">
        <v>1060</v>
      </c>
    </row>
    <row r="1192" spans="1:13" s="65" customFormat="1" hidden="1"/>
  </sheetData>
  <sheetProtection algorithmName="SHA-512" hashValue="XfgP0VgYJ+gbx6Qnhe7OXxE14yZJNbbKzcqZQ1KIGNWmDn+s+x9NnWbT2g5Owt14DkNahiFzPCXHVpSuZ+VLig==" saltValue="/a5gcgG24d9vOtjcvs4xfA==" spinCount="100000" sheet="1" selectLockedCells="1"/>
  <mergeCells count="2">
    <mergeCell ref="B1:C1"/>
    <mergeCell ref="B37:E37"/>
  </mergeCells>
  <conditionalFormatting sqref="O6 O14 J3 J24:J26 J38:J40 M42">
    <cfRule type="expression" dxfId="234" priority="12" stopIfTrue="1">
      <formula>AND(NOT($E$35="T"),NOT($E$35="N"))</formula>
    </cfRule>
    <cfRule type="expression" dxfId="233" priority="13" stopIfTrue="1">
      <formula>$E$35="T"</formula>
    </cfRule>
  </conditionalFormatting>
  <conditionalFormatting sqref="G1:R47">
    <cfRule type="expression" dxfId="232" priority="4" stopIfTrue="1">
      <formula>NOT($E$34="x")</formula>
    </cfRule>
  </conditionalFormatting>
  <conditionalFormatting sqref="N6">
    <cfRule type="expression" dxfId="231" priority="8" stopIfTrue="1">
      <formula>AND(NOT($E$35="T"),NOT($E$35="N"))</formula>
    </cfRule>
    <cfRule type="expression" dxfId="230" priority="9" stopIfTrue="1">
      <formula>$E$35="T"</formula>
    </cfRule>
  </conditionalFormatting>
  <conditionalFormatting sqref="N14 L42">
    <cfRule type="expression" dxfId="229" priority="6" stopIfTrue="1">
      <formula>AND(NOT($E$35="T"),NOT($E$35="N"))</formula>
    </cfRule>
    <cfRule type="expression" dxfId="228" priority="7" stopIfTrue="1">
      <formula>$E$35="T"</formula>
    </cfRule>
  </conditionalFormatting>
  <conditionalFormatting sqref="I44:I47">
    <cfRule type="expression" dxfId="227" priority="14" stopIfTrue="1">
      <formula>$I$44&lt;0</formula>
    </cfRule>
  </conditionalFormatting>
  <conditionalFormatting sqref="H6:K6 H14:K14 H43 K43">
    <cfRule type="expression" dxfId="226" priority="3" stopIfTrue="1">
      <formula>AND(NOT($E$35="T"),NOT($E$35="N"))</formula>
    </cfRule>
  </conditionalFormatting>
  <conditionalFormatting sqref="D1:E2 A1:A47 A48:XFD1191">
    <cfRule type="expression" dxfId="225" priority="2" stopIfTrue="1">
      <formula>NOT($E$36="javi")</formula>
    </cfRule>
  </conditionalFormatting>
  <conditionalFormatting sqref="A1:XFD1048576">
    <cfRule type="expression" dxfId="224" priority="1" stopIfTrue="1">
      <formula>OR($E$1="",NOT($D$1=$D$2),NOT($E$2="SI"))</formula>
    </cfRule>
  </conditionalFormatting>
  <pageMargins left="0.70866141732283472" right="0.70866141732283472" top="0.74803149606299213" bottom="0.74803149606299213" header="0.31496062992125984" footer="0.31496062992125984"/>
  <pageSetup paperSize="9" scale="70" pageOrder="overThenDown" orientation="landscape" r:id="rId1"/>
  <headerFooter>
    <oddHeader>&amp;CCaso práctico de inversión en condiciones de certeza sin inflación: Sustitución de maquinaria con inversiones en fondo de maniobra - Solución correcta</oddHeader>
    <oddFooter>&amp;CPágina &amp;P de &amp;N</oddFooter>
  </headerFooter>
  <colBreaks count="1" manualBreakCount="1">
    <brk id="5"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51562-6661-410B-BC74-7C50D8B9F3C7}">
  <dimension ref="A1:AA647"/>
  <sheetViews>
    <sheetView showGridLines="0" topLeftCell="B1" workbookViewId="0">
      <selection activeCell="E7" sqref="E7"/>
    </sheetView>
  </sheetViews>
  <sheetFormatPr baseColWidth="10" defaultColWidth="11.453125" defaultRowHeight="14.5"/>
  <cols>
    <col min="1" max="1" width="0" style="60" hidden="1" customWidth="1"/>
    <col min="2" max="2" width="11.453125" style="60"/>
    <col min="3" max="3" width="15.81640625" style="60" customWidth="1"/>
    <col min="4" max="5" width="12.54296875" style="60" customWidth="1"/>
    <col min="6" max="6" width="13.54296875" style="60" customWidth="1"/>
    <col min="7" max="7" width="5.453125" style="126" customWidth="1"/>
    <col min="8" max="10" width="13.54296875" style="60" customWidth="1"/>
    <col min="11" max="11" width="11.453125" style="60"/>
    <col min="12" max="12" width="11.453125" style="64"/>
    <col min="13" max="13" width="3.54296875" style="60" customWidth="1"/>
    <col min="14" max="14" width="11.453125" style="60"/>
    <col min="15" max="15" width="21.81640625" style="60" customWidth="1"/>
    <col min="16" max="27" width="15.54296875" style="60" customWidth="1"/>
    <col min="28" max="16384" width="11.453125" style="60"/>
  </cols>
  <sheetData>
    <row r="1" spans="1:24">
      <c r="A1" s="65"/>
      <c r="B1" s="960" t="s">
        <v>19</v>
      </c>
      <c r="C1" s="960"/>
      <c r="D1" s="14" t="str">
        <f>'Instrucciones de uso'!$H$15</f>
        <v>contraseña</v>
      </c>
      <c r="E1" s="14" t="str">
        <f>IF(OR('Enunciado (sin infla)'!$G$2="",NOT('Enunciado (sin infla)'!$H$2="")),"",'Enunciado (sin infla)'!$G$2)</f>
        <v/>
      </c>
      <c r="K1" s="319" t="s">
        <v>290</v>
      </c>
      <c r="L1" s="351">
        <f>COUNTIF(E7:E9,"")+COUNTIF(E11:E12,"")+COUNTIF(E14:E15,"")+COUNTIF(E18,"")+COUNTIF(E20:E21,"")+COUNTIF(E23,"")+COUNTIF(E26:E30,"")+COUNTIF(E32,"")</f>
        <v>17</v>
      </c>
      <c r="O1" s="10" t="s">
        <v>21</v>
      </c>
    </row>
    <row r="2" spans="1:24">
      <c r="A2" s="65"/>
      <c r="B2" s="286" t="s">
        <v>3951</v>
      </c>
      <c r="D2" s="14" t="str">
        <f>'Instrucciones de uso'!$J$15</f>
        <v>contraseña</v>
      </c>
      <c r="E2" s="345" t="str">
        <f>'Instrucciones de uso'!$I$33</f>
        <v/>
      </c>
      <c r="K2" s="319" t="s">
        <v>217</v>
      </c>
      <c r="L2" s="14">
        <f>COUNTIF(E1:E32,"ERROR")</f>
        <v>0</v>
      </c>
    </row>
    <row r="3" spans="1:24">
      <c r="A3" s="65" t="e">
        <f>E1*1000+1</f>
        <v>#VALUE!</v>
      </c>
      <c r="C3" s="257" t="e">
        <f>VLOOKUP($A3,$A$96:$Z$651,C$49,FALSE)</f>
        <v>#VALUE!</v>
      </c>
      <c r="D3" s="258" t="e">
        <f>VLOOKUP($A3,$A$96:$Z$651,D$49,FALSE)</f>
        <v>#VALUE!</v>
      </c>
      <c r="E3" s="117" t="str">
        <f>IF(AND(OR(E7="",ISNUMBER(E7)),OR(E8="",AND(ISNUMBER(E8),E8&gt;0,E8&lt;51)),OR(E9="",ISNUMBER(E9))),"","ERROR")</f>
        <v/>
      </c>
      <c r="F3" s="278"/>
      <c r="G3" s="279" t="str">
        <f>IF(F90="NO","","Deshaga operación (Ctrl-Z)")</f>
        <v/>
      </c>
      <c r="H3" s="278"/>
      <c r="I3" s="7"/>
      <c r="J3" s="7"/>
      <c r="O3" s="107" t="s">
        <v>0</v>
      </c>
      <c r="P3" s="108" t="s">
        <v>69</v>
      </c>
      <c r="Q3" s="108" t="s">
        <v>70</v>
      </c>
      <c r="R3" s="108" t="s">
        <v>71</v>
      </c>
      <c r="S3" s="108" t="s">
        <v>72</v>
      </c>
      <c r="T3" s="108" t="s">
        <v>73</v>
      </c>
      <c r="U3" s="108" t="s">
        <v>74</v>
      </c>
      <c r="V3" s="108" t="s">
        <v>75</v>
      </c>
    </row>
    <row r="4" spans="1:24">
      <c r="A4" s="65" t="e">
        <f>1+A3</f>
        <v>#VALUE!</v>
      </c>
      <c r="O4" s="112" t="e">
        <f t="shared" ref="O4:V4" si="0">VLOOKUP($A4,$A$96:$Z$651,O$49,FALSE)</f>
        <v>#VALUE!</v>
      </c>
      <c r="P4" s="20" t="e">
        <f t="shared" si="0"/>
        <v>#VALUE!</v>
      </c>
      <c r="Q4" s="20" t="e">
        <f t="shared" si="0"/>
        <v>#VALUE!</v>
      </c>
      <c r="R4" s="20" t="e">
        <f t="shared" si="0"/>
        <v>#VALUE!</v>
      </c>
      <c r="S4" s="20" t="e">
        <f t="shared" si="0"/>
        <v>#VALUE!</v>
      </c>
      <c r="T4" s="20" t="e">
        <f t="shared" si="0"/>
        <v>#VALUE!</v>
      </c>
      <c r="U4" s="20" t="e">
        <f t="shared" si="0"/>
        <v>#VALUE!</v>
      </c>
      <c r="V4" s="20" t="e">
        <f t="shared" si="0"/>
        <v>#VALUE!</v>
      </c>
    </row>
    <row r="5" spans="1:24">
      <c r="A5" s="65" t="e">
        <f t="shared" ref="A5:A68" si="1">1+A4</f>
        <v>#VALUE!</v>
      </c>
      <c r="B5" s="64"/>
      <c r="C5" s="1"/>
      <c r="D5" s="114" t="s">
        <v>139</v>
      </c>
      <c r="E5" s="114" t="s">
        <v>139</v>
      </c>
      <c r="F5" s="1"/>
      <c r="G5" s="127"/>
      <c r="H5" s="966" t="s">
        <v>148</v>
      </c>
      <c r="I5" s="966"/>
      <c r="J5" s="966"/>
      <c r="L5" s="88" t="s">
        <v>149</v>
      </c>
      <c r="O5" s="125" t="e">
        <f>CONCATENATE(O4," alternativo")</f>
        <v>#VALUE!</v>
      </c>
      <c r="P5" s="119" t="e">
        <f>IF($O4&gt;$D$3+$K$32,0,$K$11)</f>
        <v>#VALUE!</v>
      </c>
      <c r="Q5" s="119" t="e">
        <f>IF($O4&gt;$D$3+$K$32,0,$K$12)</f>
        <v>#VALUE!</v>
      </c>
      <c r="R5" s="119" t="e">
        <f>IF($O4&gt;$D$3+$K$32,0,$K$7/$K$8-IF($O4-$D$3&gt;$K$20,0,$K$19/$K$20))</f>
        <v>#VALUE!</v>
      </c>
      <c r="S5" s="119" t="e">
        <f t="shared" ref="S5:S9" si="2">P5-Q5-R5</f>
        <v>#VALUE!</v>
      </c>
      <c r="T5" s="119" t="e">
        <f>$K$23*S5</f>
        <v>#VALUE!</v>
      </c>
      <c r="U5" s="119" t="e">
        <f t="shared" ref="U5:U9" si="3">S5-T5</f>
        <v>#VALUE!</v>
      </c>
      <c r="V5" s="119" t="e">
        <f t="shared" ref="V5:V9" si="4">U5+R5</f>
        <v>#VALUE!</v>
      </c>
    </row>
    <row r="6" spans="1:24">
      <c r="A6" s="65" t="e">
        <f t="shared" si="1"/>
        <v>#VALUE!</v>
      </c>
      <c r="B6" s="64"/>
      <c r="C6" s="255" t="e">
        <f>VLOOKUP($A6,$A$96:$Z$651,C$49,FALSE)</f>
        <v>#VALUE!</v>
      </c>
      <c r="D6" s="302" t="s">
        <v>141</v>
      </c>
      <c r="E6" s="302" t="s">
        <v>140</v>
      </c>
      <c r="F6" s="302" t="s">
        <v>143</v>
      </c>
      <c r="G6" s="128"/>
      <c r="H6" s="302" t="s">
        <v>144</v>
      </c>
      <c r="I6" s="302" t="s">
        <v>145</v>
      </c>
      <c r="J6" s="302" t="s">
        <v>143</v>
      </c>
      <c r="K6" s="64"/>
      <c r="L6" s="134" t="s">
        <v>150</v>
      </c>
      <c r="O6" s="112" t="e">
        <f t="shared" ref="O6:V6" si="5">VLOOKUP($A6,$A$96:$Z$651,O$49,FALSE)</f>
        <v>#VALUE!</v>
      </c>
      <c r="P6" s="20" t="e">
        <f t="shared" si="5"/>
        <v>#VALUE!</v>
      </c>
      <c r="Q6" s="20" t="e">
        <f t="shared" si="5"/>
        <v>#VALUE!</v>
      </c>
      <c r="R6" s="20" t="e">
        <f t="shared" si="5"/>
        <v>#VALUE!</v>
      </c>
      <c r="S6" s="20" t="e">
        <f t="shared" si="5"/>
        <v>#VALUE!</v>
      </c>
      <c r="T6" s="20" t="e">
        <f t="shared" si="5"/>
        <v>#VALUE!</v>
      </c>
      <c r="U6" s="20" t="e">
        <f t="shared" si="5"/>
        <v>#VALUE!</v>
      </c>
      <c r="V6" s="20" t="e">
        <f t="shared" si="5"/>
        <v>#VALUE!</v>
      </c>
    </row>
    <row r="7" spans="1:24">
      <c r="A7" s="65" t="e">
        <f t="shared" si="1"/>
        <v>#VALUE!</v>
      </c>
      <c r="B7" s="354" t="e">
        <f t="shared" ref="B7:D18" si="6">VLOOKUP($A7,$A$96:$Z$651,B$49,FALSE)</f>
        <v>#VALUE!</v>
      </c>
      <c r="C7" s="110" t="e">
        <f t="shared" si="6"/>
        <v>#VALUE!</v>
      </c>
      <c r="D7" s="264" t="e">
        <f t="shared" si="6"/>
        <v>#VALUE!</v>
      </c>
      <c r="E7" s="4"/>
      <c r="F7" s="115" t="str">
        <f>IF(OR(E7="",NOT($E$3="")),"",E7/D7-1)</f>
        <v/>
      </c>
      <c r="G7" s="129"/>
      <c r="H7" s="116" t="str">
        <f>IF(F7="","",$V$37)</f>
        <v/>
      </c>
      <c r="I7" s="116" t="str">
        <f>IF(H7="","",$W$37)</f>
        <v/>
      </c>
      <c r="J7" s="115" t="str">
        <f>IF(I7="","",IF(H7&lt;0,-(I7/H7-1),I7/H7-1))</f>
        <v/>
      </c>
      <c r="K7" s="352" t="e">
        <f>IF(E7="",D7,E7)</f>
        <v>#VALUE!</v>
      </c>
      <c r="L7" s="309" t="e">
        <f>VLOOKUP($A7,$A$96:$Z$651,L$49,FALSE)</f>
        <v>#VALUE!</v>
      </c>
      <c r="O7" s="125" t="e">
        <f>CONCATENATE(O6," alternativo")</f>
        <v>#VALUE!</v>
      </c>
      <c r="P7" s="119" t="e">
        <f>IF($O6&gt;$D$3+$K$32,0,$K$11)</f>
        <v>#VALUE!</v>
      </c>
      <c r="Q7" s="119" t="e">
        <f>IF($O6&gt;$D$3+$K$32,0,$K$12)</f>
        <v>#VALUE!</v>
      </c>
      <c r="R7" s="119" t="e">
        <f>IF($O6&gt;$D$3+$K$32,0,$K$7/$K$8-IF($O6-$D$3&gt;$K$20,0,$K$19/$K$20))</f>
        <v>#VALUE!</v>
      </c>
      <c r="S7" s="119" t="e">
        <f t="shared" si="2"/>
        <v>#VALUE!</v>
      </c>
      <c r="T7" s="119" t="e">
        <f>$K$23*S7</f>
        <v>#VALUE!</v>
      </c>
      <c r="U7" s="119" t="e">
        <f t="shared" si="3"/>
        <v>#VALUE!</v>
      </c>
      <c r="V7" s="119" t="e">
        <f t="shared" si="4"/>
        <v>#VALUE!</v>
      </c>
    </row>
    <row r="8" spans="1:24">
      <c r="A8" s="65" t="e">
        <f t="shared" si="1"/>
        <v>#VALUE!</v>
      </c>
      <c r="B8" s="354" t="e">
        <f t="shared" si="6"/>
        <v>#VALUE!</v>
      </c>
      <c r="C8" s="110" t="e">
        <f t="shared" si="6"/>
        <v>#VALUE!</v>
      </c>
      <c r="D8" s="264" t="e">
        <f t="shared" si="6"/>
        <v>#VALUE!</v>
      </c>
      <c r="E8" s="4"/>
      <c r="F8" s="115" t="str">
        <f>IF(OR(E8="",NOT($E$3="")),"",E8/D8-1)</f>
        <v/>
      </c>
      <c r="G8" s="129"/>
      <c r="H8" s="116" t="str">
        <f>IF(F8="","",$V$37)</f>
        <v/>
      </c>
      <c r="I8" s="116" t="str">
        <f>IF(H8="","",$W$37)</f>
        <v/>
      </c>
      <c r="J8" s="115" t="str">
        <f>IF(I8="","",IF(H8&lt;0,-(I8/H8-1),I8/H8-1))</f>
        <v/>
      </c>
      <c r="K8" s="352" t="e">
        <f>IF(E8="",D8,E8)</f>
        <v>#VALUE!</v>
      </c>
      <c r="L8" s="309"/>
      <c r="O8" s="112" t="e">
        <f t="shared" ref="O8:V8" si="7">VLOOKUP($A8,$A$96:$Z$651,O$49,FALSE)</f>
        <v>#VALUE!</v>
      </c>
      <c r="P8" s="20" t="e">
        <f t="shared" si="7"/>
        <v>#VALUE!</v>
      </c>
      <c r="Q8" s="20" t="e">
        <f t="shared" si="7"/>
        <v>#VALUE!</v>
      </c>
      <c r="R8" s="20" t="e">
        <f t="shared" si="7"/>
        <v>#VALUE!</v>
      </c>
      <c r="S8" s="20" t="e">
        <f t="shared" si="7"/>
        <v>#VALUE!</v>
      </c>
      <c r="T8" s="20" t="e">
        <f t="shared" si="7"/>
        <v>#VALUE!</v>
      </c>
      <c r="U8" s="20" t="e">
        <f t="shared" si="7"/>
        <v>#VALUE!</v>
      </c>
      <c r="V8" s="20" t="e">
        <f t="shared" si="7"/>
        <v>#VALUE!</v>
      </c>
      <c r="W8" s="1"/>
      <c r="X8" s="1"/>
    </row>
    <row r="9" spans="1:24">
      <c r="A9" s="65" t="e">
        <f t="shared" si="1"/>
        <v>#VALUE!</v>
      </c>
      <c r="B9" s="354" t="e">
        <f t="shared" si="6"/>
        <v>#VALUE!</v>
      </c>
      <c r="C9" s="110" t="e">
        <f t="shared" si="6"/>
        <v>#VALUE!</v>
      </c>
      <c r="D9" s="264" t="e">
        <f t="shared" si="6"/>
        <v>#VALUE!</v>
      </c>
      <c r="E9" s="4"/>
      <c r="F9" s="115" t="str">
        <f>IF(OR(E9="",NOT($E$3="")),"",E9/D9-1)</f>
        <v/>
      </c>
      <c r="G9" s="129"/>
      <c r="H9" s="116" t="str">
        <f>IF(F9="","",$V$37)</f>
        <v/>
      </c>
      <c r="I9" s="116" t="str">
        <f>IF(H9="","",$W$37)</f>
        <v/>
      </c>
      <c r="J9" s="115" t="str">
        <f>IF(I9="","",IF(H9&lt;0,-(I9/H9-1),I9/H9-1))</f>
        <v/>
      </c>
      <c r="K9" s="352" t="e">
        <f>IF(E9="",D9,E9)</f>
        <v>#VALUE!</v>
      </c>
      <c r="L9" s="309" t="e">
        <f>VLOOKUP($A9,$A$96:$Z$651,L$49,FALSE)</f>
        <v>#VALUE!</v>
      </c>
      <c r="O9" s="125" t="e">
        <f>CONCATENATE(O8," alternativo")</f>
        <v>#VALUE!</v>
      </c>
      <c r="P9" s="119" t="e">
        <f>IF($O8&gt;$D$3+$K$32,0,$K$11)</f>
        <v>#VALUE!</v>
      </c>
      <c r="Q9" s="119" t="e">
        <f>IF($O8&gt;$D$3+$K$32,0,$K$12)</f>
        <v>#VALUE!</v>
      </c>
      <c r="R9" s="119" t="e">
        <f>IF($O8&gt;$D$3+$K$32,0,$K$7/$K$8-IF($O8-$D$3&gt;$K$20,0,$K$19/$K$20))</f>
        <v>#VALUE!</v>
      </c>
      <c r="S9" s="119" t="e">
        <f t="shared" si="2"/>
        <v>#VALUE!</v>
      </c>
      <c r="T9" s="119" t="e">
        <f>$K$23*S9</f>
        <v>#VALUE!</v>
      </c>
      <c r="U9" s="119" t="e">
        <f t="shared" si="3"/>
        <v>#VALUE!</v>
      </c>
      <c r="V9" s="119" t="e">
        <f t="shared" si="4"/>
        <v>#VALUE!</v>
      </c>
      <c r="W9" s="1"/>
      <c r="X9" s="1"/>
    </row>
    <row r="10" spans="1:24">
      <c r="A10" s="65" t="e">
        <f t="shared" si="1"/>
        <v>#VALUE!</v>
      </c>
      <c r="B10" s="354"/>
      <c r="C10" s="8"/>
      <c r="D10" s="6"/>
      <c r="E10" s="117" t="str">
        <f>IF(AND(OR(E11="",ISNUMBER(E11)),OR(E12="",ISNUMBER(E12))),"","ERROR")</f>
        <v/>
      </c>
      <c r="F10" s="115"/>
      <c r="G10" s="129"/>
      <c r="H10" s="116"/>
      <c r="I10" s="116"/>
      <c r="J10" s="115"/>
      <c r="K10" s="65"/>
      <c r="L10" s="45"/>
      <c r="O10" s="112" t="e">
        <f t="shared" ref="O10:V10" si="8">VLOOKUP($A10,$A$96:$Z$651,O$49,FALSE)</f>
        <v>#VALUE!</v>
      </c>
      <c r="P10" s="20" t="e">
        <f t="shared" si="8"/>
        <v>#VALUE!</v>
      </c>
      <c r="Q10" s="20" t="e">
        <f t="shared" si="8"/>
        <v>#VALUE!</v>
      </c>
      <c r="R10" s="20" t="e">
        <f t="shared" si="8"/>
        <v>#VALUE!</v>
      </c>
      <c r="S10" s="20" t="e">
        <f t="shared" si="8"/>
        <v>#VALUE!</v>
      </c>
      <c r="T10" s="20" t="e">
        <f t="shared" si="8"/>
        <v>#VALUE!</v>
      </c>
      <c r="U10" s="20" t="e">
        <f t="shared" si="8"/>
        <v>#VALUE!</v>
      </c>
      <c r="V10" s="20" t="e">
        <f t="shared" si="8"/>
        <v>#VALUE!</v>
      </c>
    </row>
    <row r="11" spans="1:24">
      <c r="A11" s="65" t="e">
        <f t="shared" si="1"/>
        <v>#VALUE!</v>
      </c>
      <c r="B11" s="354" t="e">
        <f t="shared" si="6"/>
        <v>#VALUE!</v>
      </c>
      <c r="C11" s="110" t="e">
        <f t="shared" ref="C11:D12" si="9">VLOOKUP($A11,$A$96:$Z$651,C$49,FALSE)</f>
        <v>#VALUE!</v>
      </c>
      <c r="D11" s="264" t="e">
        <f t="shared" si="9"/>
        <v>#VALUE!</v>
      </c>
      <c r="E11" s="4"/>
      <c r="F11" s="115" t="str">
        <f>IF(OR(E11="",NOT($E$10="")),"",E11/D11-1)</f>
        <v/>
      </c>
      <c r="G11" s="129"/>
      <c r="H11" s="116" t="str">
        <f>IF(F11="","",$V$37)</f>
        <v/>
      </c>
      <c r="I11" s="116" t="str">
        <f>IF(H11="","",$W$37)</f>
        <v/>
      </c>
      <c r="J11" s="115" t="str">
        <f>IF(I11="","",IF(H11&lt;0,-(I11/H11-1),I11/H11-1))</f>
        <v/>
      </c>
      <c r="K11" s="352" t="e">
        <f>IF(E11="",D11,E11)</f>
        <v>#VALUE!</v>
      </c>
      <c r="L11" s="309" t="e">
        <f t="shared" ref="L11:L12" si="10">VLOOKUP($A11,$A$96:$Z$651,L$49,FALSE)</f>
        <v>#VALUE!</v>
      </c>
      <c r="O11" s="125" t="e">
        <f>CONCATENATE(O10," alternativo")</f>
        <v>#VALUE!</v>
      </c>
      <c r="P11" s="119" t="e">
        <f>IF($O10&gt;$D$3+$K$32,0,$K$11)</f>
        <v>#VALUE!</v>
      </c>
      <c r="Q11" s="119" t="e">
        <f>IF($O10&gt;$D$3+$K$32,0,$K$12)</f>
        <v>#VALUE!</v>
      </c>
      <c r="R11" s="119" t="e">
        <f>IF($O10&gt;$D$3+$K$32,0,$K$7/$K$8-IF($O10-$D$3&gt;$K$20,0,$K$19/$K$20))</f>
        <v>#VALUE!</v>
      </c>
      <c r="S11" s="119" t="e">
        <f>P11-Q11-R11</f>
        <v>#VALUE!</v>
      </c>
      <c r="T11" s="119" t="e">
        <f>$K$23*S11</f>
        <v>#VALUE!</v>
      </c>
      <c r="U11" s="119" t="e">
        <f>S11-T11</f>
        <v>#VALUE!</v>
      </c>
      <c r="V11" s="119" t="e">
        <f>U11+R11</f>
        <v>#VALUE!</v>
      </c>
    </row>
    <row r="12" spans="1:24">
      <c r="A12" s="65" t="e">
        <f t="shared" si="1"/>
        <v>#VALUE!</v>
      </c>
      <c r="B12" s="354" t="e">
        <f t="shared" si="6"/>
        <v>#VALUE!</v>
      </c>
      <c r="C12" s="110" t="e">
        <f t="shared" si="9"/>
        <v>#VALUE!</v>
      </c>
      <c r="D12" s="264" t="e">
        <f t="shared" si="9"/>
        <v>#VALUE!</v>
      </c>
      <c r="E12" s="4"/>
      <c r="F12" s="115" t="str">
        <f>IF(OR(E12="",NOT($E$10="")),"",E12/D12-1)</f>
        <v/>
      </c>
      <c r="G12" s="129"/>
      <c r="H12" s="116" t="str">
        <f>IF(F12="","",$V$37)</f>
        <v/>
      </c>
      <c r="I12" s="116" t="str">
        <f>IF(H12="","",$W$37)</f>
        <v/>
      </c>
      <c r="J12" s="115" t="str">
        <f>IF(I12="","",IF(H12&lt;0,-(I12/H12-1),I12/H12-1))</f>
        <v/>
      </c>
      <c r="K12" s="352" t="e">
        <f>IF(E12="",D12,E12)</f>
        <v>#VALUE!</v>
      </c>
      <c r="L12" s="309" t="e">
        <f t="shared" si="10"/>
        <v>#VALUE!</v>
      </c>
      <c r="O12" s="112" t="e">
        <f t="shared" ref="O12:V12" si="11">VLOOKUP($A12,$A$96:$Z$651,O$49,FALSE)</f>
        <v>#VALUE!</v>
      </c>
      <c r="P12" s="20" t="e">
        <f t="shared" si="11"/>
        <v>#VALUE!</v>
      </c>
      <c r="Q12" s="20" t="e">
        <f t="shared" si="11"/>
        <v>#VALUE!</v>
      </c>
      <c r="R12" s="20" t="e">
        <f t="shared" si="11"/>
        <v>#VALUE!</v>
      </c>
      <c r="S12" s="20" t="e">
        <f t="shared" si="11"/>
        <v>#VALUE!</v>
      </c>
      <c r="T12" s="20" t="e">
        <f t="shared" si="11"/>
        <v>#VALUE!</v>
      </c>
      <c r="U12" s="20" t="e">
        <f t="shared" si="11"/>
        <v>#VALUE!</v>
      </c>
      <c r="V12" s="20" t="e">
        <f t="shared" si="11"/>
        <v>#VALUE!</v>
      </c>
    </row>
    <row r="13" spans="1:24">
      <c r="A13" s="65" t="e">
        <f t="shared" si="1"/>
        <v>#VALUE!</v>
      </c>
      <c r="B13" s="354" t="e">
        <f t="shared" si="6"/>
        <v>#VALUE!</v>
      </c>
      <c r="C13" s="8"/>
      <c r="D13" s="6"/>
      <c r="E13" s="117" t="str">
        <f>IF(AND(OR(E14="",AND(ISNUMBER(E14),NOT(E14&lt;0),NOT(E14&gt;360))),OR(E15="",AND(ISNUMBER(E15),NOT(E15&lt;0),NOT(E15&gt;360)))),"","ERROR")</f>
        <v/>
      </c>
      <c r="F13" s="115"/>
      <c r="G13" s="129"/>
      <c r="H13" s="116"/>
      <c r="I13" s="116"/>
      <c r="J13" s="115"/>
      <c r="K13" s="65"/>
      <c r="L13" s="45"/>
      <c r="O13" s="125" t="e">
        <f>CONCATENATE(O12," alternativo")</f>
        <v>#VALUE!</v>
      </c>
      <c r="P13" s="119" t="e">
        <f>IF($O12&gt;$D$3+$K$32,0,$K$11)</f>
        <v>#VALUE!</v>
      </c>
      <c r="Q13" s="119" t="e">
        <f>IF($O12&gt;$D$3+$K$32,0,$K$12)</f>
        <v>#VALUE!</v>
      </c>
      <c r="R13" s="119" t="e">
        <f>IF($O12&gt;$D$3+$K$32,0,$K$7/$K$8-IF($O12-$D$3&gt;$K$20,0,$K$19/$K$20))</f>
        <v>#VALUE!</v>
      </c>
      <c r="S13" s="119" t="e">
        <f>P13-Q13-R13</f>
        <v>#VALUE!</v>
      </c>
      <c r="T13" s="119" t="e">
        <f>$K$23*S13</f>
        <v>#VALUE!</v>
      </c>
      <c r="U13" s="119" t="e">
        <f>S13-T13</f>
        <v>#VALUE!</v>
      </c>
      <c r="V13" s="119" t="e">
        <f>U13+R13</f>
        <v>#VALUE!</v>
      </c>
    </row>
    <row r="14" spans="1:24">
      <c r="A14" s="65" t="e">
        <f t="shared" si="1"/>
        <v>#VALUE!</v>
      </c>
      <c r="B14" s="354" t="e">
        <f t="shared" si="6"/>
        <v>#VALUE!</v>
      </c>
      <c r="C14" s="110" t="e">
        <f t="shared" ref="C14:D15" si="12">VLOOKUP($A14,$A$96:$Z$651,C$49,FALSE)</f>
        <v>#VALUE!</v>
      </c>
      <c r="D14" s="264" t="e">
        <f t="shared" si="12"/>
        <v>#VALUE!</v>
      </c>
      <c r="E14" s="4"/>
      <c r="F14" s="115" t="str">
        <f>IF(OR(E14="",NOT($E$13="")),"",E14/D14-1)</f>
        <v/>
      </c>
      <c r="G14" s="129"/>
      <c r="H14" s="116" t="str">
        <f>IF(F14="","",$V$37)</f>
        <v/>
      </c>
      <c r="I14" s="116" t="str">
        <f>IF(H14="","",$W$37)</f>
        <v/>
      </c>
      <c r="J14" s="115" t="str">
        <f>IF(I14="","",IF(H14&lt;0,-(I14/H14-1),I14/H14-1))</f>
        <v/>
      </c>
      <c r="K14" s="352" t="e">
        <f>IF(E14="",D14,E14)</f>
        <v>#VALUE!</v>
      </c>
      <c r="L14" s="309"/>
      <c r="R14" s="64"/>
      <c r="U14" s="16"/>
      <c r="V14" s="11"/>
    </row>
    <row r="15" spans="1:24">
      <c r="A15" s="65" t="e">
        <f t="shared" si="1"/>
        <v>#VALUE!</v>
      </c>
      <c r="B15" s="354" t="e">
        <f t="shared" si="6"/>
        <v>#VALUE!</v>
      </c>
      <c r="C15" s="110" t="e">
        <f t="shared" si="12"/>
        <v>#VALUE!</v>
      </c>
      <c r="D15" s="264" t="e">
        <f t="shared" si="12"/>
        <v>#VALUE!</v>
      </c>
      <c r="E15" s="4"/>
      <c r="F15" s="115" t="str">
        <f>IF(OR(E15="",NOT($E$13="")),"",E15/D15-1)</f>
        <v/>
      </c>
      <c r="G15" s="129"/>
      <c r="H15" s="116" t="str">
        <f>IF(F15="","",$V$37)</f>
        <v/>
      </c>
      <c r="I15" s="116" t="str">
        <f>IF(H15="","",$W$37)</f>
        <v/>
      </c>
      <c r="J15" s="115" t="str">
        <f>IF(I15="","",IF(H15&lt;0,-(I15/H15-1),I15/H15-1))</f>
        <v/>
      </c>
      <c r="K15" s="352" t="e">
        <f>IF(E15="",D15,E15)</f>
        <v>#VALUE!</v>
      </c>
      <c r="L15" s="309"/>
    </row>
    <row r="16" spans="1:24">
      <c r="A16" s="65" t="e">
        <f t="shared" si="1"/>
        <v>#VALUE!</v>
      </c>
      <c r="B16" s="354" t="e">
        <f t="shared" si="6"/>
        <v>#VALUE!</v>
      </c>
      <c r="C16" s="8"/>
      <c r="D16" s="6"/>
      <c r="E16" s="6"/>
      <c r="F16" s="280"/>
      <c r="G16" s="281" t="str">
        <f>$G$3</f>
        <v/>
      </c>
      <c r="H16" s="282"/>
      <c r="I16" s="116"/>
      <c r="J16" s="115"/>
      <c r="K16" s="65"/>
      <c r="L16" s="45"/>
      <c r="O16" s="10" t="s">
        <v>22</v>
      </c>
      <c r="T16" s="1"/>
      <c r="U16" s="10" t="s">
        <v>26</v>
      </c>
      <c r="V16" s="1"/>
    </row>
    <row r="17" spans="1:27">
      <c r="A17" s="65" t="e">
        <f t="shared" si="1"/>
        <v>#VALUE!</v>
      </c>
      <c r="B17" s="354"/>
      <c r="C17" s="255" t="e">
        <f t="shared" ref="C17:D21" si="13">VLOOKUP($A17,$A$96:$Z$651,C$49,FALSE)</f>
        <v>#VALUE!</v>
      </c>
      <c r="D17" s="257"/>
      <c r="E17" s="117" t="str">
        <f>IF(AND(OR(E18="",ISNUMBER(E18)),OR(E20="",AND(ISNUMBER(E20),E20&gt;0,E20&lt;51)),OR(E21="",ISNUMBER(E21))),"","ERROR")</f>
        <v/>
      </c>
      <c r="F17" s="115"/>
      <c r="G17" s="129"/>
      <c r="H17" s="116"/>
      <c r="I17" s="116"/>
      <c r="J17" s="115"/>
      <c r="K17" s="65"/>
      <c r="L17" s="45"/>
      <c r="T17" s="1"/>
      <c r="U17" s="1"/>
      <c r="V17" s="1"/>
    </row>
    <row r="18" spans="1:27">
      <c r="A18" s="65" t="e">
        <f t="shared" si="1"/>
        <v>#VALUE!</v>
      </c>
      <c r="B18" s="354" t="e">
        <f t="shared" si="6"/>
        <v>#VALUE!</v>
      </c>
      <c r="C18" s="110" t="e">
        <f t="shared" si="13"/>
        <v>#VALUE!</v>
      </c>
      <c r="D18" s="264" t="e">
        <f t="shared" si="13"/>
        <v>#VALUE!</v>
      </c>
      <c r="E18" s="4"/>
      <c r="F18" s="115" t="str">
        <f>IF(OR(E18="",NOT($E$17="")),"",E18/D18-1)</f>
        <v/>
      </c>
      <c r="G18" s="129"/>
      <c r="H18" s="116" t="str">
        <f>IF(F18="","",$V$37)</f>
        <v/>
      </c>
      <c r="I18" s="116" t="str">
        <f>IF(H18="","",$W$37)</f>
        <v/>
      </c>
      <c r="J18" s="115" t="str">
        <f>IF(I18="","",IF(H18&lt;0,-(I18/H18-1),I18/H18-1))</f>
        <v/>
      </c>
      <c r="K18" s="352" t="e">
        <f>IF(E18="",D18,E18)</f>
        <v>#VALUE!</v>
      </c>
      <c r="L18" s="309" t="e">
        <f>VLOOKUP($A18,$A$96:$Z$651,L$49,FALSE)</f>
        <v>#VALUE!</v>
      </c>
      <c r="O18" s="107" t="s">
        <v>0</v>
      </c>
      <c r="P18" s="108" t="s">
        <v>76</v>
      </c>
      <c r="Q18" s="108" t="s">
        <v>77</v>
      </c>
      <c r="R18" s="108" t="s">
        <v>78</v>
      </c>
      <c r="S18" s="108" t="s">
        <v>79</v>
      </c>
      <c r="T18" s="1"/>
    </row>
    <row r="19" spans="1:27">
      <c r="A19" s="65" t="e">
        <f t="shared" si="1"/>
        <v>#VALUE!</v>
      </c>
      <c r="B19" s="64"/>
      <c r="C19" s="110" t="e">
        <f t="shared" si="13"/>
        <v>#VALUE!</v>
      </c>
      <c r="D19" s="264" t="e">
        <f t="shared" si="13"/>
        <v>#VALUE!</v>
      </c>
      <c r="E19" s="6" t="e">
        <f>D19</f>
        <v>#VALUE!</v>
      </c>
      <c r="F19" s="115"/>
      <c r="G19" s="129"/>
      <c r="H19" s="116"/>
      <c r="I19" s="116"/>
      <c r="J19" s="115"/>
      <c r="K19" s="352" t="e">
        <f>IF(E19="",D19,E19)</f>
        <v>#VALUE!</v>
      </c>
      <c r="L19" s="309"/>
      <c r="O19" s="112" t="e">
        <f t="shared" ref="O19:S19" si="14">VLOOKUP($A19,$A$96:$Z$651,O$49,FALSE)</f>
        <v>#VALUE!</v>
      </c>
      <c r="P19" s="20" t="e">
        <f t="shared" si="14"/>
        <v>#VALUE!</v>
      </c>
      <c r="Q19" s="20" t="e">
        <f t="shared" si="14"/>
        <v>#VALUE!</v>
      </c>
      <c r="R19" s="20" t="e">
        <f t="shared" si="14"/>
        <v>#VALUE!</v>
      </c>
      <c r="S19" s="20" t="e">
        <f t="shared" si="14"/>
        <v>#VALUE!</v>
      </c>
      <c r="T19" s="1"/>
    </row>
    <row r="20" spans="1:27">
      <c r="A20" s="65" t="e">
        <f t="shared" si="1"/>
        <v>#VALUE!</v>
      </c>
      <c r="B20" s="64"/>
      <c r="C20" s="110" t="e">
        <f t="shared" si="13"/>
        <v>#VALUE!</v>
      </c>
      <c r="D20" s="264" t="e">
        <f t="shared" si="13"/>
        <v>#VALUE!</v>
      </c>
      <c r="E20" s="4"/>
      <c r="F20" s="115" t="str">
        <f>IF(OR(E20="",NOT($E$17="")),"",E20/D20-1)</f>
        <v/>
      </c>
      <c r="G20" s="129"/>
      <c r="H20" s="116" t="str">
        <f>IF(F20="","",$V$37)</f>
        <v/>
      </c>
      <c r="I20" s="116" t="str">
        <f>IF(H20="","",$W$37)</f>
        <v/>
      </c>
      <c r="J20" s="115" t="str">
        <f>IF(I20="","",IF(H20&lt;0,-(I20/H20-1),I20/H20-1))</f>
        <v/>
      </c>
      <c r="K20" s="352" t="e">
        <f>IF(E20="",D20,E20)</f>
        <v>#VALUE!</v>
      </c>
      <c r="L20" s="309"/>
      <c r="O20" s="125" t="e">
        <f>CONCATENATE(O19," alternativo")</f>
        <v>#VALUE!</v>
      </c>
      <c r="P20" s="119">
        <v>0</v>
      </c>
      <c r="Q20" s="119">
        <v>0</v>
      </c>
      <c r="R20" s="119">
        <v>0</v>
      </c>
      <c r="S20" s="119">
        <v>0</v>
      </c>
      <c r="T20" s="1"/>
      <c r="V20" s="131" t="s">
        <v>81</v>
      </c>
      <c r="W20" s="135"/>
    </row>
    <row r="21" spans="1:27">
      <c r="A21" s="65" t="e">
        <f t="shared" si="1"/>
        <v>#VALUE!</v>
      </c>
      <c r="B21" s="64"/>
      <c r="C21" s="110" t="e">
        <f t="shared" si="13"/>
        <v>#VALUE!</v>
      </c>
      <c r="D21" s="264" t="e">
        <f t="shared" si="13"/>
        <v>#VALUE!</v>
      </c>
      <c r="E21" s="4"/>
      <c r="F21" s="115" t="str">
        <f>IF(OR(E21="",NOT($E$17="")),"",E21/D21-1)</f>
        <v/>
      </c>
      <c r="G21" s="129"/>
      <c r="H21" s="116" t="str">
        <f>IF(F21="","",$V$37)</f>
        <v/>
      </c>
      <c r="I21" s="116" t="str">
        <f>IF(H21="","",$W$37)</f>
        <v/>
      </c>
      <c r="J21" s="115" t="str">
        <f>IF(I21="","",IF(H21&lt;0,-(I21/H21-1),I21/H21-1))</f>
        <v/>
      </c>
      <c r="K21" s="352" t="e">
        <f>IF(E21="",D21,E21)</f>
        <v>#VALUE!</v>
      </c>
      <c r="L21" s="309" t="e">
        <f>VLOOKUP($A21,$A$96:$Z$651,L$49,FALSE)</f>
        <v>#VALUE!</v>
      </c>
      <c r="O21" s="112" t="e">
        <f t="shared" ref="O21:S21" si="15">VLOOKUP($A21,$A$96:$Z$651,O$49,FALSE)</f>
        <v>#VALUE!</v>
      </c>
      <c r="P21" s="20" t="e">
        <f t="shared" si="15"/>
        <v>#VALUE!</v>
      </c>
      <c r="Q21" s="20" t="e">
        <f t="shared" si="15"/>
        <v>#VALUE!</v>
      </c>
      <c r="R21" s="20" t="e">
        <f t="shared" si="15"/>
        <v>#VALUE!</v>
      </c>
      <c r="S21" s="20" t="e">
        <f t="shared" si="15"/>
        <v>#VALUE!</v>
      </c>
      <c r="U21" s="107" t="s">
        <v>0</v>
      </c>
      <c r="V21" s="108" t="s">
        <v>1</v>
      </c>
      <c r="W21" s="108" t="s">
        <v>1</v>
      </c>
      <c r="X21" s="13" t="s">
        <v>31</v>
      </c>
      <c r="Y21" s="27"/>
      <c r="Z21" s="13" t="s">
        <v>31</v>
      </c>
      <c r="AA21" s="27"/>
    </row>
    <row r="22" spans="1:27">
      <c r="A22" s="65" t="e">
        <f t="shared" si="1"/>
        <v>#VALUE!</v>
      </c>
      <c r="B22" s="64"/>
      <c r="C22" s="8"/>
      <c r="D22" s="6"/>
      <c r="E22" s="117" t="str">
        <f>IF(OR(E23="",AND(ISNUMBER(E23),NOT(E23&lt;0),NOT(E23&gt;1))),"","ERROR")</f>
        <v/>
      </c>
      <c r="F22" s="115"/>
      <c r="G22" s="129"/>
      <c r="H22" s="116"/>
      <c r="I22" s="116"/>
      <c r="J22" s="115"/>
      <c r="K22" s="65"/>
      <c r="L22" s="45"/>
      <c r="O22" s="125" t="e">
        <f>CONCATENATE(O21," alternativo")</f>
        <v>#VALUE!</v>
      </c>
      <c r="P22" s="119" t="e">
        <f>IF($O21&gt;$D$3+$K$32,0,P5/360*$K$14)</f>
        <v>#VALUE!</v>
      </c>
      <c r="Q22" s="119" t="e">
        <f>IF($O21&gt;$D$3+$K$32,0,Q5/360*$K$15)</f>
        <v>#VALUE!</v>
      </c>
      <c r="R22" s="119" t="e">
        <f>P22-Q22</f>
        <v>#VALUE!</v>
      </c>
      <c r="S22" s="119" t="e">
        <f>IF($O21&gt;$D$3+$K$32,0,R22-R20)</f>
        <v>#VALUE!</v>
      </c>
      <c r="U22" s="112" t="e">
        <f t="shared" ref="U22:V25" si="16">VLOOKUP($A22,$A$96:$Z$651,U$49,FALSE)</f>
        <v>#VALUE!</v>
      </c>
      <c r="V22" s="20" t="e">
        <f t="shared" si="16"/>
        <v>#VALUE!</v>
      </c>
      <c r="W22" s="119" t="e">
        <f>-Q36</f>
        <v>#VALUE!</v>
      </c>
      <c r="X22" s="28" t="e">
        <f t="shared" ref="X22:X25" si="17">VLOOKUP($A22,$A$96:$Z$651,X$49,FALSE)</f>
        <v>#VALUE!</v>
      </c>
      <c r="Y22" s="27"/>
      <c r="Z22" s="28" t="e">
        <f t="shared" ref="Z22:Z27" si="18">VLOOKUP($A22,$A$96:$Z$651,Z$49,FALSE)</f>
        <v>#VALUE!</v>
      </c>
      <c r="AA22" s="27"/>
    </row>
    <row r="23" spans="1:27">
      <c r="A23" s="65" t="e">
        <f t="shared" si="1"/>
        <v>#VALUE!</v>
      </c>
      <c r="B23" s="64"/>
      <c r="C23" s="110" t="e">
        <f>VLOOKUP($A23,$A$96:$Z$651,C$49,FALSE)</f>
        <v>#VALUE!</v>
      </c>
      <c r="D23" s="265" t="e">
        <f t="shared" ref="D23:D24" si="19">VLOOKUP($A23,$A$96:$Z$651,D$49,FALSE)</f>
        <v>#VALUE!</v>
      </c>
      <c r="E23" s="5"/>
      <c r="F23" s="115" t="str">
        <f>IF(OR(E23="",NOT($E$22="")),"",E23/D23-1)</f>
        <v/>
      </c>
      <c r="G23" s="129"/>
      <c r="H23" s="116" t="str">
        <f>IF(F23="","",$V$37)</f>
        <v/>
      </c>
      <c r="I23" s="116" t="str">
        <f>IF(H23="","",$W$37)</f>
        <v/>
      </c>
      <c r="J23" s="115" t="str">
        <f>IF(I23="","",IF(H23&lt;0,-(I23/H23-1),I23/H23-1))</f>
        <v/>
      </c>
      <c r="K23" s="353" t="e">
        <f>IF(E23="",D23,E23)</f>
        <v>#VALUE!</v>
      </c>
      <c r="L23" s="310"/>
      <c r="O23" s="112" t="e">
        <f t="shared" ref="O23:S23" si="20">VLOOKUP($A23,$A$96:$Z$651,O$49,FALSE)</f>
        <v>#VALUE!</v>
      </c>
      <c r="P23" s="20" t="e">
        <f t="shared" si="20"/>
        <v>#VALUE!</v>
      </c>
      <c r="Q23" s="20" t="e">
        <f t="shared" si="20"/>
        <v>#VALUE!</v>
      </c>
      <c r="R23" s="20" t="e">
        <f t="shared" si="20"/>
        <v>#VALUE!</v>
      </c>
      <c r="S23" s="20" t="e">
        <f t="shared" si="20"/>
        <v>#VALUE!</v>
      </c>
      <c r="U23" s="112" t="e">
        <f t="shared" si="16"/>
        <v>#VALUE!</v>
      </c>
      <c r="V23" s="20" t="e">
        <f t="shared" si="16"/>
        <v>#VALUE!</v>
      </c>
      <c r="W23" s="119" t="e">
        <f>IF(U23&gt;$D$3+$K$32,0,V5-S22+IF(U23=$D$3+$K$32,$Q$39,0))</f>
        <v>#VALUE!</v>
      </c>
      <c r="X23" s="28" t="e">
        <f t="shared" si="17"/>
        <v>#VALUE!</v>
      </c>
      <c r="Y23" s="27" t="e">
        <f>IF(AND(X22&lt;0,NOT(X23&lt;0)),U23,"")</f>
        <v>#VALUE!</v>
      </c>
      <c r="Z23" s="28" t="e">
        <f t="shared" si="18"/>
        <v>#VALUE!</v>
      </c>
      <c r="AA23" s="27" t="e">
        <f>IF(AND(Z22&lt;0,NOT(Z23&lt;0)),U23,"")</f>
        <v>#VALUE!</v>
      </c>
    </row>
    <row r="24" spans="1:27">
      <c r="A24" s="65" t="e">
        <f t="shared" si="1"/>
        <v>#VALUE!</v>
      </c>
      <c r="B24" s="64"/>
      <c r="C24" s="303"/>
      <c r="D24" s="110" t="e">
        <f t="shared" si="19"/>
        <v>#VALUE!</v>
      </c>
      <c r="E24" s="6"/>
      <c r="F24" s="280"/>
      <c r="G24" s="281" t="str">
        <f>$G$3</f>
        <v/>
      </c>
      <c r="H24" s="282"/>
      <c r="I24" s="116"/>
      <c r="J24" s="115"/>
      <c r="K24" s="65"/>
      <c r="O24" s="125" t="e">
        <f>CONCATENATE(O23," alternativo")</f>
        <v>#VALUE!</v>
      </c>
      <c r="P24" s="119" t="e">
        <f>IF($O23&gt;$D$3+$K$32,0,P7/360*$K$14)</f>
        <v>#VALUE!</v>
      </c>
      <c r="Q24" s="119" t="e">
        <f>IF($O23&gt;$D$3+$K$32,0,Q7/360*$K$15)</f>
        <v>#VALUE!</v>
      </c>
      <c r="R24" s="119" t="e">
        <f t="shared" ref="R24:R30" si="21">P24-Q24</f>
        <v>#VALUE!</v>
      </c>
      <c r="S24" s="119" t="e">
        <f>IF($O23&gt;$D$3+$K$32,0,R24-R22)</f>
        <v>#VALUE!</v>
      </c>
      <c r="U24" s="112" t="e">
        <f t="shared" si="16"/>
        <v>#VALUE!</v>
      </c>
      <c r="V24" s="20" t="e">
        <f t="shared" si="16"/>
        <v>#VALUE!</v>
      </c>
      <c r="W24" s="119" t="e">
        <f>IF(U24&gt;$D$3+$K$32,0,V7-S24+IF(U24=$D$3+$K$32,$Q$39,0))</f>
        <v>#VALUE!</v>
      </c>
      <c r="X24" s="28" t="e">
        <f t="shared" si="17"/>
        <v>#VALUE!</v>
      </c>
      <c r="Y24" s="27" t="e">
        <f>IF(AND(X23&lt;0,NOT(X24&lt;0)),U24,"")</f>
        <v>#VALUE!</v>
      </c>
      <c r="Z24" s="28" t="e">
        <f t="shared" si="18"/>
        <v>#VALUE!</v>
      </c>
      <c r="AA24" s="27" t="e">
        <f>IF(AND(Z23&lt;0,NOT(Z24&lt;0)),U24,"")</f>
        <v>#VALUE!</v>
      </c>
    </row>
    <row r="25" spans="1:27">
      <c r="A25" s="65" t="e">
        <f t="shared" si="1"/>
        <v>#VALUE!</v>
      </c>
      <c r="B25" s="64"/>
      <c r="C25" s="8"/>
      <c r="D25" s="6"/>
      <c r="E25" s="117" t="str">
        <f>IF(AND(OR(E26="",ISNUMBER(E26)),OR(E27="",ISNUMBER(E27)),OR(E28="",AND(ISNUMBER(E28),ABS(E28)&lt;0.08)),OR(E29="",AND(ISNUMBER(E29),NOT(E29&lt;0))),OR(E30="",AND(ISNUMBER(E30),E30&gt;0))),"","ERROR")</f>
        <v/>
      </c>
      <c r="F25" s="115"/>
      <c r="G25" s="129"/>
      <c r="H25" s="116"/>
      <c r="I25" s="116"/>
      <c r="J25" s="115"/>
      <c r="K25" s="65"/>
      <c r="O25" s="112" t="e">
        <f t="shared" ref="O25:S25" si="22">VLOOKUP($A25,$A$96:$Z$651,O$49,FALSE)</f>
        <v>#VALUE!</v>
      </c>
      <c r="P25" s="20" t="e">
        <f t="shared" si="22"/>
        <v>#VALUE!</v>
      </c>
      <c r="Q25" s="20" t="e">
        <f t="shared" si="22"/>
        <v>#VALUE!</v>
      </c>
      <c r="R25" s="20" t="e">
        <f t="shared" si="22"/>
        <v>#VALUE!</v>
      </c>
      <c r="S25" s="20" t="e">
        <f t="shared" si="22"/>
        <v>#VALUE!</v>
      </c>
      <c r="U25" s="112" t="e">
        <f t="shared" si="16"/>
        <v>#VALUE!</v>
      </c>
      <c r="V25" s="20" t="e">
        <f t="shared" si="16"/>
        <v>#VALUE!</v>
      </c>
      <c r="W25" s="119" t="e">
        <f>IF(U25&gt;$D$3+$K$32,0,V9-S26+IF(U25=$D$3+$K$32,$Q$39,0))</f>
        <v>#VALUE!</v>
      </c>
      <c r="X25" s="28" t="e">
        <f t="shared" si="17"/>
        <v>#VALUE!</v>
      </c>
      <c r="Y25" s="27" t="e">
        <f>IF(AND(X24&lt;0,NOT(X25&lt;0)),U25,"")</f>
        <v>#VALUE!</v>
      </c>
      <c r="Z25" s="28" t="e">
        <f t="shared" si="18"/>
        <v>#VALUE!</v>
      </c>
      <c r="AA25" s="27" t="e">
        <f>IF(AND(Z24&lt;0,NOT(Z25&lt;0)),U25,"")</f>
        <v>#VALUE!</v>
      </c>
    </row>
    <row r="26" spans="1:27">
      <c r="A26" s="65" t="e">
        <f t="shared" si="1"/>
        <v>#VALUE!</v>
      </c>
      <c r="B26" s="64"/>
      <c r="C26" s="110" t="e">
        <f t="shared" ref="C26:D30" si="23">VLOOKUP($A26,$A$96:$Z$651,C$49,FALSE)</f>
        <v>#VALUE!</v>
      </c>
      <c r="D26" s="264" t="e">
        <f t="shared" si="23"/>
        <v>#VALUE!</v>
      </c>
      <c r="E26" s="4"/>
      <c r="F26" s="115" t="str">
        <f>IF(OR(E26="",NOT($E$25="")),"",E26/D26-1)</f>
        <v/>
      </c>
      <c r="G26" s="129"/>
      <c r="H26" s="116" t="str">
        <f>IF(F26="","",$V$37)</f>
        <v/>
      </c>
      <c r="I26" s="116" t="str">
        <f>IF(H26="","",$W$37)</f>
        <v/>
      </c>
      <c r="J26" s="115" t="str">
        <f>IF(I26="","",IF(H26&lt;0,-(I26/H26-1),I26/H26-1))</f>
        <v/>
      </c>
      <c r="K26" s="352" t="e">
        <f>IF(E26="",D26,E26)</f>
        <v>#VALUE!</v>
      </c>
      <c r="L26" s="132"/>
      <c r="O26" s="125" t="e">
        <f>CONCATENATE(O25," alternativo")</f>
        <v>#VALUE!</v>
      </c>
      <c r="P26" s="119" t="e">
        <f>IF($O25&gt;$D$3+$K$32,0,P9/360*$K$14)</f>
        <v>#VALUE!</v>
      </c>
      <c r="Q26" s="119" t="e">
        <f>IF($O25&gt;$D$3+$K$32,0,Q9/360*$K$15)</f>
        <v>#VALUE!</v>
      </c>
      <c r="R26" s="119" t="e">
        <f t="shared" si="21"/>
        <v>#VALUE!</v>
      </c>
      <c r="S26" s="119" t="e">
        <f>IF($O25&gt;$D$3+$K$32,0,R26-R24)</f>
        <v>#VALUE!</v>
      </c>
      <c r="U26" s="112" t="e">
        <f>1+U25</f>
        <v>#VALUE!</v>
      </c>
      <c r="V26" s="20">
        <v>0</v>
      </c>
      <c r="W26" s="119" t="e">
        <f>IF(U26&gt;$D$3+$K$32,0,V11-S28+IF(U26=$D$3+$K$32,$Q$39,0))</f>
        <v>#VALUE!</v>
      </c>
      <c r="X26" s="65"/>
      <c r="Y26" s="65"/>
      <c r="Z26" s="28" t="e">
        <f t="shared" si="18"/>
        <v>#VALUE!</v>
      </c>
      <c r="AA26" s="27" t="e">
        <f>IF(AND(Z25&lt;0,NOT(Z26&lt;0)),U26,"")</f>
        <v>#VALUE!</v>
      </c>
    </row>
    <row r="27" spans="1:27">
      <c r="A27" s="65" t="e">
        <f t="shared" si="1"/>
        <v>#VALUE!</v>
      </c>
      <c r="C27" s="110" t="e">
        <f t="shared" si="23"/>
        <v>#VALUE!</v>
      </c>
      <c r="D27" s="264" t="e">
        <f t="shared" si="23"/>
        <v>#VALUE!</v>
      </c>
      <c r="E27" s="4"/>
      <c r="F27" s="115" t="str">
        <f>IF(OR(E27="",NOT($E$25="")),"",E27/D27-1)</f>
        <v/>
      </c>
      <c r="G27" s="129"/>
      <c r="H27" s="116" t="str">
        <f>IF(F27="","",$V$37)</f>
        <v/>
      </c>
      <c r="I27" s="116" t="str">
        <f>IF(H27="","",$W$37)</f>
        <v/>
      </c>
      <c r="J27" s="115" t="str">
        <f>IF(I27="","",IF(H27&lt;0,-(I27/H27-1),I27/H27-1))</f>
        <v/>
      </c>
      <c r="K27" s="352" t="e">
        <f>IF(E27="",D27,E27)</f>
        <v>#VALUE!</v>
      </c>
      <c r="L27" s="132"/>
      <c r="O27" s="112" t="e">
        <f t="shared" ref="O27:S27" si="24">VLOOKUP($A27,$A$96:$Z$651,O$49,FALSE)</f>
        <v>#VALUE!</v>
      </c>
      <c r="P27" s="20" t="e">
        <f t="shared" si="24"/>
        <v>#VALUE!</v>
      </c>
      <c r="Q27" s="20" t="e">
        <f t="shared" si="24"/>
        <v>#VALUE!</v>
      </c>
      <c r="R27" s="20" t="e">
        <f t="shared" si="24"/>
        <v>#VALUE!</v>
      </c>
      <c r="S27" s="20" t="e">
        <f t="shared" si="24"/>
        <v>#VALUE!</v>
      </c>
      <c r="U27" s="112" t="e">
        <f>1+U26</f>
        <v>#VALUE!</v>
      </c>
      <c r="V27" s="20">
        <v>0</v>
      </c>
      <c r="W27" s="119" t="e">
        <f>IF(U27&gt;$D$3+$K$32,0,V13-S30+IF(U27=$D$3+$K$32,$Q$39,0))</f>
        <v>#VALUE!</v>
      </c>
      <c r="X27" s="65"/>
      <c r="Y27" s="65"/>
      <c r="Z27" s="28" t="e">
        <f t="shared" si="18"/>
        <v>#VALUE!</v>
      </c>
      <c r="AA27" s="27" t="e">
        <f>IF(AND(Z26&lt;0,NOT(Z27&lt;0)),U27,"")</f>
        <v>#VALUE!</v>
      </c>
    </row>
    <row r="28" spans="1:27">
      <c r="A28" s="65" t="e">
        <f t="shared" si="1"/>
        <v>#VALUE!</v>
      </c>
      <c r="C28" s="110" t="e">
        <f t="shared" si="23"/>
        <v>#VALUE!</v>
      </c>
      <c r="D28" s="266" t="e">
        <f t="shared" si="23"/>
        <v>#VALUE!</v>
      </c>
      <c r="E28" s="94"/>
      <c r="F28" s="115" t="str">
        <f>IF(OR(E28="",NOT($E$25="")),"",E28/D28-1)</f>
        <v/>
      </c>
      <c r="G28" s="129"/>
      <c r="H28" s="116" t="str">
        <f>IF(F28="","",$V$37)</f>
        <v/>
      </c>
      <c r="I28" s="116" t="str">
        <f>IF(H28="","",$W$37)</f>
        <v/>
      </c>
      <c r="J28" s="115" t="str">
        <f>IF(I28="","",IF(H28&lt;0,-(I28/H28-1),I28/H28-1))</f>
        <v/>
      </c>
      <c r="K28" s="353" t="e">
        <f>IF(E28="",D28,E28)</f>
        <v>#VALUE!</v>
      </c>
      <c r="L28" s="133"/>
      <c r="O28" s="125" t="e">
        <f>CONCATENATE(O27," alternativo")</f>
        <v>#VALUE!</v>
      </c>
      <c r="P28" s="119" t="e">
        <f>IF($O27&gt;$D$3+$K$32,0,P11/360*$K$14)</f>
        <v>#VALUE!</v>
      </c>
      <c r="Q28" s="119" t="e">
        <f>IF($O27&gt;$D$3+$K$32,0,Q11/360*$K$15)</f>
        <v>#VALUE!</v>
      </c>
      <c r="R28" s="119" t="e">
        <f t="shared" si="21"/>
        <v>#VALUE!</v>
      </c>
      <c r="S28" s="119" t="e">
        <f>IF($O27&gt;$D$3+$K$32,0,R28-R26)</f>
        <v>#VALUE!</v>
      </c>
      <c r="X28" s="64"/>
      <c r="Y28" s="64"/>
      <c r="Z28" s="64"/>
      <c r="AA28" s="64"/>
    </row>
    <row r="29" spans="1:27">
      <c r="A29" s="65" t="e">
        <f t="shared" si="1"/>
        <v>#VALUE!</v>
      </c>
      <c r="C29" s="110" t="e">
        <f t="shared" si="23"/>
        <v>#VALUE!</v>
      </c>
      <c r="D29" s="264" t="e">
        <f t="shared" si="23"/>
        <v>#VALUE!</v>
      </c>
      <c r="E29" s="4"/>
      <c r="F29" s="115" t="str">
        <f>IF(OR(E29="",NOT($E$25="")),"",E29/D29-1)</f>
        <v/>
      </c>
      <c r="G29" s="129"/>
      <c r="H29" s="116" t="str">
        <f>IF(F29="","",$V$37)</f>
        <v/>
      </c>
      <c r="I29" s="116" t="str">
        <f>IF(H29="","",$W$37)</f>
        <v/>
      </c>
      <c r="J29" s="115" t="str">
        <f>IF(I29="","",IF(H29&lt;0,-(I29/H29-1),I29/H29-1))</f>
        <v/>
      </c>
      <c r="K29" s="352" t="e">
        <f>IF(E29="",D29,E29)</f>
        <v>#VALUE!</v>
      </c>
      <c r="L29" s="132"/>
      <c r="O29" s="112" t="e">
        <f t="shared" ref="O29:S29" si="25">VLOOKUP($A29,$A$96:$Z$651,O$49,FALSE)</f>
        <v>#VALUE!</v>
      </c>
      <c r="P29" s="20" t="e">
        <f t="shared" si="25"/>
        <v>#VALUE!</v>
      </c>
      <c r="Q29" s="20" t="e">
        <f t="shared" si="25"/>
        <v>#VALUE!</v>
      </c>
      <c r="R29" s="20" t="e">
        <f t="shared" si="25"/>
        <v>#VALUE!</v>
      </c>
      <c r="S29" s="20" t="e">
        <f t="shared" si="25"/>
        <v>#VALUE!</v>
      </c>
      <c r="X29" s="64"/>
      <c r="Y29" s="64"/>
      <c r="Z29" s="64"/>
      <c r="AA29" s="64"/>
    </row>
    <row r="30" spans="1:27">
      <c r="A30" s="65" t="e">
        <f t="shared" si="1"/>
        <v>#VALUE!</v>
      </c>
      <c r="C30" s="110" t="e">
        <f t="shared" si="23"/>
        <v>#VALUE!</v>
      </c>
      <c r="D30" s="264" t="e">
        <f t="shared" si="23"/>
        <v>#VALUE!</v>
      </c>
      <c r="E30" s="4"/>
      <c r="F30" s="115" t="str">
        <f>IF(OR(E30="",NOT($E$25="")),"",E30/D30-1)</f>
        <v/>
      </c>
      <c r="G30" s="129"/>
      <c r="H30" s="116" t="str">
        <f>IF(F30="","",$V$37)</f>
        <v/>
      </c>
      <c r="I30" s="116" t="str">
        <f>IF(H30="","",$W$37)</f>
        <v/>
      </c>
      <c r="J30" s="115" t="str">
        <f>IF(I30="","",IF(H30&lt;0,-(I30/H30-1),I30/H30-1))</f>
        <v/>
      </c>
      <c r="K30" s="352" t="e">
        <f>IF(E30="",D30,E30)</f>
        <v>#VALUE!</v>
      </c>
      <c r="L30" s="132"/>
      <c r="O30" s="125" t="e">
        <f>CONCATENATE(O29," alternativo")</f>
        <v>#VALUE!</v>
      </c>
      <c r="P30" s="119" t="e">
        <f>IF($O29&gt;$D$3+$K$32,0,P13/360*$K$14)</f>
        <v>#VALUE!</v>
      </c>
      <c r="Q30" s="119" t="e">
        <f>IF($O29&gt;$D$3+$K$32,0,Q13/360*$K$15)</f>
        <v>#VALUE!</v>
      </c>
      <c r="R30" s="119" t="e">
        <f t="shared" si="21"/>
        <v>#VALUE!</v>
      </c>
      <c r="S30" s="119" t="e">
        <f>IF($O29&gt;$D$3+$K$32,0,R30-R28)</f>
        <v>#VALUE!</v>
      </c>
    </row>
    <row r="31" spans="1:27">
      <c r="A31" s="65" t="e">
        <f t="shared" si="1"/>
        <v>#VALUE!</v>
      </c>
      <c r="C31" s="1"/>
      <c r="D31" s="6"/>
      <c r="E31" s="117" t="str">
        <f>IF(OR(E32="",AND(ISNUMBER(E32),NOT(E32&lt;0),NOT(E32&gt;5))),"","ERROR")</f>
        <v/>
      </c>
      <c r="F31" s="280"/>
      <c r="G31" s="281" t="str">
        <f>$G$3</f>
        <v/>
      </c>
      <c r="H31" s="282"/>
      <c r="I31" s="116"/>
      <c r="J31" s="115"/>
      <c r="K31" s="65"/>
    </row>
    <row r="32" spans="1:27">
      <c r="A32" s="65" t="e">
        <f t="shared" si="1"/>
        <v>#VALUE!</v>
      </c>
      <c r="C32" s="110" t="e">
        <f>VLOOKUP($A32,$A$96:$Z$651,C$49,FALSE)</f>
        <v>#VALUE!</v>
      </c>
      <c r="D32" s="190" t="e">
        <f>VLOOKUP($A32,$A$96:$Z$651,D$49,FALSE)</f>
        <v>#VALUE!</v>
      </c>
      <c r="E32" s="4"/>
      <c r="F32" s="115" t="str">
        <f>IF(OR(E32="",NOT($E$31="")),"",E32/3-1)</f>
        <v/>
      </c>
      <c r="G32" s="129"/>
      <c r="H32" s="116" t="str">
        <f>IF(F32="","",$V$37)</f>
        <v/>
      </c>
      <c r="I32" s="116" t="str">
        <f>IF(H32="","",$W$37)</f>
        <v/>
      </c>
      <c r="J32" s="115" t="str">
        <f>IF(I32="","",IF(H32&lt;0,-(I32/H32-1),I32/H32-1))</f>
        <v/>
      </c>
      <c r="K32" s="352">
        <f>IF(E32="",3,E32)</f>
        <v>3</v>
      </c>
      <c r="L32" s="132"/>
    </row>
    <row r="33" spans="1:23">
      <c r="A33" s="65" t="e">
        <f t="shared" si="1"/>
        <v>#VALUE!</v>
      </c>
      <c r="B33" s="59"/>
      <c r="C33" s="59"/>
      <c r="D33" s="59"/>
      <c r="E33" s="44"/>
      <c r="F33" s="59"/>
      <c r="G33" s="130"/>
      <c r="H33" s="59"/>
      <c r="I33" s="59"/>
      <c r="J33" s="59"/>
      <c r="K33" s="59"/>
      <c r="L33" s="140"/>
      <c r="O33" s="10" t="s">
        <v>142</v>
      </c>
      <c r="U33" s="10" t="s">
        <v>27</v>
      </c>
    </row>
    <row r="34" spans="1:23">
      <c r="A34" s="65" t="e">
        <f t="shared" si="1"/>
        <v>#VALUE!</v>
      </c>
      <c r="B34" s="59"/>
      <c r="C34" s="59"/>
      <c r="D34" s="59"/>
      <c r="E34" s="59"/>
      <c r="F34" s="59"/>
      <c r="G34" s="130"/>
      <c r="H34" s="59"/>
      <c r="I34" s="59"/>
      <c r="J34" s="59"/>
      <c r="K34" s="59"/>
      <c r="L34" s="140"/>
    </row>
    <row r="35" spans="1:23">
      <c r="A35" s="65" t="e">
        <f t="shared" si="1"/>
        <v>#VALUE!</v>
      </c>
      <c r="B35" s="59"/>
      <c r="C35" s="59"/>
      <c r="D35" s="59"/>
      <c r="E35" s="59"/>
      <c r="F35" s="59"/>
      <c r="G35" s="130"/>
      <c r="H35" s="59"/>
      <c r="I35" s="59"/>
      <c r="J35" s="59"/>
      <c r="K35" s="59"/>
      <c r="L35" s="140"/>
      <c r="P35" s="118" t="s">
        <v>146</v>
      </c>
      <c r="Q35" s="118" t="s">
        <v>147</v>
      </c>
    </row>
    <row r="36" spans="1:23">
      <c r="A36" s="65" t="e">
        <f t="shared" si="1"/>
        <v>#VALUE!</v>
      </c>
      <c r="B36" s="287"/>
      <c r="C36" s="59"/>
      <c r="D36" s="59"/>
      <c r="E36" s="59"/>
      <c r="F36" s="59"/>
      <c r="G36" s="130"/>
      <c r="H36" s="59"/>
      <c r="I36" s="59"/>
      <c r="J36" s="59"/>
      <c r="K36" s="59"/>
      <c r="L36" s="140"/>
      <c r="O36" s="106" t="e">
        <f t="shared" ref="O36:P39" si="26">VLOOKUP($A36,$A$96:$Z$651,O$49,FALSE)</f>
        <v>#VALUE!</v>
      </c>
      <c r="P36" s="17" t="e">
        <f t="shared" si="26"/>
        <v>#VALUE!</v>
      </c>
      <c r="Q36" s="120" t="e">
        <f>$K$7-($K$18-$K$23*($K$18-$K$19))</f>
        <v>#VALUE!</v>
      </c>
      <c r="V36" s="118" t="s">
        <v>146</v>
      </c>
      <c r="W36" s="118" t="s">
        <v>147</v>
      </c>
    </row>
    <row r="37" spans="1:23">
      <c r="A37" s="65" t="e">
        <f t="shared" si="1"/>
        <v>#VALUE!</v>
      </c>
      <c r="B37" s="287"/>
      <c r="C37" s="59"/>
      <c r="D37" s="59"/>
      <c r="E37" s="59"/>
      <c r="F37" s="59"/>
      <c r="G37" s="130"/>
      <c r="H37" s="59"/>
      <c r="I37" s="59"/>
      <c r="J37" s="59"/>
      <c r="K37" s="59"/>
      <c r="L37" s="140"/>
      <c r="O37" s="106" t="e">
        <f t="shared" si="26"/>
        <v>#VALUE!</v>
      </c>
      <c r="P37" s="17" t="e">
        <f t="shared" si="26"/>
        <v>#VALUE!</v>
      </c>
      <c r="Q37" s="120" t="e">
        <f>($K$9-$K$23*($K$9-MAX(K7*(1-K32/K8),0)))-($K$21-$K$23*($K$21-MAX(K19*(1-K32/K20),0)))</f>
        <v>#VALUE!</v>
      </c>
      <c r="U37" s="106" t="s">
        <v>13</v>
      </c>
      <c r="V37" s="18" t="e">
        <f t="shared" ref="V37:V40" si="27">VLOOKUP($A37,$A$96:$Z$651,V$49,FALSE)</f>
        <v>#VALUE!</v>
      </c>
      <c r="W37" s="122" t="e">
        <f>NPV(Q47,W23:W27)+W22</f>
        <v>#VALUE!</v>
      </c>
    </row>
    <row r="38" spans="1:23">
      <c r="A38" s="65" t="e">
        <f t="shared" si="1"/>
        <v>#VALUE!</v>
      </c>
      <c r="B38" s="59"/>
      <c r="C38" s="59"/>
      <c r="D38" s="59"/>
      <c r="E38" s="59"/>
      <c r="F38" s="59"/>
      <c r="G38" s="130"/>
      <c r="H38" s="59"/>
      <c r="I38" s="59"/>
      <c r="J38" s="59"/>
      <c r="K38" s="59"/>
      <c r="L38" s="140"/>
      <c r="O38" s="106" t="e">
        <f t="shared" si="26"/>
        <v>#VALUE!</v>
      </c>
      <c r="P38" s="17" t="e">
        <f t="shared" si="26"/>
        <v>#VALUE!</v>
      </c>
      <c r="Q38" s="120" t="e">
        <f>S20+S22+S24+S26+S28+S30</f>
        <v>#VALUE!</v>
      </c>
      <c r="U38" s="113" t="s">
        <v>28</v>
      </c>
      <c r="V38" s="22" t="e">
        <f t="shared" si="27"/>
        <v>#VALUE!</v>
      </c>
      <c r="W38" s="121" t="str">
        <f>IF(ISERROR(IRR(W22:W27)),"Cálculo imposible",IRR(W22:W27))</f>
        <v>Cálculo imposible</v>
      </c>
    </row>
    <row r="39" spans="1:23">
      <c r="A39" s="65" t="e">
        <f t="shared" si="1"/>
        <v>#VALUE!</v>
      </c>
      <c r="B39" s="59"/>
      <c r="C39" s="59"/>
      <c r="D39" s="59"/>
      <c r="E39" s="59"/>
      <c r="F39" s="59"/>
      <c r="G39" s="130"/>
      <c r="H39" s="59"/>
      <c r="I39" s="59"/>
      <c r="J39" s="59"/>
      <c r="K39" s="59"/>
      <c r="L39" s="140"/>
      <c r="O39" s="106" t="e">
        <f t="shared" si="26"/>
        <v>#VALUE!</v>
      </c>
      <c r="P39" s="17" t="e">
        <f t="shared" si="26"/>
        <v>#VALUE!</v>
      </c>
      <c r="Q39" s="120" t="e">
        <f>Q37+Q38</f>
        <v>#VALUE!</v>
      </c>
      <c r="U39" s="113" t="s">
        <v>29</v>
      </c>
      <c r="V39" s="23" t="e">
        <f t="shared" si="27"/>
        <v>#VALUE!</v>
      </c>
      <c r="W39" s="123" t="e">
        <f>W37/ABS(Q36)</f>
        <v>#VALUE!</v>
      </c>
    </row>
    <row r="40" spans="1:23">
      <c r="A40" s="65" t="e">
        <f t="shared" si="1"/>
        <v>#VALUE!</v>
      </c>
      <c r="B40" s="59"/>
      <c r="C40" s="59"/>
      <c r="D40" s="59"/>
      <c r="E40" s="59"/>
      <c r="F40" s="59"/>
      <c r="G40" s="130"/>
      <c r="H40" s="59"/>
      <c r="I40" s="59"/>
      <c r="J40" s="59"/>
      <c r="K40" s="59"/>
      <c r="L40" s="140"/>
      <c r="U40" s="113" t="s">
        <v>30</v>
      </c>
      <c r="V40" s="24" t="e">
        <f t="shared" si="27"/>
        <v>#VALUE!</v>
      </c>
      <c r="W40" s="124" t="e">
        <f>IF(AND(Z22&gt;0,Z23&gt;0,Z24&gt;0,Z25&gt;0,Z26&gt;0,Z27&gt;0),"Cálculo absurdo",IF(COUNTIF(AA22:AA27,"")=6,"No recupera",IF(NOT(MAX(AA22:AA27)&gt;D3+3+E32),MAX(AA22:AA27),"No recupera")))</f>
        <v>#VALUE!</v>
      </c>
    </row>
    <row r="41" spans="1:23">
      <c r="A41" s="65" t="e">
        <f t="shared" si="1"/>
        <v>#VALUE!</v>
      </c>
    </row>
    <row r="42" spans="1:23">
      <c r="A42" s="65" t="e">
        <f t="shared" si="1"/>
        <v>#VALUE!</v>
      </c>
      <c r="O42" s="10" t="s">
        <v>25</v>
      </c>
    </row>
    <row r="43" spans="1:23">
      <c r="A43" s="65" t="e">
        <f t="shared" si="1"/>
        <v>#VALUE!</v>
      </c>
      <c r="Q43" s="1"/>
    </row>
    <row r="44" spans="1:23">
      <c r="A44" s="65" t="e">
        <f t="shared" si="1"/>
        <v>#VALUE!</v>
      </c>
      <c r="P44" s="118" t="s">
        <v>146</v>
      </c>
      <c r="Q44" s="118" t="s">
        <v>147</v>
      </c>
    </row>
    <row r="45" spans="1:23" ht="16.5">
      <c r="A45" s="65" t="e">
        <f t="shared" si="1"/>
        <v>#VALUE!</v>
      </c>
      <c r="O45" s="109" t="s">
        <v>66</v>
      </c>
      <c r="P45" s="111" t="e">
        <f t="shared" ref="P45:P47" si="28">VLOOKUP($A45,$A$96:$Z$651,P$49,FALSE)</f>
        <v>#VALUE!</v>
      </c>
      <c r="Q45" s="121" t="e">
        <f>$K$26*(1-$K$23)/$K$29</f>
        <v>#VALUE!</v>
      </c>
    </row>
    <row r="46" spans="1:23" ht="16.5">
      <c r="A46" s="65" t="e">
        <f t="shared" si="1"/>
        <v>#VALUE!</v>
      </c>
      <c r="O46" s="109" t="s">
        <v>67</v>
      </c>
      <c r="P46" s="111" t="e">
        <f t="shared" si="28"/>
        <v>#VALUE!</v>
      </c>
      <c r="Q46" s="121" t="e">
        <f>$K$27/$K$30+$K$28</f>
        <v>#VALUE!</v>
      </c>
    </row>
    <row r="47" spans="1:23" ht="16.5">
      <c r="A47" s="65" t="e">
        <f t="shared" si="1"/>
        <v>#VALUE!</v>
      </c>
      <c r="O47" s="109" t="s">
        <v>68</v>
      </c>
      <c r="P47" s="111" t="e">
        <f t="shared" si="28"/>
        <v>#VALUE!</v>
      </c>
      <c r="Q47" s="121" t="e">
        <f>Q45*$K$29/SUM($K$29:$K$30)+Q46*$K$30/SUM($K$29:$K$30)</f>
        <v>#VALUE!</v>
      </c>
    </row>
    <row r="48" spans="1:23" s="65" customFormat="1" hidden="1">
      <c r="A48" s="65" t="e">
        <f t="shared" si="1"/>
        <v>#VALUE!</v>
      </c>
      <c r="G48" s="27"/>
    </row>
    <row r="49" spans="1:26" s="324" customFormat="1" ht="0.65" hidden="1" customHeight="1">
      <c r="A49" s="324" t="e">
        <f t="shared" si="1"/>
        <v>#VALUE!</v>
      </c>
      <c r="B49" s="324">
        <v>2</v>
      </c>
      <c r="C49" s="324">
        <v>3</v>
      </c>
      <c r="D49" s="324">
        <v>4</v>
      </c>
      <c r="E49" s="324">
        <v>5</v>
      </c>
      <c r="F49" s="324">
        <v>6</v>
      </c>
      <c r="G49" s="324">
        <v>7</v>
      </c>
      <c r="H49" s="324">
        <v>8</v>
      </c>
      <c r="I49" s="324">
        <v>9</v>
      </c>
      <c r="J49" s="324">
        <v>10</v>
      </c>
      <c r="K49" s="324">
        <v>11</v>
      </c>
      <c r="L49" s="324">
        <v>12</v>
      </c>
      <c r="M49" s="324">
        <v>13</v>
      </c>
      <c r="N49" s="324">
        <v>14</v>
      </c>
      <c r="O49" s="324">
        <v>15</v>
      </c>
      <c r="P49" s="324">
        <v>16</v>
      </c>
      <c r="Q49" s="324">
        <v>17</v>
      </c>
      <c r="R49" s="324">
        <v>18</v>
      </c>
      <c r="S49" s="324">
        <v>19</v>
      </c>
      <c r="T49" s="324">
        <v>20</v>
      </c>
      <c r="U49" s="324">
        <v>21</v>
      </c>
      <c r="V49" s="324">
        <v>22</v>
      </c>
      <c r="W49" s="324">
        <v>23</v>
      </c>
      <c r="X49" s="324">
        <v>24</v>
      </c>
      <c r="Y49" s="324">
        <v>25</v>
      </c>
      <c r="Z49" s="324">
        <v>26</v>
      </c>
    </row>
    <row r="50" spans="1:26" s="324" customFormat="1" ht="0.65" hidden="1" customHeight="1">
      <c r="A50" s="324" t="e">
        <f t="shared" si="1"/>
        <v>#VALUE!</v>
      </c>
    </row>
    <row r="51" spans="1:26" s="324" customFormat="1" ht="0.65" hidden="1" customHeight="1">
      <c r="A51" s="324" t="e">
        <f t="shared" si="1"/>
        <v>#VALUE!</v>
      </c>
    </row>
    <row r="52" spans="1:26" s="324" customFormat="1" ht="0.65" hidden="1" customHeight="1">
      <c r="A52" s="324" t="e">
        <f t="shared" si="1"/>
        <v>#VALUE!</v>
      </c>
    </row>
    <row r="53" spans="1:26" s="324" customFormat="1" ht="0.65" hidden="1" customHeight="1">
      <c r="A53" s="324" t="e">
        <f t="shared" si="1"/>
        <v>#VALUE!</v>
      </c>
    </row>
    <row r="54" spans="1:26" s="324" customFormat="1" ht="0.65" hidden="1" customHeight="1">
      <c r="A54" s="324" t="e">
        <f t="shared" si="1"/>
        <v>#VALUE!</v>
      </c>
    </row>
    <row r="55" spans="1:26" s="324" customFormat="1" ht="0.65" hidden="1" customHeight="1">
      <c r="A55" s="324" t="e">
        <f t="shared" si="1"/>
        <v>#VALUE!</v>
      </c>
    </row>
    <row r="56" spans="1:26" s="324" customFormat="1" ht="0.65" hidden="1" customHeight="1">
      <c r="A56" s="324" t="e">
        <f t="shared" si="1"/>
        <v>#VALUE!</v>
      </c>
    </row>
    <row r="57" spans="1:26" s="324" customFormat="1" ht="0.65" hidden="1" customHeight="1">
      <c r="A57" s="324" t="e">
        <f t="shared" si="1"/>
        <v>#VALUE!</v>
      </c>
    </row>
    <row r="58" spans="1:26" s="324" customFormat="1" ht="0.65" hidden="1" customHeight="1">
      <c r="A58" s="324" t="e">
        <f t="shared" si="1"/>
        <v>#VALUE!</v>
      </c>
    </row>
    <row r="59" spans="1:26" s="324" customFormat="1" ht="0.65" hidden="1" customHeight="1">
      <c r="A59" s="324" t="e">
        <f t="shared" si="1"/>
        <v>#VALUE!</v>
      </c>
    </row>
    <row r="60" spans="1:26" s="324" customFormat="1" ht="0.65" hidden="1" customHeight="1">
      <c r="A60" s="324" t="e">
        <f t="shared" si="1"/>
        <v>#VALUE!</v>
      </c>
    </row>
    <row r="61" spans="1:26" s="324" customFormat="1" ht="0.65" hidden="1" customHeight="1">
      <c r="A61" s="324" t="e">
        <f t="shared" si="1"/>
        <v>#VALUE!</v>
      </c>
      <c r="D61" s="328" t="e">
        <f t="shared" ref="D61:D63" si="29">VLOOKUP($A61,$A$96:$Z$651,D$49,FALSE)</f>
        <v>#VALUE!</v>
      </c>
      <c r="E61" s="324" t="e">
        <f>D7</f>
        <v>#VALUE!</v>
      </c>
      <c r="F61" s="326" t="e">
        <f>IF(D61=E61,1,0)</f>
        <v>#VALUE!</v>
      </c>
    </row>
    <row r="62" spans="1:26" s="324" customFormat="1" ht="0.65" hidden="1" customHeight="1">
      <c r="A62" s="324" t="e">
        <f t="shared" si="1"/>
        <v>#VALUE!</v>
      </c>
      <c r="D62" s="324" t="e">
        <f t="shared" si="29"/>
        <v>#VALUE!</v>
      </c>
      <c r="E62" s="324" t="e">
        <f t="shared" ref="E62:E63" si="30">D8</f>
        <v>#VALUE!</v>
      </c>
      <c r="F62" s="326" t="e">
        <f t="shared" ref="F62:F63" si="31">IF(D62=E62,1,0)</f>
        <v>#VALUE!</v>
      </c>
    </row>
    <row r="63" spans="1:26" s="324" customFormat="1" ht="0.65" hidden="1" customHeight="1">
      <c r="A63" s="324" t="e">
        <f t="shared" si="1"/>
        <v>#VALUE!</v>
      </c>
      <c r="D63" s="324" t="e">
        <f t="shared" si="29"/>
        <v>#VALUE!</v>
      </c>
      <c r="E63" s="324" t="e">
        <f t="shared" si="30"/>
        <v>#VALUE!</v>
      </c>
      <c r="F63" s="326" t="e">
        <f t="shared" si="31"/>
        <v>#VALUE!</v>
      </c>
    </row>
    <row r="64" spans="1:26" s="324" customFormat="1" ht="0.65" hidden="1" customHeight="1">
      <c r="A64" s="324" t="e">
        <f t="shared" si="1"/>
        <v>#VALUE!</v>
      </c>
      <c r="F64" s="326"/>
    </row>
    <row r="65" spans="1:6" s="324" customFormat="1" ht="0.65" hidden="1" customHeight="1">
      <c r="A65" s="324" t="e">
        <f t="shared" si="1"/>
        <v>#VALUE!</v>
      </c>
      <c r="D65" s="324" t="e">
        <f t="shared" ref="D65:D66" si="32">VLOOKUP($A65,$A$96:$Z$651,D$49,FALSE)</f>
        <v>#VALUE!</v>
      </c>
      <c r="E65" s="324" t="e">
        <f t="shared" ref="E65:E66" si="33">D11</f>
        <v>#VALUE!</v>
      </c>
      <c r="F65" s="326" t="e">
        <f t="shared" ref="F65:F66" si="34">IF(D65=E65,1,0)</f>
        <v>#VALUE!</v>
      </c>
    </row>
    <row r="66" spans="1:6" s="324" customFormat="1" ht="0.65" hidden="1" customHeight="1">
      <c r="A66" s="324" t="e">
        <f t="shared" si="1"/>
        <v>#VALUE!</v>
      </c>
      <c r="D66" s="324" t="e">
        <f t="shared" si="32"/>
        <v>#VALUE!</v>
      </c>
      <c r="E66" s="324" t="e">
        <f t="shared" si="33"/>
        <v>#VALUE!</v>
      </c>
      <c r="F66" s="326" t="e">
        <f t="shared" si="34"/>
        <v>#VALUE!</v>
      </c>
    </row>
    <row r="67" spans="1:6" s="324" customFormat="1" ht="0.65" hidden="1" customHeight="1">
      <c r="A67" s="324" t="e">
        <f t="shared" si="1"/>
        <v>#VALUE!</v>
      </c>
      <c r="F67" s="326"/>
    </row>
    <row r="68" spans="1:6" s="324" customFormat="1" ht="0.65" hidden="1" customHeight="1">
      <c r="A68" s="324" t="e">
        <f t="shared" si="1"/>
        <v>#VALUE!</v>
      </c>
      <c r="D68" s="324" t="e">
        <f t="shared" ref="D68:D69" si="35">VLOOKUP($A68,$A$96:$Z$651,D$49,FALSE)</f>
        <v>#VALUE!</v>
      </c>
      <c r="E68" s="324" t="e">
        <f t="shared" ref="E68:E69" si="36">D14</f>
        <v>#VALUE!</v>
      </c>
      <c r="F68" s="326" t="e">
        <f t="shared" ref="F68:F69" si="37">IF(D68=E68,1,0)</f>
        <v>#VALUE!</v>
      </c>
    </row>
    <row r="69" spans="1:6" s="324" customFormat="1" ht="0.65" hidden="1" customHeight="1">
      <c r="A69" s="324" t="e">
        <f t="shared" ref="A69:A86" si="38">1+A68</f>
        <v>#VALUE!</v>
      </c>
      <c r="D69" s="324" t="e">
        <f t="shared" si="35"/>
        <v>#VALUE!</v>
      </c>
      <c r="E69" s="324" t="e">
        <f t="shared" si="36"/>
        <v>#VALUE!</v>
      </c>
      <c r="F69" s="326" t="e">
        <f t="shared" si="37"/>
        <v>#VALUE!</v>
      </c>
    </row>
    <row r="70" spans="1:6" s="324" customFormat="1" ht="0.65" hidden="1" customHeight="1">
      <c r="A70" s="324" t="e">
        <f t="shared" si="38"/>
        <v>#VALUE!</v>
      </c>
      <c r="F70" s="326"/>
    </row>
    <row r="71" spans="1:6" s="324" customFormat="1" ht="0.65" hidden="1" customHeight="1">
      <c r="A71" s="324" t="e">
        <f t="shared" si="38"/>
        <v>#VALUE!</v>
      </c>
      <c r="F71" s="326"/>
    </row>
    <row r="72" spans="1:6" s="324" customFormat="1" ht="0.65" hidden="1" customHeight="1">
      <c r="A72" s="324" t="e">
        <f t="shared" si="38"/>
        <v>#VALUE!</v>
      </c>
      <c r="D72" s="324" t="e">
        <f t="shared" ref="D72:D75" si="39">VLOOKUP($A72,$A$96:$Z$651,D$49,FALSE)</f>
        <v>#VALUE!</v>
      </c>
      <c r="E72" s="324" t="e">
        <f t="shared" ref="E72:E75" si="40">D18</f>
        <v>#VALUE!</v>
      </c>
      <c r="F72" s="326" t="e">
        <f t="shared" ref="F72:F75" si="41">IF(D72=E72,1,0)</f>
        <v>#VALUE!</v>
      </c>
    </row>
    <row r="73" spans="1:6" s="324" customFormat="1" ht="0.65" hidden="1" customHeight="1">
      <c r="A73" s="324" t="e">
        <f t="shared" si="38"/>
        <v>#VALUE!</v>
      </c>
      <c r="D73" s="324" t="e">
        <f t="shared" si="39"/>
        <v>#VALUE!</v>
      </c>
      <c r="E73" s="324" t="e">
        <f t="shared" si="40"/>
        <v>#VALUE!</v>
      </c>
      <c r="F73" s="326" t="e">
        <f t="shared" si="41"/>
        <v>#VALUE!</v>
      </c>
    </row>
    <row r="74" spans="1:6" s="324" customFormat="1" ht="0.65" hidden="1" customHeight="1">
      <c r="A74" s="324" t="e">
        <f t="shared" si="38"/>
        <v>#VALUE!</v>
      </c>
      <c r="D74" s="324" t="e">
        <f t="shared" si="39"/>
        <v>#VALUE!</v>
      </c>
      <c r="E74" s="324" t="e">
        <f t="shared" si="40"/>
        <v>#VALUE!</v>
      </c>
      <c r="F74" s="326" t="e">
        <f t="shared" si="41"/>
        <v>#VALUE!</v>
      </c>
    </row>
    <row r="75" spans="1:6" s="324" customFormat="1" ht="0.65" hidden="1" customHeight="1">
      <c r="A75" s="324" t="e">
        <f t="shared" si="38"/>
        <v>#VALUE!</v>
      </c>
      <c r="D75" s="324" t="e">
        <f t="shared" si="39"/>
        <v>#VALUE!</v>
      </c>
      <c r="E75" s="324" t="e">
        <f t="shared" si="40"/>
        <v>#VALUE!</v>
      </c>
      <c r="F75" s="326" t="e">
        <f t="shared" si="41"/>
        <v>#VALUE!</v>
      </c>
    </row>
    <row r="76" spans="1:6" s="324" customFormat="1" ht="0.65" hidden="1" customHeight="1">
      <c r="A76" s="324" t="e">
        <f t="shared" si="38"/>
        <v>#VALUE!</v>
      </c>
      <c r="F76" s="326"/>
    </row>
    <row r="77" spans="1:6" s="324" customFormat="1" ht="0.65" hidden="1" customHeight="1">
      <c r="A77" s="324" t="e">
        <f t="shared" si="38"/>
        <v>#VALUE!</v>
      </c>
      <c r="D77" s="324" t="e">
        <f>VLOOKUP($A77,$A$96:$Z$651,D$49,FALSE)</f>
        <v>#VALUE!</v>
      </c>
      <c r="E77" s="324" t="e">
        <f>D23</f>
        <v>#VALUE!</v>
      </c>
      <c r="F77" s="326" t="e">
        <f>IF(D77=E77,1,0)</f>
        <v>#VALUE!</v>
      </c>
    </row>
    <row r="78" spans="1:6" s="324" customFormat="1" ht="0.65" hidden="1" customHeight="1">
      <c r="A78" s="324" t="e">
        <f t="shared" si="38"/>
        <v>#VALUE!</v>
      </c>
      <c r="D78" s="324" t="e">
        <f>#REF!</f>
        <v>#REF!</v>
      </c>
      <c r="F78" s="326"/>
    </row>
    <row r="79" spans="1:6" s="324" customFormat="1" ht="0.65" hidden="1" customHeight="1">
      <c r="A79" s="324" t="e">
        <f t="shared" si="38"/>
        <v>#VALUE!</v>
      </c>
      <c r="F79" s="326"/>
    </row>
    <row r="80" spans="1:6" s="324" customFormat="1" ht="0.65" hidden="1" customHeight="1">
      <c r="A80" s="324" t="e">
        <f t="shared" si="38"/>
        <v>#VALUE!</v>
      </c>
      <c r="D80" s="324" t="e">
        <f t="shared" ref="D80:D84" si="42">VLOOKUP($A80,$A$96:$Z$651,D$49,FALSE)</f>
        <v>#VALUE!</v>
      </c>
      <c r="E80" s="324" t="e">
        <f t="shared" ref="E80:E84" si="43">D26</f>
        <v>#VALUE!</v>
      </c>
      <c r="F80" s="326" t="e">
        <f t="shared" ref="F80:F84" si="44">IF(D80=E80,1,0)</f>
        <v>#VALUE!</v>
      </c>
    </row>
    <row r="81" spans="1:15" s="324" customFormat="1" ht="0.65" hidden="1" customHeight="1">
      <c r="A81" s="324" t="e">
        <f t="shared" si="38"/>
        <v>#VALUE!</v>
      </c>
      <c r="D81" s="324" t="e">
        <f t="shared" si="42"/>
        <v>#VALUE!</v>
      </c>
      <c r="E81" s="324" t="e">
        <f t="shared" si="43"/>
        <v>#VALUE!</v>
      </c>
      <c r="F81" s="326" t="e">
        <f t="shared" si="44"/>
        <v>#VALUE!</v>
      </c>
    </row>
    <row r="82" spans="1:15" s="324" customFormat="1" ht="0.65" hidden="1" customHeight="1">
      <c r="A82" s="324" t="e">
        <f t="shared" si="38"/>
        <v>#VALUE!</v>
      </c>
      <c r="D82" s="324" t="e">
        <f t="shared" si="42"/>
        <v>#VALUE!</v>
      </c>
      <c r="E82" s="324" t="e">
        <f t="shared" si="43"/>
        <v>#VALUE!</v>
      </c>
      <c r="F82" s="326" t="e">
        <f t="shared" si="44"/>
        <v>#VALUE!</v>
      </c>
    </row>
    <row r="83" spans="1:15" s="324" customFormat="1" ht="0.65" hidden="1" customHeight="1">
      <c r="A83" s="324" t="e">
        <f t="shared" si="38"/>
        <v>#VALUE!</v>
      </c>
      <c r="D83" s="324" t="e">
        <f t="shared" si="42"/>
        <v>#VALUE!</v>
      </c>
      <c r="E83" s="324" t="e">
        <f t="shared" si="43"/>
        <v>#VALUE!</v>
      </c>
      <c r="F83" s="326" t="e">
        <f t="shared" si="44"/>
        <v>#VALUE!</v>
      </c>
    </row>
    <row r="84" spans="1:15" s="324" customFormat="1" ht="0.65" hidden="1" customHeight="1">
      <c r="A84" s="324" t="e">
        <f t="shared" si="38"/>
        <v>#VALUE!</v>
      </c>
      <c r="D84" s="324" t="e">
        <f t="shared" si="42"/>
        <v>#VALUE!</v>
      </c>
      <c r="E84" s="324" t="e">
        <f t="shared" si="43"/>
        <v>#VALUE!</v>
      </c>
      <c r="F84" s="326" t="e">
        <f t="shared" si="44"/>
        <v>#VALUE!</v>
      </c>
    </row>
    <row r="85" spans="1:15" s="324" customFormat="1" ht="0.65" hidden="1" customHeight="1">
      <c r="A85" s="324" t="e">
        <f t="shared" si="38"/>
        <v>#VALUE!</v>
      </c>
      <c r="F85" s="326"/>
    </row>
    <row r="86" spans="1:15" s="324" customFormat="1" ht="0.65" hidden="1" customHeight="1">
      <c r="A86" s="324" t="e">
        <f t="shared" si="38"/>
        <v>#VALUE!</v>
      </c>
      <c r="D86" s="324" t="e">
        <f>VLOOKUP($A86,$A$96:$Z$651,D$49,FALSE)</f>
        <v>#VALUE!</v>
      </c>
      <c r="F86" s="326"/>
    </row>
    <row r="87" spans="1:15" s="324" customFormat="1" ht="0.65" hidden="1" customHeight="1">
      <c r="F87" s="326"/>
    </row>
    <row r="88" spans="1:15" s="324" customFormat="1" ht="0.65" hidden="1" customHeight="1">
      <c r="F88" s="326"/>
    </row>
    <row r="89" spans="1:15" s="324" customFormat="1" ht="0.65" hidden="1" customHeight="1">
      <c r="F89" s="326" t="e">
        <f>SUM(F61:F84)</f>
        <v>#VALUE!</v>
      </c>
    </row>
    <row r="90" spans="1:15" s="324" customFormat="1" ht="0.65" hidden="1" customHeight="1">
      <c r="F90" s="326" t="str">
        <f>IF(E1="","NO",IF(ISERROR(IF(F89=17,"NO","SI")),"",IF(F89=17,"NO","SI")))</f>
        <v>NO</v>
      </c>
    </row>
    <row r="91" spans="1:15" s="324" customFormat="1" ht="0.65" hidden="1" customHeight="1"/>
    <row r="92" spans="1:15" s="324" customFormat="1" ht="0.65" hidden="1" customHeight="1"/>
    <row r="93" spans="1:15" s="324" customFormat="1" ht="0.65" hidden="1" customHeight="1"/>
    <row r="94" spans="1:15" s="324" customFormat="1" ht="0.65" hidden="1" customHeight="1"/>
    <row r="95" spans="1:15" s="324" customFormat="1" ht="0.65" hidden="1" customHeight="1"/>
    <row r="96" spans="1:15" s="324" customFormat="1" ht="0.65" hidden="1" customHeight="1">
      <c r="B96" s="324" t="s">
        <v>19</v>
      </c>
      <c r="D96" s="324" t="s">
        <v>336</v>
      </c>
      <c r="E96" s="324">
        <v>1</v>
      </c>
      <c r="K96" s="324" t="s">
        <v>290</v>
      </c>
      <c r="L96" s="324">
        <v>17</v>
      </c>
      <c r="O96" s="324" t="s">
        <v>21</v>
      </c>
    </row>
    <row r="97" spans="1:22" s="324" customFormat="1" ht="0.65" hidden="1" customHeight="1">
      <c r="B97" s="324" t="s">
        <v>3951</v>
      </c>
      <c r="D97" s="324" t="s">
        <v>336</v>
      </c>
      <c r="E97" s="324" t="s">
        <v>486</v>
      </c>
      <c r="K97" s="324" t="s">
        <v>217</v>
      </c>
      <c r="L97" s="324">
        <v>0</v>
      </c>
    </row>
    <row r="98" spans="1:22" s="324" customFormat="1" ht="0.65" hidden="1" customHeight="1">
      <c r="A98" s="324">
        <v>1001</v>
      </c>
      <c r="C98" s="324" t="s">
        <v>5</v>
      </c>
      <c r="D98" s="324">
        <v>2022</v>
      </c>
      <c r="E98" s="324" t="s">
        <v>55</v>
      </c>
      <c r="G98" s="324" t="s">
        <v>793</v>
      </c>
      <c r="O98" s="324" t="s">
        <v>0</v>
      </c>
      <c r="P98" s="324" t="s">
        <v>69</v>
      </c>
      <c r="Q98" s="324" t="s">
        <v>70</v>
      </c>
      <c r="R98" s="324" t="s">
        <v>71</v>
      </c>
      <c r="S98" s="324" t="s">
        <v>72</v>
      </c>
      <c r="T98" s="324" t="s">
        <v>73</v>
      </c>
      <c r="U98" s="324" t="s">
        <v>74</v>
      </c>
      <c r="V98" s="324" t="s">
        <v>75</v>
      </c>
    </row>
    <row r="99" spans="1:22" s="324" customFormat="1" ht="0.65" hidden="1" customHeight="1">
      <c r="A99" s="324">
        <v>1002</v>
      </c>
      <c r="O99" s="324">
        <v>2023</v>
      </c>
      <c r="P99" s="324">
        <v>420000</v>
      </c>
      <c r="Q99" s="324">
        <v>300000</v>
      </c>
      <c r="R99" s="324">
        <v>50000</v>
      </c>
      <c r="S99" s="324">
        <v>70000</v>
      </c>
      <c r="T99" s="324">
        <v>17500</v>
      </c>
      <c r="U99" s="324">
        <v>52500</v>
      </c>
      <c r="V99" s="324">
        <v>102500</v>
      </c>
    </row>
    <row r="100" spans="1:22" s="324" customFormat="1" ht="0.65" hidden="1" customHeight="1">
      <c r="A100" s="324">
        <v>1003</v>
      </c>
      <c r="D100" s="324" t="s">
        <v>139</v>
      </c>
      <c r="E100" s="324" t="s">
        <v>139</v>
      </c>
      <c r="H100" s="324" t="s">
        <v>148</v>
      </c>
      <c r="L100" s="324" t="s">
        <v>149</v>
      </c>
      <c r="O100" s="324" t="s">
        <v>794</v>
      </c>
      <c r="P100" s="324">
        <v>420000</v>
      </c>
      <c r="Q100" s="324">
        <v>300000</v>
      </c>
      <c r="R100" s="324">
        <v>50000</v>
      </c>
      <c r="S100" s="324">
        <v>70000</v>
      </c>
      <c r="T100" s="324">
        <v>17500</v>
      </c>
      <c r="U100" s="324">
        <v>52500</v>
      </c>
      <c r="V100" s="324">
        <v>102500</v>
      </c>
    </row>
    <row r="101" spans="1:22" s="324" customFormat="1" ht="0.65" hidden="1" customHeight="1">
      <c r="A101" s="324">
        <v>1004</v>
      </c>
      <c r="C101" s="324" t="s">
        <v>32</v>
      </c>
      <c r="D101" s="324" t="s">
        <v>141</v>
      </c>
      <c r="E101" s="324" t="s">
        <v>140</v>
      </c>
      <c r="F101" s="324" t="s">
        <v>143</v>
      </c>
      <c r="H101" s="324" t="s">
        <v>144</v>
      </c>
      <c r="I101" s="324" t="s">
        <v>145</v>
      </c>
      <c r="J101" s="324" t="s">
        <v>143</v>
      </c>
      <c r="L101" s="324" t="s">
        <v>150</v>
      </c>
      <c r="O101" s="324">
        <v>2024</v>
      </c>
      <c r="P101" s="324">
        <v>420000</v>
      </c>
      <c r="Q101" s="324">
        <v>300000</v>
      </c>
      <c r="R101" s="324">
        <v>50000</v>
      </c>
      <c r="S101" s="324">
        <v>70000</v>
      </c>
      <c r="T101" s="324">
        <v>17500</v>
      </c>
      <c r="U101" s="324">
        <v>52500</v>
      </c>
      <c r="V101" s="324">
        <v>102500</v>
      </c>
    </row>
    <row r="102" spans="1:22" s="324" customFormat="1" ht="0.65" hidden="1" customHeight="1">
      <c r="A102" s="324">
        <v>1005</v>
      </c>
      <c r="B102" s="324">
        <v>5.9999999999999991E-2</v>
      </c>
      <c r="C102" s="324" t="s">
        <v>488</v>
      </c>
      <c r="D102" s="324">
        <v>1000000</v>
      </c>
      <c r="F102" s="324" t="s">
        <v>55</v>
      </c>
      <c r="H102" s="324" t="s">
        <v>55</v>
      </c>
      <c r="I102" s="324" t="s">
        <v>55</v>
      </c>
      <c r="J102" s="324" t="s">
        <v>55</v>
      </c>
      <c r="K102" s="324">
        <v>1000000</v>
      </c>
      <c r="L102" s="324">
        <v>732421.78239391092</v>
      </c>
      <c r="O102" s="324" t="s">
        <v>795</v>
      </c>
      <c r="P102" s="324">
        <v>420000</v>
      </c>
      <c r="Q102" s="324">
        <v>300000</v>
      </c>
      <c r="R102" s="324">
        <v>50000</v>
      </c>
      <c r="S102" s="324">
        <v>70000</v>
      </c>
      <c r="T102" s="324">
        <v>17500</v>
      </c>
      <c r="U102" s="324">
        <v>52500</v>
      </c>
      <c r="V102" s="324">
        <v>102500</v>
      </c>
    </row>
    <row r="103" spans="1:22" s="324" customFormat="1" ht="0.65" hidden="1" customHeight="1">
      <c r="A103" s="324">
        <v>1006</v>
      </c>
      <c r="B103" s="324">
        <v>2.6730119494616402</v>
      </c>
      <c r="C103" s="324" t="s">
        <v>6</v>
      </c>
      <c r="D103" s="324">
        <v>10</v>
      </c>
      <c r="F103" s="324" t="s">
        <v>55</v>
      </c>
      <c r="H103" s="324" t="s">
        <v>55</v>
      </c>
      <c r="I103" s="324" t="s">
        <v>55</v>
      </c>
      <c r="J103" s="324" t="s">
        <v>55</v>
      </c>
      <c r="K103" s="324">
        <v>10</v>
      </c>
      <c r="O103" s="324">
        <v>2025</v>
      </c>
      <c r="P103" s="324">
        <v>420000</v>
      </c>
      <c r="Q103" s="324">
        <v>300000</v>
      </c>
      <c r="R103" s="324">
        <v>100000</v>
      </c>
      <c r="S103" s="324">
        <v>20000</v>
      </c>
      <c r="T103" s="324">
        <v>5000</v>
      </c>
      <c r="U103" s="324">
        <v>15000</v>
      </c>
      <c r="V103" s="324">
        <v>115000</v>
      </c>
    </row>
    <row r="104" spans="1:22" s="324" customFormat="1" ht="0.65" hidden="1" customHeight="1">
      <c r="A104" s="324">
        <v>1007</v>
      </c>
      <c r="B104" s="324">
        <v>1.8333926664293365</v>
      </c>
      <c r="C104" s="324" t="s">
        <v>489</v>
      </c>
      <c r="D104" s="324">
        <v>400000</v>
      </c>
      <c r="F104" s="324" t="s">
        <v>55</v>
      </c>
      <c r="H104" s="324" t="s">
        <v>55</v>
      </c>
      <c r="I104" s="324" t="s">
        <v>55</v>
      </c>
      <c r="J104" s="324" t="s">
        <v>55</v>
      </c>
      <c r="K104" s="324">
        <v>400000</v>
      </c>
      <c r="L104" s="324">
        <v>734089.59999999963</v>
      </c>
      <c r="O104" s="324" t="s">
        <v>796</v>
      </c>
      <c r="P104" s="324">
        <v>420000</v>
      </c>
      <c r="Q104" s="324">
        <v>300000</v>
      </c>
      <c r="R104" s="324">
        <v>100000</v>
      </c>
      <c r="S104" s="324">
        <v>20000</v>
      </c>
      <c r="T104" s="324">
        <v>5000</v>
      </c>
      <c r="U104" s="324">
        <v>15000</v>
      </c>
      <c r="V104" s="324">
        <v>115000</v>
      </c>
    </row>
    <row r="105" spans="1:22" s="324" customFormat="1" ht="0.65" hidden="1" customHeight="1">
      <c r="A105" s="324">
        <v>1008</v>
      </c>
      <c r="E105" s="324" t="s">
        <v>55</v>
      </c>
      <c r="O105" s="324">
        <v>2026</v>
      </c>
      <c r="P105" s="324">
        <v>0</v>
      </c>
      <c r="Q105" s="324">
        <v>0</v>
      </c>
      <c r="R105" s="324">
        <v>0</v>
      </c>
      <c r="S105" s="324">
        <v>0</v>
      </c>
      <c r="T105" s="324">
        <v>0</v>
      </c>
      <c r="U105" s="324">
        <v>0</v>
      </c>
      <c r="V105" s="324">
        <v>0</v>
      </c>
    </row>
    <row r="106" spans="1:22" s="324" customFormat="1" ht="0.65" hidden="1" customHeight="1">
      <c r="A106" s="324">
        <v>1009</v>
      </c>
      <c r="B106" s="324">
        <v>-786241.32673280628</v>
      </c>
      <c r="C106" s="324" t="s">
        <v>34</v>
      </c>
      <c r="D106" s="324">
        <v>420000</v>
      </c>
      <c r="F106" s="324" t="s">
        <v>55</v>
      </c>
      <c r="H106" s="324" t="s">
        <v>55</v>
      </c>
      <c r="I106" s="324" t="s">
        <v>55</v>
      </c>
      <c r="J106" s="324" t="s">
        <v>55</v>
      </c>
      <c r="K106" s="324">
        <v>420000</v>
      </c>
      <c r="L106" s="324">
        <v>526316.70061099762</v>
      </c>
      <c r="O106" s="324" t="s">
        <v>797</v>
      </c>
      <c r="P106" s="324">
        <v>0</v>
      </c>
      <c r="Q106" s="324">
        <v>0</v>
      </c>
      <c r="R106" s="324">
        <v>0</v>
      </c>
      <c r="S106" s="324">
        <v>0</v>
      </c>
      <c r="T106" s="324">
        <v>0</v>
      </c>
      <c r="U106" s="324">
        <v>0</v>
      </c>
      <c r="V106" s="324">
        <v>0</v>
      </c>
    </row>
    <row r="107" spans="1:22" s="324" customFormat="1" ht="0.65" hidden="1" customHeight="1">
      <c r="A107" s="324">
        <v>1010</v>
      </c>
      <c r="B107" s="324">
        <v>188914.33868226787</v>
      </c>
      <c r="C107" s="324" t="s">
        <v>35</v>
      </c>
      <c r="D107" s="324">
        <v>300000</v>
      </c>
      <c r="F107" s="324" t="s">
        <v>55</v>
      </c>
      <c r="H107" s="324" t="s">
        <v>55</v>
      </c>
      <c r="I107" s="324" t="s">
        <v>55</v>
      </c>
      <c r="J107" s="324" t="s">
        <v>55</v>
      </c>
      <c r="K107" s="324">
        <v>300000</v>
      </c>
      <c r="L107" s="324">
        <v>194145.9169447851</v>
      </c>
      <c r="O107" s="324">
        <v>2027</v>
      </c>
      <c r="P107" s="324">
        <v>0</v>
      </c>
      <c r="Q107" s="324">
        <v>0</v>
      </c>
      <c r="R107" s="324">
        <v>0</v>
      </c>
      <c r="S107" s="324">
        <v>0</v>
      </c>
      <c r="T107" s="324">
        <v>0</v>
      </c>
      <c r="U107" s="324">
        <v>0</v>
      </c>
      <c r="V107" s="324">
        <v>0</v>
      </c>
    </row>
    <row r="108" spans="1:22" s="324" customFormat="1" ht="0.65" hidden="1" customHeight="1">
      <c r="A108" s="324">
        <v>1011</v>
      </c>
      <c r="B108" s="324">
        <v>150000</v>
      </c>
      <c r="E108" s="324" t="s">
        <v>55</v>
      </c>
      <c r="O108" s="324" t="s">
        <v>798</v>
      </c>
      <c r="P108" s="324">
        <v>0</v>
      </c>
      <c r="Q108" s="324">
        <v>0</v>
      </c>
      <c r="R108" s="324">
        <v>0</v>
      </c>
      <c r="S108" s="324">
        <v>0</v>
      </c>
      <c r="T108" s="324">
        <v>0</v>
      </c>
      <c r="U108" s="324">
        <v>0</v>
      </c>
      <c r="V108" s="324">
        <v>0</v>
      </c>
    </row>
    <row r="109" spans="1:22" s="324" customFormat="1" ht="0.65" hidden="1" customHeight="1">
      <c r="A109" s="324">
        <v>1012</v>
      </c>
      <c r="B109" s="324">
        <v>2082.5916696332933</v>
      </c>
      <c r="C109" s="324" t="s">
        <v>7</v>
      </c>
      <c r="D109" s="324">
        <v>90</v>
      </c>
      <c r="F109" s="324" t="s">
        <v>55</v>
      </c>
      <c r="H109" s="324" t="s">
        <v>55</v>
      </c>
      <c r="I109" s="324" t="s">
        <v>55</v>
      </c>
      <c r="J109" s="324" t="s">
        <v>55</v>
      </c>
      <c r="K109" s="324">
        <v>90</v>
      </c>
    </row>
    <row r="110" spans="1:22" s="324" customFormat="1" ht="0.65" hidden="1" customHeight="1">
      <c r="A110" s="324">
        <v>1013</v>
      </c>
      <c r="B110" s="324">
        <v>831102.18502522341</v>
      </c>
      <c r="C110" s="324" t="s">
        <v>8</v>
      </c>
      <c r="D110" s="324">
        <v>60</v>
      </c>
      <c r="F110" s="324" t="s">
        <v>55</v>
      </c>
      <c r="H110" s="324" t="s">
        <v>55</v>
      </c>
      <c r="I110" s="324" t="s">
        <v>55</v>
      </c>
      <c r="J110" s="324" t="s">
        <v>55</v>
      </c>
      <c r="K110" s="324">
        <v>60</v>
      </c>
    </row>
    <row r="111" spans="1:22" s="324" customFormat="1" ht="0.65" hidden="1" customHeight="1">
      <c r="A111" s="324">
        <v>1014</v>
      </c>
      <c r="B111" s="324">
        <v>-596238.84145972936</v>
      </c>
      <c r="G111" s="324" t="s">
        <v>793</v>
      </c>
      <c r="O111" s="324" t="s">
        <v>22</v>
      </c>
      <c r="U111" s="324" t="s">
        <v>26</v>
      </c>
    </row>
    <row r="112" spans="1:22" s="324" customFormat="1" ht="0.65" hidden="1" customHeight="1">
      <c r="A112" s="324">
        <v>1015</v>
      </c>
      <c r="C112" s="324" t="s">
        <v>33</v>
      </c>
      <c r="E112" s="324" t="s">
        <v>55</v>
      </c>
    </row>
    <row r="113" spans="1:27" s="324" customFormat="1" ht="0.65" hidden="1" customHeight="1">
      <c r="A113" s="324">
        <v>1016</v>
      </c>
      <c r="B113" s="324">
        <v>-210381.05281541101</v>
      </c>
      <c r="C113" s="324" t="s">
        <v>492</v>
      </c>
      <c r="D113" s="324">
        <v>200000</v>
      </c>
      <c r="F113" s="324" t="s">
        <v>55</v>
      </c>
      <c r="H113" s="324" t="s">
        <v>55</v>
      </c>
      <c r="I113" s="324" t="s">
        <v>55</v>
      </c>
      <c r="J113" s="324" t="s">
        <v>55</v>
      </c>
      <c r="K113" s="324">
        <v>200000</v>
      </c>
      <c r="L113" s="324">
        <v>480508.07042054803</v>
      </c>
      <c r="O113" s="324" t="s">
        <v>0</v>
      </c>
      <c r="P113" s="324" t="s">
        <v>76</v>
      </c>
      <c r="Q113" s="324" t="s">
        <v>77</v>
      </c>
      <c r="R113" s="324" t="s">
        <v>78</v>
      </c>
      <c r="S113" s="324" t="s">
        <v>79</v>
      </c>
    </row>
    <row r="114" spans="1:27" s="324" customFormat="1" ht="0.65" hidden="1" customHeight="1">
      <c r="A114" s="324">
        <v>1017</v>
      </c>
      <c r="C114" s="324" t="s">
        <v>495</v>
      </c>
      <c r="D114" s="324">
        <v>100000</v>
      </c>
      <c r="E114" s="324">
        <v>100000</v>
      </c>
      <c r="K114" s="324">
        <v>100000</v>
      </c>
      <c r="O114" s="324">
        <v>2022</v>
      </c>
      <c r="P114" s="324">
        <v>0</v>
      </c>
      <c r="Q114" s="324">
        <v>0</v>
      </c>
      <c r="R114" s="324">
        <v>0</v>
      </c>
      <c r="S114" s="324">
        <v>0</v>
      </c>
    </row>
    <row r="115" spans="1:27" s="324" customFormat="1" ht="0.65" hidden="1" customHeight="1">
      <c r="A115" s="324">
        <v>1018</v>
      </c>
      <c r="C115" s="324" t="s">
        <v>6</v>
      </c>
      <c r="D115" s="324">
        <v>2</v>
      </c>
      <c r="F115" s="324" t="s">
        <v>55</v>
      </c>
      <c r="H115" s="324" t="s">
        <v>55</v>
      </c>
      <c r="I115" s="324" t="s">
        <v>55</v>
      </c>
      <c r="J115" s="324" t="s">
        <v>55</v>
      </c>
      <c r="K115" s="324">
        <v>2</v>
      </c>
      <c r="O115" s="324" t="s">
        <v>799</v>
      </c>
      <c r="P115" s="324">
        <v>0</v>
      </c>
      <c r="Q115" s="324">
        <v>0</v>
      </c>
      <c r="R115" s="324">
        <v>0</v>
      </c>
      <c r="S115" s="324">
        <v>0</v>
      </c>
      <c r="V115" s="324" t="s">
        <v>81</v>
      </c>
    </row>
    <row r="116" spans="1:27" s="324" customFormat="1" ht="0.65" hidden="1" customHeight="1">
      <c r="A116" s="324">
        <v>1019</v>
      </c>
      <c r="C116" s="324" t="s">
        <v>489</v>
      </c>
      <c r="D116" s="324">
        <v>100000</v>
      </c>
      <c r="F116" s="324" t="s">
        <v>55</v>
      </c>
      <c r="H116" s="324" t="s">
        <v>55</v>
      </c>
      <c r="I116" s="324" t="s">
        <v>55</v>
      </c>
      <c r="J116" s="324" t="s">
        <v>55</v>
      </c>
      <c r="K116" s="324">
        <v>100000</v>
      </c>
      <c r="L116" s="324">
        <v>-234089.59999999957</v>
      </c>
      <c r="O116" s="324">
        <v>2023</v>
      </c>
      <c r="P116" s="324">
        <v>105000</v>
      </c>
      <c r="Q116" s="324">
        <v>50000</v>
      </c>
      <c r="R116" s="324">
        <v>55000</v>
      </c>
      <c r="S116" s="324">
        <v>55000</v>
      </c>
      <c r="U116" s="324" t="s">
        <v>0</v>
      </c>
      <c r="V116" s="324" t="s">
        <v>1</v>
      </c>
      <c r="W116" s="324" t="s">
        <v>1</v>
      </c>
      <c r="X116" s="324" t="s">
        <v>31</v>
      </c>
      <c r="Z116" s="324" t="s">
        <v>31</v>
      </c>
    </row>
    <row r="117" spans="1:27" s="324" customFormat="1" ht="0.65" hidden="1" customHeight="1">
      <c r="A117" s="324">
        <v>1020</v>
      </c>
      <c r="E117" s="324" t="s">
        <v>55</v>
      </c>
      <c r="O117" s="324" t="s">
        <v>794</v>
      </c>
      <c r="P117" s="324">
        <v>105000</v>
      </c>
      <c r="Q117" s="324">
        <v>50000</v>
      </c>
      <c r="R117" s="324">
        <v>55000</v>
      </c>
      <c r="S117" s="324">
        <v>55000</v>
      </c>
      <c r="U117" s="324">
        <v>2022</v>
      </c>
      <c r="V117" s="324">
        <v>-825000</v>
      </c>
      <c r="W117" s="324">
        <v>-825000</v>
      </c>
      <c r="X117" s="324">
        <v>-825000</v>
      </c>
      <c r="Z117" s="324">
        <v>-825000</v>
      </c>
    </row>
    <row r="118" spans="1:27" s="324" customFormat="1" ht="0.65" hidden="1" customHeight="1">
      <c r="A118" s="324">
        <v>1021</v>
      </c>
      <c r="C118" s="324" t="s">
        <v>4</v>
      </c>
      <c r="D118" s="324">
        <v>0.25</v>
      </c>
      <c r="F118" s="324" t="s">
        <v>55</v>
      </c>
      <c r="H118" s="324" t="s">
        <v>55</v>
      </c>
      <c r="I118" s="324" t="s">
        <v>55</v>
      </c>
      <c r="J118" s="324" t="s">
        <v>55</v>
      </c>
      <c r="K118" s="324">
        <v>0.25</v>
      </c>
      <c r="O118" s="324">
        <v>2024</v>
      </c>
      <c r="P118" s="324">
        <v>105000</v>
      </c>
      <c r="Q118" s="324">
        <v>50000</v>
      </c>
      <c r="R118" s="324">
        <v>55000</v>
      </c>
      <c r="S118" s="324">
        <v>0</v>
      </c>
      <c r="U118" s="324">
        <v>2023</v>
      </c>
      <c r="V118" s="324">
        <v>47500</v>
      </c>
      <c r="W118" s="324">
        <v>47500</v>
      </c>
      <c r="X118" s="324">
        <v>-777500</v>
      </c>
      <c r="Y118" s="324" t="s">
        <v>55</v>
      </c>
      <c r="Z118" s="324">
        <v>-777500</v>
      </c>
      <c r="AA118" s="324" t="s">
        <v>55</v>
      </c>
    </row>
    <row r="119" spans="1:27" s="324" customFormat="1" ht="0.65" hidden="1" customHeight="1">
      <c r="A119" s="324">
        <v>1022</v>
      </c>
      <c r="D119" s="324" t="s">
        <v>9</v>
      </c>
      <c r="G119" s="324" t="s">
        <v>793</v>
      </c>
      <c r="O119" s="324" t="s">
        <v>795</v>
      </c>
      <c r="P119" s="324">
        <v>105000</v>
      </c>
      <c r="Q119" s="324">
        <v>50000</v>
      </c>
      <c r="R119" s="324">
        <v>55000</v>
      </c>
      <c r="S119" s="324">
        <v>0</v>
      </c>
      <c r="U119" s="324">
        <v>2024</v>
      </c>
      <c r="V119" s="324">
        <v>102500</v>
      </c>
      <c r="W119" s="324">
        <v>102500</v>
      </c>
      <c r="X119" s="324">
        <v>-675000</v>
      </c>
      <c r="Y119" s="324" t="s">
        <v>55</v>
      </c>
      <c r="Z119" s="324">
        <v>-675000</v>
      </c>
      <c r="AA119" s="324" t="s">
        <v>55</v>
      </c>
    </row>
    <row r="120" spans="1:27" s="324" customFormat="1" ht="0.65" hidden="1" customHeight="1">
      <c r="A120" s="324">
        <v>1023</v>
      </c>
      <c r="E120" s="324" t="s">
        <v>55</v>
      </c>
      <c r="O120" s="324">
        <v>2025</v>
      </c>
      <c r="P120" s="324">
        <v>105000</v>
      </c>
      <c r="Q120" s="324">
        <v>50000</v>
      </c>
      <c r="R120" s="324">
        <v>55000</v>
      </c>
      <c r="S120" s="324">
        <v>0</v>
      </c>
      <c r="U120" s="324">
        <v>2025</v>
      </c>
      <c r="V120" s="324">
        <v>570000</v>
      </c>
      <c r="W120" s="324">
        <v>570000</v>
      </c>
      <c r="X120" s="324">
        <v>-105000</v>
      </c>
      <c r="Y120" s="324" t="s">
        <v>55</v>
      </c>
      <c r="Z120" s="324">
        <v>-105000</v>
      </c>
      <c r="AA120" s="324" t="s">
        <v>55</v>
      </c>
    </row>
    <row r="121" spans="1:27" s="324" customFormat="1" ht="0.65" hidden="1" customHeight="1">
      <c r="A121" s="324">
        <v>1024</v>
      </c>
      <c r="C121" s="324" t="s">
        <v>10</v>
      </c>
      <c r="D121" s="324">
        <v>350000</v>
      </c>
      <c r="F121" s="324" t="s">
        <v>55</v>
      </c>
      <c r="H121" s="324" t="s">
        <v>55</v>
      </c>
      <c r="I121" s="324" t="s">
        <v>55</v>
      </c>
      <c r="J121" s="324" t="s">
        <v>55</v>
      </c>
      <c r="K121" s="324">
        <v>350000</v>
      </c>
      <c r="O121" s="324" t="s">
        <v>796</v>
      </c>
      <c r="P121" s="324">
        <v>105000</v>
      </c>
      <c r="Q121" s="324">
        <v>50000</v>
      </c>
      <c r="R121" s="324">
        <v>55000</v>
      </c>
      <c r="S121" s="324">
        <v>0</v>
      </c>
      <c r="U121" s="324">
        <v>2026</v>
      </c>
      <c r="V121" s="324">
        <v>0</v>
      </c>
      <c r="W121" s="324">
        <v>0</v>
      </c>
      <c r="Z121" s="324">
        <v>-105000</v>
      </c>
      <c r="AA121" s="324" t="s">
        <v>55</v>
      </c>
    </row>
    <row r="122" spans="1:27" s="324" customFormat="1" ht="0.65" hidden="1" customHeight="1">
      <c r="A122" s="324">
        <v>1025</v>
      </c>
      <c r="C122" s="324" t="s">
        <v>11</v>
      </c>
      <c r="D122" s="324">
        <v>420000</v>
      </c>
      <c r="F122" s="324" t="s">
        <v>55</v>
      </c>
      <c r="H122" s="324" t="s">
        <v>55</v>
      </c>
      <c r="I122" s="324" t="s">
        <v>55</v>
      </c>
      <c r="J122" s="324" t="s">
        <v>55</v>
      </c>
      <c r="K122" s="324">
        <v>420000</v>
      </c>
      <c r="O122" s="324">
        <v>2026</v>
      </c>
      <c r="P122" s="324">
        <v>0</v>
      </c>
      <c r="Q122" s="324">
        <v>0</v>
      </c>
      <c r="R122" s="324">
        <v>0</v>
      </c>
      <c r="S122" s="324">
        <v>0</v>
      </c>
      <c r="U122" s="324">
        <v>2027</v>
      </c>
      <c r="V122" s="324">
        <v>0</v>
      </c>
      <c r="W122" s="324">
        <v>0</v>
      </c>
      <c r="Z122" s="324">
        <v>-105000</v>
      </c>
      <c r="AA122" s="324" t="s">
        <v>55</v>
      </c>
    </row>
    <row r="123" spans="1:27" s="324" customFormat="1" ht="0.65" hidden="1" customHeight="1">
      <c r="A123" s="324">
        <v>1026</v>
      </c>
      <c r="C123" s="324" t="s">
        <v>12</v>
      </c>
      <c r="D123" s="324">
        <v>2.2499999999999999E-2</v>
      </c>
      <c r="F123" s="324" t="s">
        <v>55</v>
      </c>
      <c r="H123" s="324" t="s">
        <v>55</v>
      </c>
      <c r="I123" s="324" t="s">
        <v>55</v>
      </c>
      <c r="J123" s="324" t="s">
        <v>55</v>
      </c>
      <c r="K123" s="324">
        <v>2.2499999999999999E-2</v>
      </c>
      <c r="O123" s="324" t="s">
        <v>797</v>
      </c>
      <c r="P123" s="324">
        <v>0</v>
      </c>
      <c r="Q123" s="324">
        <v>0</v>
      </c>
      <c r="R123" s="324">
        <v>0</v>
      </c>
      <c r="S123" s="324">
        <v>0</v>
      </c>
    </row>
    <row r="124" spans="1:27" s="324" customFormat="1" ht="0.65" hidden="1" customHeight="1">
      <c r="A124" s="324">
        <v>1027</v>
      </c>
      <c r="C124" s="324" t="s">
        <v>2</v>
      </c>
      <c r="D124" s="324">
        <v>7000000</v>
      </c>
      <c r="F124" s="324" t="s">
        <v>55</v>
      </c>
      <c r="H124" s="324" t="s">
        <v>55</v>
      </c>
      <c r="I124" s="324" t="s">
        <v>55</v>
      </c>
      <c r="J124" s="324" t="s">
        <v>55</v>
      </c>
      <c r="K124" s="324">
        <v>7000000</v>
      </c>
      <c r="O124" s="324">
        <v>2027</v>
      </c>
      <c r="P124" s="324">
        <v>0</v>
      </c>
      <c r="Q124" s="324">
        <v>0</v>
      </c>
      <c r="R124" s="324">
        <v>0</v>
      </c>
      <c r="S124" s="324">
        <v>0</v>
      </c>
    </row>
    <row r="125" spans="1:27" s="324" customFormat="1" ht="0.65" hidden="1" customHeight="1">
      <c r="A125" s="324">
        <v>1028</v>
      </c>
      <c r="C125" s="324" t="s">
        <v>3</v>
      </c>
      <c r="D125" s="324">
        <v>7000000</v>
      </c>
      <c r="F125" s="324" t="s">
        <v>55</v>
      </c>
      <c r="H125" s="324" t="s">
        <v>55</v>
      </c>
      <c r="I125" s="324" t="s">
        <v>55</v>
      </c>
      <c r="J125" s="324" t="s">
        <v>55</v>
      </c>
      <c r="K125" s="324">
        <v>7000000</v>
      </c>
      <c r="O125" s="324" t="s">
        <v>798</v>
      </c>
      <c r="P125" s="324">
        <v>0</v>
      </c>
      <c r="Q125" s="324">
        <v>0</v>
      </c>
      <c r="R125" s="324">
        <v>0</v>
      </c>
      <c r="S125" s="324">
        <v>0</v>
      </c>
    </row>
    <row r="126" spans="1:27" s="324" customFormat="1" ht="0.65" hidden="1" customHeight="1">
      <c r="A126" s="324">
        <v>1029</v>
      </c>
      <c r="E126" s="324" t="s">
        <v>55</v>
      </c>
      <c r="G126" s="324" t="s">
        <v>793</v>
      </c>
    </row>
    <row r="127" spans="1:27" s="324" customFormat="1" ht="0.65" hidden="1" customHeight="1">
      <c r="A127" s="324">
        <v>1030</v>
      </c>
      <c r="C127" s="324" t="s">
        <v>14</v>
      </c>
      <c r="D127" s="324" t="s">
        <v>16</v>
      </c>
      <c r="F127" s="324" t="s">
        <v>55</v>
      </c>
      <c r="H127" s="324" t="s">
        <v>55</v>
      </c>
      <c r="I127" s="324" t="s">
        <v>55</v>
      </c>
      <c r="J127" s="324" t="s">
        <v>55</v>
      </c>
      <c r="K127" s="324">
        <v>3</v>
      </c>
    </row>
    <row r="128" spans="1:27" s="324" customFormat="1" ht="0.65" hidden="1" customHeight="1">
      <c r="A128" s="324">
        <v>1031</v>
      </c>
      <c r="O128" s="324" t="s">
        <v>142</v>
      </c>
      <c r="U128" s="324" t="s">
        <v>27</v>
      </c>
    </row>
    <row r="129" spans="1:26" s="324" customFormat="1" ht="0.65" hidden="1" customHeight="1">
      <c r="A129" s="324">
        <v>1032</v>
      </c>
    </row>
    <row r="130" spans="1:26" s="324" customFormat="1" ht="0.65" hidden="1" customHeight="1">
      <c r="A130" s="324">
        <v>1033</v>
      </c>
      <c r="P130" s="324" t="s">
        <v>146</v>
      </c>
      <c r="Q130" s="324" t="s">
        <v>147</v>
      </c>
    </row>
    <row r="131" spans="1:26" s="324" customFormat="1" ht="0.65" hidden="1" customHeight="1">
      <c r="A131" s="324">
        <v>1034</v>
      </c>
      <c r="O131" s="324" t="s">
        <v>490</v>
      </c>
      <c r="P131" s="324">
        <v>825000</v>
      </c>
      <c r="Q131" s="324">
        <v>825000</v>
      </c>
      <c r="V131" s="324" t="s">
        <v>146</v>
      </c>
      <c r="W131" s="324" t="s">
        <v>147</v>
      </c>
    </row>
    <row r="132" spans="1:26" s="324" customFormat="1" ht="0.65" hidden="1" customHeight="1">
      <c r="A132" s="324">
        <v>1035</v>
      </c>
      <c r="O132" s="324" t="s">
        <v>491</v>
      </c>
      <c r="P132" s="324">
        <v>400000</v>
      </c>
      <c r="Q132" s="324">
        <v>400000</v>
      </c>
      <c r="U132" s="324" t="s">
        <v>13</v>
      </c>
      <c r="V132" s="324">
        <v>-210381.05281541136</v>
      </c>
      <c r="W132" s="324">
        <v>-210381.05281541136</v>
      </c>
    </row>
    <row r="133" spans="1:26" s="324" customFormat="1" ht="0.65" hidden="1" customHeight="1">
      <c r="A133" s="324">
        <v>1036</v>
      </c>
      <c r="O133" s="324" t="s">
        <v>493</v>
      </c>
      <c r="P133" s="324">
        <v>55000</v>
      </c>
      <c r="Q133" s="324">
        <v>55000</v>
      </c>
      <c r="U133" s="324" t="s">
        <v>28</v>
      </c>
      <c r="V133" s="324">
        <v>-4.8576778446782765E-2</v>
      </c>
      <c r="W133" s="324">
        <v>-4.8576778446782765E-2</v>
      </c>
    </row>
    <row r="134" spans="1:26" s="324" customFormat="1" ht="0.65" hidden="1" customHeight="1">
      <c r="A134" s="324">
        <v>1037</v>
      </c>
      <c r="O134" s="324" t="s">
        <v>494</v>
      </c>
      <c r="P134" s="324">
        <v>455000</v>
      </c>
      <c r="Q134" s="324">
        <v>455000</v>
      </c>
      <c r="U134" s="324" t="s">
        <v>29</v>
      </c>
      <c r="V134" s="324">
        <v>-0.25500733674595316</v>
      </c>
      <c r="W134" s="324">
        <v>-0.25500733674595316</v>
      </c>
    </row>
    <row r="135" spans="1:26" s="324" customFormat="1" ht="0.65" hidden="1" customHeight="1">
      <c r="A135" s="324">
        <v>1038</v>
      </c>
      <c r="U135" s="324" t="s">
        <v>30</v>
      </c>
      <c r="V135" s="324" t="s">
        <v>639</v>
      </c>
      <c r="W135" s="324" t="s">
        <v>639</v>
      </c>
    </row>
    <row r="136" spans="1:26" s="324" customFormat="1" ht="0.65" hidden="1" customHeight="1">
      <c r="A136" s="324">
        <v>1039</v>
      </c>
    </row>
    <row r="137" spans="1:26" s="324" customFormat="1" ht="0.65" hidden="1" customHeight="1">
      <c r="A137" s="324">
        <v>1040</v>
      </c>
      <c r="O137" s="324" t="s">
        <v>25</v>
      </c>
    </row>
    <row r="138" spans="1:26" s="324" customFormat="1" ht="0.65" hidden="1" customHeight="1">
      <c r="A138" s="324">
        <v>1041</v>
      </c>
    </row>
    <row r="139" spans="1:26" s="324" customFormat="1" ht="0.65" hidden="1" customHeight="1">
      <c r="A139" s="324">
        <v>1042</v>
      </c>
      <c r="P139" s="324" t="s">
        <v>146</v>
      </c>
      <c r="Q139" s="324" t="s">
        <v>147</v>
      </c>
    </row>
    <row r="140" spans="1:26" s="324" customFormat="1" ht="0.65" hidden="1" customHeight="1">
      <c r="A140" s="324">
        <v>1043</v>
      </c>
      <c r="O140" s="324" t="s">
        <v>124</v>
      </c>
      <c r="P140" s="324">
        <v>3.7499999999999999E-2</v>
      </c>
      <c r="Q140" s="324">
        <v>3.7499999999999999E-2</v>
      </c>
    </row>
    <row r="141" spans="1:26" s="324" customFormat="1" ht="0.65" hidden="1" customHeight="1">
      <c r="A141" s="324">
        <v>1044</v>
      </c>
      <c r="O141" s="324" t="s">
        <v>125</v>
      </c>
      <c r="P141" s="324">
        <v>8.249999999999999E-2</v>
      </c>
      <c r="Q141" s="324">
        <v>8.249999999999999E-2</v>
      </c>
    </row>
    <row r="142" spans="1:26" s="324" customFormat="1" ht="0.65" hidden="1" customHeight="1">
      <c r="A142" s="324">
        <v>1045</v>
      </c>
      <c r="O142" s="324" t="s">
        <v>126</v>
      </c>
      <c r="P142" s="324">
        <v>0.06</v>
      </c>
      <c r="Q142" s="324">
        <v>0.06</v>
      </c>
    </row>
    <row r="143" spans="1:26" s="324" customFormat="1" ht="0.65" hidden="1" customHeight="1">
      <c r="A143" s="324">
        <v>1046</v>
      </c>
    </row>
    <row r="144" spans="1:26" s="324" customFormat="1" ht="0.65" hidden="1" customHeight="1">
      <c r="A144" s="324">
        <v>1047</v>
      </c>
      <c r="B144" s="324">
        <v>2</v>
      </c>
      <c r="C144" s="324">
        <v>3</v>
      </c>
      <c r="D144" s="324">
        <v>4</v>
      </c>
      <c r="E144" s="324">
        <v>5</v>
      </c>
      <c r="F144" s="324">
        <v>6</v>
      </c>
      <c r="G144" s="324">
        <v>7</v>
      </c>
      <c r="H144" s="324">
        <v>8</v>
      </c>
      <c r="I144" s="324">
        <v>9</v>
      </c>
      <c r="J144" s="324">
        <v>10</v>
      </c>
      <c r="K144" s="324">
        <v>11</v>
      </c>
      <c r="L144" s="324">
        <v>12</v>
      </c>
      <c r="M144" s="324">
        <v>13</v>
      </c>
      <c r="N144" s="324">
        <v>14</v>
      </c>
      <c r="O144" s="324">
        <v>15</v>
      </c>
      <c r="P144" s="324">
        <v>16</v>
      </c>
      <c r="Q144" s="324">
        <v>17</v>
      </c>
      <c r="R144" s="324">
        <v>18</v>
      </c>
      <c r="S144" s="324">
        <v>19</v>
      </c>
      <c r="T144" s="324">
        <v>20</v>
      </c>
      <c r="U144" s="324">
        <v>21</v>
      </c>
      <c r="V144" s="324">
        <v>22</v>
      </c>
      <c r="W144" s="324">
        <v>23</v>
      </c>
      <c r="X144" s="324">
        <v>24</v>
      </c>
      <c r="Y144" s="324">
        <v>25</v>
      </c>
      <c r="Z144" s="324">
        <v>26</v>
      </c>
    </row>
    <row r="145" spans="1:6" s="324" customFormat="1" ht="0.65" hidden="1" customHeight="1">
      <c r="A145" s="324">
        <v>1048</v>
      </c>
    </row>
    <row r="146" spans="1:6" s="324" customFormat="1" ht="0.65" hidden="1" customHeight="1">
      <c r="A146" s="324">
        <v>1049</v>
      </c>
    </row>
    <row r="147" spans="1:6" s="324" customFormat="1" ht="0.65" hidden="1" customHeight="1">
      <c r="A147" s="324">
        <v>1050</v>
      </c>
    </row>
    <row r="148" spans="1:6" s="324" customFormat="1" ht="0.65" hidden="1" customHeight="1">
      <c r="A148" s="324">
        <v>1051</v>
      </c>
    </row>
    <row r="149" spans="1:6" s="324" customFormat="1" ht="0.65" hidden="1" customHeight="1">
      <c r="A149" s="324">
        <v>1052</v>
      </c>
    </row>
    <row r="150" spans="1:6" s="324" customFormat="1" ht="0.65" hidden="1" customHeight="1">
      <c r="A150" s="324">
        <v>1053</v>
      </c>
    </row>
    <row r="151" spans="1:6" s="324" customFormat="1" ht="0.65" hidden="1" customHeight="1">
      <c r="A151" s="324">
        <v>1054</v>
      </c>
    </row>
    <row r="152" spans="1:6" s="324" customFormat="1" ht="0.65" hidden="1" customHeight="1">
      <c r="A152" s="324">
        <v>1055</v>
      </c>
    </row>
    <row r="153" spans="1:6" s="324" customFormat="1" ht="0.65" hidden="1" customHeight="1">
      <c r="A153" s="324">
        <v>1056</v>
      </c>
    </row>
    <row r="154" spans="1:6" s="324" customFormat="1" ht="0.65" hidden="1" customHeight="1">
      <c r="A154" s="324">
        <v>1057</v>
      </c>
    </row>
    <row r="155" spans="1:6" s="324" customFormat="1" ht="0.65" hidden="1" customHeight="1">
      <c r="A155" s="324">
        <v>1058</v>
      </c>
    </row>
    <row r="156" spans="1:6" s="324" customFormat="1" ht="0.65" hidden="1" customHeight="1">
      <c r="A156" s="324">
        <v>1059</v>
      </c>
      <c r="D156" s="324">
        <v>1000000</v>
      </c>
      <c r="E156" s="324">
        <v>1000000</v>
      </c>
      <c r="F156" s="324">
        <v>1</v>
      </c>
    </row>
    <row r="157" spans="1:6" s="324" customFormat="1" ht="0.65" hidden="1" customHeight="1">
      <c r="A157" s="324">
        <v>1060</v>
      </c>
      <c r="D157" s="324">
        <v>10</v>
      </c>
      <c r="E157" s="324">
        <v>10</v>
      </c>
      <c r="F157" s="324">
        <v>1</v>
      </c>
    </row>
    <row r="158" spans="1:6" s="324" customFormat="1" ht="0.65" hidden="1" customHeight="1">
      <c r="A158" s="324">
        <v>1061</v>
      </c>
      <c r="D158" s="324">
        <v>400000</v>
      </c>
      <c r="E158" s="324">
        <v>400000</v>
      </c>
      <c r="F158" s="324">
        <v>1</v>
      </c>
    </row>
    <row r="159" spans="1:6" s="324" customFormat="1" ht="0.65" hidden="1" customHeight="1">
      <c r="A159" s="324">
        <v>1062</v>
      </c>
    </row>
    <row r="160" spans="1:6" s="324" customFormat="1" ht="0.65" hidden="1" customHeight="1">
      <c r="A160" s="324">
        <v>1063</v>
      </c>
      <c r="D160" s="324">
        <v>420000</v>
      </c>
      <c r="E160" s="324">
        <v>420000</v>
      </c>
      <c r="F160" s="324">
        <v>1</v>
      </c>
    </row>
    <row r="161" spans="1:6" s="324" customFormat="1" ht="0.65" hidden="1" customHeight="1">
      <c r="A161" s="324">
        <v>1064</v>
      </c>
      <c r="D161" s="324">
        <v>300000</v>
      </c>
      <c r="E161" s="324">
        <v>300000</v>
      </c>
      <c r="F161" s="324">
        <v>1</v>
      </c>
    </row>
    <row r="162" spans="1:6" s="324" customFormat="1" ht="0.65" hidden="1" customHeight="1">
      <c r="A162" s="324">
        <v>1065</v>
      </c>
    </row>
    <row r="163" spans="1:6" s="324" customFormat="1" ht="0.65" hidden="1" customHeight="1">
      <c r="A163" s="324">
        <v>1066</v>
      </c>
      <c r="D163" s="324">
        <v>90</v>
      </c>
      <c r="E163" s="324">
        <v>90</v>
      </c>
      <c r="F163" s="324">
        <v>1</v>
      </c>
    </row>
    <row r="164" spans="1:6" s="324" customFormat="1" ht="0.65" hidden="1" customHeight="1">
      <c r="A164" s="324">
        <v>1067</v>
      </c>
      <c r="D164" s="324">
        <v>60</v>
      </c>
      <c r="E164" s="324">
        <v>60</v>
      </c>
      <c r="F164" s="324">
        <v>1</v>
      </c>
    </row>
    <row r="165" spans="1:6" s="324" customFormat="1" ht="0.65" hidden="1" customHeight="1">
      <c r="A165" s="324">
        <v>1068</v>
      </c>
    </row>
    <row r="166" spans="1:6" s="324" customFormat="1" ht="0.65" hidden="1" customHeight="1">
      <c r="A166" s="324">
        <v>1069</v>
      </c>
    </row>
    <row r="167" spans="1:6" s="324" customFormat="1" ht="0.65" hidden="1" customHeight="1">
      <c r="A167" s="324">
        <v>1070</v>
      </c>
      <c r="D167" s="324">
        <v>200000</v>
      </c>
      <c r="E167" s="324">
        <v>200000</v>
      </c>
      <c r="F167" s="324">
        <v>1</v>
      </c>
    </row>
    <row r="168" spans="1:6" s="324" customFormat="1" ht="0.65" hidden="1" customHeight="1">
      <c r="A168" s="324">
        <v>1071</v>
      </c>
      <c r="D168" s="324">
        <v>100000</v>
      </c>
      <c r="E168" s="324">
        <v>100000</v>
      </c>
      <c r="F168" s="324">
        <v>1</v>
      </c>
    </row>
    <row r="169" spans="1:6" s="324" customFormat="1" ht="0.65" hidden="1" customHeight="1">
      <c r="A169" s="324">
        <v>1072</v>
      </c>
      <c r="D169" s="324">
        <v>2</v>
      </c>
      <c r="E169" s="324">
        <v>2</v>
      </c>
      <c r="F169" s="324">
        <v>1</v>
      </c>
    </row>
    <row r="170" spans="1:6" s="324" customFormat="1" ht="0.65" hidden="1" customHeight="1">
      <c r="A170" s="324">
        <v>1073</v>
      </c>
      <c r="D170" s="324">
        <v>100000</v>
      </c>
      <c r="E170" s="324">
        <v>100000</v>
      </c>
      <c r="F170" s="324">
        <v>1</v>
      </c>
    </row>
    <row r="171" spans="1:6" s="324" customFormat="1" ht="0.65" hidden="1" customHeight="1">
      <c r="A171" s="324">
        <v>1074</v>
      </c>
    </row>
    <row r="172" spans="1:6" s="324" customFormat="1" ht="0.65" hidden="1" customHeight="1">
      <c r="A172" s="324">
        <v>1075</v>
      </c>
      <c r="D172" s="324">
        <v>0.25</v>
      </c>
      <c r="E172" s="324">
        <v>0.25</v>
      </c>
      <c r="F172" s="324">
        <v>1</v>
      </c>
    </row>
    <row r="173" spans="1:6" s="324" customFormat="1" ht="0.65" hidden="1" customHeight="1">
      <c r="A173" s="324">
        <v>1076</v>
      </c>
      <c r="D173" s="324" t="s">
        <v>9</v>
      </c>
    </row>
    <row r="174" spans="1:6" s="324" customFormat="1" ht="0.65" hidden="1" customHeight="1">
      <c r="A174" s="324">
        <v>1077</v>
      </c>
    </row>
    <row r="175" spans="1:6" s="324" customFormat="1" ht="0.65" hidden="1" customHeight="1">
      <c r="A175" s="324">
        <v>1078</v>
      </c>
      <c r="D175" s="324">
        <v>350000</v>
      </c>
      <c r="E175" s="324">
        <v>350000</v>
      </c>
      <c r="F175" s="324">
        <v>1</v>
      </c>
    </row>
    <row r="176" spans="1:6" s="324" customFormat="1" ht="0.65" hidden="1" customHeight="1">
      <c r="A176" s="324">
        <v>1079</v>
      </c>
      <c r="D176" s="324">
        <v>420000</v>
      </c>
      <c r="E176" s="324">
        <v>420000</v>
      </c>
      <c r="F176" s="324">
        <v>1</v>
      </c>
    </row>
    <row r="177" spans="1:22" s="324" customFormat="1" ht="0.65" hidden="1" customHeight="1">
      <c r="A177" s="324">
        <v>1080</v>
      </c>
      <c r="D177" s="324">
        <v>2.2499999999999999E-2</v>
      </c>
      <c r="E177" s="324">
        <v>2.2499999999999999E-2</v>
      </c>
      <c r="F177" s="324">
        <v>1</v>
      </c>
    </row>
    <row r="178" spans="1:22" s="324" customFormat="1" ht="0.65" hidden="1" customHeight="1">
      <c r="A178" s="324">
        <v>1081</v>
      </c>
      <c r="D178" s="324">
        <v>7000000</v>
      </c>
      <c r="E178" s="324">
        <v>7000000</v>
      </c>
      <c r="F178" s="324">
        <v>1</v>
      </c>
    </row>
    <row r="179" spans="1:22" s="324" customFormat="1" ht="0.65" hidden="1" customHeight="1">
      <c r="A179" s="324">
        <v>1082</v>
      </c>
      <c r="D179" s="324">
        <v>7000000</v>
      </c>
      <c r="E179" s="324">
        <v>7000000</v>
      </c>
      <c r="F179" s="324">
        <v>1</v>
      </c>
    </row>
    <row r="180" spans="1:22" s="324" customFormat="1" ht="0.65" hidden="1" customHeight="1">
      <c r="A180" s="324">
        <v>1083</v>
      </c>
    </row>
    <row r="181" spans="1:22" s="324" customFormat="1" ht="0.65" hidden="1" customHeight="1">
      <c r="A181" s="324">
        <v>1084</v>
      </c>
      <c r="D181" s="324" t="s">
        <v>16</v>
      </c>
    </row>
    <row r="182" spans="1:22" s="324" customFormat="1" ht="0.65" hidden="1" customHeight="1"/>
    <row r="183" spans="1:22" s="324" customFormat="1" ht="0.65" hidden="1" customHeight="1"/>
    <row r="184" spans="1:22" s="324" customFormat="1" ht="0.65" hidden="1" customHeight="1"/>
    <row r="185" spans="1:22" s="324" customFormat="1" ht="0.65" hidden="1" customHeight="1"/>
    <row r="186" spans="1:22" s="324" customFormat="1" ht="0.65" hidden="1" customHeight="1"/>
    <row r="187" spans="1:22" s="324" customFormat="1" ht="0.65" hidden="1" customHeight="1"/>
    <row r="188" spans="1:22" s="324" customFormat="1" ht="0.65" hidden="1" customHeight="1"/>
    <row r="189" spans="1:22" s="324" customFormat="1" ht="0.65" hidden="1" customHeight="1">
      <c r="B189" s="324" t="s">
        <v>19</v>
      </c>
      <c r="D189" s="324" t="s">
        <v>336</v>
      </c>
      <c r="E189" s="324">
        <v>2</v>
      </c>
      <c r="K189" s="324" t="s">
        <v>290</v>
      </c>
      <c r="L189" s="324">
        <v>17</v>
      </c>
      <c r="O189" s="324" t="s">
        <v>21</v>
      </c>
    </row>
    <row r="190" spans="1:22" s="324" customFormat="1" ht="0.65" hidden="1" customHeight="1">
      <c r="B190" s="324" t="s">
        <v>3951</v>
      </c>
      <c r="D190" s="324" t="s">
        <v>336</v>
      </c>
      <c r="E190" s="324" t="s">
        <v>486</v>
      </c>
      <c r="K190" s="324" t="s">
        <v>217</v>
      </c>
      <c r="L190" s="324">
        <v>0</v>
      </c>
    </row>
    <row r="191" spans="1:22" s="324" customFormat="1" ht="0.65" hidden="1" customHeight="1">
      <c r="A191" s="324">
        <v>2001</v>
      </c>
      <c r="C191" s="324" t="s">
        <v>5</v>
      </c>
      <c r="D191" s="324">
        <v>2022</v>
      </c>
      <c r="E191" s="324" t="s">
        <v>55</v>
      </c>
      <c r="G191" s="324" t="s">
        <v>793</v>
      </c>
      <c r="O191" s="324" t="s">
        <v>0</v>
      </c>
      <c r="P191" s="324" t="s">
        <v>69</v>
      </c>
      <c r="Q191" s="324" t="s">
        <v>70</v>
      </c>
      <c r="R191" s="324" t="s">
        <v>71</v>
      </c>
      <c r="S191" s="324" t="s">
        <v>72</v>
      </c>
      <c r="T191" s="324" t="s">
        <v>73</v>
      </c>
      <c r="U191" s="324" t="s">
        <v>74</v>
      </c>
      <c r="V191" s="324" t="s">
        <v>75</v>
      </c>
    </row>
    <row r="192" spans="1:22" s="324" customFormat="1" ht="0.65" hidden="1" customHeight="1">
      <c r="A192" s="324">
        <v>2002</v>
      </c>
      <c r="O192" s="324">
        <v>2023</v>
      </c>
      <c r="P192" s="324">
        <v>360000</v>
      </c>
      <c r="Q192" s="324">
        <v>240000</v>
      </c>
      <c r="R192" s="324">
        <v>30000</v>
      </c>
      <c r="S192" s="324">
        <v>90000</v>
      </c>
      <c r="T192" s="324">
        <v>22500</v>
      </c>
      <c r="U192" s="324">
        <v>67500</v>
      </c>
      <c r="V192" s="324">
        <v>97500</v>
      </c>
    </row>
    <row r="193" spans="1:22" s="324" customFormat="1" ht="0.65" hidden="1" customHeight="1">
      <c r="A193" s="324">
        <v>2003</v>
      </c>
      <c r="D193" s="324" t="s">
        <v>139</v>
      </c>
      <c r="E193" s="324" t="s">
        <v>139</v>
      </c>
      <c r="H193" s="324" t="s">
        <v>148</v>
      </c>
      <c r="L193" s="324" t="s">
        <v>149</v>
      </c>
      <c r="O193" s="324" t="s">
        <v>794</v>
      </c>
      <c r="P193" s="324">
        <v>360000</v>
      </c>
      <c r="Q193" s="324">
        <v>240000</v>
      </c>
      <c r="R193" s="324">
        <v>30000</v>
      </c>
      <c r="S193" s="324">
        <v>90000</v>
      </c>
      <c r="T193" s="324">
        <v>22500</v>
      </c>
      <c r="U193" s="324">
        <v>67500</v>
      </c>
      <c r="V193" s="324">
        <v>97500</v>
      </c>
    </row>
    <row r="194" spans="1:22" s="324" customFormat="1" ht="0.65" hidden="1" customHeight="1">
      <c r="A194" s="324">
        <v>2004</v>
      </c>
      <c r="C194" s="324" t="s">
        <v>32</v>
      </c>
      <c r="D194" s="324" t="s">
        <v>141</v>
      </c>
      <c r="E194" s="324" t="s">
        <v>140</v>
      </c>
      <c r="F194" s="324" t="s">
        <v>143</v>
      </c>
      <c r="H194" s="324" t="s">
        <v>144</v>
      </c>
      <c r="I194" s="324" t="s">
        <v>145</v>
      </c>
      <c r="J194" s="324" t="s">
        <v>143</v>
      </c>
      <c r="L194" s="324" t="s">
        <v>150</v>
      </c>
      <c r="O194" s="324">
        <v>2024</v>
      </c>
      <c r="P194" s="324">
        <v>360000</v>
      </c>
      <c r="Q194" s="324">
        <v>240000</v>
      </c>
      <c r="R194" s="324">
        <v>30000</v>
      </c>
      <c r="S194" s="324">
        <v>90000</v>
      </c>
      <c r="T194" s="324">
        <v>22500</v>
      </c>
      <c r="U194" s="324">
        <v>67500</v>
      </c>
      <c r="V194" s="324">
        <v>97500</v>
      </c>
    </row>
    <row r="195" spans="1:22" s="324" customFormat="1" ht="0.65" hidden="1" customHeight="1">
      <c r="A195" s="324">
        <v>2005</v>
      </c>
      <c r="B195" s="324">
        <v>5.3749999999999999E-2</v>
      </c>
      <c r="C195" s="324" t="s">
        <v>488</v>
      </c>
      <c r="D195" s="324">
        <v>600000</v>
      </c>
      <c r="F195" s="324" t="s">
        <v>55</v>
      </c>
      <c r="H195" s="324" t="s">
        <v>55</v>
      </c>
      <c r="I195" s="324" t="s">
        <v>55</v>
      </c>
      <c r="J195" s="324" t="s">
        <v>55</v>
      </c>
      <c r="K195" s="324">
        <v>600000</v>
      </c>
      <c r="L195" s="324">
        <v>667148.05990273796</v>
      </c>
      <c r="O195" s="324" t="s">
        <v>795</v>
      </c>
      <c r="P195" s="324">
        <v>360000</v>
      </c>
      <c r="Q195" s="324">
        <v>240000</v>
      </c>
      <c r="R195" s="324">
        <v>30000</v>
      </c>
      <c r="S195" s="324">
        <v>90000</v>
      </c>
      <c r="T195" s="324">
        <v>22500</v>
      </c>
      <c r="U195" s="324">
        <v>67500</v>
      </c>
      <c r="V195" s="324">
        <v>97500</v>
      </c>
    </row>
    <row r="196" spans="1:22" s="324" customFormat="1" ht="0.65" hidden="1" customHeight="1">
      <c r="A196" s="324">
        <v>2006</v>
      </c>
      <c r="B196" s="324">
        <v>2.7042248503079578</v>
      </c>
      <c r="C196" s="324" t="s">
        <v>6</v>
      </c>
      <c r="D196" s="324">
        <v>10</v>
      </c>
      <c r="F196" s="324" t="s">
        <v>55</v>
      </c>
      <c r="H196" s="324" t="s">
        <v>55</v>
      </c>
      <c r="I196" s="324" t="s">
        <v>55</v>
      </c>
      <c r="J196" s="324" t="s">
        <v>55</v>
      </c>
      <c r="K196" s="324">
        <v>10</v>
      </c>
      <c r="O196" s="324">
        <v>2025</v>
      </c>
      <c r="P196" s="324">
        <v>360000</v>
      </c>
      <c r="Q196" s="324">
        <v>240000</v>
      </c>
      <c r="R196" s="324">
        <v>30000</v>
      </c>
      <c r="S196" s="324">
        <v>90000</v>
      </c>
      <c r="T196" s="324">
        <v>22500</v>
      </c>
      <c r="U196" s="324">
        <v>67500</v>
      </c>
      <c r="V196" s="324">
        <v>97500</v>
      </c>
    </row>
    <row r="197" spans="1:22" s="324" customFormat="1" ht="0.65" hidden="1" customHeight="1">
      <c r="A197" s="324">
        <v>2007</v>
      </c>
      <c r="B197" s="324">
        <v>1.8495769360120102</v>
      </c>
      <c r="C197" s="324" t="s">
        <v>489</v>
      </c>
      <c r="D197" s="324">
        <v>400000</v>
      </c>
      <c r="F197" s="324" t="s">
        <v>55</v>
      </c>
      <c r="H197" s="324" t="s">
        <v>55</v>
      </c>
      <c r="I197" s="324" t="s">
        <v>55</v>
      </c>
      <c r="J197" s="324" t="s">
        <v>55</v>
      </c>
      <c r="K197" s="324">
        <v>400000</v>
      </c>
      <c r="L197" s="324">
        <v>317992.61180013017</v>
      </c>
      <c r="O197" s="324" t="s">
        <v>796</v>
      </c>
      <c r="P197" s="324">
        <v>360000</v>
      </c>
      <c r="Q197" s="324">
        <v>240000</v>
      </c>
      <c r="R197" s="324">
        <v>30000</v>
      </c>
      <c r="S197" s="324">
        <v>90000</v>
      </c>
      <c r="T197" s="324">
        <v>22500</v>
      </c>
      <c r="U197" s="324">
        <v>67500</v>
      </c>
      <c r="V197" s="324">
        <v>97500</v>
      </c>
    </row>
    <row r="198" spans="1:22" s="324" customFormat="1" ht="0.65" hidden="1" customHeight="1">
      <c r="A198" s="324">
        <v>2008</v>
      </c>
      <c r="E198" s="324" t="s">
        <v>55</v>
      </c>
      <c r="O198" s="324">
        <v>2026</v>
      </c>
      <c r="P198" s="324">
        <v>0</v>
      </c>
      <c r="Q198" s="324">
        <v>0</v>
      </c>
      <c r="R198" s="324">
        <v>0</v>
      </c>
      <c r="S198" s="324">
        <v>0</v>
      </c>
      <c r="T198" s="324">
        <v>0</v>
      </c>
      <c r="U198" s="324">
        <v>0</v>
      </c>
      <c r="V198" s="324">
        <v>0</v>
      </c>
    </row>
    <row r="199" spans="1:22" s="324" customFormat="1" ht="0.65" hidden="1" customHeight="1">
      <c r="A199" s="324">
        <v>2009</v>
      </c>
      <c r="B199" s="324">
        <v>-469698.59624430613</v>
      </c>
      <c r="C199" s="324" t="s">
        <v>34</v>
      </c>
      <c r="D199" s="324">
        <v>360000</v>
      </c>
      <c r="F199" s="324" t="s">
        <v>55</v>
      </c>
      <c r="H199" s="324" t="s">
        <v>55</v>
      </c>
      <c r="I199" s="324" t="s">
        <v>55</v>
      </c>
      <c r="J199" s="324" t="s">
        <v>55</v>
      </c>
      <c r="K199" s="324">
        <v>360000</v>
      </c>
      <c r="L199" s="324">
        <v>333981.38430717075</v>
      </c>
      <c r="O199" s="324" t="s">
        <v>797</v>
      </c>
      <c r="P199" s="324">
        <v>0</v>
      </c>
      <c r="Q199" s="324">
        <v>0</v>
      </c>
      <c r="R199" s="324">
        <v>0</v>
      </c>
      <c r="S199" s="324">
        <v>0</v>
      </c>
      <c r="T199" s="324">
        <v>0</v>
      </c>
      <c r="U199" s="324">
        <v>0</v>
      </c>
      <c r="V199" s="324">
        <v>0</v>
      </c>
    </row>
    <row r="200" spans="1:22" s="324" customFormat="1" ht="0.65" hidden="1" customHeight="1">
      <c r="A200" s="324">
        <v>2010</v>
      </c>
      <c r="B200" s="324">
        <v>241972.19073504009</v>
      </c>
      <c r="C200" s="324" t="s">
        <v>35</v>
      </c>
      <c r="D200" s="324">
        <v>240000</v>
      </c>
      <c r="F200" s="324" t="s">
        <v>55</v>
      </c>
      <c r="H200" s="324" t="s">
        <v>55</v>
      </c>
      <c r="I200" s="324" t="s">
        <v>55</v>
      </c>
      <c r="J200" s="324" t="s">
        <v>55</v>
      </c>
      <c r="K200" s="324">
        <v>240000</v>
      </c>
      <c r="L200" s="324">
        <v>266120.26215625758</v>
      </c>
      <c r="O200" s="324">
        <v>2027</v>
      </c>
      <c r="P200" s="324">
        <v>0</v>
      </c>
      <c r="Q200" s="324">
        <v>0</v>
      </c>
      <c r="R200" s="324">
        <v>0</v>
      </c>
      <c r="S200" s="324">
        <v>0</v>
      </c>
      <c r="T200" s="324">
        <v>0</v>
      </c>
      <c r="U200" s="324">
        <v>0</v>
      </c>
      <c r="V200" s="324">
        <v>0</v>
      </c>
    </row>
    <row r="201" spans="1:22" s="324" customFormat="1" ht="0.65" hidden="1" customHeight="1">
      <c r="A201" s="324">
        <v>2011</v>
      </c>
      <c r="B201" s="324">
        <v>33750</v>
      </c>
      <c r="E201" s="324" t="s">
        <v>55</v>
      </c>
      <c r="O201" s="324" t="s">
        <v>798</v>
      </c>
      <c r="P201" s="324">
        <v>0</v>
      </c>
      <c r="Q201" s="324">
        <v>0</v>
      </c>
      <c r="R201" s="324">
        <v>0</v>
      </c>
      <c r="S201" s="324">
        <v>0</v>
      </c>
      <c r="T201" s="324">
        <v>0</v>
      </c>
      <c r="U201" s="324">
        <v>0</v>
      </c>
      <c r="V201" s="324">
        <v>0</v>
      </c>
    </row>
    <row r="202" spans="1:22" s="324" customFormat="1" ht="0.65" hidden="1" customHeight="1">
      <c r="A202" s="324">
        <v>2012</v>
      </c>
      <c r="B202" s="324">
        <v>2218.3136226903175</v>
      </c>
      <c r="C202" s="324" t="s">
        <v>7</v>
      </c>
      <c r="D202" s="324">
        <v>30</v>
      </c>
      <c r="F202" s="324" t="s">
        <v>55</v>
      </c>
      <c r="H202" s="324" t="s">
        <v>55</v>
      </c>
      <c r="I202" s="324" t="s">
        <v>55</v>
      </c>
      <c r="J202" s="324" t="s">
        <v>55</v>
      </c>
      <c r="K202" s="324">
        <v>30</v>
      </c>
    </row>
    <row r="203" spans="1:22" s="324" customFormat="1" ht="0.65" hidden="1" customHeight="1">
      <c r="A203" s="324">
        <v>2013</v>
      </c>
      <c r="B203" s="324">
        <v>727310.39612234733</v>
      </c>
      <c r="C203" s="324" t="s">
        <v>8</v>
      </c>
      <c r="D203" s="324">
        <v>60</v>
      </c>
      <c r="F203" s="324" t="s">
        <v>55</v>
      </c>
      <c r="H203" s="324" t="s">
        <v>55</v>
      </c>
      <c r="I203" s="324" t="s">
        <v>55</v>
      </c>
      <c r="J203" s="324" t="s">
        <v>55</v>
      </c>
      <c r="K203" s="324">
        <v>60</v>
      </c>
    </row>
    <row r="204" spans="1:22" s="324" customFormat="1" ht="0.65" hidden="1" customHeight="1">
      <c r="A204" s="324">
        <v>2014</v>
      </c>
      <c r="B204" s="324">
        <v>-482986.72177436401</v>
      </c>
      <c r="G204" s="324" t="s">
        <v>793</v>
      </c>
      <c r="O204" s="324" t="s">
        <v>22</v>
      </c>
      <c r="U204" s="324" t="s">
        <v>26</v>
      </c>
    </row>
    <row r="205" spans="1:22" s="324" customFormat="1" ht="0.65" hidden="1" customHeight="1">
      <c r="A205" s="324">
        <v>2015</v>
      </c>
      <c r="C205" s="324" t="s">
        <v>33</v>
      </c>
      <c r="E205" s="324" t="s">
        <v>55</v>
      </c>
    </row>
    <row r="206" spans="1:22" s="324" customFormat="1" ht="0.65" hidden="1" customHeight="1">
      <c r="A206" s="324">
        <v>2016</v>
      </c>
      <c r="B206" s="324">
        <v>52565.582461407641</v>
      </c>
      <c r="C206" s="324" t="s">
        <v>492</v>
      </c>
      <c r="D206" s="324">
        <v>45000</v>
      </c>
      <c r="F206" s="324" t="s">
        <v>55</v>
      </c>
      <c r="H206" s="324" t="s">
        <v>55</v>
      </c>
      <c r="I206" s="324" t="s">
        <v>55</v>
      </c>
      <c r="J206" s="324" t="s">
        <v>55</v>
      </c>
      <c r="K206" s="324">
        <v>45000</v>
      </c>
      <c r="L206" s="324">
        <v>-25087.443281876855</v>
      </c>
      <c r="O206" s="324" t="s">
        <v>0</v>
      </c>
      <c r="P206" s="324" t="s">
        <v>76</v>
      </c>
      <c r="Q206" s="324" t="s">
        <v>77</v>
      </c>
      <c r="R206" s="324" t="s">
        <v>78</v>
      </c>
      <c r="S206" s="324" t="s">
        <v>79</v>
      </c>
    </row>
    <row r="207" spans="1:22" s="324" customFormat="1" ht="0.65" hidden="1" customHeight="1">
      <c r="A207" s="324">
        <v>2017</v>
      </c>
      <c r="C207" s="324" t="s">
        <v>495</v>
      </c>
      <c r="D207" s="324">
        <v>90000</v>
      </c>
      <c r="E207" s="324">
        <v>90000</v>
      </c>
      <c r="K207" s="324">
        <v>90000</v>
      </c>
      <c r="O207" s="324">
        <v>2022</v>
      </c>
      <c r="P207" s="324">
        <v>0</v>
      </c>
      <c r="Q207" s="324">
        <v>0</v>
      </c>
      <c r="R207" s="324">
        <v>0</v>
      </c>
      <c r="S207" s="324">
        <v>0</v>
      </c>
    </row>
    <row r="208" spans="1:22" s="324" customFormat="1" ht="0.65" hidden="1" customHeight="1">
      <c r="A208" s="324">
        <v>2018</v>
      </c>
      <c r="C208" s="324" t="s">
        <v>6</v>
      </c>
      <c r="D208" s="324">
        <v>3</v>
      </c>
      <c r="F208" s="324" t="s">
        <v>55</v>
      </c>
      <c r="H208" s="324" t="s">
        <v>55</v>
      </c>
      <c r="I208" s="324" t="s">
        <v>55</v>
      </c>
      <c r="J208" s="324" t="s">
        <v>55</v>
      </c>
      <c r="K208" s="324">
        <v>3</v>
      </c>
      <c r="O208" s="324" t="s">
        <v>799</v>
      </c>
      <c r="P208" s="324">
        <v>0</v>
      </c>
      <c r="Q208" s="324">
        <v>0</v>
      </c>
      <c r="R208" s="324">
        <v>0</v>
      </c>
      <c r="S208" s="324">
        <v>0</v>
      </c>
      <c r="V208" s="324" t="s">
        <v>81</v>
      </c>
    </row>
    <row r="209" spans="1:27" s="324" customFormat="1" ht="0.65" hidden="1" customHeight="1">
      <c r="A209" s="324">
        <v>2019</v>
      </c>
      <c r="C209" s="324" t="s">
        <v>489</v>
      </c>
      <c r="D209" s="324">
        <v>22500</v>
      </c>
      <c r="F209" s="324" t="s">
        <v>55</v>
      </c>
      <c r="H209" s="324" t="s">
        <v>55</v>
      </c>
      <c r="I209" s="324" t="s">
        <v>55</v>
      </c>
      <c r="J209" s="324" t="s">
        <v>55</v>
      </c>
      <c r="K209" s="324">
        <v>22500</v>
      </c>
      <c r="L209" s="324">
        <v>104507.38819986981</v>
      </c>
      <c r="O209" s="324">
        <v>2023</v>
      </c>
      <c r="P209" s="324">
        <v>30000</v>
      </c>
      <c r="Q209" s="324">
        <v>40000</v>
      </c>
      <c r="R209" s="324">
        <v>-10000</v>
      </c>
      <c r="S209" s="324">
        <v>-10000</v>
      </c>
      <c r="U209" s="324" t="s">
        <v>0</v>
      </c>
      <c r="V209" s="324" t="s">
        <v>1</v>
      </c>
      <c r="W209" s="324" t="s">
        <v>1</v>
      </c>
      <c r="X209" s="324" t="s">
        <v>31</v>
      </c>
      <c r="Z209" s="324" t="s">
        <v>31</v>
      </c>
    </row>
    <row r="210" spans="1:27" s="324" customFormat="1" ht="0.65" hidden="1" customHeight="1">
      <c r="A210" s="324">
        <v>2020</v>
      </c>
      <c r="E210" s="324" t="s">
        <v>55</v>
      </c>
      <c r="O210" s="324" t="s">
        <v>794</v>
      </c>
      <c r="P210" s="324">
        <v>30000</v>
      </c>
      <c r="Q210" s="324">
        <v>40000</v>
      </c>
      <c r="R210" s="324">
        <v>-10000</v>
      </c>
      <c r="S210" s="324">
        <v>-10000</v>
      </c>
      <c r="U210" s="324">
        <v>2022</v>
      </c>
      <c r="V210" s="324">
        <v>-543750</v>
      </c>
      <c r="W210" s="324">
        <v>-543750</v>
      </c>
      <c r="X210" s="324">
        <v>-543750</v>
      </c>
      <c r="Z210" s="324">
        <v>-543750</v>
      </c>
    </row>
    <row r="211" spans="1:27" s="324" customFormat="1" ht="0.65" hidden="1" customHeight="1">
      <c r="A211" s="324">
        <v>2021</v>
      </c>
      <c r="C211" s="324" t="s">
        <v>4</v>
      </c>
      <c r="D211" s="324">
        <v>0.25</v>
      </c>
      <c r="F211" s="324" t="s">
        <v>55</v>
      </c>
      <c r="H211" s="324" t="s">
        <v>55</v>
      </c>
      <c r="I211" s="324" t="s">
        <v>55</v>
      </c>
      <c r="J211" s="324" t="s">
        <v>55</v>
      </c>
      <c r="K211" s="324">
        <v>0.25</v>
      </c>
      <c r="O211" s="324">
        <v>2024</v>
      </c>
      <c r="P211" s="324">
        <v>30000</v>
      </c>
      <c r="Q211" s="324">
        <v>40000</v>
      </c>
      <c r="R211" s="324">
        <v>-10000</v>
      </c>
      <c r="S211" s="324">
        <v>0</v>
      </c>
      <c r="U211" s="324">
        <v>2023</v>
      </c>
      <c r="V211" s="324">
        <v>107500</v>
      </c>
      <c r="W211" s="324">
        <v>107500</v>
      </c>
      <c r="X211" s="324">
        <v>-436250</v>
      </c>
      <c r="Y211" s="324" t="s">
        <v>55</v>
      </c>
      <c r="Z211" s="324">
        <v>-436250</v>
      </c>
      <c r="AA211" s="324" t="s">
        <v>55</v>
      </c>
    </row>
    <row r="212" spans="1:27" s="324" customFormat="1" ht="0.65" hidden="1" customHeight="1">
      <c r="A212" s="324">
        <v>2022</v>
      </c>
      <c r="D212" s="324" t="s">
        <v>9</v>
      </c>
      <c r="G212" s="324" t="s">
        <v>793</v>
      </c>
      <c r="O212" s="324" t="s">
        <v>795</v>
      </c>
      <c r="P212" s="324">
        <v>30000</v>
      </c>
      <c r="Q212" s="324">
        <v>40000</v>
      </c>
      <c r="R212" s="324">
        <v>-10000</v>
      </c>
      <c r="S212" s="324">
        <v>0</v>
      </c>
      <c r="U212" s="324">
        <v>2024</v>
      </c>
      <c r="V212" s="324">
        <v>97500</v>
      </c>
      <c r="W212" s="324">
        <v>97500</v>
      </c>
      <c r="X212" s="324">
        <v>-338750</v>
      </c>
      <c r="Y212" s="324" t="s">
        <v>55</v>
      </c>
      <c r="Z212" s="324">
        <v>-338750</v>
      </c>
      <c r="AA212" s="324" t="s">
        <v>55</v>
      </c>
    </row>
    <row r="213" spans="1:27" s="324" customFormat="1" ht="0.65" hidden="1" customHeight="1">
      <c r="A213" s="324">
        <v>2023</v>
      </c>
      <c r="E213" s="324" t="s">
        <v>55</v>
      </c>
      <c r="O213" s="324">
        <v>2025</v>
      </c>
      <c r="P213" s="324">
        <v>30000</v>
      </c>
      <c r="Q213" s="324">
        <v>40000</v>
      </c>
      <c r="R213" s="324">
        <v>-10000</v>
      </c>
      <c r="S213" s="324">
        <v>0</v>
      </c>
      <c r="U213" s="324">
        <v>2025</v>
      </c>
      <c r="V213" s="324">
        <v>475625</v>
      </c>
      <c r="W213" s="324">
        <v>475625</v>
      </c>
      <c r="X213" s="324">
        <v>136875</v>
      </c>
      <c r="Y213" s="324">
        <v>2025</v>
      </c>
      <c r="Z213" s="324">
        <v>136875</v>
      </c>
      <c r="AA213" s="324">
        <v>2025</v>
      </c>
    </row>
    <row r="214" spans="1:27" s="324" customFormat="1" ht="0.65" hidden="1" customHeight="1">
      <c r="A214" s="324">
        <v>2024</v>
      </c>
      <c r="C214" s="324" t="s">
        <v>10</v>
      </c>
      <c r="D214" s="324">
        <v>720000</v>
      </c>
      <c r="F214" s="324" t="s">
        <v>55</v>
      </c>
      <c r="H214" s="324" t="s">
        <v>55</v>
      </c>
      <c r="I214" s="324" t="s">
        <v>55</v>
      </c>
      <c r="J214" s="324" t="s">
        <v>55</v>
      </c>
      <c r="K214" s="324">
        <v>720000</v>
      </c>
      <c r="O214" s="324" t="s">
        <v>796</v>
      </c>
      <c r="P214" s="324">
        <v>30000</v>
      </c>
      <c r="Q214" s="324">
        <v>40000</v>
      </c>
      <c r="R214" s="324">
        <v>-10000</v>
      </c>
      <c r="S214" s="324">
        <v>0</v>
      </c>
      <c r="U214" s="324">
        <v>2026</v>
      </c>
      <c r="V214" s="324">
        <v>0</v>
      </c>
      <c r="W214" s="324">
        <v>0</v>
      </c>
      <c r="Z214" s="324">
        <v>136875</v>
      </c>
      <c r="AA214" s="324" t="s">
        <v>55</v>
      </c>
    </row>
    <row r="215" spans="1:27" s="324" customFormat="1" ht="0.65" hidden="1" customHeight="1">
      <c r="A215" s="324">
        <v>2025</v>
      </c>
      <c r="C215" s="324" t="s">
        <v>11</v>
      </c>
      <c r="D215" s="324">
        <v>240000</v>
      </c>
      <c r="F215" s="324" t="s">
        <v>55</v>
      </c>
      <c r="H215" s="324" t="s">
        <v>55</v>
      </c>
      <c r="I215" s="324" t="s">
        <v>55</v>
      </c>
      <c r="J215" s="324" t="s">
        <v>55</v>
      </c>
      <c r="K215" s="324">
        <v>240000</v>
      </c>
      <c r="O215" s="324">
        <v>2026</v>
      </c>
      <c r="P215" s="324">
        <v>0</v>
      </c>
      <c r="Q215" s="324">
        <v>0</v>
      </c>
      <c r="R215" s="324">
        <v>0</v>
      </c>
      <c r="S215" s="324">
        <v>0</v>
      </c>
      <c r="U215" s="324">
        <v>2027</v>
      </c>
      <c r="V215" s="324">
        <v>0</v>
      </c>
      <c r="W215" s="324">
        <v>0</v>
      </c>
      <c r="Z215" s="324">
        <v>136875</v>
      </c>
      <c r="AA215" s="324" t="s">
        <v>55</v>
      </c>
    </row>
    <row r="216" spans="1:27" s="324" customFormat="1" ht="0.65" hidden="1" customHeight="1">
      <c r="A216" s="324">
        <v>2026</v>
      </c>
      <c r="C216" s="324" t="s">
        <v>12</v>
      </c>
      <c r="D216" s="324">
        <v>0.02</v>
      </c>
      <c r="F216" s="324" t="s">
        <v>55</v>
      </c>
      <c r="H216" s="324" t="s">
        <v>55</v>
      </c>
      <c r="I216" s="324" t="s">
        <v>55</v>
      </c>
      <c r="J216" s="324" t="s">
        <v>55</v>
      </c>
      <c r="K216" s="324">
        <v>0.02</v>
      </c>
      <c r="O216" s="324" t="s">
        <v>797</v>
      </c>
      <c r="P216" s="324">
        <v>0</v>
      </c>
      <c r="Q216" s="324">
        <v>0</v>
      </c>
      <c r="R216" s="324">
        <v>0</v>
      </c>
      <c r="S216" s="324">
        <v>0</v>
      </c>
    </row>
    <row r="217" spans="1:27" s="324" customFormat="1" ht="0.65" hidden="1" customHeight="1">
      <c r="A217" s="324">
        <v>2027</v>
      </c>
      <c r="C217" s="324" t="s">
        <v>2</v>
      </c>
      <c r="D217" s="324">
        <v>12000000</v>
      </c>
      <c r="F217" s="324" t="s">
        <v>55</v>
      </c>
      <c r="H217" s="324" t="s">
        <v>55</v>
      </c>
      <c r="I217" s="324" t="s">
        <v>55</v>
      </c>
      <c r="J217" s="324" t="s">
        <v>55</v>
      </c>
      <c r="K217" s="324">
        <v>12000000</v>
      </c>
      <c r="O217" s="324">
        <v>2027</v>
      </c>
      <c r="P217" s="324">
        <v>0</v>
      </c>
      <c r="Q217" s="324">
        <v>0</v>
      </c>
      <c r="R217" s="324">
        <v>0</v>
      </c>
      <c r="S217" s="324">
        <v>0</v>
      </c>
    </row>
    <row r="218" spans="1:27" s="324" customFormat="1" ht="0.65" hidden="1" customHeight="1">
      <c r="A218" s="324">
        <v>2028</v>
      </c>
      <c r="C218" s="324" t="s">
        <v>3</v>
      </c>
      <c r="D218" s="324">
        <v>4000000</v>
      </c>
      <c r="F218" s="324" t="s">
        <v>55</v>
      </c>
      <c r="H218" s="324" t="s">
        <v>55</v>
      </c>
      <c r="I218" s="324" t="s">
        <v>55</v>
      </c>
      <c r="J218" s="324" t="s">
        <v>55</v>
      </c>
      <c r="K218" s="324">
        <v>4000000</v>
      </c>
      <c r="O218" s="324" t="s">
        <v>798</v>
      </c>
      <c r="P218" s="324">
        <v>0</v>
      </c>
      <c r="Q218" s="324">
        <v>0</v>
      </c>
      <c r="R218" s="324">
        <v>0</v>
      </c>
      <c r="S218" s="324">
        <v>0</v>
      </c>
    </row>
    <row r="219" spans="1:27" s="324" customFormat="1" ht="0.65" hidden="1" customHeight="1">
      <c r="A219" s="324">
        <v>2029</v>
      </c>
      <c r="E219" s="324" t="s">
        <v>55</v>
      </c>
      <c r="G219" s="324" t="s">
        <v>793</v>
      </c>
    </row>
    <row r="220" spans="1:27" s="324" customFormat="1" ht="0.65" hidden="1" customHeight="1">
      <c r="A220" s="324">
        <v>2030</v>
      </c>
      <c r="C220" s="324" t="s">
        <v>14</v>
      </c>
      <c r="D220" s="324" t="s">
        <v>16</v>
      </c>
      <c r="F220" s="324" t="s">
        <v>55</v>
      </c>
      <c r="H220" s="324" t="s">
        <v>55</v>
      </c>
      <c r="I220" s="324" t="s">
        <v>55</v>
      </c>
      <c r="J220" s="324" t="s">
        <v>55</v>
      </c>
      <c r="K220" s="324">
        <v>3</v>
      </c>
    </row>
    <row r="221" spans="1:27" s="324" customFormat="1" ht="0.65" hidden="1" customHeight="1">
      <c r="A221" s="324">
        <v>2031</v>
      </c>
      <c r="O221" s="324" t="s">
        <v>142</v>
      </c>
      <c r="U221" s="324" t="s">
        <v>27</v>
      </c>
    </row>
    <row r="222" spans="1:27" s="324" customFormat="1" ht="0.65" hidden="1" customHeight="1">
      <c r="A222" s="324">
        <v>2032</v>
      </c>
    </row>
    <row r="223" spans="1:27" s="324" customFormat="1" ht="0.65" hidden="1" customHeight="1">
      <c r="A223" s="324">
        <v>2033</v>
      </c>
      <c r="P223" s="324" t="s">
        <v>146</v>
      </c>
      <c r="Q223" s="324" t="s">
        <v>147</v>
      </c>
    </row>
    <row r="224" spans="1:27" s="324" customFormat="1" ht="0.65" hidden="1" customHeight="1">
      <c r="A224" s="324">
        <v>2034</v>
      </c>
      <c r="O224" s="324" t="s">
        <v>490</v>
      </c>
      <c r="P224" s="324">
        <v>543750</v>
      </c>
      <c r="Q224" s="324">
        <v>543750</v>
      </c>
      <c r="V224" s="324" t="s">
        <v>146</v>
      </c>
      <c r="W224" s="324" t="s">
        <v>147</v>
      </c>
    </row>
    <row r="225" spans="1:26" s="324" customFormat="1" ht="0.65" hidden="1" customHeight="1">
      <c r="A225" s="324">
        <v>2035</v>
      </c>
      <c r="O225" s="324" t="s">
        <v>491</v>
      </c>
      <c r="P225" s="324">
        <v>388125</v>
      </c>
      <c r="Q225" s="324">
        <v>388125</v>
      </c>
      <c r="U225" s="324" t="s">
        <v>13</v>
      </c>
      <c r="V225" s="324">
        <v>52565.582461407641</v>
      </c>
      <c r="W225" s="324">
        <v>52565.582461407641</v>
      </c>
    </row>
    <row r="226" spans="1:26" s="324" customFormat="1" ht="0.65" hidden="1" customHeight="1">
      <c r="A226" s="324">
        <v>2036</v>
      </c>
      <c r="O226" s="324" t="s">
        <v>493</v>
      </c>
      <c r="P226" s="324">
        <v>-10000</v>
      </c>
      <c r="Q226" s="324">
        <v>-10000</v>
      </c>
      <c r="U226" s="324" t="s">
        <v>28</v>
      </c>
      <c r="V226" s="324">
        <v>9.3380333972086005E-2</v>
      </c>
      <c r="W226" s="324">
        <v>9.3380333972086005E-2</v>
      </c>
    </row>
    <row r="227" spans="1:26" s="324" customFormat="1" ht="0.65" hidden="1" customHeight="1">
      <c r="A227" s="324">
        <v>2037</v>
      </c>
      <c r="O227" s="324" t="s">
        <v>494</v>
      </c>
      <c r="P227" s="324">
        <v>378125</v>
      </c>
      <c r="Q227" s="324">
        <v>378125</v>
      </c>
      <c r="U227" s="324" t="s">
        <v>29</v>
      </c>
      <c r="V227" s="324">
        <v>9.6672335561209452E-2</v>
      </c>
      <c r="W227" s="324">
        <v>9.6672335561209452E-2</v>
      </c>
    </row>
    <row r="228" spans="1:26" s="324" customFormat="1" ht="0.65" hidden="1" customHeight="1">
      <c r="A228" s="324">
        <v>2038</v>
      </c>
      <c r="U228" s="324" t="s">
        <v>30</v>
      </c>
      <c r="V228" s="324">
        <v>2025</v>
      </c>
      <c r="W228" s="324">
        <v>2025</v>
      </c>
    </row>
    <row r="229" spans="1:26" s="324" customFormat="1" ht="0.65" hidden="1" customHeight="1">
      <c r="A229" s="324">
        <v>2039</v>
      </c>
    </row>
    <row r="230" spans="1:26" s="324" customFormat="1" ht="0.65" hidden="1" customHeight="1">
      <c r="A230" s="324">
        <v>2040</v>
      </c>
      <c r="O230" s="324" t="s">
        <v>25</v>
      </c>
    </row>
    <row r="231" spans="1:26" s="324" customFormat="1" ht="0.65" hidden="1" customHeight="1">
      <c r="A231" s="324">
        <v>2041</v>
      </c>
    </row>
    <row r="232" spans="1:26" s="324" customFormat="1" ht="0.65" hidden="1" customHeight="1">
      <c r="A232" s="324">
        <v>2042</v>
      </c>
      <c r="P232" s="324" t="s">
        <v>146</v>
      </c>
      <c r="Q232" s="324" t="s">
        <v>147</v>
      </c>
    </row>
    <row r="233" spans="1:26" s="324" customFormat="1" ht="0.65" hidden="1" customHeight="1">
      <c r="A233" s="324">
        <v>2043</v>
      </c>
      <c r="O233" s="324" t="s">
        <v>124</v>
      </c>
      <c r="P233" s="324">
        <v>4.4999999999999998E-2</v>
      </c>
      <c r="Q233" s="324">
        <v>4.4999999999999998E-2</v>
      </c>
    </row>
    <row r="234" spans="1:26" s="324" customFormat="1" ht="0.65" hidden="1" customHeight="1">
      <c r="A234" s="324">
        <v>2044</v>
      </c>
      <c r="O234" s="324" t="s">
        <v>125</v>
      </c>
      <c r="P234" s="324">
        <v>0.08</v>
      </c>
      <c r="Q234" s="324">
        <v>0.08</v>
      </c>
    </row>
    <row r="235" spans="1:26" s="324" customFormat="1" ht="0.65" hidden="1" customHeight="1">
      <c r="A235" s="324">
        <v>2045</v>
      </c>
      <c r="O235" s="324" t="s">
        <v>126</v>
      </c>
      <c r="P235" s="324">
        <v>5.3750000000000006E-2</v>
      </c>
      <c r="Q235" s="324">
        <v>5.3750000000000006E-2</v>
      </c>
    </row>
    <row r="236" spans="1:26" s="324" customFormat="1" ht="0.65" hidden="1" customHeight="1">
      <c r="A236" s="324">
        <v>2046</v>
      </c>
    </row>
    <row r="237" spans="1:26" s="324" customFormat="1" ht="0.65" hidden="1" customHeight="1">
      <c r="A237" s="324">
        <v>2047</v>
      </c>
      <c r="B237" s="324">
        <v>2</v>
      </c>
      <c r="C237" s="324">
        <v>3</v>
      </c>
      <c r="D237" s="324">
        <v>4</v>
      </c>
      <c r="E237" s="324">
        <v>5</v>
      </c>
      <c r="F237" s="324">
        <v>6</v>
      </c>
      <c r="G237" s="324">
        <v>7</v>
      </c>
      <c r="H237" s="324">
        <v>8</v>
      </c>
      <c r="I237" s="324">
        <v>9</v>
      </c>
      <c r="J237" s="324">
        <v>10</v>
      </c>
      <c r="K237" s="324">
        <v>11</v>
      </c>
      <c r="L237" s="324">
        <v>12</v>
      </c>
      <c r="M237" s="324">
        <v>13</v>
      </c>
      <c r="N237" s="324">
        <v>14</v>
      </c>
      <c r="O237" s="324">
        <v>15</v>
      </c>
      <c r="P237" s="324">
        <v>16</v>
      </c>
      <c r="Q237" s="324">
        <v>17</v>
      </c>
      <c r="R237" s="324">
        <v>18</v>
      </c>
      <c r="S237" s="324">
        <v>19</v>
      </c>
      <c r="T237" s="324">
        <v>20</v>
      </c>
      <c r="U237" s="324">
        <v>21</v>
      </c>
      <c r="V237" s="324">
        <v>22</v>
      </c>
      <c r="W237" s="324">
        <v>23</v>
      </c>
      <c r="X237" s="324">
        <v>24</v>
      </c>
      <c r="Y237" s="324">
        <v>25</v>
      </c>
      <c r="Z237" s="324">
        <v>26</v>
      </c>
    </row>
    <row r="238" spans="1:26" s="324" customFormat="1" ht="0.65" hidden="1" customHeight="1">
      <c r="A238" s="324">
        <v>2048</v>
      </c>
    </row>
    <row r="239" spans="1:26" s="324" customFormat="1" ht="0.65" hidden="1" customHeight="1">
      <c r="A239" s="324">
        <v>2049</v>
      </c>
    </row>
    <row r="240" spans="1:26" s="324" customFormat="1" ht="0.65" hidden="1" customHeight="1">
      <c r="A240" s="324">
        <v>2050</v>
      </c>
    </row>
    <row r="241" spans="1:6" s="324" customFormat="1" ht="0.65" hidden="1" customHeight="1">
      <c r="A241" s="324">
        <v>2051</v>
      </c>
    </row>
    <row r="242" spans="1:6" s="324" customFormat="1" ht="0.65" hidden="1" customHeight="1">
      <c r="A242" s="324">
        <v>2052</v>
      </c>
    </row>
    <row r="243" spans="1:6" s="324" customFormat="1" ht="0.65" hidden="1" customHeight="1">
      <c r="A243" s="324">
        <v>2053</v>
      </c>
    </row>
    <row r="244" spans="1:6" s="324" customFormat="1" ht="0.65" hidden="1" customHeight="1">
      <c r="A244" s="324">
        <v>2054</v>
      </c>
    </row>
    <row r="245" spans="1:6" s="324" customFormat="1" ht="0.65" hidden="1" customHeight="1">
      <c r="A245" s="324">
        <v>2055</v>
      </c>
    </row>
    <row r="246" spans="1:6" s="324" customFormat="1" ht="0.65" hidden="1" customHeight="1">
      <c r="A246" s="324">
        <v>2056</v>
      </c>
    </row>
    <row r="247" spans="1:6" s="324" customFormat="1" ht="0.65" hidden="1" customHeight="1">
      <c r="A247" s="324">
        <v>2057</v>
      </c>
    </row>
    <row r="248" spans="1:6" s="324" customFormat="1" ht="0.65" hidden="1" customHeight="1">
      <c r="A248" s="324">
        <v>2058</v>
      </c>
    </row>
    <row r="249" spans="1:6" s="324" customFormat="1" ht="0.65" hidden="1" customHeight="1">
      <c r="A249" s="324">
        <v>2059</v>
      </c>
      <c r="D249" s="324">
        <v>600000</v>
      </c>
      <c r="E249" s="324">
        <v>600000</v>
      </c>
      <c r="F249" s="324">
        <v>1</v>
      </c>
    </row>
    <row r="250" spans="1:6" s="324" customFormat="1" ht="0.65" hidden="1" customHeight="1">
      <c r="A250" s="324">
        <v>2060</v>
      </c>
      <c r="D250" s="324">
        <v>10</v>
      </c>
      <c r="E250" s="324">
        <v>10</v>
      </c>
      <c r="F250" s="324">
        <v>1</v>
      </c>
    </row>
    <row r="251" spans="1:6" s="324" customFormat="1" ht="0.65" hidden="1" customHeight="1">
      <c r="A251" s="324">
        <v>2061</v>
      </c>
      <c r="D251" s="324">
        <v>400000</v>
      </c>
      <c r="E251" s="324">
        <v>400000</v>
      </c>
      <c r="F251" s="324">
        <v>1</v>
      </c>
    </row>
    <row r="252" spans="1:6" s="324" customFormat="1" ht="0.65" hidden="1" customHeight="1">
      <c r="A252" s="324">
        <v>2062</v>
      </c>
    </row>
    <row r="253" spans="1:6" s="324" customFormat="1" ht="0.65" hidden="1" customHeight="1">
      <c r="A253" s="324">
        <v>2063</v>
      </c>
      <c r="D253" s="324">
        <v>360000</v>
      </c>
      <c r="E253" s="324">
        <v>360000</v>
      </c>
      <c r="F253" s="324">
        <v>1</v>
      </c>
    </row>
    <row r="254" spans="1:6" s="324" customFormat="1" ht="0.65" hidden="1" customHeight="1">
      <c r="A254" s="324">
        <v>2064</v>
      </c>
      <c r="D254" s="324">
        <v>240000</v>
      </c>
      <c r="E254" s="324">
        <v>240000</v>
      </c>
      <c r="F254" s="324">
        <v>1</v>
      </c>
    </row>
    <row r="255" spans="1:6" s="324" customFormat="1" ht="0.65" hidden="1" customHeight="1">
      <c r="A255" s="324">
        <v>2065</v>
      </c>
    </row>
    <row r="256" spans="1:6" s="324" customFormat="1" ht="0.65" hidden="1" customHeight="1">
      <c r="A256" s="324">
        <v>2066</v>
      </c>
      <c r="D256" s="324">
        <v>30</v>
      </c>
      <c r="E256" s="324">
        <v>30</v>
      </c>
      <c r="F256" s="324">
        <v>1</v>
      </c>
    </row>
    <row r="257" spans="1:6" s="324" customFormat="1" ht="0.65" hidden="1" customHeight="1">
      <c r="A257" s="324">
        <v>2067</v>
      </c>
      <c r="D257" s="324">
        <v>60</v>
      </c>
      <c r="E257" s="324">
        <v>60</v>
      </c>
      <c r="F257" s="324">
        <v>1</v>
      </c>
    </row>
    <row r="258" spans="1:6" s="324" customFormat="1" ht="0.65" hidden="1" customHeight="1">
      <c r="A258" s="324">
        <v>2068</v>
      </c>
    </row>
    <row r="259" spans="1:6" s="324" customFormat="1" ht="0.65" hidden="1" customHeight="1">
      <c r="A259" s="324">
        <v>2069</v>
      </c>
    </row>
    <row r="260" spans="1:6" s="324" customFormat="1" ht="0.65" hidden="1" customHeight="1">
      <c r="A260" s="324">
        <v>2070</v>
      </c>
      <c r="D260" s="324">
        <v>45000</v>
      </c>
      <c r="E260" s="324">
        <v>45000</v>
      </c>
      <c r="F260" s="324">
        <v>1</v>
      </c>
    </row>
    <row r="261" spans="1:6" s="324" customFormat="1" ht="0.65" hidden="1" customHeight="1">
      <c r="A261" s="324">
        <v>2071</v>
      </c>
      <c r="D261" s="324">
        <v>90000</v>
      </c>
      <c r="E261" s="324">
        <v>90000</v>
      </c>
      <c r="F261" s="324">
        <v>1</v>
      </c>
    </row>
    <row r="262" spans="1:6" s="324" customFormat="1" ht="0.65" hidden="1" customHeight="1">
      <c r="A262" s="324">
        <v>2072</v>
      </c>
      <c r="D262" s="324">
        <v>3</v>
      </c>
      <c r="E262" s="324">
        <v>3</v>
      </c>
      <c r="F262" s="324">
        <v>1</v>
      </c>
    </row>
    <row r="263" spans="1:6" s="324" customFormat="1" ht="0.65" hidden="1" customHeight="1">
      <c r="A263" s="324">
        <v>2073</v>
      </c>
      <c r="D263" s="324">
        <v>22500</v>
      </c>
      <c r="E263" s="324">
        <v>22500</v>
      </c>
      <c r="F263" s="324">
        <v>1</v>
      </c>
    </row>
    <row r="264" spans="1:6" s="324" customFormat="1" ht="0.65" hidden="1" customHeight="1">
      <c r="A264" s="324">
        <v>2074</v>
      </c>
    </row>
    <row r="265" spans="1:6" s="324" customFormat="1" ht="0.65" hidden="1" customHeight="1">
      <c r="A265" s="324">
        <v>2075</v>
      </c>
      <c r="D265" s="324">
        <v>0.25</v>
      </c>
      <c r="E265" s="324">
        <v>0.25</v>
      </c>
      <c r="F265" s="324">
        <v>1</v>
      </c>
    </row>
    <row r="266" spans="1:6" s="324" customFormat="1" ht="0.65" hidden="1" customHeight="1">
      <c r="A266" s="324">
        <v>2076</v>
      </c>
      <c r="D266" s="324" t="s">
        <v>9</v>
      </c>
    </row>
    <row r="267" spans="1:6" s="324" customFormat="1" ht="0.65" hidden="1" customHeight="1">
      <c r="A267" s="324">
        <v>2077</v>
      </c>
    </row>
    <row r="268" spans="1:6" s="324" customFormat="1" ht="0.65" hidden="1" customHeight="1">
      <c r="A268" s="324">
        <v>2078</v>
      </c>
      <c r="D268" s="324">
        <v>720000</v>
      </c>
      <c r="E268" s="324">
        <v>720000</v>
      </c>
      <c r="F268" s="324">
        <v>1</v>
      </c>
    </row>
    <row r="269" spans="1:6" s="324" customFormat="1" ht="0.65" hidden="1" customHeight="1">
      <c r="A269" s="324">
        <v>2079</v>
      </c>
      <c r="D269" s="324">
        <v>240000</v>
      </c>
      <c r="E269" s="324">
        <v>240000</v>
      </c>
      <c r="F269" s="324">
        <v>1</v>
      </c>
    </row>
    <row r="270" spans="1:6" s="324" customFormat="1" ht="0.65" hidden="1" customHeight="1">
      <c r="A270" s="324">
        <v>2080</v>
      </c>
      <c r="D270" s="324">
        <v>0.02</v>
      </c>
      <c r="E270" s="324">
        <v>0.02</v>
      </c>
      <c r="F270" s="324">
        <v>1</v>
      </c>
    </row>
    <row r="271" spans="1:6" s="324" customFormat="1" ht="0.65" hidden="1" customHeight="1">
      <c r="A271" s="324">
        <v>2081</v>
      </c>
      <c r="D271" s="324">
        <v>12000000</v>
      </c>
      <c r="E271" s="324">
        <v>12000000</v>
      </c>
      <c r="F271" s="324">
        <v>1</v>
      </c>
    </row>
    <row r="272" spans="1:6" s="324" customFormat="1" ht="0.65" hidden="1" customHeight="1">
      <c r="A272" s="324">
        <v>2082</v>
      </c>
      <c r="D272" s="324">
        <v>4000000</v>
      </c>
      <c r="E272" s="324">
        <v>4000000</v>
      </c>
      <c r="F272" s="324">
        <v>1</v>
      </c>
    </row>
    <row r="273" spans="1:22" s="324" customFormat="1" ht="0.65" hidden="1" customHeight="1">
      <c r="A273" s="324">
        <v>2083</v>
      </c>
    </row>
    <row r="274" spans="1:22" s="324" customFormat="1" ht="0.65" hidden="1" customHeight="1">
      <c r="A274" s="324">
        <v>2084</v>
      </c>
      <c r="D274" s="324" t="s">
        <v>16</v>
      </c>
    </row>
    <row r="275" spans="1:22" s="324" customFormat="1" ht="0.65" hidden="1" customHeight="1"/>
    <row r="276" spans="1:22" s="324" customFormat="1" ht="0.65" hidden="1" customHeight="1"/>
    <row r="277" spans="1:22" s="324" customFormat="1" ht="0.65" hidden="1" customHeight="1"/>
    <row r="278" spans="1:22" s="324" customFormat="1" ht="0.65" hidden="1" customHeight="1"/>
    <row r="279" spans="1:22" s="324" customFormat="1" ht="0.65" hidden="1" customHeight="1"/>
    <row r="280" spans="1:22" s="324" customFormat="1" ht="0.65" hidden="1" customHeight="1"/>
    <row r="281" spans="1:22" s="324" customFormat="1" ht="0.65" hidden="1" customHeight="1"/>
    <row r="282" spans="1:22" s="324" customFormat="1" ht="0.65" hidden="1" customHeight="1">
      <c r="B282" s="324" t="s">
        <v>19</v>
      </c>
      <c r="D282" s="324" t="s">
        <v>336</v>
      </c>
      <c r="E282" s="324">
        <v>3</v>
      </c>
      <c r="K282" s="324" t="s">
        <v>290</v>
      </c>
      <c r="L282" s="324">
        <v>17</v>
      </c>
      <c r="O282" s="324" t="s">
        <v>21</v>
      </c>
    </row>
    <row r="283" spans="1:22" s="324" customFormat="1" ht="0.65" hidden="1" customHeight="1">
      <c r="B283" s="324" t="s">
        <v>3951</v>
      </c>
      <c r="D283" s="324" t="s">
        <v>336</v>
      </c>
      <c r="E283" s="324" t="s">
        <v>486</v>
      </c>
      <c r="K283" s="324" t="s">
        <v>217</v>
      </c>
      <c r="L283" s="324">
        <v>0</v>
      </c>
    </row>
    <row r="284" spans="1:22" s="324" customFormat="1" ht="0.65" hidden="1" customHeight="1">
      <c r="A284" s="324">
        <v>3001</v>
      </c>
      <c r="C284" s="324" t="s">
        <v>5</v>
      </c>
      <c r="D284" s="324">
        <v>2022</v>
      </c>
      <c r="E284" s="324" t="s">
        <v>55</v>
      </c>
      <c r="G284" s="324" t="s">
        <v>793</v>
      </c>
      <c r="O284" s="324" t="s">
        <v>0</v>
      </c>
      <c r="P284" s="324" t="s">
        <v>69</v>
      </c>
      <c r="Q284" s="324" t="s">
        <v>70</v>
      </c>
      <c r="R284" s="324" t="s">
        <v>71</v>
      </c>
      <c r="S284" s="324" t="s">
        <v>72</v>
      </c>
      <c r="T284" s="324" t="s">
        <v>73</v>
      </c>
      <c r="U284" s="324" t="s">
        <v>74</v>
      </c>
      <c r="V284" s="324" t="s">
        <v>75</v>
      </c>
    </row>
    <row r="285" spans="1:22" s="324" customFormat="1" ht="0.65" hidden="1" customHeight="1">
      <c r="A285" s="324">
        <v>3002</v>
      </c>
      <c r="O285" s="324">
        <v>2023</v>
      </c>
      <c r="P285" s="324">
        <v>720000</v>
      </c>
      <c r="Q285" s="324">
        <v>576000</v>
      </c>
      <c r="R285" s="324">
        <v>-16666.666666666672</v>
      </c>
      <c r="S285" s="324">
        <v>160666.66666666669</v>
      </c>
      <c r="T285" s="324">
        <v>40166.666666666672</v>
      </c>
      <c r="U285" s="324">
        <v>120500.00000000001</v>
      </c>
      <c r="V285" s="324">
        <v>103833.33333333334</v>
      </c>
    </row>
    <row r="286" spans="1:22" s="324" customFormat="1" ht="0.65" hidden="1" customHeight="1">
      <c r="A286" s="324">
        <v>3003</v>
      </c>
      <c r="D286" s="324" t="s">
        <v>139</v>
      </c>
      <c r="E286" s="324" t="s">
        <v>139</v>
      </c>
      <c r="H286" s="324" t="s">
        <v>148</v>
      </c>
      <c r="L286" s="324" t="s">
        <v>149</v>
      </c>
      <c r="O286" s="324" t="s">
        <v>794</v>
      </c>
      <c r="P286" s="324">
        <v>720000</v>
      </c>
      <c r="Q286" s="324">
        <v>576000</v>
      </c>
      <c r="R286" s="324">
        <v>-16666.666666666672</v>
      </c>
      <c r="S286" s="324">
        <v>160666.66666666669</v>
      </c>
      <c r="T286" s="324">
        <v>40166.666666666672</v>
      </c>
      <c r="U286" s="324">
        <v>120500.00000000001</v>
      </c>
      <c r="V286" s="324">
        <v>103833.33333333334</v>
      </c>
    </row>
    <row r="287" spans="1:22" s="324" customFormat="1" ht="0.65" hidden="1" customHeight="1">
      <c r="A287" s="324">
        <v>3004</v>
      </c>
      <c r="C287" s="324" t="s">
        <v>32</v>
      </c>
      <c r="D287" s="324" t="s">
        <v>141</v>
      </c>
      <c r="E287" s="324" t="s">
        <v>140</v>
      </c>
      <c r="F287" s="324" t="s">
        <v>143</v>
      </c>
      <c r="H287" s="324" t="s">
        <v>144</v>
      </c>
      <c r="I287" s="324" t="s">
        <v>145</v>
      </c>
      <c r="J287" s="324" t="s">
        <v>143</v>
      </c>
      <c r="L287" s="324" t="s">
        <v>150</v>
      </c>
      <c r="O287" s="324">
        <v>2024</v>
      </c>
      <c r="P287" s="324">
        <v>720000</v>
      </c>
      <c r="Q287" s="324">
        <v>576000</v>
      </c>
      <c r="R287" s="324">
        <v>-16666.666666666672</v>
      </c>
      <c r="S287" s="324">
        <v>160666.66666666669</v>
      </c>
      <c r="T287" s="324">
        <v>40166.666666666672</v>
      </c>
      <c r="U287" s="324">
        <v>120500.00000000001</v>
      </c>
      <c r="V287" s="324">
        <v>103833.33333333334</v>
      </c>
    </row>
    <row r="288" spans="1:22" s="324" customFormat="1" ht="0.65" hidden="1" customHeight="1">
      <c r="A288" s="324">
        <v>3005</v>
      </c>
      <c r="B288" s="324">
        <v>7.1249999999999994E-2</v>
      </c>
      <c r="C288" s="324" t="s">
        <v>488</v>
      </c>
      <c r="D288" s="324">
        <v>300000</v>
      </c>
      <c r="F288" s="324" t="s">
        <v>55</v>
      </c>
      <c r="H288" s="324" t="s">
        <v>55</v>
      </c>
      <c r="I288" s="324" t="s">
        <v>55</v>
      </c>
      <c r="J288" s="324" t="s">
        <v>55</v>
      </c>
      <c r="K288" s="324">
        <v>300000</v>
      </c>
      <c r="L288" s="324">
        <v>489091.70173323475</v>
      </c>
      <c r="O288" s="324" t="s">
        <v>795</v>
      </c>
      <c r="P288" s="324">
        <v>720000</v>
      </c>
      <c r="Q288" s="324">
        <v>576000</v>
      </c>
      <c r="R288" s="324">
        <v>-16666.666666666672</v>
      </c>
      <c r="S288" s="324">
        <v>160666.66666666669</v>
      </c>
      <c r="T288" s="324">
        <v>40166.666666666672</v>
      </c>
      <c r="U288" s="324">
        <v>120500.00000000001</v>
      </c>
      <c r="V288" s="324">
        <v>103833.33333333334</v>
      </c>
    </row>
    <row r="289" spans="1:27" s="324" customFormat="1" ht="0.65" hidden="1" customHeight="1">
      <c r="A289" s="324">
        <v>3006</v>
      </c>
      <c r="B289" s="324">
        <v>2.6183341600087258</v>
      </c>
      <c r="C289" s="324" t="s">
        <v>6</v>
      </c>
      <c r="D289" s="324">
        <v>6</v>
      </c>
      <c r="F289" s="324" t="s">
        <v>55</v>
      </c>
      <c r="H289" s="324" t="s">
        <v>55</v>
      </c>
      <c r="I289" s="324" t="s">
        <v>55</v>
      </c>
      <c r="J289" s="324" t="s">
        <v>55</v>
      </c>
      <c r="K289" s="324">
        <v>6</v>
      </c>
      <c r="O289" s="324">
        <v>2025</v>
      </c>
      <c r="P289" s="324">
        <v>720000</v>
      </c>
      <c r="Q289" s="324">
        <v>576000</v>
      </c>
      <c r="R289" s="324">
        <v>-16666.666666666672</v>
      </c>
      <c r="S289" s="324">
        <v>160666.66666666669</v>
      </c>
      <c r="T289" s="324">
        <v>40166.666666666672</v>
      </c>
      <c r="U289" s="324">
        <v>120500.00000000001</v>
      </c>
      <c r="V289" s="324">
        <v>103833.33333333334</v>
      </c>
    </row>
    <row r="290" spans="1:27" s="324" customFormat="1" ht="0.65" hidden="1" customHeight="1">
      <c r="A290" s="324">
        <v>3007</v>
      </c>
      <c r="B290" s="324">
        <v>1.8048904689093463</v>
      </c>
      <c r="C290" s="324" t="s">
        <v>489</v>
      </c>
      <c r="D290" s="324">
        <v>100000</v>
      </c>
      <c r="F290" s="324" t="s">
        <v>55</v>
      </c>
      <c r="H290" s="324" t="s">
        <v>55</v>
      </c>
      <c r="I290" s="324" t="s">
        <v>55</v>
      </c>
      <c r="J290" s="324" t="s">
        <v>55</v>
      </c>
      <c r="K290" s="324">
        <v>100000</v>
      </c>
      <c r="L290" s="324">
        <v>-144614.98027343815</v>
      </c>
      <c r="O290" s="324" t="s">
        <v>796</v>
      </c>
      <c r="P290" s="324">
        <v>720000</v>
      </c>
      <c r="Q290" s="324">
        <v>576000</v>
      </c>
      <c r="R290" s="324">
        <v>-16666.666666666672</v>
      </c>
      <c r="S290" s="324">
        <v>160666.66666666669</v>
      </c>
      <c r="T290" s="324">
        <v>40166.666666666672</v>
      </c>
      <c r="U290" s="324">
        <v>120500.00000000001</v>
      </c>
      <c r="V290" s="324">
        <v>103833.33333333334</v>
      </c>
    </row>
    <row r="291" spans="1:27" s="324" customFormat="1" ht="0.65" hidden="1" customHeight="1">
      <c r="A291" s="324">
        <v>3008</v>
      </c>
      <c r="E291" s="324" t="s">
        <v>55</v>
      </c>
      <c r="O291" s="324">
        <v>2026</v>
      </c>
      <c r="P291" s="324">
        <v>0</v>
      </c>
      <c r="Q291" s="324">
        <v>0</v>
      </c>
      <c r="R291" s="324">
        <v>0</v>
      </c>
      <c r="S291" s="324">
        <v>0</v>
      </c>
      <c r="T291" s="324">
        <v>0</v>
      </c>
      <c r="U291" s="324">
        <v>0</v>
      </c>
      <c r="V291" s="324">
        <v>0</v>
      </c>
    </row>
    <row r="292" spans="1:27" s="324" customFormat="1" ht="0.65" hidden="1" customHeight="1">
      <c r="A292" s="324">
        <v>3009</v>
      </c>
      <c r="B292" s="324">
        <v>-236766.68458366423</v>
      </c>
      <c r="C292" s="324" t="s">
        <v>34</v>
      </c>
      <c r="D292" s="324">
        <v>720000</v>
      </c>
      <c r="F292" s="324" t="s">
        <v>55</v>
      </c>
      <c r="H292" s="324" t="s">
        <v>55</v>
      </c>
      <c r="I292" s="324" t="s">
        <v>55</v>
      </c>
      <c r="J292" s="324" t="s">
        <v>55</v>
      </c>
      <c r="K292" s="324">
        <v>720000</v>
      </c>
      <c r="L292" s="324">
        <v>643222.68016509549</v>
      </c>
      <c r="O292" s="324" t="s">
        <v>797</v>
      </c>
      <c r="P292" s="324">
        <v>0</v>
      </c>
      <c r="Q292" s="324">
        <v>0</v>
      </c>
      <c r="R292" s="324">
        <v>0</v>
      </c>
      <c r="S292" s="324">
        <v>0</v>
      </c>
      <c r="T292" s="324">
        <v>0</v>
      </c>
      <c r="U292" s="324">
        <v>0</v>
      </c>
      <c r="V292" s="324">
        <v>0</v>
      </c>
    </row>
    <row r="293" spans="1:27" s="324" customFormat="1" ht="0.65" hidden="1" customHeight="1">
      <c r="A293" s="324">
        <v>3010</v>
      </c>
      <c r="B293" s="324">
        <v>30504.138416226688</v>
      </c>
      <c r="C293" s="324" t="s">
        <v>35</v>
      </c>
      <c r="D293" s="324">
        <v>576000</v>
      </c>
      <c r="F293" s="324" t="s">
        <v>55</v>
      </c>
      <c r="H293" s="324" t="s">
        <v>55</v>
      </c>
      <c r="I293" s="324" t="s">
        <v>55</v>
      </c>
      <c r="J293" s="324" t="s">
        <v>55</v>
      </c>
      <c r="K293" s="324">
        <v>576000</v>
      </c>
      <c r="L293" s="324">
        <v>652384.19697758753</v>
      </c>
      <c r="O293" s="324">
        <v>2027</v>
      </c>
      <c r="P293" s="324">
        <v>0</v>
      </c>
      <c r="Q293" s="324">
        <v>0</v>
      </c>
      <c r="R293" s="324">
        <v>0</v>
      </c>
      <c r="S293" s="324">
        <v>0</v>
      </c>
      <c r="T293" s="324">
        <v>0</v>
      </c>
      <c r="U293" s="324">
        <v>0</v>
      </c>
      <c r="V293" s="324">
        <v>0</v>
      </c>
    </row>
    <row r="294" spans="1:27" s="324" customFormat="1" ht="0.65" hidden="1" customHeight="1">
      <c r="A294" s="324">
        <v>3011</v>
      </c>
      <c r="B294" s="324">
        <v>75000</v>
      </c>
      <c r="E294" s="324" t="s">
        <v>55</v>
      </c>
      <c r="O294" s="324" t="s">
        <v>798</v>
      </c>
      <c r="P294" s="324">
        <v>0</v>
      </c>
      <c r="Q294" s="324">
        <v>0</v>
      </c>
      <c r="R294" s="324">
        <v>0</v>
      </c>
      <c r="S294" s="324">
        <v>0</v>
      </c>
      <c r="T294" s="324">
        <v>0</v>
      </c>
      <c r="U294" s="324">
        <v>0</v>
      </c>
      <c r="V294" s="324">
        <v>0</v>
      </c>
    </row>
    <row r="295" spans="1:27" s="324" customFormat="1" ht="0.65" hidden="1" customHeight="1">
      <c r="A295" s="324">
        <v>3012</v>
      </c>
      <c r="B295" s="324">
        <v>6361.097333187904</v>
      </c>
      <c r="C295" s="324" t="s">
        <v>7</v>
      </c>
      <c r="D295" s="324">
        <v>60</v>
      </c>
      <c r="F295" s="324" t="s">
        <v>55</v>
      </c>
      <c r="H295" s="324" t="s">
        <v>55</v>
      </c>
      <c r="I295" s="324" t="s">
        <v>55</v>
      </c>
      <c r="J295" s="324" t="s">
        <v>55</v>
      </c>
      <c r="K295" s="324">
        <v>60</v>
      </c>
    </row>
    <row r="296" spans="1:27" s="324" customFormat="1" ht="0.65" hidden="1" customHeight="1">
      <c r="A296" s="324">
        <v>3013</v>
      </c>
      <c r="B296" s="324">
        <v>1399495.019558341</v>
      </c>
      <c r="C296" s="324" t="s">
        <v>8</v>
      </c>
      <c r="D296" s="324">
        <v>30</v>
      </c>
      <c r="F296" s="324" t="s">
        <v>55</v>
      </c>
      <c r="H296" s="324" t="s">
        <v>55</v>
      </c>
      <c r="I296" s="324" t="s">
        <v>55</v>
      </c>
      <c r="J296" s="324" t="s">
        <v>55</v>
      </c>
      <c r="K296" s="324">
        <v>30</v>
      </c>
    </row>
    <row r="297" spans="1:27" s="324" customFormat="1" ht="0.65" hidden="1" customHeight="1">
      <c r="A297" s="324">
        <v>3014</v>
      </c>
      <c r="B297" s="324">
        <v>-1125358.1863852211</v>
      </c>
      <c r="G297" s="324" t="s">
        <v>793</v>
      </c>
      <c r="O297" s="324" t="s">
        <v>22</v>
      </c>
      <c r="U297" s="324" t="s">
        <v>26</v>
      </c>
    </row>
    <row r="298" spans="1:27" s="324" customFormat="1" ht="0.65" hidden="1" customHeight="1">
      <c r="A298" s="324">
        <v>3015</v>
      </c>
      <c r="C298" s="324" t="s">
        <v>33</v>
      </c>
      <c r="E298" s="324" t="s">
        <v>55</v>
      </c>
    </row>
    <row r="299" spans="1:27" s="324" customFormat="1" ht="0.65" hidden="1" customHeight="1">
      <c r="A299" s="324">
        <v>3016</v>
      </c>
      <c r="B299" s="324">
        <v>149235.38433887041</v>
      </c>
      <c r="C299" s="324" t="s">
        <v>492</v>
      </c>
      <c r="D299" s="324">
        <v>100000</v>
      </c>
      <c r="F299" s="324" t="s">
        <v>55</v>
      </c>
      <c r="H299" s="324" t="s">
        <v>55</v>
      </c>
      <c r="I299" s="324" t="s">
        <v>55</v>
      </c>
      <c r="J299" s="324" t="s">
        <v>55</v>
      </c>
      <c r="K299" s="324">
        <v>100000</v>
      </c>
      <c r="L299" s="324">
        <v>-98980.512451827221</v>
      </c>
      <c r="O299" s="324" t="s">
        <v>0</v>
      </c>
      <c r="P299" s="324" t="s">
        <v>76</v>
      </c>
      <c r="Q299" s="324" t="s">
        <v>77</v>
      </c>
      <c r="R299" s="324" t="s">
        <v>78</v>
      </c>
      <c r="S299" s="324" t="s">
        <v>79</v>
      </c>
    </row>
    <row r="300" spans="1:27" s="324" customFormat="1" ht="0.65" hidden="1" customHeight="1">
      <c r="A300" s="324">
        <v>3017</v>
      </c>
      <c r="C300" s="324" t="s">
        <v>495</v>
      </c>
      <c r="D300" s="324">
        <v>200000</v>
      </c>
      <c r="E300" s="324">
        <v>200000</v>
      </c>
      <c r="K300" s="324">
        <v>200000</v>
      </c>
      <c r="O300" s="324">
        <v>2022</v>
      </c>
      <c r="P300" s="324">
        <v>0</v>
      </c>
      <c r="Q300" s="324">
        <v>0</v>
      </c>
      <c r="R300" s="324">
        <v>0</v>
      </c>
      <c r="S300" s="324">
        <v>0</v>
      </c>
    </row>
    <row r="301" spans="1:27" s="324" customFormat="1" ht="0.65" hidden="1" customHeight="1">
      <c r="A301" s="324">
        <v>3018</v>
      </c>
      <c r="C301" s="324" t="s">
        <v>6</v>
      </c>
      <c r="D301" s="324">
        <v>3</v>
      </c>
      <c r="F301" s="324" t="s">
        <v>55</v>
      </c>
      <c r="H301" s="324" t="s">
        <v>55</v>
      </c>
      <c r="I301" s="324" t="s">
        <v>55</v>
      </c>
      <c r="J301" s="324" t="s">
        <v>55</v>
      </c>
      <c r="K301" s="324">
        <v>3</v>
      </c>
      <c r="O301" s="324" t="s">
        <v>799</v>
      </c>
      <c r="P301" s="324">
        <v>0</v>
      </c>
      <c r="Q301" s="324">
        <v>0</v>
      </c>
      <c r="R301" s="324">
        <v>0</v>
      </c>
      <c r="S301" s="324">
        <v>0</v>
      </c>
      <c r="V301" s="324" t="s">
        <v>81</v>
      </c>
    </row>
    <row r="302" spans="1:27" s="324" customFormat="1" ht="0.65" hidden="1" customHeight="1">
      <c r="A302" s="324">
        <v>3019</v>
      </c>
      <c r="C302" s="324" t="s">
        <v>489</v>
      </c>
      <c r="D302" s="324">
        <v>50000</v>
      </c>
      <c r="F302" s="324" t="s">
        <v>55</v>
      </c>
      <c r="H302" s="324" t="s">
        <v>55</v>
      </c>
      <c r="I302" s="324" t="s">
        <v>55</v>
      </c>
      <c r="J302" s="324" t="s">
        <v>55</v>
      </c>
      <c r="K302" s="324">
        <v>50000</v>
      </c>
      <c r="L302" s="324">
        <v>294614.98027343815</v>
      </c>
      <c r="O302" s="324">
        <v>2023</v>
      </c>
      <c r="P302" s="324">
        <v>120000</v>
      </c>
      <c r="Q302" s="324">
        <v>48000</v>
      </c>
      <c r="R302" s="324">
        <v>72000</v>
      </c>
      <c r="S302" s="324">
        <v>72000</v>
      </c>
      <c r="U302" s="324" t="s">
        <v>0</v>
      </c>
      <c r="V302" s="324" t="s">
        <v>1</v>
      </c>
      <c r="W302" s="324" t="s">
        <v>1</v>
      </c>
      <c r="X302" s="324" t="s">
        <v>31</v>
      </c>
      <c r="Z302" s="324" t="s">
        <v>31</v>
      </c>
    </row>
    <row r="303" spans="1:27" s="324" customFormat="1" ht="0.65" hidden="1" customHeight="1">
      <c r="A303" s="324">
        <v>3020</v>
      </c>
      <c r="E303" s="324" t="s">
        <v>55</v>
      </c>
      <c r="O303" s="324" t="s">
        <v>794</v>
      </c>
      <c r="P303" s="324">
        <v>120000</v>
      </c>
      <c r="Q303" s="324">
        <v>48000</v>
      </c>
      <c r="R303" s="324">
        <v>72000</v>
      </c>
      <c r="S303" s="324">
        <v>72000</v>
      </c>
      <c r="U303" s="324">
        <v>2022</v>
      </c>
      <c r="V303" s="324">
        <v>-175000</v>
      </c>
      <c r="W303" s="324">
        <v>-175000</v>
      </c>
      <c r="X303" s="324">
        <v>-175000</v>
      </c>
      <c r="Z303" s="324">
        <v>-175000</v>
      </c>
    </row>
    <row r="304" spans="1:27" s="324" customFormat="1" ht="0.65" hidden="1" customHeight="1">
      <c r="A304" s="324">
        <v>3021</v>
      </c>
      <c r="C304" s="324" t="s">
        <v>4</v>
      </c>
      <c r="D304" s="324">
        <v>0.25</v>
      </c>
      <c r="F304" s="324" t="s">
        <v>55</v>
      </c>
      <c r="H304" s="324" t="s">
        <v>55</v>
      </c>
      <c r="I304" s="324" t="s">
        <v>55</v>
      </c>
      <c r="J304" s="324" t="s">
        <v>55</v>
      </c>
      <c r="K304" s="324">
        <v>0.25</v>
      </c>
      <c r="O304" s="324">
        <v>2024</v>
      </c>
      <c r="P304" s="324">
        <v>120000</v>
      </c>
      <c r="Q304" s="324">
        <v>48000</v>
      </c>
      <c r="R304" s="324">
        <v>72000</v>
      </c>
      <c r="S304" s="324">
        <v>0</v>
      </c>
      <c r="U304" s="324">
        <v>2023</v>
      </c>
      <c r="V304" s="324">
        <v>31833.333333333343</v>
      </c>
      <c r="W304" s="324">
        <v>31833.333333333343</v>
      </c>
      <c r="X304" s="324">
        <v>-143166.66666666666</v>
      </c>
      <c r="Y304" s="324" t="s">
        <v>55</v>
      </c>
      <c r="Z304" s="324">
        <v>-143166.66666666666</v>
      </c>
      <c r="AA304" s="324" t="s">
        <v>55</v>
      </c>
    </row>
    <row r="305" spans="1:27" s="324" customFormat="1" ht="0.65" hidden="1" customHeight="1">
      <c r="A305" s="324">
        <v>3022</v>
      </c>
      <c r="D305" s="324" t="s">
        <v>9</v>
      </c>
      <c r="G305" s="324" t="s">
        <v>793</v>
      </c>
      <c r="O305" s="324" t="s">
        <v>795</v>
      </c>
      <c r="P305" s="324">
        <v>120000</v>
      </c>
      <c r="Q305" s="324">
        <v>48000</v>
      </c>
      <c r="R305" s="324">
        <v>72000</v>
      </c>
      <c r="S305" s="324">
        <v>0</v>
      </c>
      <c r="U305" s="324">
        <v>2024</v>
      </c>
      <c r="V305" s="324">
        <v>103833.33333333334</v>
      </c>
      <c r="W305" s="324">
        <v>103833.33333333334</v>
      </c>
      <c r="X305" s="324">
        <v>-39333.333333333314</v>
      </c>
      <c r="Y305" s="324" t="s">
        <v>55</v>
      </c>
      <c r="Z305" s="324">
        <v>-39333.333333333314</v>
      </c>
      <c r="AA305" s="324" t="s">
        <v>55</v>
      </c>
    </row>
    <row r="306" spans="1:27" s="324" customFormat="1" ht="0.65" hidden="1" customHeight="1">
      <c r="A306" s="324">
        <v>3023</v>
      </c>
      <c r="E306" s="324" t="s">
        <v>55</v>
      </c>
      <c r="O306" s="324">
        <v>2025</v>
      </c>
      <c r="P306" s="324">
        <v>120000</v>
      </c>
      <c r="Q306" s="324">
        <v>48000</v>
      </c>
      <c r="R306" s="324">
        <v>72000</v>
      </c>
      <c r="S306" s="324">
        <v>0</v>
      </c>
      <c r="U306" s="324">
        <v>2025</v>
      </c>
      <c r="V306" s="324">
        <v>250833.33333333334</v>
      </c>
      <c r="W306" s="324">
        <v>250833.33333333334</v>
      </c>
      <c r="X306" s="324">
        <v>211500.00000000003</v>
      </c>
      <c r="Y306" s="324">
        <v>2025</v>
      </c>
      <c r="Z306" s="324">
        <v>211500.00000000003</v>
      </c>
      <c r="AA306" s="324">
        <v>2025</v>
      </c>
    </row>
    <row r="307" spans="1:27" s="324" customFormat="1" ht="0.65" hidden="1" customHeight="1">
      <c r="A307" s="324">
        <v>3024</v>
      </c>
      <c r="C307" s="324" t="s">
        <v>10</v>
      </c>
      <c r="D307" s="324">
        <v>180000</v>
      </c>
      <c r="F307" s="324" t="s">
        <v>55</v>
      </c>
      <c r="H307" s="324" t="s">
        <v>55</v>
      </c>
      <c r="I307" s="324" t="s">
        <v>55</v>
      </c>
      <c r="J307" s="324" t="s">
        <v>55</v>
      </c>
      <c r="K307" s="324">
        <v>180000</v>
      </c>
      <c r="O307" s="324" t="s">
        <v>796</v>
      </c>
      <c r="P307" s="324">
        <v>120000</v>
      </c>
      <c r="Q307" s="324">
        <v>48000</v>
      </c>
      <c r="R307" s="324">
        <v>72000</v>
      </c>
      <c r="S307" s="324">
        <v>0</v>
      </c>
      <c r="U307" s="324">
        <v>2026</v>
      </c>
      <c r="V307" s="324">
        <v>0</v>
      </c>
      <c r="W307" s="324">
        <v>0</v>
      </c>
      <c r="Z307" s="324">
        <v>211500.00000000003</v>
      </c>
      <c r="AA307" s="324" t="s">
        <v>55</v>
      </c>
    </row>
    <row r="308" spans="1:27" s="324" customFormat="1" ht="0.65" hidden="1" customHeight="1">
      <c r="A308" s="324">
        <v>3025</v>
      </c>
      <c r="C308" s="324" t="s">
        <v>11</v>
      </c>
      <c r="D308" s="324">
        <v>450000</v>
      </c>
      <c r="F308" s="324" t="s">
        <v>55</v>
      </c>
      <c r="H308" s="324" t="s">
        <v>55</v>
      </c>
      <c r="I308" s="324" t="s">
        <v>55</v>
      </c>
      <c r="J308" s="324" t="s">
        <v>55</v>
      </c>
      <c r="K308" s="324">
        <v>450000</v>
      </c>
      <c r="O308" s="324">
        <v>2026</v>
      </c>
      <c r="P308" s="324">
        <v>0</v>
      </c>
      <c r="Q308" s="324">
        <v>0</v>
      </c>
      <c r="R308" s="324">
        <v>0</v>
      </c>
      <c r="S308" s="324">
        <v>0</v>
      </c>
      <c r="U308" s="324">
        <v>2027</v>
      </c>
      <c r="V308" s="324">
        <v>0</v>
      </c>
      <c r="W308" s="324">
        <v>0</v>
      </c>
      <c r="Z308" s="324">
        <v>211500.00000000003</v>
      </c>
      <c r="AA308" s="324" t="s">
        <v>55</v>
      </c>
    </row>
    <row r="309" spans="1:27" s="324" customFormat="1" ht="0.65" hidden="1" customHeight="1">
      <c r="A309" s="324">
        <v>3026</v>
      </c>
      <c r="C309" s="324" t="s">
        <v>12</v>
      </c>
      <c r="D309" s="324">
        <v>0.03</v>
      </c>
      <c r="F309" s="324" t="s">
        <v>55</v>
      </c>
      <c r="H309" s="324" t="s">
        <v>55</v>
      </c>
      <c r="I309" s="324" t="s">
        <v>55</v>
      </c>
      <c r="J309" s="324" t="s">
        <v>55</v>
      </c>
      <c r="K309" s="324">
        <v>0.03</v>
      </c>
      <c r="O309" s="324" t="s">
        <v>797</v>
      </c>
      <c r="P309" s="324">
        <v>0</v>
      </c>
      <c r="Q309" s="324">
        <v>0</v>
      </c>
      <c r="R309" s="324">
        <v>0</v>
      </c>
      <c r="S309" s="324">
        <v>0</v>
      </c>
    </row>
    <row r="310" spans="1:27" s="324" customFormat="1" ht="0.65" hidden="1" customHeight="1">
      <c r="A310" s="324">
        <v>3027</v>
      </c>
      <c r="C310" s="324" t="s">
        <v>2</v>
      </c>
      <c r="D310" s="324">
        <v>3000000</v>
      </c>
      <c r="F310" s="324" t="s">
        <v>55</v>
      </c>
      <c r="H310" s="324" t="s">
        <v>55</v>
      </c>
      <c r="I310" s="324" t="s">
        <v>55</v>
      </c>
      <c r="J310" s="324" t="s">
        <v>55</v>
      </c>
      <c r="K310" s="324">
        <v>3000000</v>
      </c>
      <c r="O310" s="324">
        <v>2027</v>
      </c>
      <c r="P310" s="324">
        <v>0</v>
      </c>
      <c r="Q310" s="324">
        <v>0</v>
      </c>
      <c r="R310" s="324">
        <v>0</v>
      </c>
      <c r="S310" s="324">
        <v>0</v>
      </c>
    </row>
    <row r="311" spans="1:27" s="324" customFormat="1" ht="0.65" hidden="1" customHeight="1">
      <c r="A311" s="324">
        <v>3028</v>
      </c>
      <c r="C311" s="324" t="s">
        <v>3</v>
      </c>
      <c r="D311" s="324">
        <v>9000000</v>
      </c>
      <c r="F311" s="324" t="s">
        <v>55</v>
      </c>
      <c r="H311" s="324" t="s">
        <v>55</v>
      </c>
      <c r="I311" s="324" t="s">
        <v>55</v>
      </c>
      <c r="J311" s="324" t="s">
        <v>55</v>
      </c>
      <c r="K311" s="324">
        <v>9000000</v>
      </c>
      <c r="O311" s="324" t="s">
        <v>798</v>
      </c>
      <c r="P311" s="324">
        <v>0</v>
      </c>
      <c r="Q311" s="324">
        <v>0</v>
      </c>
      <c r="R311" s="324">
        <v>0</v>
      </c>
      <c r="S311" s="324">
        <v>0</v>
      </c>
    </row>
    <row r="312" spans="1:27" s="324" customFormat="1" ht="0.65" hidden="1" customHeight="1">
      <c r="A312" s="324">
        <v>3029</v>
      </c>
      <c r="E312" s="324" t="s">
        <v>55</v>
      </c>
      <c r="G312" s="324" t="s">
        <v>793</v>
      </c>
    </row>
    <row r="313" spans="1:27" s="324" customFormat="1" ht="0.65" hidden="1" customHeight="1">
      <c r="A313" s="324">
        <v>3030</v>
      </c>
      <c r="C313" s="324" t="s">
        <v>14</v>
      </c>
      <c r="D313" s="324" t="s">
        <v>16</v>
      </c>
      <c r="F313" s="324" t="s">
        <v>55</v>
      </c>
      <c r="H313" s="324" t="s">
        <v>55</v>
      </c>
      <c r="I313" s="324" t="s">
        <v>55</v>
      </c>
      <c r="J313" s="324" t="s">
        <v>55</v>
      </c>
      <c r="K313" s="324">
        <v>3</v>
      </c>
    </row>
    <row r="314" spans="1:27" s="324" customFormat="1" ht="0.65" hidden="1" customHeight="1">
      <c r="A314" s="324">
        <v>3031</v>
      </c>
      <c r="O314" s="324" t="s">
        <v>142</v>
      </c>
      <c r="U314" s="324" t="s">
        <v>27</v>
      </c>
    </row>
    <row r="315" spans="1:27" s="324" customFormat="1" ht="0.65" hidden="1" customHeight="1">
      <c r="A315" s="324">
        <v>3032</v>
      </c>
    </row>
    <row r="316" spans="1:27" s="324" customFormat="1" ht="0.65" hidden="1" customHeight="1">
      <c r="A316" s="324">
        <v>3033</v>
      </c>
      <c r="P316" s="324" t="s">
        <v>146</v>
      </c>
      <c r="Q316" s="324" t="s">
        <v>147</v>
      </c>
    </row>
    <row r="317" spans="1:27" s="324" customFormat="1" ht="0.65" hidden="1" customHeight="1">
      <c r="A317" s="324">
        <v>3034</v>
      </c>
      <c r="O317" s="324" t="s">
        <v>490</v>
      </c>
      <c r="P317" s="324">
        <v>175000</v>
      </c>
      <c r="Q317" s="324">
        <v>175000</v>
      </c>
      <c r="V317" s="324" t="s">
        <v>146</v>
      </c>
      <c r="W317" s="324" t="s">
        <v>147</v>
      </c>
    </row>
    <row r="318" spans="1:27" s="324" customFormat="1" ht="0.65" hidden="1" customHeight="1">
      <c r="A318" s="324">
        <v>3035</v>
      </c>
      <c r="O318" s="324" t="s">
        <v>491</v>
      </c>
      <c r="P318" s="324">
        <v>75000</v>
      </c>
      <c r="Q318" s="324">
        <v>75000</v>
      </c>
      <c r="U318" s="324" t="s">
        <v>13</v>
      </c>
      <c r="V318" s="324">
        <v>149235.38433886995</v>
      </c>
      <c r="W318" s="324">
        <v>149235.38433886995</v>
      </c>
    </row>
    <row r="319" spans="1:27" s="324" customFormat="1" ht="0.65" hidden="1" customHeight="1">
      <c r="A319" s="324">
        <v>3036</v>
      </c>
      <c r="O319" s="324" t="s">
        <v>493</v>
      </c>
      <c r="P319" s="324">
        <v>72000</v>
      </c>
      <c r="Q319" s="324">
        <v>72000</v>
      </c>
      <c r="U319" s="324" t="s">
        <v>28</v>
      </c>
      <c r="V319" s="324">
        <v>0.37357216681627725</v>
      </c>
      <c r="W319" s="324">
        <v>0.37357216681627725</v>
      </c>
    </row>
    <row r="320" spans="1:27" s="324" customFormat="1" ht="0.65" hidden="1" customHeight="1">
      <c r="A320" s="324">
        <v>3037</v>
      </c>
      <c r="O320" s="324" t="s">
        <v>494</v>
      </c>
      <c r="P320" s="324">
        <v>147000</v>
      </c>
      <c r="Q320" s="324">
        <v>147000</v>
      </c>
      <c r="U320" s="324" t="s">
        <v>29</v>
      </c>
      <c r="V320" s="324">
        <v>0.85277362479354257</v>
      </c>
      <c r="W320" s="324">
        <v>0.85277362479354257</v>
      </c>
    </row>
    <row r="321" spans="1:26" s="324" customFormat="1" ht="0.65" hidden="1" customHeight="1">
      <c r="A321" s="324">
        <v>3038</v>
      </c>
      <c r="U321" s="324" t="s">
        <v>30</v>
      </c>
      <c r="V321" s="324">
        <v>2025</v>
      </c>
      <c r="W321" s="324">
        <v>2025</v>
      </c>
    </row>
    <row r="322" spans="1:26" s="324" customFormat="1" ht="0.65" hidden="1" customHeight="1">
      <c r="A322" s="324">
        <v>3039</v>
      </c>
    </row>
    <row r="323" spans="1:26" s="324" customFormat="1" ht="0.65" hidden="1" customHeight="1">
      <c r="A323" s="324">
        <v>3040</v>
      </c>
      <c r="O323" s="324" t="s">
        <v>25</v>
      </c>
    </row>
    <row r="324" spans="1:26" s="324" customFormat="1" ht="0.65" hidden="1" customHeight="1">
      <c r="A324" s="324">
        <v>3041</v>
      </c>
    </row>
    <row r="325" spans="1:26" s="324" customFormat="1" ht="0.65" hidden="1" customHeight="1">
      <c r="A325" s="324">
        <v>3042</v>
      </c>
      <c r="P325" s="324" t="s">
        <v>146</v>
      </c>
      <c r="Q325" s="324" t="s">
        <v>147</v>
      </c>
    </row>
    <row r="326" spans="1:26" s="324" customFormat="1" ht="0.65" hidden="1" customHeight="1">
      <c r="A326" s="324">
        <v>3043</v>
      </c>
      <c r="O326" s="324" t="s">
        <v>124</v>
      </c>
      <c r="P326" s="324">
        <v>4.4999999999999998E-2</v>
      </c>
      <c r="Q326" s="324">
        <v>4.4999999999999998E-2</v>
      </c>
    </row>
    <row r="327" spans="1:26" s="324" customFormat="1" ht="0.65" hidden="1" customHeight="1">
      <c r="A327" s="324">
        <v>3044</v>
      </c>
      <c r="O327" s="324" t="s">
        <v>125</v>
      </c>
      <c r="P327" s="324">
        <v>0.08</v>
      </c>
      <c r="Q327" s="324">
        <v>0.08</v>
      </c>
    </row>
    <row r="328" spans="1:26" s="324" customFormat="1" ht="0.65" hidden="1" customHeight="1">
      <c r="A328" s="324">
        <v>3045</v>
      </c>
      <c r="O328" s="324" t="s">
        <v>126</v>
      </c>
      <c r="P328" s="324">
        <v>7.1249999999999994E-2</v>
      </c>
      <c r="Q328" s="324">
        <v>7.1249999999999994E-2</v>
      </c>
    </row>
    <row r="329" spans="1:26" s="324" customFormat="1" ht="0.65" hidden="1" customHeight="1">
      <c r="A329" s="324">
        <v>3046</v>
      </c>
    </row>
    <row r="330" spans="1:26" s="324" customFormat="1" ht="0.65" hidden="1" customHeight="1">
      <c r="A330" s="324">
        <v>3047</v>
      </c>
      <c r="B330" s="324">
        <v>2</v>
      </c>
      <c r="C330" s="324">
        <v>3</v>
      </c>
      <c r="D330" s="324">
        <v>4</v>
      </c>
      <c r="E330" s="324">
        <v>5</v>
      </c>
      <c r="F330" s="324">
        <v>6</v>
      </c>
      <c r="G330" s="324">
        <v>7</v>
      </c>
      <c r="H330" s="324">
        <v>8</v>
      </c>
      <c r="I330" s="324">
        <v>9</v>
      </c>
      <c r="J330" s="324">
        <v>10</v>
      </c>
      <c r="K330" s="324">
        <v>11</v>
      </c>
      <c r="L330" s="324">
        <v>12</v>
      </c>
      <c r="M330" s="324">
        <v>13</v>
      </c>
      <c r="N330" s="324">
        <v>14</v>
      </c>
      <c r="O330" s="324">
        <v>15</v>
      </c>
      <c r="P330" s="324">
        <v>16</v>
      </c>
      <c r="Q330" s="324">
        <v>17</v>
      </c>
      <c r="R330" s="324">
        <v>18</v>
      </c>
      <c r="S330" s="324">
        <v>19</v>
      </c>
      <c r="T330" s="324">
        <v>20</v>
      </c>
      <c r="U330" s="324">
        <v>21</v>
      </c>
      <c r="V330" s="324">
        <v>22</v>
      </c>
      <c r="W330" s="324">
        <v>23</v>
      </c>
      <c r="X330" s="324">
        <v>24</v>
      </c>
      <c r="Y330" s="324">
        <v>25</v>
      </c>
      <c r="Z330" s="324">
        <v>26</v>
      </c>
    </row>
    <row r="331" spans="1:26" s="324" customFormat="1" ht="0.65" hidden="1" customHeight="1">
      <c r="A331" s="324">
        <v>3048</v>
      </c>
    </row>
    <row r="332" spans="1:26" s="324" customFormat="1" ht="0.65" hidden="1" customHeight="1">
      <c r="A332" s="324">
        <v>3049</v>
      </c>
    </row>
    <row r="333" spans="1:26" s="324" customFormat="1" ht="0.65" hidden="1" customHeight="1">
      <c r="A333" s="324">
        <v>3050</v>
      </c>
    </row>
    <row r="334" spans="1:26" s="324" customFormat="1" ht="0.65" hidden="1" customHeight="1">
      <c r="A334" s="324">
        <v>3051</v>
      </c>
    </row>
    <row r="335" spans="1:26" s="324" customFormat="1" ht="0.65" hidden="1" customHeight="1">
      <c r="A335" s="324">
        <v>3052</v>
      </c>
    </row>
    <row r="336" spans="1:26" s="324" customFormat="1" ht="0.65" hidden="1" customHeight="1">
      <c r="A336" s="324">
        <v>3053</v>
      </c>
    </row>
    <row r="337" spans="1:6" s="324" customFormat="1" ht="0.65" hidden="1" customHeight="1">
      <c r="A337" s="324">
        <v>3054</v>
      </c>
    </row>
    <row r="338" spans="1:6" s="324" customFormat="1" ht="0.65" hidden="1" customHeight="1">
      <c r="A338" s="324">
        <v>3055</v>
      </c>
    </row>
    <row r="339" spans="1:6" s="324" customFormat="1" ht="0.65" hidden="1" customHeight="1">
      <c r="A339" s="324">
        <v>3056</v>
      </c>
    </row>
    <row r="340" spans="1:6" s="324" customFormat="1" ht="0.65" hidden="1" customHeight="1">
      <c r="A340" s="324">
        <v>3057</v>
      </c>
    </row>
    <row r="341" spans="1:6" s="324" customFormat="1" ht="0.65" hidden="1" customHeight="1">
      <c r="A341" s="324">
        <v>3058</v>
      </c>
    </row>
    <row r="342" spans="1:6" s="324" customFormat="1" ht="0.65" hidden="1" customHeight="1">
      <c r="A342" s="324">
        <v>3059</v>
      </c>
      <c r="D342" s="324">
        <v>300000</v>
      </c>
      <c r="E342" s="324">
        <v>300000</v>
      </c>
      <c r="F342" s="324">
        <v>1</v>
      </c>
    </row>
    <row r="343" spans="1:6" s="324" customFormat="1" ht="0.65" hidden="1" customHeight="1">
      <c r="A343" s="324">
        <v>3060</v>
      </c>
      <c r="D343" s="324">
        <v>6</v>
      </c>
      <c r="E343" s="324">
        <v>6</v>
      </c>
      <c r="F343" s="324">
        <v>1</v>
      </c>
    </row>
    <row r="344" spans="1:6" s="324" customFormat="1" ht="0.65" hidden="1" customHeight="1">
      <c r="A344" s="324">
        <v>3061</v>
      </c>
      <c r="D344" s="324">
        <v>100000</v>
      </c>
      <c r="E344" s="324">
        <v>100000</v>
      </c>
      <c r="F344" s="324">
        <v>1</v>
      </c>
    </row>
    <row r="345" spans="1:6" s="324" customFormat="1" ht="0.65" hidden="1" customHeight="1">
      <c r="A345" s="324">
        <v>3062</v>
      </c>
    </row>
    <row r="346" spans="1:6" s="324" customFormat="1" ht="0.65" hidden="1" customHeight="1">
      <c r="A346" s="324">
        <v>3063</v>
      </c>
      <c r="D346" s="324">
        <v>720000</v>
      </c>
      <c r="E346" s="324">
        <v>720000</v>
      </c>
      <c r="F346" s="324">
        <v>1</v>
      </c>
    </row>
    <row r="347" spans="1:6" s="324" customFormat="1" ht="0.65" hidden="1" customHeight="1">
      <c r="A347" s="324">
        <v>3064</v>
      </c>
      <c r="D347" s="324">
        <v>576000</v>
      </c>
      <c r="E347" s="324">
        <v>576000</v>
      </c>
      <c r="F347" s="324">
        <v>1</v>
      </c>
    </row>
    <row r="348" spans="1:6" s="324" customFormat="1" ht="0.65" hidden="1" customHeight="1">
      <c r="A348" s="324">
        <v>3065</v>
      </c>
    </row>
    <row r="349" spans="1:6" s="324" customFormat="1" ht="0.65" hidden="1" customHeight="1">
      <c r="A349" s="324">
        <v>3066</v>
      </c>
      <c r="D349" s="324">
        <v>60</v>
      </c>
      <c r="E349" s="324">
        <v>60</v>
      </c>
      <c r="F349" s="324">
        <v>1</v>
      </c>
    </row>
    <row r="350" spans="1:6" s="324" customFormat="1" ht="0.65" hidden="1" customHeight="1">
      <c r="A350" s="324">
        <v>3067</v>
      </c>
      <c r="D350" s="324">
        <v>30</v>
      </c>
      <c r="E350" s="324">
        <v>30</v>
      </c>
      <c r="F350" s="324">
        <v>1</v>
      </c>
    </row>
    <row r="351" spans="1:6" s="324" customFormat="1" ht="0.65" hidden="1" customHeight="1">
      <c r="A351" s="324">
        <v>3068</v>
      </c>
    </row>
    <row r="352" spans="1:6" s="324" customFormat="1" ht="0.65" hidden="1" customHeight="1">
      <c r="A352" s="324">
        <v>3069</v>
      </c>
    </row>
    <row r="353" spans="1:6" s="324" customFormat="1" ht="0.65" hidden="1" customHeight="1">
      <c r="A353" s="324">
        <v>3070</v>
      </c>
      <c r="D353" s="324">
        <v>100000</v>
      </c>
      <c r="E353" s="324">
        <v>100000</v>
      </c>
      <c r="F353" s="324">
        <v>1</v>
      </c>
    </row>
    <row r="354" spans="1:6" s="324" customFormat="1" ht="0.65" hidden="1" customHeight="1">
      <c r="A354" s="324">
        <v>3071</v>
      </c>
      <c r="D354" s="324">
        <v>200000</v>
      </c>
      <c r="E354" s="324">
        <v>200000</v>
      </c>
      <c r="F354" s="324">
        <v>1</v>
      </c>
    </row>
    <row r="355" spans="1:6" s="324" customFormat="1" ht="0.65" hidden="1" customHeight="1">
      <c r="A355" s="324">
        <v>3072</v>
      </c>
      <c r="D355" s="324">
        <v>3</v>
      </c>
      <c r="E355" s="324">
        <v>3</v>
      </c>
      <c r="F355" s="324">
        <v>1</v>
      </c>
    </row>
    <row r="356" spans="1:6" s="324" customFormat="1" ht="0.65" hidden="1" customHeight="1">
      <c r="A356" s="324">
        <v>3073</v>
      </c>
      <c r="D356" s="324">
        <v>50000</v>
      </c>
      <c r="E356" s="324">
        <v>50000</v>
      </c>
      <c r="F356" s="324">
        <v>1</v>
      </c>
    </row>
    <row r="357" spans="1:6" s="324" customFormat="1" ht="0.65" hidden="1" customHeight="1">
      <c r="A357" s="324">
        <v>3074</v>
      </c>
    </row>
    <row r="358" spans="1:6" s="324" customFormat="1" ht="0.65" hidden="1" customHeight="1">
      <c r="A358" s="324">
        <v>3075</v>
      </c>
      <c r="D358" s="324">
        <v>0.25</v>
      </c>
      <c r="E358" s="324">
        <v>0.25</v>
      </c>
      <c r="F358" s="324">
        <v>1</v>
      </c>
    </row>
    <row r="359" spans="1:6" s="324" customFormat="1" ht="0.65" hidden="1" customHeight="1">
      <c r="A359" s="324">
        <v>3076</v>
      </c>
      <c r="D359" s="324" t="s">
        <v>9</v>
      </c>
    </row>
    <row r="360" spans="1:6" s="324" customFormat="1" ht="0.65" hidden="1" customHeight="1">
      <c r="A360" s="324">
        <v>3077</v>
      </c>
    </row>
    <row r="361" spans="1:6" s="324" customFormat="1" ht="0.65" hidden="1" customHeight="1">
      <c r="A361" s="324">
        <v>3078</v>
      </c>
      <c r="D361" s="324">
        <v>180000</v>
      </c>
      <c r="E361" s="324">
        <v>180000</v>
      </c>
      <c r="F361" s="324">
        <v>1</v>
      </c>
    </row>
    <row r="362" spans="1:6" s="324" customFormat="1" ht="0.65" hidden="1" customHeight="1">
      <c r="A362" s="324">
        <v>3079</v>
      </c>
      <c r="D362" s="324">
        <v>450000</v>
      </c>
      <c r="E362" s="324">
        <v>450000</v>
      </c>
      <c r="F362" s="324">
        <v>1</v>
      </c>
    </row>
    <row r="363" spans="1:6" s="324" customFormat="1" ht="0.65" hidden="1" customHeight="1">
      <c r="A363" s="324">
        <v>3080</v>
      </c>
      <c r="D363" s="324">
        <v>0.03</v>
      </c>
      <c r="E363" s="324">
        <v>0.03</v>
      </c>
      <c r="F363" s="324">
        <v>1</v>
      </c>
    </row>
    <row r="364" spans="1:6" s="324" customFormat="1" ht="0.65" hidden="1" customHeight="1">
      <c r="A364" s="324">
        <v>3081</v>
      </c>
      <c r="D364" s="324">
        <v>3000000</v>
      </c>
      <c r="E364" s="324">
        <v>3000000</v>
      </c>
      <c r="F364" s="324">
        <v>1</v>
      </c>
    </row>
    <row r="365" spans="1:6" s="324" customFormat="1" ht="0.65" hidden="1" customHeight="1">
      <c r="A365" s="324">
        <v>3082</v>
      </c>
      <c r="D365" s="324">
        <v>9000000</v>
      </c>
      <c r="E365" s="324">
        <v>9000000</v>
      </c>
      <c r="F365" s="324">
        <v>1</v>
      </c>
    </row>
    <row r="366" spans="1:6" s="324" customFormat="1" ht="0.65" hidden="1" customHeight="1">
      <c r="A366" s="324">
        <v>3083</v>
      </c>
    </row>
    <row r="367" spans="1:6" s="324" customFormat="1" ht="0.65" hidden="1" customHeight="1">
      <c r="A367" s="324">
        <v>3084</v>
      </c>
      <c r="D367" s="324" t="s">
        <v>16</v>
      </c>
    </row>
    <row r="368" spans="1:6" s="324" customFormat="1" ht="0.65" hidden="1" customHeight="1"/>
    <row r="369" spans="1:22" s="324" customFormat="1" ht="0.65" hidden="1" customHeight="1"/>
    <row r="370" spans="1:22" s="324" customFormat="1" ht="0.65" hidden="1" customHeight="1"/>
    <row r="371" spans="1:22" s="324" customFormat="1" ht="0.65" hidden="1" customHeight="1"/>
    <row r="372" spans="1:22" s="324" customFormat="1" ht="0.65" hidden="1" customHeight="1"/>
    <row r="373" spans="1:22" s="324" customFormat="1" ht="0.65" hidden="1" customHeight="1"/>
    <row r="374" spans="1:22" s="324" customFormat="1" ht="0.65" hidden="1" customHeight="1"/>
    <row r="375" spans="1:22" s="324" customFormat="1" ht="0.65" hidden="1" customHeight="1">
      <c r="B375" s="324" t="s">
        <v>19</v>
      </c>
      <c r="D375" s="324" t="s">
        <v>336</v>
      </c>
      <c r="E375" s="324">
        <v>4</v>
      </c>
      <c r="K375" s="324" t="s">
        <v>290</v>
      </c>
      <c r="L375" s="324">
        <v>17</v>
      </c>
      <c r="O375" s="324" t="s">
        <v>21</v>
      </c>
    </row>
    <row r="376" spans="1:22" s="324" customFormat="1" ht="0.65" hidden="1" customHeight="1">
      <c r="B376" s="324" t="s">
        <v>3951</v>
      </c>
      <c r="D376" s="324" t="s">
        <v>336</v>
      </c>
      <c r="E376" s="324" t="s">
        <v>486</v>
      </c>
      <c r="K376" s="324" t="s">
        <v>217</v>
      </c>
      <c r="L376" s="324">
        <v>0</v>
      </c>
    </row>
    <row r="377" spans="1:22" s="324" customFormat="1" ht="0.65" hidden="1" customHeight="1">
      <c r="A377" s="324">
        <v>4001</v>
      </c>
      <c r="C377" s="324" t="s">
        <v>5</v>
      </c>
      <c r="D377" s="324">
        <v>2022</v>
      </c>
      <c r="E377" s="324" t="s">
        <v>55</v>
      </c>
      <c r="G377" s="324" t="s">
        <v>793</v>
      </c>
      <c r="O377" s="324" t="s">
        <v>0</v>
      </c>
      <c r="P377" s="324" t="s">
        <v>69</v>
      </c>
      <c r="Q377" s="324" t="s">
        <v>70</v>
      </c>
      <c r="R377" s="324" t="s">
        <v>71</v>
      </c>
      <c r="S377" s="324" t="s">
        <v>72</v>
      </c>
      <c r="T377" s="324" t="s">
        <v>73</v>
      </c>
      <c r="U377" s="324" t="s">
        <v>74</v>
      </c>
      <c r="V377" s="324" t="s">
        <v>75</v>
      </c>
    </row>
    <row r="378" spans="1:22" s="324" customFormat="1" ht="0.65" hidden="1" customHeight="1">
      <c r="A378" s="324">
        <v>4002</v>
      </c>
      <c r="O378" s="324">
        <v>2023</v>
      </c>
      <c r="P378" s="324">
        <v>600000</v>
      </c>
      <c r="Q378" s="324">
        <v>500000</v>
      </c>
      <c r="R378" s="324">
        <v>-12500</v>
      </c>
      <c r="S378" s="324">
        <v>112500</v>
      </c>
      <c r="T378" s="324">
        <v>28125</v>
      </c>
      <c r="U378" s="324">
        <v>84375</v>
      </c>
      <c r="V378" s="324">
        <v>71875</v>
      </c>
    </row>
    <row r="379" spans="1:22" s="324" customFormat="1" ht="0.65" hidden="1" customHeight="1">
      <c r="A379" s="324">
        <v>4003</v>
      </c>
      <c r="D379" s="324" t="s">
        <v>139</v>
      </c>
      <c r="E379" s="324" t="s">
        <v>139</v>
      </c>
      <c r="H379" s="324" t="s">
        <v>148</v>
      </c>
      <c r="L379" s="324" t="s">
        <v>149</v>
      </c>
      <c r="O379" s="324" t="s">
        <v>794</v>
      </c>
      <c r="P379" s="324">
        <v>600000</v>
      </c>
      <c r="Q379" s="324">
        <v>500000</v>
      </c>
      <c r="R379" s="324">
        <v>-12500</v>
      </c>
      <c r="S379" s="324">
        <v>112500</v>
      </c>
      <c r="T379" s="324">
        <v>28125</v>
      </c>
      <c r="U379" s="324">
        <v>84375</v>
      </c>
      <c r="V379" s="324">
        <v>71875</v>
      </c>
    </row>
    <row r="380" spans="1:22" s="324" customFormat="1" ht="0.65" hidden="1" customHeight="1">
      <c r="A380" s="324">
        <v>4004</v>
      </c>
      <c r="C380" s="324" t="s">
        <v>32</v>
      </c>
      <c r="D380" s="324" t="s">
        <v>141</v>
      </c>
      <c r="E380" s="324" t="s">
        <v>140</v>
      </c>
      <c r="F380" s="324" t="s">
        <v>143</v>
      </c>
      <c r="H380" s="324" t="s">
        <v>144</v>
      </c>
      <c r="I380" s="324" t="s">
        <v>145</v>
      </c>
      <c r="J380" s="324" t="s">
        <v>143</v>
      </c>
      <c r="L380" s="324" t="s">
        <v>150</v>
      </c>
      <c r="O380" s="324">
        <v>2024</v>
      </c>
      <c r="P380" s="324">
        <v>600000</v>
      </c>
      <c r="Q380" s="324">
        <v>500000</v>
      </c>
      <c r="R380" s="324">
        <v>-12500</v>
      </c>
      <c r="S380" s="324">
        <v>112500</v>
      </c>
      <c r="T380" s="324">
        <v>28125</v>
      </c>
      <c r="U380" s="324">
        <v>84375</v>
      </c>
      <c r="V380" s="324">
        <v>71875</v>
      </c>
    </row>
    <row r="381" spans="1:22" s="324" customFormat="1" ht="0.65" hidden="1" customHeight="1">
      <c r="A381" s="324">
        <v>4005</v>
      </c>
      <c r="B381" s="324">
        <v>8.5000000000000006E-2</v>
      </c>
      <c r="C381" s="324" t="s">
        <v>488</v>
      </c>
      <c r="D381" s="324">
        <v>500000</v>
      </c>
      <c r="F381" s="324" t="s">
        <v>55</v>
      </c>
      <c r="H381" s="324" t="s">
        <v>55</v>
      </c>
      <c r="I381" s="324" t="s">
        <v>55</v>
      </c>
      <c r="J381" s="324" t="s">
        <v>55</v>
      </c>
      <c r="K381" s="324">
        <v>500000</v>
      </c>
      <c r="L381" s="324">
        <v>453890.5133844926</v>
      </c>
      <c r="O381" s="324" t="s">
        <v>795</v>
      </c>
      <c r="P381" s="324">
        <v>600000</v>
      </c>
      <c r="Q381" s="324">
        <v>500000</v>
      </c>
      <c r="R381" s="324">
        <v>-12500</v>
      </c>
      <c r="S381" s="324">
        <v>112500</v>
      </c>
      <c r="T381" s="324">
        <v>28125</v>
      </c>
      <c r="U381" s="324">
        <v>84375</v>
      </c>
      <c r="V381" s="324">
        <v>71875</v>
      </c>
    </row>
    <row r="382" spans="1:22" s="324" customFormat="1" ht="0.65" hidden="1" customHeight="1">
      <c r="A382" s="324">
        <v>4006</v>
      </c>
      <c r="B382" s="324">
        <v>2.5540223714031858</v>
      </c>
      <c r="C382" s="324" t="s">
        <v>6</v>
      </c>
      <c r="D382" s="324">
        <v>10</v>
      </c>
      <c r="F382" s="324" t="s">
        <v>55</v>
      </c>
      <c r="H382" s="324" t="s">
        <v>55</v>
      </c>
      <c r="I382" s="324" t="s">
        <v>55</v>
      </c>
      <c r="J382" s="324" t="s">
        <v>55</v>
      </c>
      <c r="K382" s="324">
        <v>10</v>
      </c>
      <c r="O382" s="324">
        <v>2025</v>
      </c>
      <c r="P382" s="324">
        <v>600000</v>
      </c>
      <c r="Q382" s="324">
        <v>500000</v>
      </c>
      <c r="R382" s="324">
        <v>-12500</v>
      </c>
      <c r="S382" s="324">
        <v>112500</v>
      </c>
      <c r="T382" s="324">
        <v>28125</v>
      </c>
      <c r="U382" s="324">
        <v>84375</v>
      </c>
      <c r="V382" s="324">
        <v>71875</v>
      </c>
    </row>
    <row r="383" spans="1:22" s="324" customFormat="1" ht="0.65" hidden="1" customHeight="1">
      <c r="A383" s="324">
        <v>4007</v>
      </c>
      <c r="B383" s="324">
        <v>1.771114272972456</v>
      </c>
      <c r="C383" s="324" t="s">
        <v>489</v>
      </c>
      <c r="D383" s="324">
        <v>100000</v>
      </c>
      <c r="F383" s="324" t="s">
        <v>55</v>
      </c>
      <c r="H383" s="324" t="s">
        <v>55</v>
      </c>
      <c r="I383" s="324" t="s">
        <v>55</v>
      </c>
      <c r="J383" s="324" t="s">
        <v>55</v>
      </c>
      <c r="K383" s="324">
        <v>100000</v>
      </c>
      <c r="L383" s="324">
        <v>162753.99687499992</v>
      </c>
      <c r="O383" s="324" t="s">
        <v>796</v>
      </c>
      <c r="P383" s="324">
        <v>600000</v>
      </c>
      <c r="Q383" s="324">
        <v>500000</v>
      </c>
      <c r="R383" s="324">
        <v>-12500</v>
      </c>
      <c r="S383" s="324">
        <v>112500</v>
      </c>
      <c r="T383" s="324">
        <v>28125</v>
      </c>
      <c r="U383" s="324">
        <v>84375</v>
      </c>
      <c r="V383" s="324">
        <v>71875</v>
      </c>
    </row>
    <row r="384" spans="1:22" s="324" customFormat="1" ht="0.65" hidden="1" customHeight="1">
      <c r="A384" s="324">
        <v>4008</v>
      </c>
      <c r="E384" s="324" t="s">
        <v>55</v>
      </c>
      <c r="O384" s="324">
        <v>2026</v>
      </c>
      <c r="P384" s="324">
        <v>0</v>
      </c>
      <c r="Q384" s="324">
        <v>0</v>
      </c>
      <c r="R384" s="324">
        <v>0</v>
      </c>
      <c r="S384" s="324">
        <v>0</v>
      </c>
      <c r="T384" s="324">
        <v>0</v>
      </c>
      <c r="U384" s="324">
        <v>0</v>
      </c>
      <c r="V384" s="324">
        <v>0</v>
      </c>
    </row>
    <row r="385" spans="1:27" s="324" customFormat="1" ht="0.65" hidden="1" customHeight="1">
      <c r="A385" s="324">
        <v>4009</v>
      </c>
      <c r="B385" s="324">
        <v>-399570.26174477139</v>
      </c>
      <c r="C385" s="324" t="s">
        <v>34</v>
      </c>
      <c r="D385" s="324">
        <v>600000</v>
      </c>
      <c r="F385" s="324" t="s">
        <v>55</v>
      </c>
      <c r="H385" s="324" t="s">
        <v>55</v>
      </c>
      <c r="I385" s="324" t="s">
        <v>55</v>
      </c>
      <c r="J385" s="324" t="s">
        <v>55</v>
      </c>
      <c r="K385" s="324">
        <v>600000</v>
      </c>
      <c r="L385" s="324">
        <v>619591.33879930689</v>
      </c>
      <c r="O385" s="324" t="s">
        <v>797</v>
      </c>
      <c r="P385" s="324">
        <v>0</v>
      </c>
      <c r="Q385" s="324">
        <v>0</v>
      </c>
      <c r="R385" s="324">
        <v>0</v>
      </c>
      <c r="S385" s="324">
        <v>0</v>
      </c>
      <c r="T385" s="324">
        <v>0</v>
      </c>
      <c r="U385" s="324">
        <v>0</v>
      </c>
      <c r="V385" s="324">
        <v>0</v>
      </c>
    </row>
    <row r="386" spans="1:27" s="324" customFormat="1" ht="0.65" hidden="1" customHeight="1">
      <c r="A386" s="324">
        <v>4010</v>
      </c>
      <c r="B386" s="324">
        <v>33028.935402546391</v>
      </c>
      <c r="C386" s="324" t="s">
        <v>35</v>
      </c>
      <c r="D386" s="324">
        <v>500000</v>
      </c>
      <c r="F386" s="324" t="s">
        <v>55</v>
      </c>
      <c r="H386" s="324" t="s">
        <v>55</v>
      </c>
      <c r="I386" s="324" t="s">
        <v>55</v>
      </c>
      <c r="J386" s="324" t="s">
        <v>55</v>
      </c>
      <c r="K386" s="324">
        <v>500000</v>
      </c>
      <c r="L386" s="324">
        <v>480408.66120069305</v>
      </c>
      <c r="O386" s="324">
        <v>2027</v>
      </c>
      <c r="P386" s="324">
        <v>0</v>
      </c>
      <c r="Q386" s="324">
        <v>0</v>
      </c>
      <c r="R386" s="324">
        <v>0</v>
      </c>
      <c r="S386" s="324">
        <v>0</v>
      </c>
      <c r="T386" s="324">
        <v>0</v>
      </c>
      <c r="U386" s="324">
        <v>0</v>
      </c>
      <c r="V386" s="324">
        <v>0</v>
      </c>
    </row>
    <row r="387" spans="1:27" s="324" customFormat="1" ht="0.65" hidden="1" customHeight="1">
      <c r="A387" s="324">
        <v>4011</v>
      </c>
      <c r="B387" s="324">
        <v>131250</v>
      </c>
      <c r="E387" s="324" t="s">
        <v>55</v>
      </c>
      <c r="O387" s="324" t="s">
        <v>798</v>
      </c>
      <c r="P387" s="324">
        <v>0</v>
      </c>
      <c r="Q387" s="324">
        <v>0</v>
      </c>
      <c r="R387" s="324">
        <v>0</v>
      </c>
      <c r="S387" s="324">
        <v>0</v>
      </c>
      <c r="T387" s="324">
        <v>0</v>
      </c>
      <c r="U387" s="324">
        <v>0</v>
      </c>
      <c r="V387" s="324">
        <v>0</v>
      </c>
    </row>
    <row r="388" spans="1:27" s="324" customFormat="1" ht="0.65" hidden="1" customHeight="1">
      <c r="A388" s="324">
        <v>4012</v>
      </c>
      <c r="B388" s="324">
        <v>10360.461408845078</v>
      </c>
      <c r="C388" s="324" t="s">
        <v>7</v>
      </c>
      <c r="D388" s="324">
        <v>90</v>
      </c>
      <c r="F388" s="324" t="s">
        <v>55</v>
      </c>
      <c r="H388" s="324" t="s">
        <v>55</v>
      </c>
      <c r="I388" s="324" t="s">
        <v>55</v>
      </c>
      <c r="J388" s="324" t="s">
        <v>55</v>
      </c>
      <c r="K388" s="324">
        <v>90</v>
      </c>
    </row>
    <row r="389" spans="1:27" s="324" customFormat="1" ht="0.65" hidden="1" customHeight="1">
      <c r="A389" s="324">
        <v>4013</v>
      </c>
      <c r="B389" s="324">
        <v>1128497.4339697757</v>
      </c>
      <c r="C389" s="324" t="s">
        <v>8</v>
      </c>
      <c r="D389" s="324">
        <v>90</v>
      </c>
      <c r="F389" s="324" t="s">
        <v>55</v>
      </c>
      <c r="H389" s="324" t="s">
        <v>55</v>
      </c>
      <c r="I389" s="324" t="s">
        <v>55</v>
      </c>
      <c r="J389" s="324" t="s">
        <v>55</v>
      </c>
      <c r="K389" s="324">
        <v>90</v>
      </c>
    </row>
    <row r="390" spans="1:27" s="324" customFormat="1" ht="0.65" hidden="1" customHeight="1">
      <c r="A390" s="324">
        <v>4014</v>
      </c>
      <c r="B390" s="324">
        <v>-940414.5283081464</v>
      </c>
      <c r="G390" s="324" t="s">
        <v>793</v>
      </c>
      <c r="O390" s="324" t="s">
        <v>22</v>
      </c>
      <c r="U390" s="324" t="s">
        <v>26</v>
      </c>
    </row>
    <row r="391" spans="1:27" s="324" customFormat="1" ht="0.65" hidden="1" customHeight="1">
      <c r="A391" s="324">
        <v>4015</v>
      </c>
      <c r="C391" s="324" t="s">
        <v>33</v>
      </c>
      <c r="E391" s="324" t="s">
        <v>55</v>
      </c>
    </row>
    <row r="392" spans="1:27" s="324" customFormat="1" ht="0.65" hidden="1" customHeight="1">
      <c r="A392" s="324">
        <v>4016</v>
      </c>
      <c r="B392" s="324">
        <v>-36847.959271750646</v>
      </c>
      <c r="C392" s="324" t="s">
        <v>492</v>
      </c>
      <c r="D392" s="324">
        <v>175000</v>
      </c>
      <c r="F392" s="324" t="s">
        <v>55</v>
      </c>
      <c r="H392" s="324" t="s">
        <v>55</v>
      </c>
      <c r="I392" s="324" t="s">
        <v>55</v>
      </c>
      <c r="J392" s="324" t="s">
        <v>55</v>
      </c>
      <c r="K392" s="324">
        <v>175000</v>
      </c>
      <c r="L392" s="324">
        <v>224130.61236233418</v>
      </c>
      <c r="O392" s="324" t="s">
        <v>0</v>
      </c>
      <c r="P392" s="324" t="s">
        <v>76</v>
      </c>
      <c r="Q392" s="324" t="s">
        <v>77</v>
      </c>
      <c r="R392" s="324" t="s">
        <v>78</v>
      </c>
      <c r="S392" s="324" t="s">
        <v>79</v>
      </c>
    </row>
    <row r="393" spans="1:27" s="324" customFormat="1" ht="0.65" hidden="1" customHeight="1">
      <c r="A393" s="324">
        <v>4017</v>
      </c>
      <c r="C393" s="324" t="s">
        <v>495</v>
      </c>
      <c r="D393" s="324">
        <v>250000</v>
      </c>
      <c r="E393" s="324">
        <v>250000</v>
      </c>
      <c r="K393" s="324">
        <v>250000</v>
      </c>
      <c r="O393" s="324">
        <v>2022</v>
      </c>
      <c r="P393" s="324">
        <v>0</v>
      </c>
      <c r="Q393" s="324">
        <v>0</v>
      </c>
      <c r="R393" s="324">
        <v>0</v>
      </c>
      <c r="S393" s="324">
        <v>0</v>
      </c>
    </row>
    <row r="394" spans="1:27" s="324" customFormat="1" ht="0.65" hidden="1" customHeight="1">
      <c r="A394" s="324">
        <v>4018</v>
      </c>
      <c r="C394" s="324" t="s">
        <v>6</v>
      </c>
      <c r="D394" s="324">
        <v>4</v>
      </c>
      <c r="F394" s="324" t="s">
        <v>55</v>
      </c>
      <c r="H394" s="324" t="s">
        <v>55</v>
      </c>
      <c r="I394" s="324" t="s">
        <v>55</v>
      </c>
      <c r="J394" s="324" t="s">
        <v>55</v>
      </c>
      <c r="K394" s="324">
        <v>4</v>
      </c>
      <c r="O394" s="324" t="s">
        <v>799</v>
      </c>
      <c r="P394" s="324">
        <v>0</v>
      </c>
      <c r="Q394" s="324">
        <v>0</v>
      </c>
      <c r="R394" s="324">
        <v>0</v>
      </c>
      <c r="S394" s="324">
        <v>0</v>
      </c>
      <c r="V394" s="324" t="s">
        <v>81</v>
      </c>
    </row>
    <row r="395" spans="1:27" s="324" customFormat="1" ht="0.65" hidden="1" customHeight="1">
      <c r="A395" s="324">
        <v>4019</v>
      </c>
      <c r="C395" s="324" t="s">
        <v>489</v>
      </c>
      <c r="D395" s="324">
        <v>43750</v>
      </c>
      <c r="F395" s="324" t="s">
        <v>55</v>
      </c>
      <c r="H395" s="324" t="s">
        <v>55</v>
      </c>
      <c r="I395" s="324" t="s">
        <v>55</v>
      </c>
      <c r="J395" s="324" t="s">
        <v>55</v>
      </c>
      <c r="K395" s="324">
        <v>43750</v>
      </c>
      <c r="L395" s="324">
        <v>-19003.996874999899</v>
      </c>
      <c r="O395" s="324">
        <v>2023</v>
      </c>
      <c r="P395" s="324">
        <v>150000</v>
      </c>
      <c r="Q395" s="324">
        <v>125000</v>
      </c>
      <c r="R395" s="324">
        <v>25000</v>
      </c>
      <c r="S395" s="324">
        <v>25000</v>
      </c>
      <c r="U395" s="324" t="s">
        <v>0</v>
      </c>
      <c r="V395" s="324" t="s">
        <v>1</v>
      </c>
      <c r="W395" s="324" t="s">
        <v>1</v>
      </c>
      <c r="X395" s="324" t="s">
        <v>31</v>
      </c>
      <c r="Z395" s="324" t="s">
        <v>31</v>
      </c>
    </row>
    <row r="396" spans="1:27" s="324" customFormat="1" ht="0.65" hidden="1" customHeight="1">
      <c r="A396" s="324">
        <v>4020</v>
      </c>
      <c r="E396" s="324" t="s">
        <v>55</v>
      </c>
      <c r="O396" s="324" t="s">
        <v>794</v>
      </c>
      <c r="P396" s="324">
        <v>150000</v>
      </c>
      <c r="Q396" s="324">
        <v>125000</v>
      </c>
      <c r="R396" s="324">
        <v>25000</v>
      </c>
      <c r="S396" s="324">
        <v>25000</v>
      </c>
      <c r="U396" s="324">
        <v>2022</v>
      </c>
      <c r="V396" s="324">
        <v>-306250</v>
      </c>
      <c r="W396" s="324">
        <v>-306250</v>
      </c>
      <c r="X396" s="324">
        <v>-306250</v>
      </c>
      <c r="Z396" s="324">
        <v>-306250</v>
      </c>
    </row>
    <row r="397" spans="1:27" s="324" customFormat="1" ht="0.65" hidden="1" customHeight="1">
      <c r="A397" s="324">
        <v>4021</v>
      </c>
      <c r="C397" s="324" t="s">
        <v>4</v>
      </c>
      <c r="D397" s="324">
        <v>0.25</v>
      </c>
      <c r="F397" s="324" t="s">
        <v>55</v>
      </c>
      <c r="H397" s="324" t="s">
        <v>55</v>
      </c>
      <c r="I397" s="324" t="s">
        <v>55</v>
      </c>
      <c r="J397" s="324" t="s">
        <v>55</v>
      </c>
      <c r="K397" s="324">
        <v>0.25</v>
      </c>
      <c r="O397" s="324">
        <v>2024</v>
      </c>
      <c r="P397" s="324">
        <v>150000</v>
      </c>
      <c r="Q397" s="324">
        <v>125000</v>
      </c>
      <c r="R397" s="324">
        <v>25000</v>
      </c>
      <c r="S397" s="324">
        <v>0</v>
      </c>
      <c r="U397" s="324">
        <v>2023</v>
      </c>
      <c r="V397" s="324">
        <v>46875</v>
      </c>
      <c r="W397" s="324">
        <v>46875</v>
      </c>
      <c r="X397" s="324">
        <v>-259375</v>
      </c>
      <c r="Y397" s="324" t="s">
        <v>55</v>
      </c>
      <c r="Z397" s="324">
        <v>-259375</v>
      </c>
      <c r="AA397" s="324" t="s">
        <v>55</v>
      </c>
    </row>
    <row r="398" spans="1:27" s="324" customFormat="1" ht="0.65" hidden="1" customHeight="1">
      <c r="A398" s="324">
        <v>4022</v>
      </c>
      <c r="D398" s="324" t="s">
        <v>9</v>
      </c>
      <c r="G398" s="324" t="s">
        <v>793</v>
      </c>
      <c r="O398" s="324" t="s">
        <v>795</v>
      </c>
      <c r="P398" s="324">
        <v>150000</v>
      </c>
      <c r="Q398" s="324">
        <v>125000</v>
      </c>
      <c r="R398" s="324">
        <v>25000</v>
      </c>
      <c r="S398" s="324">
        <v>0</v>
      </c>
      <c r="U398" s="324">
        <v>2024</v>
      </c>
      <c r="V398" s="324">
        <v>71875</v>
      </c>
      <c r="W398" s="324">
        <v>71875</v>
      </c>
      <c r="X398" s="324">
        <v>-187500</v>
      </c>
      <c r="Y398" s="324" t="s">
        <v>55</v>
      </c>
      <c r="Z398" s="324">
        <v>-187500</v>
      </c>
      <c r="AA398" s="324" t="s">
        <v>55</v>
      </c>
    </row>
    <row r="399" spans="1:27" s="324" customFormat="1" ht="0.65" hidden="1" customHeight="1">
      <c r="A399" s="324">
        <v>4023</v>
      </c>
      <c r="E399" s="324" t="s">
        <v>55</v>
      </c>
      <c r="O399" s="324">
        <v>2025</v>
      </c>
      <c r="P399" s="324">
        <v>150000</v>
      </c>
      <c r="Q399" s="324">
        <v>125000</v>
      </c>
      <c r="R399" s="324">
        <v>25000</v>
      </c>
      <c r="S399" s="324">
        <v>0</v>
      </c>
      <c r="U399" s="324">
        <v>2025</v>
      </c>
      <c r="V399" s="324">
        <v>210937.5</v>
      </c>
      <c r="W399" s="324">
        <v>210937.5</v>
      </c>
      <c r="X399" s="324">
        <v>23437.5</v>
      </c>
      <c r="Y399" s="324">
        <v>2025</v>
      </c>
      <c r="Z399" s="324">
        <v>23437.5</v>
      </c>
      <c r="AA399" s="324">
        <v>2025</v>
      </c>
    </row>
    <row r="400" spans="1:27" s="324" customFormat="1" ht="0.65" hidden="1" customHeight="1">
      <c r="A400" s="324">
        <v>4024</v>
      </c>
      <c r="C400" s="324" t="s">
        <v>10</v>
      </c>
      <c r="D400" s="324">
        <v>400000</v>
      </c>
      <c r="F400" s="324" t="s">
        <v>55</v>
      </c>
      <c r="H400" s="324" t="s">
        <v>55</v>
      </c>
      <c r="I400" s="324" t="s">
        <v>55</v>
      </c>
      <c r="J400" s="324" t="s">
        <v>55</v>
      </c>
      <c r="K400" s="324">
        <v>400000</v>
      </c>
      <c r="O400" s="324" t="s">
        <v>796</v>
      </c>
      <c r="P400" s="324">
        <v>150000</v>
      </c>
      <c r="Q400" s="324">
        <v>125000</v>
      </c>
      <c r="R400" s="324">
        <v>25000</v>
      </c>
      <c r="S400" s="324">
        <v>0</v>
      </c>
      <c r="U400" s="324">
        <v>2026</v>
      </c>
      <c r="V400" s="324">
        <v>0</v>
      </c>
      <c r="W400" s="324">
        <v>0</v>
      </c>
      <c r="Z400" s="324">
        <v>23437.5</v>
      </c>
      <c r="AA400" s="324" t="s">
        <v>55</v>
      </c>
    </row>
    <row r="401" spans="1:27" s="324" customFormat="1" ht="0.65" hidden="1" customHeight="1">
      <c r="A401" s="324">
        <v>4025</v>
      </c>
      <c r="C401" s="324" t="s">
        <v>11</v>
      </c>
      <c r="D401" s="324">
        <v>500000</v>
      </c>
      <c r="F401" s="324" t="s">
        <v>55</v>
      </c>
      <c r="H401" s="324" t="s">
        <v>55</v>
      </c>
      <c r="I401" s="324" t="s">
        <v>55</v>
      </c>
      <c r="J401" s="324" t="s">
        <v>55</v>
      </c>
      <c r="K401" s="324">
        <v>500000</v>
      </c>
      <c r="O401" s="324">
        <v>2026</v>
      </c>
      <c r="P401" s="324">
        <v>0</v>
      </c>
      <c r="Q401" s="324">
        <v>0</v>
      </c>
      <c r="R401" s="324">
        <v>0</v>
      </c>
      <c r="S401" s="324">
        <v>0</v>
      </c>
      <c r="U401" s="324">
        <v>2027</v>
      </c>
      <c r="V401" s="324">
        <v>0</v>
      </c>
      <c r="W401" s="324">
        <v>0</v>
      </c>
      <c r="Z401" s="324">
        <v>23437.5</v>
      </c>
      <c r="AA401" s="324" t="s">
        <v>55</v>
      </c>
    </row>
    <row r="402" spans="1:27" s="324" customFormat="1" ht="0.65" hidden="1" customHeight="1">
      <c r="A402" s="324">
        <v>4026</v>
      </c>
      <c r="C402" s="324" t="s">
        <v>12</v>
      </c>
      <c r="D402" s="324">
        <v>0.01</v>
      </c>
      <c r="F402" s="324" t="s">
        <v>55</v>
      </c>
      <c r="H402" s="324" t="s">
        <v>55</v>
      </c>
      <c r="I402" s="324" t="s">
        <v>55</v>
      </c>
      <c r="J402" s="324" t="s">
        <v>55</v>
      </c>
      <c r="K402" s="324">
        <v>0.01</v>
      </c>
      <c r="O402" s="324" t="s">
        <v>797</v>
      </c>
      <c r="P402" s="324">
        <v>0</v>
      </c>
      <c r="Q402" s="324">
        <v>0</v>
      </c>
      <c r="R402" s="324">
        <v>0</v>
      </c>
      <c r="S402" s="324">
        <v>0</v>
      </c>
    </row>
    <row r="403" spans="1:27" s="324" customFormat="1" ht="0.65" hidden="1" customHeight="1">
      <c r="A403" s="324">
        <v>4027</v>
      </c>
      <c r="C403" s="324" t="s">
        <v>2</v>
      </c>
      <c r="D403" s="324">
        <v>5000000</v>
      </c>
      <c r="F403" s="324" t="s">
        <v>55</v>
      </c>
      <c r="H403" s="324" t="s">
        <v>55</v>
      </c>
      <c r="I403" s="324" t="s">
        <v>55</v>
      </c>
      <c r="J403" s="324" t="s">
        <v>55</v>
      </c>
      <c r="K403" s="324">
        <v>5000000</v>
      </c>
      <c r="O403" s="324">
        <v>2027</v>
      </c>
      <c r="P403" s="324">
        <v>0</v>
      </c>
      <c r="Q403" s="324">
        <v>0</v>
      </c>
      <c r="R403" s="324">
        <v>0</v>
      </c>
      <c r="S403" s="324">
        <v>0</v>
      </c>
    </row>
    <row r="404" spans="1:27" s="324" customFormat="1" ht="0.65" hidden="1" customHeight="1">
      <c r="A404" s="324">
        <v>4028</v>
      </c>
      <c r="C404" s="324" t="s">
        <v>3</v>
      </c>
      <c r="D404" s="324">
        <v>5000000</v>
      </c>
      <c r="F404" s="324" t="s">
        <v>55</v>
      </c>
      <c r="H404" s="324" t="s">
        <v>55</v>
      </c>
      <c r="I404" s="324" t="s">
        <v>55</v>
      </c>
      <c r="J404" s="324" t="s">
        <v>55</v>
      </c>
      <c r="K404" s="324">
        <v>5000000</v>
      </c>
      <c r="O404" s="324" t="s">
        <v>798</v>
      </c>
      <c r="P404" s="324">
        <v>0</v>
      </c>
      <c r="Q404" s="324">
        <v>0</v>
      </c>
      <c r="R404" s="324">
        <v>0</v>
      </c>
      <c r="S404" s="324">
        <v>0</v>
      </c>
    </row>
    <row r="405" spans="1:27" s="324" customFormat="1" ht="0.65" hidden="1" customHeight="1">
      <c r="A405" s="324">
        <v>4029</v>
      </c>
      <c r="E405" s="324" t="s">
        <v>55</v>
      </c>
      <c r="G405" s="324" t="s">
        <v>793</v>
      </c>
    </row>
    <row r="406" spans="1:27" s="324" customFormat="1" ht="0.65" hidden="1" customHeight="1">
      <c r="A406" s="324">
        <v>4030</v>
      </c>
      <c r="C406" s="324" t="s">
        <v>14</v>
      </c>
      <c r="D406" s="324" t="s">
        <v>16</v>
      </c>
      <c r="F406" s="324" t="s">
        <v>55</v>
      </c>
      <c r="H406" s="324" t="s">
        <v>55</v>
      </c>
      <c r="I406" s="324" t="s">
        <v>55</v>
      </c>
      <c r="J406" s="324" t="s">
        <v>55</v>
      </c>
      <c r="K406" s="324">
        <v>3</v>
      </c>
    </row>
    <row r="407" spans="1:27" s="324" customFormat="1" ht="0.65" hidden="1" customHeight="1">
      <c r="A407" s="324">
        <v>4031</v>
      </c>
      <c r="O407" s="324" t="s">
        <v>142</v>
      </c>
      <c r="U407" s="324" t="s">
        <v>27</v>
      </c>
    </row>
    <row r="408" spans="1:27" s="324" customFormat="1" ht="0.65" hidden="1" customHeight="1">
      <c r="A408" s="324">
        <v>4032</v>
      </c>
    </row>
    <row r="409" spans="1:27" s="324" customFormat="1" ht="0.65" hidden="1" customHeight="1">
      <c r="A409" s="324">
        <v>4033</v>
      </c>
      <c r="P409" s="324" t="s">
        <v>146</v>
      </c>
      <c r="Q409" s="324" t="s">
        <v>147</v>
      </c>
    </row>
    <row r="410" spans="1:27" s="324" customFormat="1" ht="0.65" hidden="1" customHeight="1">
      <c r="A410" s="324">
        <v>4034</v>
      </c>
      <c r="O410" s="324" t="s">
        <v>490</v>
      </c>
      <c r="P410" s="324">
        <v>306250</v>
      </c>
      <c r="Q410" s="324">
        <v>306250</v>
      </c>
      <c r="V410" s="324" t="s">
        <v>146</v>
      </c>
      <c r="W410" s="324" t="s">
        <v>147</v>
      </c>
    </row>
    <row r="411" spans="1:27" s="324" customFormat="1" ht="0.65" hidden="1" customHeight="1">
      <c r="A411" s="324">
        <v>4035</v>
      </c>
      <c r="O411" s="324" t="s">
        <v>491</v>
      </c>
      <c r="P411" s="324">
        <v>114062.5</v>
      </c>
      <c r="Q411" s="324">
        <v>114062.5</v>
      </c>
      <c r="U411" s="324" t="s">
        <v>13</v>
      </c>
      <c r="V411" s="324">
        <v>-36847.959271750646</v>
      </c>
      <c r="W411" s="324">
        <v>-36847.959271750646</v>
      </c>
    </row>
    <row r="412" spans="1:27" s="324" customFormat="1" ht="0.65" hidden="1" customHeight="1">
      <c r="A412" s="324">
        <v>4036</v>
      </c>
      <c r="O412" s="324" t="s">
        <v>493</v>
      </c>
      <c r="P412" s="324">
        <v>25000</v>
      </c>
      <c r="Q412" s="324">
        <v>25000</v>
      </c>
      <c r="U412" s="324" t="s">
        <v>28</v>
      </c>
      <c r="V412" s="324">
        <v>3.0062994449785885E-2</v>
      </c>
      <c r="W412" s="324">
        <v>3.0062994449785885E-2</v>
      </c>
    </row>
    <row r="413" spans="1:27" s="324" customFormat="1" ht="0.65" hidden="1" customHeight="1">
      <c r="A413" s="324">
        <v>4037</v>
      </c>
      <c r="O413" s="324" t="s">
        <v>494</v>
      </c>
      <c r="P413" s="324">
        <v>139062.5</v>
      </c>
      <c r="Q413" s="324">
        <v>139062.5</v>
      </c>
      <c r="U413" s="324" t="s">
        <v>29</v>
      </c>
      <c r="V413" s="324">
        <v>-0.12031986700979802</v>
      </c>
      <c r="W413" s="324">
        <v>-0.12031986700979802</v>
      </c>
    </row>
    <row r="414" spans="1:27" s="324" customFormat="1" ht="0.65" hidden="1" customHeight="1">
      <c r="A414" s="324">
        <v>4038</v>
      </c>
      <c r="U414" s="324" t="s">
        <v>30</v>
      </c>
      <c r="V414" s="324">
        <v>2025</v>
      </c>
      <c r="W414" s="324">
        <v>2025</v>
      </c>
    </row>
    <row r="415" spans="1:27" s="324" customFormat="1" ht="0.65" hidden="1" customHeight="1">
      <c r="A415" s="324">
        <v>4039</v>
      </c>
    </row>
    <row r="416" spans="1:27" s="324" customFormat="1" ht="0.65" hidden="1" customHeight="1">
      <c r="A416" s="324">
        <v>4040</v>
      </c>
      <c r="O416" s="324" t="s">
        <v>25</v>
      </c>
    </row>
    <row r="417" spans="1:26" s="324" customFormat="1" ht="0.65" hidden="1" customHeight="1">
      <c r="A417" s="324">
        <v>4041</v>
      </c>
    </row>
    <row r="418" spans="1:26" s="324" customFormat="1" ht="0.65" hidden="1" customHeight="1">
      <c r="A418" s="324">
        <v>4042</v>
      </c>
      <c r="P418" s="324" t="s">
        <v>146</v>
      </c>
      <c r="Q418" s="324" t="s">
        <v>147</v>
      </c>
    </row>
    <row r="419" spans="1:26" s="324" customFormat="1" ht="0.65" hidden="1" customHeight="1">
      <c r="A419" s="324">
        <v>4043</v>
      </c>
      <c r="O419" s="324" t="s">
        <v>124</v>
      </c>
      <c r="P419" s="324">
        <v>0.06</v>
      </c>
      <c r="Q419" s="324">
        <v>0.06</v>
      </c>
    </row>
    <row r="420" spans="1:26" s="324" customFormat="1" ht="0.65" hidden="1" customHeight="1">
      <c r="A420" s="324">
        <v>4044</v>
      </c>
      <c r="O420" s="324" t="s">
        <v>125</v>
      </c>
      <c r="P420" s="324">
        <v>0.11</v>
      </c>
      <c r="Q420" s="324">
        <v>0.11</v>
      </c>
    </row>
    <row r="421" spans="1:26" s="324" customFormat="1" ht="0.65" hidden="1" customHeight="1">
      <c r="A421" s="324">
        <v>4045</v>
      </c>
      <c r="O421" s="324" t="s">
        <v>126</v>
      </c>
      <c r="P421" s="324">
        <v>8.4999999999999992E-2</v>
      </c>
      <c r="Q421" s="324">
        <v>8.4999999999999992E-2</v>
      </c>
    </row>
    <row r="422" spans="1:26" s="324" customFormat="1" ht="0.65" hidden="1" customHeight="1">
      <c r="A422" s="324">
        <v>4046</v>
      </c>
    </row>
    <row r="423" spans="1:26" s="324" customFormat="1" ht="0.65" hidden="1" customHeight="1">
      <c r="A423" s="324">
        <v>4047</v>
      </c>
      <c r="B423" s="324">
        <v>2</v>
      </c>
      <c r="C423" s="324">
        <v>3</v>
      </c>
      <c r="D423" s="324">
        <v>4</v>
      </c>
      <c r="E423" s="324">
        <v>5</v>
      </c>
      <c r="F423" s="324">
        <v>6</v>
      </c>
      <c r="G423" s="324">
        <v>7</v>
      </c>
      <c r="H423" s="324">
        <v>8</v>
      </c>
      <c r="I423" s="324">
        <v>9</v>
      </c>
      <c r="J423" s="324">
        <v>10</v>
      </c>
      <c r="K423" s="324">
        <v>11</v>
      </c>
      <c r="L423" s="324">
        <v>12</v>
      </c>
      <c r="M423" s="324">
        <v>13</v>
      </c>
      <c r="N423" s="324">
        <v>14</v>
      </c>
      <c r="O423" s="324">
        <v>15</v>
      </c>
      <c r="P423" s="324">
        <v>16</v>
      </c>
      <c r="Q423" s="324">
        <v>17</v>
      </c>
      <c r="R423" s="324">
        <v>18</v>
      </c>
      <c r="S423" s="324">
        <v>19</v>
      </c>
      <c r="T423" s="324">
        <v>20</v>
      </c>
      <c r="U423" s="324">
        <v>21</v>
      </c>
      <c r="V423" s="324">
        <v>22</v>
      </c>
      <c r="W423" s="324">
        <v>23</v>
      </c>
      <c r="X423" s="324">
        <v>24</v>
      </c>
      <c r="Y423" s="324">
        <v>25</v>
      </c>
      <c r="Z423" s="324">
        <v>26</v>
      </c>
    </row>
    <row r="424" spans="1:26" s="324" customFormat="1" ht="0.65" hidden="1" customHeight="1">
      <c r="A424" s="324">
        <v>4048</v>
      </c>
    </row>
    <row r="425" spans="1:26" s="324" customFormat="1" ht="0.65" hidden="1" customHeight="1">
      <c r="A425" s="324">
        <v>4049</v>
      </c>
    </row>
    <row r="426" spans="1:26" s="324" customFormat="1" ht="0.65" hidden="1" customHeight="1">
      <c r="A426" s="324">
        <v>4050</v>
      </c>
    </row>
    <row r="427" spans="1:26" s="324" customFormat="1" ht="0.65" hidden="1" customHeight="1">
      <c r="A427" s="324">
        <v>4051</v>
      </c>
    </row>
    <row r="428" spans="1:26" s="324" customFormat="1" ht="0.65" hidden="1" customHeight="1">
      <c r="A428" s="324">
        <v>4052</v>
      </c>
    </row>
    <row r="429" spans="1:26" s="324" customFormat="1" ht="0.65" hidden="1" customHeight="1">
      <c r="A429" s="324">
        <v>4053</v>
      </c>
    </row>
    <row r="430" spans="1:26" s="324" customFormat="1" ht="0.65" hidden="1" customHeight="1">
      <c r="A430" s="324">
        <v>4054</v>
      </c>
    </row>
    <row r="431" spans="1:26" s="324" customFormat="1" ht="0.65" hidden="1" customHeight="1">
      <c r="A431" s="324">
        <v>4055</v>
      </c>
    </row>
    <row r="432" spans="1:26" s="324" customFormat="1" ht="0.65" hidden="1" customHeight="1">
      <c r="A432" s="324">
        <v>4056</v>
      </c>
    </row>
    <row r="433" spans="1:6" s="324" customFormat="1" ht="0.65" hidden="1" customHeight="1">
      <c r="A433" s="324">
        <v>4057</v>
      </c>
    </row>
    <row r="434" spans="1:6" s="324" customFormat="1" ht="0.65" hidden="1" customHeight="1">
      <c r="A434" s="324">
        <v>4058</v>
      </c>
    </row>
    <row r="435" spans="1:6" s="324" customFormat="1" ht="0.65" hidden="1" customHeight="1">
      <c r="A435" s="324">
        <v>4059</v>
      </c>
      <c r="D435" s="324">
        <v>500000</v>
      </c>
      <c r="E435" s="324">
        <v>500000</v>
      </c>
      <c r="F435" s="324">
        <v>1</v>
      </c>
    </row>
    <row r="436" spans="1:6" s="324" customFormat="1" ht="0.65" hidden="1" customHeight="1">
      <c r="A436" s="324">
        <v>4060</v>
      </c>
      <c r="D436" s="324">
        <v>10</v>
      </c>
      <c r="E436" s="324">
        <v>10</v>
      </c>
      <c r="F436" s="324">
        <v>1</v>
      </c>
    </row>
    <row r="437" spans="1:6" s="324" customFormat="1" ht="0.65" hidden="1" customHeight="1">
      <c r="A437" s="324">
        <v>4061</v>
      </c>
      <c r="D437" s="324">
        <v>100000</v>
      </c>
      <c r="E437" s="324">
        <v>100000</v>
      </c>
      <c r="F437" s="324">
        <v>1</v>
      </c>
    </row>
    <row r="438" spans="1:6" s="324" customFormat="1" ht="0.65" hidden="1" customHeight="1">
      <c r="A438" s="324">
        <v>4062</v>
      </c>
    </row>
    <row r="439" spans="1:6" s="324" customFormat="1" ht="0.65" hidden="1" customHeight="1">
      <c r="A439" s="324">
        <v>4063</v>
      </c>
      <c r="D439" s="324">
        <v>600000</v>
      </c>
      <c r="E439" s="324">
        <v>600000</v>
      </c>
      <c r="F439" s="324">
        <v>1</v>
      </c>
    </row>
    <row r="440" spans="1:6" s="324" customFormat="1" ht="0.65" hidden="1" customHeight="1">
      <c r="A440" s="324">
        <v>4064</v>
      </c>
      <c r="D440" s="324">
        <v>500000</v>
      </c>
      <c r="E440" s="324">
        <v>500000</v>
      </c>
      <c r="F440" s="324">
        <v>1</v>
      </c>
    </row>
    <row r="441" spans="1:6" s="324" customFormat="1" ht="0.65" hidden="1" customHeight="1">
      <c r="A441" s="324">
        <v>4065</v>
      </c>
    </row>
    <row r="442" spans="1:6" s="324" customFormat="1" ht="0.65" hidden="1" customHeight="1">
      <c r="A442" s="324">
        <v>4066</v>
      </c>
      <c r="D442" s="324">
        <v>90</v>
      </c>
      <c r="E442" s="324">
        <v>90</v>
      </c>
      <c r="F442" s="324">
        <v>1</v>
      </c>
    </row>
    <row r="443" spans="1:6" s="324" customFormat="1" ht="0.65" hidden="1" customHeight="1">
      <c r="A443" s="324">
        <v>4067</v>
      </c>
      <c r="D443" s="324">
        <v>90</v>
      </c>
      <c r="E443" s="324">
        <v>90</v>
      </c>
      <c r="F443" s="324">
        <v>1</v>
      </c>
    </row>
    <row r="444" spans="1:6" s="324" customFormat="1" ht="0.65" hidden="1" customHeight="1">
      <c r="A444" s="324">
        <v>4068</v>
      </c>
    </row>
    <row r="445" spans="1:6" s="324" customFormat="1" ht="0.65" hidden="1" customHeight="1">
      <c r="A445" s="324">
        <v>4069</v>
      </c>
    </row>
    <row r="446" spans="1:6" s="324" customFormat="1" ht="0.65" hidden="1" customHeight="1">
      <c r="A446" s="324">
        <v>4070</v>
      </c>
      <c r="D446" s="324">
        <v>175000</v>
      </c>
      <c r="E446" s="324">
        <v>175000</v>
      </c>
      <c r="F446" s="324">
        <v>1</v>
      </c>
    </row>
    <row r="447" spans="1:6" s="324" customFormat="1" ht="0.65" hidden="1" customHeight="1">
      <c r="A447" s="324">
        <v>4071</v>
      </c>
      <c r="D447" s="324">
        <v>250000</v>
      </c>
      <c r="E447" s="324">
        <v>250000</v>
      </c>
      <c r="F447" s="324">
        <v>1</v>
      </c>
    </row>
    <row r="448" spans="1:6" s="324" customFormat="1" ht="0.65" hidden="1" customHeight="1">
      <c r="A448" s="324">
        <v>4072</v>
      </c>
      <c r="D448" s="324">
        <v>4</v>
      </c>
      <c r="E448" s="324">
        <v>4</v>
      </c>
      <c r="F448" s="324">
        <v>1</v>
      </c>
    </row>
    <row r="449" spans="1:6" s="324" customFormat="1" ht="0.65" hidden="1" customHeight="1">
      <c r="A449" s="324">
        <v>4073</v>
      </c>
      <c r="D449" s="324">
        <v>43750</v>
      </c>
      <c r="E449" s="324">
        <v>43750</v>
      </c>
      <c r="F449" s="324">
        <v>1</v>
      </c>
    </row>
    <row r="450" spans="1:6" s="324" customFormat="1" ht="0.65" hidden="1" customHeight="1">
      <c r="A450" s="324">
        <v>4074</v>
      </c>
    </row>
    <row r="451" spans="1:6" s="324" customFormat="1" ht="0.65" hidden="1" customHeight="1">
      <c r="A451" s="324">
        <v>4075</v>
      </c>
      <c r="D451" s="324">
        <v>0.25</v>
      </c>
      <c r="E451" s="324">
        <v>0.25</v>
      </c>
      <c r="F451" s="324">
        <v>1</v>
      </c>
    </row>
    <row r="452" spans="1:6" s="324" customFormat="1" ht="0.65" hidden="1" customHeight="1">
      <c r="A452" s="324">
        <v>4076</v>
      </c>
      <c r="D452" s="324" t="s">
        <v>9</v>
      </c>
    </row>
    <row r="453" spans="1:6" s="324" customFormat="1" ht="0.65" hidden="1" customHeight="1">
      <c r="A453" s="324">
        <v>4077</v>
      </c>
    </row>
    <row r="454" spans="1:6" s="324" customFormat="1" ht="0.65" hidden="1" customHeight="1">
      <c r="A454" s="324">
        <v>4078</v>
      </c>
      <c r="D454" s="324">
        <v>400000</v>
      </c>
      <c r="E454" s="324">
        <v>400000</v>
      </c>
      <c r="F454" s="324">
        <v>1</v>
      </c>
    </row>
    <row r="455" spans="1:6" s="324" customFormat="1" ht="0.65" hidden="1" customHeight="1">
      <c r="A455" s="324">
        <v>4079</v>
      </c>
      <c r="D455" s="324">
        <v>500000</v>
      </c>
      <c r="E455" s="324">
        <v>500000</v>
      </c>
      <c r="F455" s="324">
        <v>1</v>
      </c>
    </row>
    <row r="456" spans="1:6" s="324" customFormat="1" ht="0.65" hidden="1" customHeight="1">
      <c r="A456" s="324">
        <v>4080</v>
      </c>
      <c r="D456" s="324">
        <v>0.01</v>
      </c>
      <c r="E456" s="324">
        <v>0.01</v>
      </c>
      <c r="F456" s="324">
        <v>1</v>
      </c>
    </row>
    <row r="457" spans="1:6" s="324" customFormat="1" ht="0.65" hidden="1" customHeight="1">
      <c r="A457" s="324">
        <v>4081</v>
      </c>
      <c r="D457" s="324">
        <v>5000000</v>
      </c>
      <c r="E457" s="324">
        <v>5000000</v>
      </c>
      <c r="F457" s="324">
        <v>1</v>
      </c>
    </row>
    <row r="458" spans="1:6" s="324" customFormat="1" ht="0.65" hidden="1" customHeight="1">
      <c r="A458" s="324">
        <v>4082</v>
      </c>
      <c r="D458" s="324">
        <v>5000000</v>
      </c>
      <c r="E458" s="324">
        <v>5000000</v>
      </c>
      <c r="F458" s="324">
        <v>1</v>
      </c>
    </row>
    <row r="459" spans="1:6" s="324" customFormat="1" ht="0.65" hidden="1" customHeight="1">
      <c r="A459" s="324">
        <v>4083</v>
      </c>
    </row>
    <row r="460" spans="1:6" s="324" customFormat="1" ht="0.65" hidden="1" customHeight="1">
      <c r="A460" s="324">
        <v>4084</v>
      </c>
      <c r="D460" s="324" t="s">
        <v>16</v>
      </c>
    </row>
    <row r="461" spans="1:6" s="324" customFormat="1" ht="0.65" hidden="1" customHeight="1"/>
    <row r="462" spans="1:6" s="324" customFormat="1" ht="0.65" hidden="1" customHeight="1"/>
    <row r="463" spans="1:6" s="324" customFormat="1" ht="0.65" hidden="1" customHeight="1"/>
    <row r="464" spans="1:6" s="324" customFormat="1" ht="0.65" hidden="1" customHeight="1"/>
    <row r="465" spans="1:22" s="324" customFormat="1" ht="0.65" hidden="1" customHeight="1"/>
    <row r="466" spans="1:22" s="324" customFormat="1" ht="0.65" hidden="1" customHeight="1"/>
    <row r="467" spans="1:22" s="324" customFormat="1" ht="0.65" hidden="1" customHeight="1"/>
    <row r="468" spans="1:22" s="324" customFormat="1" ht="0.65" hidden="1" customHeight="1">
      <c r="B468" s="324" t="s">
        <v>19</v>
      </c>
      <c r="D468" s="324" t="s">
        <v>336</v>
      </c>
      <c r="E468" s="324">
        <v>5</v>
      </c>
      <c r="K468" s="324" t="s">
        <v>290</v>
      </c>
      <c r="L468" s="324">
        <v>17</v>
      </c>
      <c r="O468" s="324" t="s">
        <v>21</v>
      </c>
    </row>
    <row r="469" spans="1:22" s="324" customFormat="1" ht="0.65" hidden="1" customHeight="1">
      <c r="B469" s="324" t="s">
        <v>3951</v>
      </c>
      <c r="D469" s="324" t="s">
        <v>336</v>
      </c>
      <c r="E469" s="324" t="s">
        <v>486</v>
      </c>
      <c r="K469" s="324" t="s">
        <v>217</v>
      </c>
      <c r="L469" s="324">
        <v>0</v>
      </c>
    </row>
    <row r="470" spans="1:22" s="324" customFormat="1" ht="0.65" hidden="1" customHeight="1">
      <c r="A470" s="324">
        <v>5001</v>
      </c>
      <c r="C470" s="324" t="s">
        <v>5</v>
      </c>
      <c r="D470" s="324">
        <v>2022</v>
      </c>
      <c r="E470" s="324" t="s">
        <v>55</v>
      </c>
      <c r="G470" s="324" t="s">
        <v>793</v>
      </c>
      <c r="O470" s="324" t="s">
        <v>0</v>
      </c>
      <c r="P470" s="324" t="s">
        <v>69</v>
      </c>
      <c r="Q470" s="324" t="s">
        <v>70</v>
      </c>
      <c r="R470" s="324" t="s">
        <v>71</v>
      </c>
      <c r="S470" s="324" t="s">
        <v>72</v>
      </c>
      <c r="T470" s="324" t="s">
        <v>73</v>
      </c>
      <c r="U470" s="324" t="s">
        <v>74</v>
      </c>
      <c r="V470" s="324" t="s">
        <v>75</v>
      </c>
    </row>
    <row r="471" spans="1:22" s="324" customFormat="1" ht="0.65" hidden="1" customHeight="1">
      <c r="A471" s="324">
        <v>5002</v>
      </c>
      <c r="O471" s="324">
        <v>2023</v>
      </c>
      <c r="P471" s="324">
        <v>600000</v>
      </c>
      <c r="Q471" s="324">
        <v>150000</v>
      </c>
      <c r="R471" s="324">
        <v>-30000</v>
      </c>
      <c r="S471" s="324">
        <v>480000</v>
      </c>
      <c r="T471" s="324">
        <v>120000</v>
      </c>
      <c r="U471" s="324">
        <v>360000</v>
      </c>
      <c r="V471" s="324">
        <v>330000</v>
      </c>
    </row>
    <row r="472" spans="1:22" s="324" customFormat="1" ht="0.65" hidden="1" customHeight="1">
      <c r="A472" s="324">
        <v>5003</v>
      </c>
      <c r="D472" s="324" t="s">
        <v>139</v>
      </c>
      <c r="E472" s="324" t="s">
        <v>139</v>
      </c>
      <c r="H472" s="324" t="s">
        <v>148</v>
      </c>
      <c r="L472" s="324" t="s">
        <v>149</v>
      </c>
      <c r="O472" s="324" t="s">
        <v>794</v>
      </c>
      <c r="P472" s="324">
        <v>600000</v>
      </c>
      <c r="Q472" s="324">
        <v>150000</v>
      </c>
      <c r="R472" s="324">
        <v>-30000</v>
      </c>
      <c r="S472" s="324">
        <v>480000</v>
      </c>
      <c r="T472" s="324">
        <v>120000</v>
      </c>
      <c r="U472" s="324">
        <v>360000</v>
      </c>
      <c r="V472" s="324">
        <v>330000</v>
      </c>
    </row>
    <row r="473" spans="1:22" s="324" customFormat="1" ht="0.65" hidden="1" customHeight="1">
      <c r="A473" s="324">
        <v>5004</v>
      </c>
      <c r="C473" s="324" t="s">
        <v>32</v>
      </c>
      <c r="D473" s="324" t="s">
        <v>141</v>
      </c>
      <c r="E473" s="324" t="s">
        <v>140</v>
      </c>
      <c r="F473" s="324" t="s">
        <v>143</v>
      </c>
      <c r="H473" s="324" t="s">
        <v>144</v>
      </c>
      <c r="I473" s="324" t="s">
        <v>145</v>
      </c>
      <c r="J473" s="324" t="s">
        <v>143</v>
      </c>
      <c r="L473" s="324" t="s">
        <v>150</v>
      </c>
      <c r="O473" s="324">
        <v>2024</v>
      </c>
      <c r="P473" s="324">
        <v>600000</v>
      </c>
      <c r="Q473" s="324">
        <v>150000</v>
      </c>
      <c r="R473" s="324">
        <v>-30000</v>
      </c>
      <c r="S473" s="324">
        <v>480000</v>
      </c>
      <c r="T473" s="324">
        <v>120000</v>
      </c>
      <c r="U473" s="324">
        <v>360000</v>
      </c>
      <c r="V473" s="324">
        <v>330000</v>
      </c>
    </row>
    <row r="474" spans="1:22" s="324" customFormat="1" ht="0.65" hidden="1" customHeight="1">
      <c r="A474" s="324">
        <v>5005</v>
      </c>
      <c r="B474" s="324">
        <v>8.8999999999999996E-2</v>
      </c>
      <c r="C474" s="324" t="s">
        <v>488</v>
      </c>
      <c r="D474" s="324">
        <v>1200000</v>
      </c>
      <c r="F474" s="324" t="s">
        <v>55</v>
      </c>
      <c r="H474" s="324" t="s">
        <v>55</v>
      </c>
      <c r="I474" s="324" t="s">
        <v>55</v>
      </c>
      <c r="J474" s="324" t="s">
        <v>55</v>
      </c>
      <c r="K474" s="324">
        <v>1200000</v>
      </c>
      <c r="L474" s="324">
        <v>1330107.5442840166</v>
      </c>
      <c r="O474" s="324" t="s">
        <v>795</v>
      </c>
      <c r="P474" s="324">
        <v>600000</v>
      </c>
      <c r="Q474" s="324">
        <v>150000</v>
      </c>
      <c r="R474" s="324">
        <v>-30000</v>
      </c>
      <c r="S474" s="324">
        <v>480000</v>
      </c>
      <c r="T474" s="324">
        <v>120000</v>
      </c>
      <c r="U474" s="324">
        <v>360000</v>
      </c>
      <c r="V474" s="324">
        <v>330000</v>
      </c>
    </row>
    <row r="475" spans="1:22" s="324" customFormat="1" ht="0.65" hidden="1" customHeight="1">
      <c r="A475" s="324">
        <v>5006</v>
      </c>
      <c r="B475" s="324">
        <v>2.535812794904865</v>
      </c>
      <c r="C475" s="324" t="s">
        <v>6</v>
      </c>
      <c r="D475" s="324">
        <v>10</v>
      </c>
      <c r="F475" s="324" t="s">
        <v>55</v>
      </c>
      <c r="H475" s="324" t="s">
        <v>55</v>
      </c>
      <c r="I475" s="324" t="s">
        <v>55</v>
      </c>
      <c r="J475" s="324" t="s">
        <v>55</v>
      </c>
      <c r="K475" s="324">
        <v>10</v>
      </c>
      <c r="O475" s="324">
        <v>2025</v>
      </c>
      <c r="P475" s="324">
        <v>600000</v>
      </c>
      <c r="Q475" s="324">
        <v>150000</v>
      </c>
      <c r="R475" s="324">
        <v>120000</v>
      </c>
      <c r="S475" s="324">
        <v>330000</v>
      </c>
      <c r="T475" s="324">
        <v>82500</v>
      </c>
      <c r="U475" s="324">
        <v>247500</v>
      </c>
      <c r="V475" s="324">
        <v>367500</v>
      </c>
    </row>
    <row r="476" spans="1:22" s="324" customFormat="1" ht="0.65" hidden="1" customHeight="1">
      <c r="A476" s="324">
        <v>5007</v>
      </c>
      <c r="B476" s="324">
        <v>1.7615001336513985</v>
      </c>
      <c r="C476" s="324" t="s">
        <v>489</v>
      </c>
      <c r="D476" s="324">
        <v>120000</v>
      </c>
      <c r="F476" s="324" t="s">
        <v>55</v>
      </c>
      <c r="H476" s="324" t="s">
        <v>55</v>
      </c>
      <c r="I476" s="324" t="s">
        <v>55</v>
      </c>
      <c r="J476" s="324" t="s">
        <v>55</v>
      </c>
      <c r="K476" s="324">
        <v>120000</v>
      </c>
      <c r="L476" s="324">
        <v>-59478.143323332719</v>
      </c>
      <c r="O476" s="324" t="s">
        <v>796</v>
      </c>
      <c r="P476" s="324">
        <v>600000</v>
      </c>
      <c r="Q476" s="324">
        <v>150000</v>
      </c>
      <c r="R476" s="324">
        <v>120000</v>
      </c>
      <c r="S476" s="324">
        <v>330000</v>
      </c>
      <c r="T476" s="324">
        <v>82500</v>
      </c>
      <c r="U476" s="324">
        <v>247500</v>
      </c>
      <c r="V476" s="324">
        <v>367500</v>
      </c>
    </row>
    <row r="477" spans="1:22" s="324" customFormat="1" ht="0.65" hidden="1" customHeight="1">
      <c r="A477" s="324">
        <v>5008</v>
      </c>
      <c r="E477" s="324" t="s">
        <v>55</v>
      </c>
      <c r="O477" s="324">
        <v>2026</v>
      </c>
      <c r="P477" s="324">
        <v>0</v>
      </c>
      <c r="Q477" s="324">
        <v>0</v>
      </c>
      <c r="R477" s="324">
        <v>0</v>
      </c>
      <c r="S477" s="324">
        <v>0</v>
      </c>
      <c r="T477" s="324">
        <v>0</v>
      </c>
      <c r="U477" s="324">
        <v>0</v>
      </c>
      <c r="V477" s="324">
        <v>0</v>
      </c>
    </row>
    <row r="478" spans="1:22" s="324" customFormat="1" ht="0.65" hidden="1" customHeight="1">
      <c r="A478" s="324">
        <v>5009</v>
      </c>
      <c r="B478" s="324">
        <v>-961319.95728962601</v>
      </c>
      <c r="C478" s="324" t="s">
        <v>34</v>
      </c>
      <c r="D478" s="324">
        <v>600000</v>
      </c>
      <c r="F478" s="324" t="s">
        <v>55</v>
      </c>
      <c r="H478" s="324" t="s">
        <v>55</v>
      </c>
      <c r="I478" s="324" t="s">
        <v>55</v>
      </c>
      <c r="J478" s="324" t="s">
        <v>55</v>
      </c>
      <c r="K478" s="324">
        <v>600000</v>
      </c>
      <c r="L478" s="324">
        <v>544495.9631775982</v>
      </c>
      <c r="O478" s="324" t="s">
        <v>797</v>
      </c>
      <c r="P478" s="324">
        <v>0</v>
      </c>
      <c r="Q478" s="324">
        <v>0</v>
      </c>
      <c r="R478" s="324">
        <v>0</v>
      </c>
      <c r="S478" s="324">
        <v>0</v>
      </c>
      <c r="T478" s="324">
        <v>0</v>
      </c>
      <c r="U478" s="324">
        <v>0</v>
      </c>
      <c r="V478" s="324">
        <v>0</v>
      </c>
    </row>
    <row r="479" spans="1:22" s="324" customFormat="1" ht="0.65" hidden="1" customHeight="1">
      <c r="A479" s="324">
        <v>5010</v>
      </c>
      <c r="B479" s="324">
        <v>52266.104634609022</v>
      </c>
      <c r="C479" s="324" t="s">
        <v>35</v>
      </c>
      <c r="D479" s="324">
        <v>150000</v>
      </c>
      <c r="F479" s="324" t="s">
        <v>55</v>
      </c>
      <c r="H479" s="324" t="s">
        <v>55</v>
      </c>
      <c r="I479" s="324" t="s">
        <v>55</v>
      </c>
      <c r="J479" s="324" t="s">
        <v>55</v>
      </c>
      <c r="K479" s="324">
        <v>150000</v>
      </c>
      <c r="L479" s="324">
        <v>205860.90424243893</v>
      </c>
      <c r="O479" s="324">
        <v>2027</v>
      </c>
      <c r="P479" s="324">
        <v>0</v>
      </c>
      <c r="Q479" s="324">
        <v>0</v>
      </c>
      <c r="R479" s="324">
        <v>0</v>
      </c>
      <c r="S479" s="324">
        <v>0</v>
      </c>
      <c r="T479" s="324">
        <v>0</v>
      </c>
      <c r="U479" s="324">
        <v>0</v>
      </c>
      <c r="V479" s="324">
        <v>0</v>
      </c>
    </row>
    <row r="480" spans="1:22" s="324" customFormat="1" ht="0.65" hidden="1" customHeight="1">
      <c r="A480" s="324">
        <v>5011</v>
      </c>
      <c r="B480" s="324">
        <v>157500</v>
      </c>
      <c r="E480" s="324" t="s">
        <v>55</v>
      </c>
      <c r="O480" s="324" t="s">
        <v>798</v>
      </c>
      <c r="P480" s="324">
        <v>0</v>
      </c>
      <c r="Q480" s="324">
        <v>0</v>
      </c>
      <c r="R480" s="324">
        <v>0</v>
      </c>
      <c r="S480" s="324">
        <v>0</v>
      </c>
      <c r="T480" s="324">
        <v>0</v>
      </c>
      <c r="U480" s="324">
        <v>0</v>
      </c>
      <c r="V480" s="324">
        <v>0</v>
      </c>
    </row>
    <row r="481" spans="1:27" s="324" customFormat="1" ht="0.65" hidden="1" customHeight="1">
      <c r="A481" s="324">
        <v>5012</v>
      </c>
      <c r="B481" s="324">
        <v>8943.744988072558</v>
      </c>
      <c r="C481" s="324" t="s">
        <v>7</v>
      </c>
      <c r="D481" s="324">
        <v>60</v>
      </c>
      <c r="F481" s="324" t="s">
        <v>55</v>
      </c>
      <c r="H481" s="324" t="s">
        <v>55</v>
      </c>
      <c r="I481" s="324" t="s">
        <v>55</v>
      </c>
      <c r="J481" s="324" t="s">
        <v>55</v>
      </c>
      <c r="K481" s="324">
        <v>60</v>
      </c>
    </row>
    <row r="482" spans="1:27" s="324" customFormat="1" ht="0.65" hidden="1" customHeight="1">
      <c r="A482" s="324">
        <v>5013</v>
      </c>
      <c r="B482" s="324">
        <v>1126719.6592778985</v>
      </c>
      <c r="C482" s="324" t="s">
        <v>8</v>
      </c>
      <c r="D482" s="324">
        <v>90</v>
      </c>
      <c r="F482" s="324" t="s">
        <v>55</v>
      </c>
      <c r="H482" s="324" t="s">
        <v>55</v>
      </c>
      <c r="I482" s="324" t="s">
        <v>55</v>
      </c>
      <c r="J482" s="324" t="s">
        <v>55</v>
      </c>
      <c r="K482" s="324">
        <v>90</v>
      </c>
    </row>
    <row r="483" spans="1:27" s="324" customFormat="1" ht="0.65" hidden="1" customHeight="1">
      <c r="A483" s="324">
        <v>5014</v>
      </c>
      <c r="B483" s="324">
        <v>-279880.40251581336</v>
      </c>
      <c r="G483" s="324" t="s">
        <v>793</v>
      </c>
      <c r="O483" s="324" t="s">
        <v>22</v>
      </c>
      <c r="U483" s="324" t="s">
        <v>26</v>
      </c>
    </row>
    <row r="484" spans="1:27" s="324" customFormat="1" ht="0.65" hidden="1" customHeight="1">
      <c r="A484" s="324">
        <v>5015</v>
      </c>
      <c r="C484" s="324" t="s">
        <v>33</v>
      </c>
      <c r="E484" s="324" t="s">
        <v>55</v>
      </c>
    </row>
    <row r="485" spans="1:27" s="324" customFormat="1" ht="0.65" hidden="1" customHeight="1">
      <c r="A485" s="324">
        <v>5016</v>
      </c>
      <c r="B485" s="324">
        <v>104229.14909514075</v>
      </c>
      <c r="C485" s="324" t="s">
        <v>492</v>
      </c>
      <c r="D485" s="324">
        <v>210000</v>
      </c>
      <c r="F485" s="324" t="s">
        <v>55</v>
      </c>
      <c r="H485" s="324" t="s">
        <v>55</v>
      </c>
      <c r="I485" s="324" t="s">
        <v>55</v>
      </c>
      <c r="J485" s="324" t="s">
        <v>55</v>
      </c>
      <c r="K485" s="324">
        <v>210000</v>
      </c>
      <c r="L485" s="324">
        <v>71027.801206479009</v>
      </c>
      <c r="O485" s="324" t="s">
        <v>0</v>
      </c>
      <c r="P485" s="324" t="s">
        <v>76</v>
      </c>
      <c r="Q485" s="324" t="s">
        <v>77</v>
      </c>
      <c r="R485" s="324" t="s">
        <v>78</v>
      </c>
      <c r="S485" s="324" t="s">
        <v>79</v>
      </c>
    </row>
    <row r="486" spans="1:27" s="324" customFormat="1" ht="0.65" hidden="1" customHeight="1">
      <c r="A486" s="324">
        <v>5017</v>
      </c>
      <c r="C486" s="324" t="s">
        <v>495</v>
      </c>
      <c r="D486" s="324">
        <v>300000</v>
      </c>
      <c r="E486" s="324">
        <v>300000</v>
      </c>
      <c r="K486" s="324">
        <v>300000</v>
      </c>
      <c r="O486" s="324">
        <v>2022</v>
      </c>
      <c r="P486" s="324">
        <v>0</v>
      </c>
      <c r="Q486" s="324">
        <v>0</v>
      </c>
      <c r="R486" s="324">
        <v>0</v>
      </c>
      <c r="S486" s="324">
        <v>0</v>
      </c>
    </row>
    <row r="487" spans="1:27" s="324" customFormat="1" ht="0.65" hidden="1" customHeight="1">
      <c r="A487" s="324">
        <v>5018</v>
      </c>
      <c r="C487" s="324" t="s">
        <v>6</v>
      </c>
      <c r="D487" s="324">
        <v>2</v>
      </c>
      <c r="F487" s="324" t="s">
        <v>55</v>
      </c>
      <c r="H487" s="324" t="s">
        <v>55</v>
      </c>
      <c r="I487" s="324" t="s">
        <v>55</v>
      </c>
      <c r="J487" s="324" t="s">
        <v>55</v>
      </c>
      <c r="K487" s="324">
        <v>2</v>
      </c>
      <c r="O487" s="324" t="s">
        <v>799</v>
      </c>
      <c r="P487" s="324">
        <v>0</v>
      </c>
      <c r="Q487" s="324">
        <v>0</v>
      </c>
      <c r="R487" s="324">
        <v>0</v>
      </c>
      <c r="S487" s="324">
        <v>0</v>
      </c>
      <c r="V487" s="324" t="s">
        <v>81</v>
      </c>
    </row>
    <row r="488" spans="1:27" s="324" customFormat="1" ht="0.65" hidden="1" customHeight="1">
      <c r="A488" s="324">
        <v>5019</v>
      </c>
      <c r="C488" s="324" t="s">
        <v>489</v>
      </c>
      <c r="D488" s="324">
        <v>30000</v>
      </c>
      <c r="F488" s="324" t="s">
        <v>55</v>
      </c>
      <c r="H488" s="324" t="s">
        <v>55</v>
      </c>
      <c r="I488" s="324" t="s">
        <v>55</v>
      </c>
      <c r="J488" s="324" t="s">
        <v>55</v>
      </c>
      <c r="K488" s="324">
        <v>30000</v>
      </c>
      <c r="L488" s="324">
        <v>209478.14332333271</v>
      </c>
      <c r="O488" s="324">
        <v>2023</v>
      </c>
      <c r="P488" s="324">
        <v>100000</v>
      </c>
      <c r="Q488" s="324">
        <v>37500</v>
      </c>
      <c r="R488" s="324">
        <v>62500</v>
      </c>
      <c r="S488" s="324">
        <v>62500</v>
      </c>
      <c r="U488" s="324" t="s">
        <v>0</v>
      </c>
      <c r="V488" s="324" t="s">
        <v>1</v>
      </c>
      <c r="W488" s="324" t="s">
        <v>1</v>
      </c>
      <c r="X488" s="324" t="s">
        <v>31</v>
      </c>
      <c r="Z488" s="324" t="s">
        <v>31</v>
      </c>
    </row>
    <row r="489" spans="1:27" s="324" customFormat="1" ht="0.65" hidden="1" customHeight="1">
      <c r="A489" s="324">
        <v>5020</v>
      </c>
      <c r="E489" s="324" t="s">
        <v>55</v>
      </c>
      <c r="O489" s="324" t="s">
        <v>794</v>
      </c>
      <c r="P489" s="324">
        <v>100000</v>
      </c>
      <c r="Q489" s="324">
        <v>37500</v>
      </c>
      <c r="R489" s="324">
        <v>62500</v>
      </c>
      <c r="S489" s="324">
        <v>62500</v>
      </c>
      <c r="U489" s="324">
        <v>2022</v>
      </c>
      <c r="V489" s="324">
        <v>-967500</v>
      </c>
      <c r="W489" s="324">
        <v>-967500</v>
      </c>
      <c r="X489" s="324">
        <v>-967500</v>
      </c>
      <c r="Z489" s="324">
        <v>-967500</v>
      </c>
    </row>
    <row r="490" spans="1:27" s="324" customFormat="1" ht="0.65" hidden="1" customHeight="1">
      <c r="A490" s="324">
        <v>5021</v>
      </c>
      <c r="C490" s="324" t="s">
        <v>4</v>
      </c>
      <c r="D490" s="324">
        <v>0.25</v>
      </c>
      <c r="F490" s="324" t="s">
        <v>55</v>
      </c>
      <c r="H490" s="324" t="s">
        <v>55</v>
      </c>
      <c r="I490" s="324" t="s">
        <v>55</v>
      </c>
      <c r="J490" s="324" t="s">
        <v>55</v>
      </c>
      <c r="K490" s="324">
        <v>0.25</v>
      </c>
      <c r="O490" s="324">
        <v>2024</v>
      </c>
      <c r="P490" s="324">
        <v>100000</v>
      </c>
      <c r="Q490" s="324">
        <v>37500</v>
      </c>
      <c r="R490" s="324">
        <v>62500</v>
      </c>
      <c r="S490" s="324">
        <v>0</v>
      </c>
      <c r="U490" s="324">
        <v>2023</v>
      </c>
      <c r="V490" s="324">
        <v>267500</v>
      </c>
      <c r="W490" s="324">
        <v>267500</v>
      </c>
      <c r="X490" s="324">
        <v>-700000</v>
      </c>
      <c r="Y490" s="324" t="s">
        <v>55</v>
      </c>
      <c r="Z490" s="324">
        <v>-700000</v>
      </c>
      <c r="AA490" s="324" t="s">
        <v>55</v>
      </c>
    </row>
    <row r="491" spans="1:27" s="324" customFormat="1" ht="0.65" hidden="1" customHeight="1">
      <c r="A491" s="324">
        <v>5022</v>
      </c>
      <c r="D491" s="324" t="s">
        <v>9</v>
      </c>
      <c r="G491" s="324" t="s">
        <v>793</v>
      </c>
      <c r="O491" s="324" t="s">
        <v>795</v>
      </c>
      <c r="P491" s="324">
        <v>100000</v>
      </c>
      <c r="Q491" s="324">
        <v>37500</v>
      </c>
      <c r="R491" s="324">
        <v>62500</v>
      </c>
      <c r="S491" s="324">
        <v>0</v>
      </c>
      <c r="U491" s="324">
        <v>2024</v>
      </c>
      <c r="V491" s="324">
        <v>330000</v>
      </c>
      <c r="W491" s="324">
        <v>330000</v>
      </c>
      <c r="X491" s="324">
        <v>-370000</v>
      </c>
      <c r="Y491" s="324" t="s">
        <v>55</v>
      </c>
      <c r="Z491" s="324">
        <v>-370000</v>
      </c>
      <c r="AA491" s="324" t="s">
        <v>55</v>
      </c>
    </row>
    <row r="492" spans="1:27" s="324" customFormat="1" ht="0.65" hidden="1" customHeight="1">
      <c r="A492" s="324">
        <v>5023</v>
      </c>
      <c r="E492" s="324" t="s">
        <v>55</v>
      </c>
      <c r="O492" s="324">
        <v>2025</v>
      </c>
      <c r="P492" s="324">
        <v>100000</v>
      </c>
      <c r="Q492" s="324">
        <v>37500</v>
      </c>
      <c r="R492" s="324">
        <v>62500</v>
      </c>
      <c r="S492" s="324">
        <v>0</v>
      </c>
      <c r="U492" s="324">
        <v>2025</v>
      </c>
      <c r="V492" s="324">
        <v>707500</v>
      </c>
      <c r="W492" s="324">
        <v>707500</v>
      </c>
      <c r="X492" s="324">
        <v>337500</v>
      </c>
      <c r="Y492" s="324">
        <v>2025</v>
      </c>
      <c r="Z492" s="324">
        <v>337500</v>
      </c>
      <c r="AA492" s="324">
        <v>2025</v>
      </c>
    </row>
    <row r="493" spans="1:27" s="324" customFormat="1" ht="0.65" hidden="1" customHeight="1">
      <c r="A493" s="324">
        <v>5024</v>
      </c>
      <c r="C493" s="324" t="s">
        <v>10</v>
      </c>
      <c r="D493" s="324">
        <v>360000</v>
      </c>
      <c r="F493" s="324" t="s">
        <v>55</v>
      </c>
      <c r="H493" s="324" t="s">
        <v>55</v>
      </c>
      <c r="I493" s="324" t="s">
        <v>55</v>
      </c>
      <c r="J493" s="324" t="s">
        <v>55</v>
      </c>
      <c r="K493" s="324">
        <v>360000</v>
      </c>
      <c r="O493" s="324" t="s">
        <v>796</v>
      </c>
      <c r="P493" s="324">
        <v>100000</v>
      </c>
      <c r="Q493" s="324">
        <v>37500</v>
      </c>
      <c r="R493" s="324">
        <v>62500</v>
      </c>
      <c r="S493" s="324">
        <v>0</v>
      </c>
      <c r="U493" s="324">
        <v>2026</v>
      </c>
      <c r="V493" s="324">
        <v>0</v>
      </c>
      <c r="W493" s="324">
        <v>0</v>
      </c>
      <c r="Z493" s="324">
        <v>337500</v>
      </c>
      <c r="AA493" s="324" t="s">
        <v>55</v>
      </c>
    </row>
    <row r="494" spans="1:27" s="324" customFormat="1" ht="0.65" hidden="1" customHeight="1">
      <c r="A494" s="324">
        <v>5025</v>
      </c>
      <c r="C494" s="324" t="s">
        <v>11</v>
      </c>
      <c r="D494" s="324">
        <v>1920000</v>
      </c>
      <c r="F494" s="324" t="s">
        <v>55</v>
      </c>
      <c r="H494" s="324" t="s">
        <v>55</v>
      </c>
      <c r="I494" s="324" t="s">
        <v>55</v>
      </c>
      <c r="J494" s="324" t="s">
        <v>55</v>
      </c>
      <c r="K494" s="324">
        <v>1920000</v>
      </c>
      <c r="O494" s="324">
        <v>2026</v>
      </c>
      <c r="P494" s="324">
        <v>0</v>
      </c>
      <c r="Q494" s="324">
        <v>0</v>
      </c>
      <c r="R494" s="324">
        <v>0</v>
      </c>
      <c r="S494" s="324">
        <v>0</v>
      </c>
      <c r="U494" s="324">
        <v>2027</v>
      </c>
      <c r="V494" s="324">
        <v>0</v>
      </c>
      <c r="W494" s="324">
        <v>0</v>
      </c>
      <c r="Z494" s="324">
        <v>337500</v>
      </c>
      <c r="AA494" s="324" t="s">
        <v>55</v>
      </c>
    </row>
    <row r="495" spans="1:27" s="324" customFormat="1" ht="0.65" hidden="1" customHeight="1">
      <c r="A495" s="324">
        <v>5026</v>
      </c>
      <c r="C495" s="324" t="s">
        <v>12</v>
      </c>
      <c r="D495" s="324">
        <v>0.02</v>
      </c>
      <c r="F495" s="324" t="s">
        <v>55</v>
      </c>
      <c r="H495" s="324" t="s">
        <v>55</v>
      </c>
      <c r="I495" s="324" t="s">
        <v>55</v>
      </c>
      <c r="J495" s="324" t="s">
        <v>55</v>
      </c>
      <c r="K495" s="324">
        <v>0.02</v>
      </c>
      <c r="O495" s="324" t="s">
        <v>797</v>
      </c>
      <c r="P495" s="324">
        <v>0</v>
      </c>
      <c r="Q495" s="324">
        <v>0</v>
      </c>
      <c r="R495" s="324">
        <v>0</v>
      </c>
      <c r="S495" s="324">
        <v>0</v>
      </c>
    </row>
    <row r="496" spans="1:27" s="324" customFormat="1" ht="0.65" hidden="1" customHeight="1">
      <c r="A496" s="324">
        <v>5027</v>
      </c>
      <c r="C496" s="324" t="s">
        <v>2</v>
      </c>
      <c r="D496" s="324">
        <v>6000000</v>
      </c>
      <c r="F496" s="324" t="s">
        <v>55</v>
      </c>
      <c r="H496" s="324" t="s">
        <v>55</v>
      </c>
      <c r="I496" s="324" t="s">
        <v>55</v>
      </c>
      <c r="J496" s="324" t="s">
        <v>55</v>
      </c>
      <c r="K496" s="324">
        <v>6000000</v>
      </c>
      <c r="O496" s="324">
        <v>2027</v>
      </c>
      <c r="P496" s="324">
        <v>0</v>
      </c>
      <c r="Q496" s="324">
        <v>0</v>
      </c>
      <c r="R496" s="324">
        <v>0</v>
      </c>
      <c r="S496" s="324">
        <v>0</v>
      </c>
    </row>
    <row r="497" spans="1:23" s="324" customFormat="1" ht="0.65" hidden="1" customHeight="1">
      <c r="A497" s="324">
        <v>5028</v>
      </c>
      <c r="C497" s="324" t="s">
        <v>3</v>
      </c>
      <c r="D497" s="324">
        <v>24000000</v>
      </c>
      <c r="F497" s="324" t="s">
        <v>55</v>
      </c>
      <c r="H497" s="324" t="s">
        <v>55</v>
      </c>
      <c r="I497" s="324" t="s">
        <v>55</v>
      </c>
      <c r="J497" s="324" t="s">
        <v>55</v>
      </c>
      <c r="K497" s="324">
        <v>24000000</v>
      </c>
      <c r="O497" s="324" t="s">
        <v>798</v>
      </c>
      <c r="P497" s="324">
        <v>0</v>
      </c>
      <c r="Q497" s="324">
        <v>0</v>
      </c>
      <c r="R497" s="324">
        <v>0</v>
      </c>
      <c r="S497" s="324">
        <v>0</v>
      </c>
    </row>
    <row r="498" spans="1:23" s="324" customFormat="1" ht="0.65" hidden="1" customHeight="1">
      <c r="A498" s="324">
        <v>5029</v>
      </c>
      <c r="E498" s="324" t="s">
        <v>55</v>
      </c>
      <c r="G498" s="324" t="s">
        <v>793</v>
      </c>
    </row>
    <row r="499" spans="1:23" s="324" customFormat="1" ht="0.65" hidden="1" customHeight="1">
      <c r="A499" s="324">
        <v>5030</v>
      </c>
      <c r="C499" s="324" t="s">
        <v>14</v>
      </c>
      <c r="D499" s="324" t="s">
        <v>16</v>
      </c>
      <c r="F499" s="324" t="s">
        <v>55</v>
      </c>
      <c r="H499" s="324" t="s">
        <v>55</v>
      </c>
      <c r="I499" s="324" t="s">
        <v>55</v>
      </c>
      <c r="J499" s="324" t="s">
        <v>55</v>
      </c>
      <c r="K499" s="324">
        <v>3</v>
      </c>
    </row>
    <row r="500" spans="1:23" s="324" customFormat="1" ht="0.65" hidden="1" customHeight="1">
      <c r="A500" s="324">
        <v>5031</v>
      </c>
      <c r="O500" s="324" t="s">
        <v>142</v>
      </c>
      <c r="U500" s="324" t="s">
        <v>27</v>
      </c>
    </row>
    <row r="501" spans="1:23" s="324" customFormat="1" ht="0.65" hidden="1" customHeight="1">
      <c r="A501" s="324">
        <v>5032</v>
      </c>
    </row>
    <row r="502" spans="1:23" s="324" customFormat="1" ht="0.65" hidden="1" customHeight="1">
      <c r="A502" s="324">
        <v>5033</v>
      </c>
      <c r="P502" s="324" t="s">
        <v>146</v>
      </c>
      <c r="Q502" s="324" t="s">
        <v>147</v>
      </c>
    </row>
    <row r="503" spans="1:23" s="324" customFormat="1" ht="0.65" hidden="1" customHeight="1">
      <c r="A503" s="324">
        <v>5034</v>
      </c>
      <c r="O503" s="324" t="s">
        <v>490</v>
      </c>
      <c r="P503" s="324">
        <v>967500</v>
      </c>
      <c r="Q503" s="324">
        <v>967500</v>
      </c>
      <c r="V503" s="324" t="s">
        <v>146</v>
      </c>
      <c r="W503" s="324" t="s">
        <v>147</v>
      </c>
    </row>
    <row r="504" spans="1:23" s="324" customFormat="1" ht="0.65" hidden="1" customHeight="1">
      <c r="A504" s="324">
        <v>5035</v>
      </c>
      <c r="O504" s="324" t="s">
        <v>491</v>
      </c>
      <c r="P504" s="324">
        <v>277500</v>
      </c>
      <c r="Q504" s="324">
        <v>277500</v>
      </c>
      <c r="U504" s="324" t="s">
        <v>13</v>
      </c>
      <c r="V504" s="324">
        <v>104229.1490951411</v>
      </c>
      <c r="W504" s="324">
        <v>104229.1490951411</v>
      </c>
    </row>
    <row r="505" spans="1:23" s="324" customFormat="1" ht="0.65" hidden="1" customHeight="1">
      <c r="A505" s="324">
        <v>5036</v>
      </c>
      <c r="O505" s="324" t="s">
        <v>493</v>
      </c>
      <c r="P505" s="324">
        <v>62500</v>
      </c>
      <c r="Q505" s="324">
        <v>62500</v>
      </c>
      <c r="U505" s="324" t="s">
        <v>28</v>
      </c>
      <c r="V505" s="324">
        <v>0.13927532491339289</v>
      </c>
      <c r="W505" s="324">
        <v>0.13927532491339289</v>
      </c>
    </row>
    <row r="506" spans="1:23" s="324" customFormat="1" ht="0.65" hidden="1" customHeight="1">
      <c r="A506" s="324">
        <v>5037</v>
      </c>
      <c r="O506" s="324" t="s">
        <v>494</v>
      </c>
      <c r="P506" s="324">
        <v>340000</v>
      </c>
      <c r="Q506" s="324">
        <v>340000</v>
      </c>
      <c r="U506" s="324" t="s">
        <v>29</v>
      </c>
      <c r="V506" s="324">
        <v>0.10773038666164454</v>
      </c>
      <c r="W506" s="324">
        <v>0.10773038666164454</v>
      </c>
    </row>
    <row r="507" spans="1:23" s="324" customFormat="1" ht="0.65" hidden="1" customHeight="1">
      <c r="A507" s="324">
        <v>5038</v>
      </c>
      <c r="U507" s="324" t="s">
        <v>30</v>
      </c>
      <c r="V507" s="324">
        <v>2025</v>
      </c>
      <c r="W507" s="324">
        <v>2025</v>
      </c>
    </row>
    <row r="508" spans="1:23" s="324" customFormat="1" ht="0.65" hidden="1" customHeight="1">
      <c r="A508" s="324">
        <v>5039</v>
      </c>
    </row>
    <row r="509" spans="1:23" s="324" customFormat="1" ht="0.65" hidden="1" customHeight="1">
      <c r="A509" s="324">
        <v>5040</v>
      </c>
      <c r="O509" s="324" t="s">
        <v>25</v>
      </c>
    </row>
    <row r="510" spans="1:23" s="324" customFormat="1" ht="0.65" hidden="1" customHeight="1">
      <c r="A510" s="324">
        <v>5041</v>
      </c>
    </row>
    <row r="511" spans="1:23" s="324" customFormat="1" ht="0.65" hidden="1" customHeight="1">
      <c r="A511" s="324">
        <v>5042</v>
      </c>
      <c r="P511" s="324" t="s">
        <v>146</v>
      </c>
      <c r="Q511" s="324" t="s">
        <v>147</v>
      </c>
    </row>
    <row r="512" spans="1:23" s="324" customFormat="1" ht="0.65" hidden="1" customHeight="1">
      <c r="A512" s="324">
        <v>5043</v>
      </c>
      <c r="O512" s="324" t="s">
        <v>124</v>
      </c>
      <c r="P512" s="324">
        <v>4.4999999999999998E-2</v>
      </c>
      <c r="Q512" s="324">
        <v>4.4999999999999998E-2</v>
      </c>
    </row>
    <row r="513" spans="1:26" s="324" customFormat="1" ht="0.65" hidden="1" customHeight="1">
      <c r="A513" s="324">
        <v>5044</v>
      </c>
      <c r="O513" s="324" t="s">
        <v>125</v>
      </c>
      <c r="P513" s="324">
        <v>0.1</v>
      </c>
      <c r="Q513" s="324">
        <v>0.1</v>
      </c>
    </row>
    <row r="514" spans="1:26" s="324" customFormat="1" ht="0.65" hidden="1" customHeight="1">
      <c r="A514" s="324">
        <v>5045</v>
      </c>
      <c r="O514" s="324" t="s">
        <v>126</v>
      </c>
      <c r="P514" s="324">
        <v>8.8999999999999996E-2</v>
      </c>
      <c r="Q514" s="324">
        <v>8.8999999999999996E-2</v>
      </c>
    </row>
    <row r="515" spans="1:26" s="324" customFormat="1" ht="0.65" hidden="1" customHeight="1">
      <c r="A515" s="324">
        <v>5046</v>
      </c>
    </row>
    <row r="516" spans="1:26" s="324" customFormat="1" ht="0.65" hidden="1" customHeight="1">
      <c r="A516" s="324">
        <v>5047</v>
      </c>
      <c r="B516" s="324">
        <v>2</v>
      </c>
      <c r="C516" s="324">
        <v>3</v>
      </c>
      <c r="D516" s="324">
        <v>4</v>
      </c>
      <c r="E516" s="324">
        <v>5</v>
      </c>
      <c r="F516" s="324">
        <v>6</v>
      </c>
      <c r="G516" s="324">
        <v>7</v>
      </c>
      <c r="H516" s="324">
        <v>8</v>
      </c>
      <c r="I516" s="324">
        <v>9</v>
      </c>
      <c r="J516" s="324">
        <v>10</v>
      </c>
      <c r="K516" s="324">
        <v>11</v>
      </c>
      <c r="L516" s="324">
        <v>12</v>
      </c>
      <c r="M516" s="324">
        <v>13</v>
      </c>
      <c r="N516" s="324">
        <v>14</v>
      </c>
      <c r="O516" s="324">
        <v>15</v>
      </c>
      <c r="P516" s="324">
        <v>16</v>
      </c>
      <c r="Q516" s="324">
        <v>17</v>
      </c>
      <c r="R516" s="324">
        <v>18</v>
      </c>
      <c r="S516" s="324">
        <v>19</v>
      </c>
      <c r="T516" s="324">
        <v>20</v>
      </c>
      <c r="U516" s="324">
        <v>21</v>
      </c>
      <c r="V516" s="324">
        <v>22</v>
      </c>
      <c r="W516" s="324">
        <v>23</v>
      </c>
      <c r="X516" s="324">
        <v>24</v>
      </c>
      <c r="Y516" s="324">
        <v>25</v>
      </c>
      <c r="Z516" s="324">
        <v>26</v>
      </c>
    </row>
    <row r="517" spans="1:26" s="324" customFormat="1" ht="0.65" hidden="1" customHeight="1">
      <c r="A517" s="324">
        <v>5048</v>
      </c>
    </row>
    <row r="518" spans="1:26" s="324" customFormat="1" ht="0.65" hidden="1" customHeight="1">
      <c r="A518" s="324">
        <v>5049</v>
      </c>
    </row>
    <row r="519" spans="1:26" s="324" customFormat="1" ht="0.65" hidden="1" customHeight="1">
      <c r="A519" s="324">
        <v>5050</v>
      </c>
    </row>
    <row r="520" spans="1:26" s="324" customFormat="1" ht="0.65" hidden="1" customHeight="1">
      <c r="A520" s="324">
        <v>5051</v>
      </c>
    </row>
    <row r="521" spans="1:26" s="324" customFormat="1" ht="0.65" hidden="1" customHeight="1">
      <c r="A521" s="324">
        <v>5052</v>
      </c>
    </row>
    <row r="522" spans="1:26" s="324" customFormat="1" ht="0.65" hidden="1" customHeight="1">
      <c r="A522" s="324">
        <v>5053</v>
      </c>
    </row>
    <row r="523" spans="1:26" s="324" customFormat="1" ht="0.65" hidden="1" customHeight="1">
      <c r="A523" s="324">
        <v>5054</v>
      </c>
    </row>
    <row r="524" spans="1:26" s="324" customFormat="1" ht="0.65" hidden="1" customHeight="1">
      <c r="A524" s="324">
        <v>5055</v>
      </c>
    </row>
    <row r="525" spans="1:26" s="324" customFormat="1" ht="0.65" hidden="1" customHeight="1">
      <c r="A525" s="324">
        <v>5056</v>
      </c>
    </row>
    <row r="526" spans="1:26" s="324" customFormat="1" ht="0.65" hidden="1" customHeight="1">
      <c r="A526" s="324">
        <v>5057</v>
      </c>
    </row>
    <row r="527" spans="1:26" s="324" customFormat="1" ht="0.65" hidden="1" customHeight="1">
      <c r="A527" s="324">
        <v>5058</v>
      </c>
    </row>
    <row r="528" spans="1:26" s="324" customFormat="1" ht="0.65" hidden="1" customHeight="1">
      <c r="A528" s="324">
        <v>5059</v>
      </c>
      <c r="D528" s="324">
        <v>1200000</v>
      </c>
      <c r="E528" s="324">
        <v>1200000</v>
      </c>
      <c r="F528" s="324">
        <v>1</v>
      </c>
    </row>
    <row r="529" spans="1:6" s="324" customFormat="1" ht="0.65" hidden="1" customHeight="1">
      <c r="A529" s="324">
        <v>5060</v>
      </c>
      <c r="D529" s="324">
        <v>10</v>
      </c>
      <c r="E529" s="324">
        <v>10</v>
      </c>
      <c r="F529" s="324">
        <v>1</v>
      </c>
    </row>
    <row r="530" spans="1:6" s="324" customFormat="1" ht="0.65" hidden="1" customHeight="1">
      <c r="A530" s="324">
        <v>5061</v>
      </c>
      <c r="D530" s="324">
        <v>120000</v>
      </c>
      <c r="E530" s="324">
        <v>120000</v>
      </c>
      <c r="F530" s="324">
        <v>1</v>
      </c>
    </row>
    <row r="531" spans="1:6" s="324" customFormat="1" ht="0.65" hidden="1" customHeight="1">
      <c r="A531" s="324">
        <v>5062</v>
      </c>
    </row>
    <row r="532" spans="1:6" s="324" customFormat="1" ht="0.65" hidden="1" customHeight="1">
      <c r="A532" s="324">
        <v>5063</v>
      </c>
      <c r="D532" s="324">
        <v>600000</v>
      </c>
      <c r="E532" s="324">
        <v>600000</v>
      </c>
      <c r="F532" s="324">
        <v>1</v>
      </c>
    </row>
    <row r="533" spans="1:6" s="324" customFormat="1" ht="0.65" hidden="1" customHeight="1">
      <c r="A533" s="324">
        <v>5064</v>
      </c>
      <c r="D533" s="324">
        <v>150000</v>
      </c>
      <c r="E533" s="324">
        <v>150000</v>
      </c>
      <c r="F533" s="324">
        <v>1</v>
      </c>
    </row>
    <row r="534" spans="1:6" s="324" customFormat="1" ht="0.65" hidden="1" customHeight="1">
      <c r="A534" s="324">
        <v>5065</v>
      </c>
    </row>
    <row r="535" spans="1:6" s="324" customFormat="1" ht="0.65" hidden="1" customHeight="1">
      <c r="A535" s="324">
        <v>5066</v>
      </c>
      <c r="D535" s="324">
        <v>60</v>
      </c>
      <c r="E535" s="324">
        <v>60</v>
      </c>
      <c r="F535" s="324">
        <v>1</v>
      </c>
    </row>
    <row r="536" spans="1:6" s="324" customFormat="1" ht="0.65" hidden="1" customHeight="1">
      <c r="A536" s="324">
        <v>5067</v>
      </c>
      <c r="D536" s="324">
        <v>90</v>
      </c>
      <c r="E536" s="324">
        <v>90</v>
      </c>
      <c r="F536" s="324">
        <v>1</v>
      </c>
    </row>
    <row r="537" spans="1:6" s="324" customFormat="1" ht="0.65" hidden="1" customHeight="1">
      <c r="A537" s="324">
        <v>5068</v>
      </c>
    </row>
    <row r="538" spans="1:6" s="324" customFormat="1" ht="0.65" hidden="1" customHeight="1">
      <c r="A538" s="324">
        <v>5069</v>
      </c>
    </row>
    <row r="539" spans="1:6" s="324" customFormat="1" ht="0.65" hidden="1" customHeight="1">
      <c r="A539" s="324">
        <v>5070</v>
      </c>
      <c r="D539" s="324">
        <v>210000</v>
      </c>
      <c r="E539" s="324">
        <v>210000</v>
      </c>
      <c r="F539" s="324">
        <v>1</v>
      </c>
    </row>
    <row r="540" spans="1:6" s="324" customFormat="1" ht="0.65" hidden="1" customHeight="1">
      <c r="A540" s="324">
        <v>5071</v>
      </c>
      <c r="D540" s="324">
        <v>300000</v>
      </c>
      <c r="E540" s="324">
        <v>300000</v>
      </c>
      <c r="F540" s="324">
        <v>1</v>
      </c>
    </row>
    <row r="541" spans="1:6" s="324" customFormat="1" ht="0.65" hidden="1" customHeight="1">
      <c r="A541" s="324">
        <v>5072</v>
      </c>
      <c r="D541" s="324">
        <v>2</v>
      </c>
      <c r="E541" s="324">
        <v>2</v>
      </c>
      <c r="F541" s="324">
        <v>1</v>
      </c>
    </row>
    <row r="542" spans="1:6" s="324" customFormat="1" ht="0.65" hidden="1" customHeight="1">
      <c r="A542" s="324">
        <v>5073</v>
      </c>
      <c r="D542" s="324">
        <v>30000</v>
      </c>
      <c r="E542" s="324">
        <v>30000</v>
      </c>
      <c r="F542" s="324">
        <v>1</v>
      </c>
    </row>
    <row r="543" spans="1:6" s="324" customFormat="1" ht="0.65" hidden="1" customHeight="1">
      <c r="A543" s="324">
        <v>5074</v>
      </c>
    </row>
    <row r="544" spans="1:6" s="324" customFormat="1" ht="0.65" hidden="1" customHeight="1">
      <c r="A544" s="324">
        <v>5075</v>
      </c>
      <c r="D544" s="324">
        <v>0.25</v>
      </c>
      <c r="E544" s="324">
        <v>0.25</v>
      </c>
      <c r="F544" s="324">
        <v>1</v>
      </c>
    </row>
    <row r="545" spans="1:6" s="324" customFormat="1" ht="0.65" hidden="1" customHeight="1">
      <c r="A545" s="324">
        <v>5076</v>
      </c>
      <c r="D545" s="324" t="s">
        <v>9</v>
      </c>
    </row>
    <row r="546" spans="1:6" s="324" customFormat="1" ht="0.65" hidden="1" customHeight="1">
      <c r="A546" s="324">
        <v>5077</v>
      </c>
    </row>
    <row r="547" spans="1:6" s="324" customFormat="1" ht="0.65" hidden="1" customHeight="1">
      <c r="A547" s="324">
        <v>5078</v>
      </c>
      <c r="D547" s="324">
        <v>360000</v>
      </c>
      <c r="E547" s="324">
        <v>360000</v>
      </c>
      <c r="F547" s="324">
        <v>1</v>
      </c>
    </row>
    <row r="548" spans="1:6" s="324" customFormat="1" ht="0.65" hidden="1" customHeight="1">
      <c r="A548" s="324">
        <v>5079</v>
      </c>
      <c r="D548" s="324">
        <v>1920000</v>
      </c>
      <c r="E548" s="324">
        <v>1920000</v>
      </c>
      <c r="F548" s="324">
        <v>1</v>
      </c>
    </row>
    <row r="549" spans="1:6" s="324" customFormat="1" ht="0.65" hidden="1" customHeight="1">
      <c r="A549" s="324">
        <v>5080</v>
      </c>
      <c r="D549" s="324">
        <v>0.02</v>
      </c>
      <c r="E549" s="324">
        <v>0.02</v>
      </c>
      <c r="F549" s="324">
        <v>1</v>
      </c>
    </row>
    <row r="550" spans="1:6" s="324" customFormat="1" ht="0.65" hidden="1" customHeight="1">
      <c r="A550" s="324">
        <v>5081</v>
      </c>
      <c r="D550" s="324">
        <v>6000000</v>
      </c>
      <c r="E550" s="324">
        <v>6000000</v>
      </c>
      <c r="F550" s="324">
        <v>1</v>
      </c>
    </row>
    <row r="551" spans="1:6" s="324" customFormat="1" ht="0.65" hidden="1" customHeight="1">
      <c r="A551" s="324">
        <v>5082</v>
      </c>
      <c r="D551" s="324">
        <v>24000000</v>
      </c>
      <c r="E551" s="324">
        <v>24000000</v>
      </c>
      <c r="F551" s="324">
        <v>1</v>
      </c>
    </row>
    <row r="552" spans="1:6" s="324" customFormat="1" ht="0.65" hidden="1" customHeight="1">
      <c r="A552" s="324">
        <v>5083</v>
      </c>
    </row>
    <row r="553" spans="1:6" s="324" customFormat="1" ht="0.65" hidden="1" customHeight="1">
      <c r="A553" s="324">
        <v>5084</v>
      </c>
      <c r="D553" s="324" t="s">
        <v>16</v>
      </c>
    </row>
    <row r="554" spans="1:6" s="324" customFormat="1" ht="0.65" hidden="1" customHeight="1"/>
    <row r="555" spans="1:6" s="324" customFormat="1" ht="0.65" hidden="1" customHeight="1"/>
    <row r="556" spans="1:6" s="324" customFormat="1" ht="0.65" hidden="1" customHeight="1"/>
    <row r="557" spans="1:6" s="324" customFormat="1" ht="0.65" hidden="1" customHeight="1"/>
    <row r="558" spans="1:6" s="324" customFormat="1" ht="0.65" hidden="1" customHeight="1"/>
    <row r="559" spans="1:6" s="324" customFormat="1" ht="0.65" hidden="1" customHeight="1"/>
    <row r="560" spans="1:6" s="324" customFormat="1" ht="0.65" hidden="1" customHeight="1"/>
    <row r="561" spans="1:22" s="324" customFormat="1" ht="0.65" hidden="1" customHeight="1">
      <c r="B561" s="324" t="s">
        <v>19</v>
      </c>
      <c r="D561" s="324" t="s">
        <v>336</v>
      </c>
      <c r="E561" s="324">
        <v>6</v>
      </c>
      <c r="K561" s="324" t="s">
        <v>290</v>
      </c>
      <c r="L561" s="324">
        <v>17</v>
      </c>
      <c r="O561" s="324" t="s">
        <v>21</v>
      </c>
    </row>
    <row r="562" spans="1:22" s="324" customFormat="1" ht="0.65" hidden="1" customHeight="1">
      <c r="B562" s="324" t="s">
        <v>3951</v>
      </c>
      <c r="D562" s="324" t="s">
        <v>336</v>
      </c>
      <c r="E562" s="324" t="s">
        <v>486</v>
      </c>
      <c r="K562" s="324" t="s">
        <v>217</v>
      </c>
      <c r="L562" s="324">
        <v>0</v>
      </c>
    </row>
    <row r="563" spans="1:22" s="324" customFormat="1" ht="0.65" hidden="1" customHeight="1">
      <c r="A563" s="324">
        <v>6001</v>
      </c>
      <c r="C563" s="324" t="s">
        <v>5</v>
      </c>
      <c r="D563" s="324">
        <v>2022</v>
      </c>
      <c r="E563" s="324" t="s">
        <v>55</v>
      </c>
      <c r="G563" s="324" t="s">
        <v>793</v>
      </c>
      <c r="O563" s="324" t="s">
        <v>0</v>
      </c>
      <c r="P563" s="324" t="s">
        <v>69</v>
      </c>
      <c r="Q563" s="324" t="s">
        <v>70</v>
      </c>
      <c r="R563" s="324" t="s">
        <v>71</v>
      </c>
      <c r="S563" s="324" t="s">
        <v>72</v>
      </c>
      <c r="T563" s="324" t="s">
        <v>73</v>
      </c>
      <c r="U563" s="324" t="s">
        <v>74</v>
      </c>
      <c r="V563" s="324" t="s">
        <v>75</v>
      </c>
    </row>
    <row r="564" spans="1:22" s="324" customFormat="1" ht="0.65" hidden="1" customHeight="1">
      <c r="A564" s="324">
        <v>6002</v>
      </c>
      <c r="O564" s="324">
        <v>2023</v>
      </c>
      <c r="P564" s="324">
        <v>250000</v>
      </c>
      <c r="Q564" s="324">
        <v>-25000</v>
      </c>
      <c r="R564" s="324">
        <v>28125</v>
      </c>
      <c r="S564" s="324">
        <v>246875</v>
      </c>
      <c r="T564" s="324">
        <v>61718.75</v>
      </c>
      <c r="U564" s="324">
        <v>185156.25</v>
      </c>
      <c r="V564" s="324">
        <v>213281.25</v>
      </c>
    </row>
    <row r="565" spans="1:22" s="324" customFormat="1" ht="0.65" hidden="1" customHeight="1">
      <c r="A565" s="324">
        <v>6003</v>
      </c>
      <c r="D565" s="324" t="s">
        <v>139</v>
      </c>
      <c r="E565" s="324" t="s">
        <v>139</v>
      </c>
      <c r="H565" s="324" t="s">
        <v>148</v>
      </c>
      <c r="L565" s="324" t="s">
        <v>149</v>
      </c>
      <c r="O565" s="324" t="s">
        <v>794</v>
      </c>
      <c r="P565" s="324">
        <v>250000</v>
      </c>
      <c r="Q565" s="324">
        <v>-25000</v>
      </c>
      <c r="R565" s="324">
        <v>28125</v>
      </c>
      <c r="S565" s="324">
        <v>246875</v>
      </c>
      <c r="T565" s="324">
        <v>61718.75</v>
      </c>
      <c r="U565" s="324">
        <v>185156.25</v>
      </c>
      <c r="V565" s="324">
        <v>213281.25</v>
      </c>
    </row>
    <row r="566" spans="1:22" s="324" customFormat="1" ht="0.65" hidden="1" customHeight="1">
      <c r="A566" s="324">
        <v>6004</v>
      </c>
      <c r="C566" s="324" t="s">
        <v>32</v>
      </c>
      <c r="D566" s="324" t="s">
        <v>141</v>
      </c>
      <c r="E566" s="324" t="s">
        <v>140</v>
      </c>
      <c r="F566" s="324" t="s">
        <v>143</v>
      </c>
      <c r="H566" s="324" t="s">
        <v>144</v>
      </c>
      <c r="I566" s="324" t="s">
        <v>145</v>
      </c>
      <c r="J566" s="324" t="s">
        <v>143</v>
      </c>
      <c r="L566" s="324" t="s">
        <v>150</v>
      </c>
      <c r="O566" s="324">
        <v>2024</v>
      </c>
      <c r="P566" s="324">
        <v>250000</v>
      </c>
      <c r="Q566" s="324">
        <v>-25000</v>
      </c>
      <c r="R566" s="324">
        <v>28125</v>
      </c>
      <c r="S566" s="324">
        <v>246875</v>
      </c>
      <c r="T566" s="324">
        <v>61718.75</v>
      </c>
      <c r="U566" s="324">
        <v>185156.25</v>
      </c>
      <c r="V566" s="324">
        <v>213281.25</v>
      </c>
    </row>
    <row r="567" spans="1:22" s="324" customFormat="1" ht="0.65" hidden="1" customHeight="1">
      <c r="A567" s="324">
        <v>6005</v>
      </c>
      <c r="B567" s="324">
        <v>0.10312499999999999</v>
      </c>
      <c r="C567" s="324" t="s">
        <v>488</v>
      </c>
      <c r="D567" s="324">
        <v>750000</v>
      </c>
      <c r="F567" s="324" t="s">
        <v>55</v>
      </c>
      <c r="H567" s="324" t="s">
        <v>55</v>
      </c>
      <c r="I567" s="324" t="s">
        <v>55</v>
      </c>
      <c r="J567" s="324" t="s">
        <v>55</v>
      </c>
      <c r="K567" s="324">
        <v>750000</v>
      </c>
      <c r="L567" s="324">
        <v>858711.46371348121</v>
      </c>
      <c r="O567" s="324" t="s">
        <v>795</v>
      </c>
      <c r="P567" s="324">
        <v>250000</v>
      </c>
      <c r="Q567" s="324">
        <v>-25000</v>
      </c>
      <c r="R567" s="324">
        <v>28125</v>
      </c>
      <c r="S567" s="324">
        <v>246875</v>
      </c>
      <c r="T567" s="324">
        <v>61718.75</v>
      </c>
      <c r="U567" s="324">
        <v>185156.25</v>
      </c>
      <c r="V567" s="324">
        <v>213281.25</v>
      </c>
    </row>
    <row r="568" spans="1:22" s="324" customFormat="1" ht="0.65" hidden="1" customHeight="1">
      <c r="A568" s="324">
        <v>6006</v>
      </c>
      <c r="B568" s="324">
        <v>2.4732338391883553</v>
      </c>
      <c r="C568" s="324" t="s">
        <v>6</v>
      </c>
      <c r="D568" s="324">
        <v>10</v>
      </c>
      <c r="F568" s="324" t="s">
        <v>55</v>
      </c>
      <c r="H568" s="324" t="s">
        <v>55</v>
      </c>
      <c r="I568" s="324" t="s">
        <v>55</v>
      </c>
      <c r="J568" s="324" t="s">
        <v>55</v>
      </c>
      <c r="K568" s="324">
        <v>10</v>
      </c>
      <c r="O568" s="324">
        <v>2025</v>
      </c>
      <c r="P568" s="324">
        <v>250000</v>
      </c>
      <c r="Q568" s="324">
        <v>-25000</v>
      </c>
      <c r="R568" s="324">
        <v>28125</v>
      </c>
      <c r="S568" s="324">
        <v>246875</v>
      </c>
      <c r="T568" s="324">
        <v>61718.75</v>
      </c>
      <c r="U568" s="324">
        <v>185156.25</v>
      </c>
      <c r="V568" s="324">
        <v>213281.25</v>
      </c>
    </row>
    <row r="569" spans="1:22" s="324" customFormat="1" ht="0.65" hidden="1" customHeight="1">
      <c r="A569" s="324">
        <v>6007</v>
      </c>
      <c r="B569" s="324">
        <v>1.7282860788546555</v>
      </c>
      <c r="C569" s="324" t="s">
        <v>489</v>
      </c>
      <c r="D569" s="324">
        <v>75000</v>
      </c>
      <c r="F569" s="324" t="s">
        <v>55</v>
      </c>
      <c r="H569" s="324" t="s">
        <v>55</v>
      </c>
      <c r="I569" s="324" t="s">
        <v>55</v>
      </c>
      <c r="J569" s="324" t="s">
        <v>55</v>
      </c>
      <c r="K569" s="324">
        <v>75000</v>
      </c>
      <c r="L569" s="324">
        <v>-82178.768539427925</v>
      </c>
      <c r="O569" s="324" t="s">
        <v>796</v>
      </c>
      <c r="P569" s="324">
        <v>250000</v>
      </c>
      <c r="Q569" s="324">
        <v>-25000</v>
      </c>
      <c r="R569" s="324">
        <v>28125</v>
      </c>
      <c r="S569" s="324">
        <v>246875</v>
      </c>
      <c r="T569" s="324">
        <v>61718.75</v>
      </c>
      <c r="U569" s="324">
        <v>185156.25</v>
      </c>
      <c r="V569" s="324">
        <v>213281.25</v>
      </c>
    </row>
    <row r="570" spans="1:22" s="324" customFormat="1" ht="0.65" hidden="1" customHeight="1">
      <c r="A570" s="324">
        <v>6008</v>
      </c>
      <c r="E570" s="324" t="s">
        <v>55</v>
      </c>
      <c r="O570" s="324">
        <v>2026</v>
      </c>
      <c r="P570" s="324">
        <v>0</v>
      </c>
      <c r="Q570" s="324">
        <v>0</v>
      </c>
      <c r="R570" s="324">
        <v>0</v>
      </c>
      <c r="S570" s="324">
        <v>0</v>
      </c>
      <c r="T570" s="324">
        <v>0</v>
      </c>
      <c r="U570" s="324">
        <v>0</v>
      </c>
      <c r="V570" s="324">
        <v>0</v>
      </c>
    </row>
    <row r="571" spans="1:22" s="324" customFormat="1" ht="0.65" hidden="1" customHeight="1">
      <c r="A571" s="324">
        <v>6009</v>
      </c>
      <c r="B571" s="324">
        <v>-605852.47197142011</v>
      </c>
      <c r="C571" s="324" t="s">
        <v>34</v>
      </c>
      <c r="D571" s="324">
        <v>250000</v>
      </c>
      <c r="F571" s="324" t="s">
        <v>55</v>
      </c>
      <c r="H571" s="324" t="s">
        <v>55</v>
      </c>
      <c r="I571" s="324" t="s">
        <v>55</v>
      </c>
      <c r="J571" s="324" t="s">
        <v>55</v>
      </c>
      <c r="K571" s="324">
        <v>250000</v>
      </c>
      <c r="L571" s="324">
        <v>201603.27303922398</v>
      </c>
      <c r="O571" s="324" t="s">
        <v>797</v>
      </c>
      <c r="P571" s="324">
        <v>0</v>
      </c>
      <c r="Q571" s="324">
        <v>0</v>
      </c>
      <c r="R571" s="324">
        <v>0</v>
      </c>
      <c r="S571" s="324">
        <v>0</v>
      </c>
      <c r="T571" s="324">
        <v>0</v>
      </c>
      <c r="U571" s="324">
        <v>0</v>
      </c>
      <c r="V571" s="324">
        <v>0</v>
      </c>
    </row>
    <row r="572" spans="1:22" s="324" customFormat="1" ht="0.65" hidden="1" customHeight="1">
      <c r="A572" s="324">
        <v>6010</v>
      </c>
      <c r="B572" s="324">
        <v>16761.324607508268</v>
      </c>
      <c r="C572" s="324" t="s">
        <v>35</v>
      </c>
      <c r="D572" s="324">
        <v>-25000</v>
      </c>
      <c r="F572" s="324" t="s">
        <v>55</v>
      </c>
      <c r="H572" s="324" t="s">
        <v>55</v>
      </c>
      <c r="I572" s="324" t="s">
        <v>55</v>
      </c>
      <c r="J572" s="324" t="s">
        <v>55</v>
      </c>
      <c r="K572" s="324">
        <v>-25000</v>
      </c>
      <c r="L572" s="324">
        <v>23396.726960776021</v>
      </c>
      <c r="O572" s="324">
        <v>2027</v>
      </c>
      <c r="P572" s="324">
        <v>0</v>
      </c>
      <c r="Q572" s="324">
        <v>0</v>
      </c>
      <c r="R572" s="324">
        <v>0</v>
      </c>
      <c r="S572" s="324">
        <v>0</v>
      </c>
      <c r="T572" s="324">
        <v>0</v>
      </c>
      <c r="U572" s="324">
        <v>0</v>
      </c>
      <c r="V572" s="324">
        <v>0</v>
      </c>
    </row>
    <row r="573" spans="1:22" s="324" customFormat="1" ht="0.65" hidden="1" customHeight="1">
      <c r="A573" s="324">
        <v>6011</v>
      </c>
      <c r="B573" s="324">
        <v>168750</v>
      </c>
      <c r="E573" s="324" t="s">
        <v>55</v>
      </c>
      <c r="O573" s="324" t="s">
        <v>798</v>
      </c>
      <c r="P573" s="324">
        <v>0</v>
      </c>
      <c r="Q573" s="324">
        <v>0</v>
      </c>
      <c r="R573" s="324">
        <v>0</v>
      </c>
      <c r="S573" s="324">
        <v>0</v>
      </c>
      <c r="T573" s="324">
        <v>0</v>
      </c>
      <c r="U573" s="324">
        <v>0</v>
      </c>
      <c r="V573" s="324">
        <v>0</v>
      </c>
    </row>
    <row r="574" spans="1:22" s="324" customFormat="1" ht="0.65" hidden="1" customHeight="1">
      <c r="A574" s="324">
        <v>6012</v>
      </c>
      <c r="B574" s="324">
        <v>9161.9343806009056</v>
      </c>
      <c r="C574" s="324" t="s">
        <v>7</v>
      </c>
      <c r="D574" s="324">
        <v>90</v>
      </c>
      <c r="F574" s="324" t="s">
        <v>55</v>
      </c>
      <c r="H574" s="324" t="s">
        <v>55</v>
      </c>
      <c r="I574" s="324" t="s">
        <v>55</v>
      </c>
      <c r="J574" s="324" t="s">
        <v>55</v>
      </c>
      <c r="K574" s="324">
        <v>90</v>
      </c>
    </row>
    <row r="575" spans="1:22" s="324" customFormat="1" ht="0.65" hidden="1" customHeight="1">
      <c r="A575" s="324">
        <v>6013</v>
      </c>
      <c r="B575" s="324">
        <v>453633.356072639</v>
      </c>
      <c r="C575" s="324" t="s">
        <v>8</v>
      </c>
      <c r="D575" s="324">
        <v>90</v>
      </c>
      <c r="F575" s="324" t="s">
        <v>55</v>
      </c>
      <c r="H575" s="324" t="s">
        <v>55</v>
      </c>
      <c r="I575" s="324" t="s">
        <v>55</v>
      </c>
      <c r="J575" s="324" t="s">
        <v>55</v>
      </c>
      <c r="K575" s="324">
        <v>90</v>
      </c>
    </row>
    <row r="576" spans="1:22" s="324" customFormat="1" ht="0.65" hidden="1" customHeight="1">
      <c r="A576" s="324">
        <v>6014</v>
      </c>
      <c r="B576" s="324">
        <v>45363.335607263893</v>
      </c>
      <c r="G576" s="324" t="s">
        <v>793</v>
      </c>
      <c r="O576" s="324" t="s">
        <v>22</v>
      </c>
      <c r="U576" s="324" t="s">
        <v>26</v>
      </c>
    </row>
    <row r="577" spans="1:27" s="324" customFormat="1" ht="0.65" hidden="1" customHeight="1">
      <c r="A577" s="324">
        <v>6015</v>
      </c>
      <c r="C577" s="324" t="s">
        <v>33</v>
      </c>
      <c r="E577" s="324" t="s">
        <v>55</v>
      </c>
    </row>
    <row r="578" spans="1:27" s="324" customFormat="1" ht="0.65" hidden="1" customHeight="1">
      <c r="A578" s="324">
        <v>6016</v>
      </c>
      <c r="B578" s="324">
        <v>87817.478696591977</v>
      </c>
      <c r="C578" s="324" t="s">
        <v>492</v>
      </c>
      <c r="D578" s="324">
        <v>225000</v>
      </c>
      <c r="F578" s="324" t="s">
        <v>55</v>
      </c>
      <c r="H578" s="324" t="s">
        <v>55</v>
      </c>
      <c r="I578" s="324" t="s">
        <v>55</v>
      </c>
      <c r="J578" s="324" t="s">
        <v>55</v>
      </c>
      <c r="K578" s="324">
        <v>225000</v>
      </c>
      <c r="L578" s="324">
        <v>107910.02840454403</v>
      </c>
      <c r="O578" s="324" t="s">
        <v>0</v>
      </c>
      <c r="P578" s="324" t="s">
        <v>76</v>
      </c>
      <c r="Q578" s="324" t="s">
        <v>77</v>
      </c>
      <c r="R578" s="324" t="s">
        <v>78</v>
      </c>
      <c r="S578" s="324" t="s">
        <v>79</v>
      </c>
    </row>
    <row r="579" spans="1:27" s="324" customFormat="1" ht="0.65" hidden="1" customHeight="1">
      <c r="A579" s="324">
        <v>6017</v>
      </c>
      <c r="C579" s="324" t="s">
        <v>495</v>
      </c>
      <c r="D579" s="324">
        <v>187500</v>
      </c>
      <c r="E579" s="324">
        <v>187500</v>
      </c>
      <c r="K579" s="324">
        <v>187500</v>
      </c>
      <c r="O579" s="324">
        <v>2022</v>
      </c>
      <c r="P579" s="324">
        <v>0</v>
      </c>
      <c r="Q579" s="324">
        <v>0</v>
      </c>
      <c r="R579" s="324">
        <v>0</v>
      </c>
      <c r="S579" s="324">
        <v>0</v>
      </c>
    </row>
    <row r="580" spans="1:27" s="324" customFormat="1" ht="0.65" hidden="1" customHeight="1">
      <c r="A580" s="324">
        <v>6018</v>
      </c>
      <c r="C580" s="324" t="s">
        <v>6</v>
      </c>
      <c r="D580" s="324">
        <v>4</v>
      </c>
      <c r="F580" s="324" t="s">
        <v>55</v>
      </c>
      <c r="H580" s="324" t="s">
        <v>55</v>
      </c>
      <c r="I580" s="324" t="s">
        <v>55</v>
      </c>
      <c r="J580" s="324" t="s">
        <v>55</v>
      </c>
      <c r="K580" s="324">
        <v>4</v>
      </c>
      <c r="O580" s="324" t="s">
        <v>799</v>
      </c>
      <c r="P580" s="324">
        <v>0</v>
      </c>
      <c r="Q580" s="324">
        <v>0</v>
      </c>
      <c r="R580" s="324">
        <v>0</v>
      </c>
      <c r="S580" s="324">
        <v>0</v>
      </c>
      <c r="V580" s="324" t="s">
        <v>81</v>
      </c>
    </row>
    <row r="581" spans="1:27" s="324" customFormat="1" ht="0.65" hidden="1" customHeight="1">
      <c r="A581" s="324">
        <v>6019</v>
      </c>
      <c r="C581" s="324" t="s">
        <v>489</v>
      </c>
      <c r="D581" s="324">
        <v>45000</v>
      </c>
      <c r="F581" s="324" t="s">
        <v>55</v>
      </c>
      <c r="H581" s="324" t="s">
        <v>55</v>
      </c>
      <c r="I581" s="324" t="s">
        <v>55</v>
      </c>
      <c r="J581" s="324" t="s">
        <v>55</v>
      </c>
      <c r="K581" s="324">
        <v>45000</v>
      </c>
      <c r="L581" s="324">
        <v>202178.76853942793</v>
      </c>
      <c r="O581" s="324">
        <v>2023</v>
      </c>
      <c r="P581" s="324">
        <v>62500</v>
      </c>
      <c r="Q581" s="324">
        <v>-6250</v>
      </c>
      <c r="R581" s="324">
        <v>68750</v>
      </c>
      <c r="S581" s="324">
        <v>68750</v>
      </c>
      <c r="U581" s="324" t="s">
        <v>0</v>
      </c>
      <c r="V581" s="324" t="s">
        <v>1</v>
      </c>
      <c r="W581" s="324" t="s">
        <v>1</v>
      </c>
      <c r="X581" s="324" t="s">
        <v>31</v>
      </c>
      <c r="Z581" s="324" t="s">
        <v>31</v>
      </c>
    </row>
    <row r="582" spans="1:27" s="324" customFormat="1" ht="0.65" hidden="1" customHeight="1">
      <c r="A582" s="324">
        <v>6020</v>
      </c>
      <c r="E582" s="324" t="s">
        <v>55</v>
      </c>
      <c r="O582" s="324" t="s">
        <v>794</v>
      </c>
      <c r="P582" s="324">
        <v>62500</v>
      </c>
      <c r="Q582" s="324">
        <v>-6250</v>
      </c>
      <c r="R582" s="324">
        <v>68750</v>
      </c>
      <c r="S582" s="324">
        <v>68750</v>
      </c>
      <c r="U582" s="324">
        <v>2022</v>
      </c>
      <c r="V582" s="324">
        <v>-534375</v>
      </c>
      <c r="W582" s="324">
        <v>-534375</v>
      </c>
      <c r="X582" s="324">
        <v>-534375</v>
      </c>
      <c r="Z582" s="324">
        <v>-534375</v>
      </c>
    </row>
    <row r="583" spans="1:27" s="324" customFormat="1" ht="0.65" hidden="1" customHeight="1">
      <c r="A583" s="324">
        <v>6021</v>
      </c>
      <c r="C583" s="324" t="s">
        <v>4</v>
      </c>
      <c r="D583" s="324">
        <v>0.25</v>
      </c>
      <c r="F583" s="324" t="s">
        <v>55</v>
      </c>
      <c r="H583" s="324" t="s">
        <v>55</v>
      </c>
      <c r="I583" s="324" t="s">
        <v>55</v>
      </c>
      <c r="J583" s="324" t="s">
        <v>55</v>
      </c>
      <c r="K583" s="324">
        <v>0.25</v>
      </c>
      <c r="O583" s="324">
        <v>2024</v>
      </c>
      <c r="P583" s="324">
        <v>62500</v>
      </c>
      <c r="Q583" s="324">
        <v>-6250</v>
      </c>
      <c r="R583" s="324">
        <v>68750</v>
      </c>
      <c r="S583" s="324">
        <v>0</v>
      </c>
      <c r="U583" s="324">
        <v>2023</v>
      </c>
      <c r="V583" s="324">
        <v>144531.25</v>
      </c>
      <c r="W583" s="324">
        <v>144531.25</v>
      </c>
      <c r="X583" s="324">
        <v>-389843.75</v>
      </c>
      <c r="Y583" s="324" t="s">
        <v>55</v>
      </c>
      <c r="Z583" s="324">
        <v>-389843.75</v>
      </c>
      <c r="AA583" s="324" t="s">
        <v>55</v>
      </c>
    </row>
    <row r="584" spans="1:27" s="324" customFormat="1" ht="0.65" hidden="1" customHeight="1">
      <c r="A584" s="324">
        <v>6022</v>
      </c>
      <c r="D584" s="324" t="s">
        <v>9</v>
      </c>
      <c r="G584" s="324" t="s">
        <v>793</v>
      </c>
      <c r="O584" s="324" t="s">
        <v>795</v>
      </c>
      <c r="P584" s="324">
        <v>62500</v>
      </c>
      <c r="Q584" s="324">
        <v>-6250</v>
      </c>
      <c r="R584" s="324">
        <v>68750</v>
      </c>
      <c r="S584" s="324">
        <v>0</v>
      </c>
      <c r="U584" s="324">
        <v>2024</v>
      </c>
      <c r="V584" s="324">
        <v>213281.25</v>
      </c>
      <c r="W584" s="324">
        <v>213281.25</v>
      </c>
      <c r="X584" s="324">
        <v>-176562.5</v>
      </c>
      <c r="Y584" s="324" t="s">
        <v>55</v>
      </c>
      <c r="Z584" s="324">
        <v>-176562.5</v>
      </c>
      <c r="AA584" s="324" t="s">
        <v>55</v>
      </c>
    </row>
    <row r="585" spans="1:27" s="324" customFormat="1" ht="0.65" hidden="1" customHeight="1">
      <c r="A585" s="324">
        <v>6023</v>
      </c>
      <c r="E585" s="324" t="s">
        <v>55</v>
      </c>
      <c r="O585" s="324">
        <v>2025</v>
      </c>
      <c r="P585" s="324">
        <v>62500</v>
      </c>
      <c r="Q585" s="324">
        <v>-6250</v>
      </c>
      <c r="R585" s="324">
        <v>68750</v>
      </c>
      <c r="S585" s="324">
        <v>0</v>
      </c>
      <c r="U585" s="324">
        <v>2025</v>
      </c>
      <c r="V585" s="324">
        <v>424062.5</v>
      </c>
      <c r="W585" s="324">
        <v>424062.5</v>
      </c>
      <c r="X585" s="324">
        <v>247500</v>
      </c>
      <c r="Y585" s="324">
        <v>2025</v>
      </c>
      <c r="Z585" s="324">
        <v>247500</v>
      </c>
      <c r="AA585" s="324">
        <v>2025</v>
      </c>
    </row>
    <row r="586" spans="1:27" s="324" customFormat="1" ht="0.65" hidden="1" customHeight="1">
      <c r="A586" s="324">
        <v>6024</v>
      </c>
      <c r="C586" s="324" t="s">
        <v>10</v>
      </c>
      <c r="D586" s="324">
        <v>420000.00000000006</v>
      </c>
      <c r="F586" s="324" t="s">
        <v>55</v>
      </c>
      <c r="H586" s="324" t="s">
        <v>55</v>
      </c>
      <c r="I586" s="324" t="s">
        <v>55</v>
      </c>
      <c r="J586" s="324" t="s">
        <v>55</v>
      </c>
      <c r="K586" s="324">
        <v>420000.00000000006</v>
      </c>
      <c r="O586" s="324" t="s">
        <v>796</v>
      </c>
      <c r="P586" s="324">
        <v>62500</v>
      </c>
      <c r="Q586" s="324">
        <v>-6250</v>
      </c>
      <c r="R586" s="324">
        <v>68750</v>
      </c>
      <c r="S586" s="324">
        <v>0</v>
      </c>
      <c r="U586" s="324">
        <v>2026</v>
      </c>
      <c r="V586" s="324">
        <v>0</v>
      </c>
      <c r="W586" s="324">
        <v>0</v>
      </c>
      <c r="Z586" s="324">
        <v>247500</v>
      </c>
      <c r="AA586" s="324" t="s">
        <v>55</v>
      </c>
    </row>
    <row r="587" spans="1:27" s="324" customFormat="1" ht="0.65" hidden="1" customHeight="1">
      <c r="A587" s="324">
        <v>6025</v>
      </c>
      <c r="C587" s="324" t="s">
        <v>11</v>
      </c>
      <c r="D587" s="324">
        <v>1800000</v>
      </c>
      <c r="F587" s="324" t="s">
        <v>55</v>
      </c>
      <c r="H587" s="324" t="s">
        <v>55</v>
      </c>
      <c r="I587" s="324" t="s">
        <v>55</v>
      </c>
      <c r="J587" s="324" t="s">
        <v>55</v>
      </c>
      <c r="K587" s="324">
        <v>1800000</v>
      </c>
      <c r="O587" s="324">
        <v>2026</v>
      </c>
      <c r="P587" s="324">
        <v>0</v>
      </c>
      <c r="Q587" s="324">
        <v>0</v>
      </c>
      <c r="R587" s="324">
        <v>0</v>
      </c>
      <c r="S587" s="324">
        <v>0</v>
      </c>
      <c r="U587" s="324">
        <v>2027</v>
      </c>
      <c r="V587" s="324">
        <v>0</v>
      </c>
      <c r="W587" s="324">
        <v>0</v>
      </c>
      <c r="Z587" s="324">
        <v>247500</v>
      </c>
      <c r="AA587" s="324" t="s">
        <v>55</v>
      </c>
    </row>
    <row r="588" spans="1:27" s="324" customFormat="1" ht="0.65" hidden="1" customHeight="1">
      <c r="A588" s="324">
        <v>6026</v>
      </c>
      <c r="C588" s="324" t="s">
        <v>12</v>
      </c>
      <c r="D588" s="324">
        <v>0.02</v>
      </c>
      <c r="F588" s="324" t="s">
        <v>55</v>
      </c>
      <c r="H588" s="324" t="s">
        <v>55</v>
      </c>
      <c r="I588" s="324" t="s">
        <v>55</v>
      </c>
      <c r="J588" s="324" t="s">
        <v>55</v>
      </c>
      <c r="K588" s="324">
        <v>0.02</v>
      </c>
      <c r="O588" s="324" t="s">
        <v>797</v>
      </c>
      <c r="P588" s="324">
        <v>0</v>
      </c>
      <c r="Q588" s="324">
        <v>0</v>
      </c>
      <c r="R588" s="324">
        <v>0</v>
      </c>
      <c r="S588" s="324">
        <v>0</v>
      </c>
    </row>
    <row r="589" spans="1:27" s="324" customFormat="1" ht="0.65" hidden="1" customHeight="1">
      <c r="A589" s="324">
        <v>6027</v>
      </c>
      <c r="C589" s="324" t="s">
        <v>2</v>
      </c>
      <c r="D589" s="324">
        <v>6000000</v>
      </c>
      <c r="F589" s="324" t="s">
        <v>55</v>
      </c>
      <c r="H589" s="324" t="s">
        <v>55</v>
      </c>
      <c r="I589" s="324" t="s">
        <v>55</v>
      </c>
      <c r="J589" s="324" t="s">
        <v>55</v>
      </c>
      <c r="K589" s="324">
        <v>6000000</v>
      </c>
      <c r="O589" s="324">
        <v>2027</v>
      </c>
      <c r="P589" s="324">
        <v>0</v>
      </c>
      <c r="Q589" s="324">
        <v>0</v>
      </c>
      <c r="R589" s="324">
        <v>0</v>
      </c>
      <c r="S589" s="324">
        <v>0</v>
      </c>
    </row>
    <row r="590" spans="1:27" s="324" customFormat="1" ht="0.65" hidden="1" customHeight="1">
      <c r="A590" s="324">
        <v>6028</v>
      </c>
      <c r="C590" s="324" t="s">
        <v>3</v>
      </c>
      <c r="D590" s="324">
        <v>18000000</v>
      </c>
      <c r="F590" s="324" t="s">
        <v>55</v>
      </c>
      <c r="H590" s="324" t="s">
        <v>55</v>
      </c>
      <c r="I590" s="324" t="s">
        <v>55</v>
      </c>
      <c r="J590" s="324" t="s">
        <v>55</v>
      </c>
      <c r="K590" s="324">
        <v>18000000</v>
      </c>
      <c r="O590" s="324" t="s">
        <v>798</v>
      </c>
      <c r="P590" s="324">
        <v>0</v>
      </c>
      <c r="Q590" s="324">
        <v>0</v>
      </c>
      <c r="R590" s="324">
        <v>0</v>
      </c>
      <c r="S590" s="324">
        <v>0</v>
      </c>
    </row>
    <row r="591" spans="1:27" s="324" customFormat="1" ht="0.65" hidden="1" customHeight="1">
      <c r="A591" s="324">
        <v>6029</v>
      </c>
      <c r="E591" s="324" t="s">
        <v>55</v>
      </c>
      <c r="G591" s="324" t="s">
        <v>793</v>
      </c>
    </row>
    <row r="592" spans="1:27" s="324" customFormat="1" ht="0.65" hidden="1" customHeight="1">
      <c r="A592" s="324">
        <v>6030</v>
      </c>
      <c r="C592" s="324" t="s">
        <v>14</v>
      </c>
      <c r="D592" s="324" t="s">
        <v>16</v>
      </c>
      <c r="F592" s="324" t="s">
        <v>55</v>
      </c>
      <c r="H592" s="324" t="s">
        <v>55</v>
      </c>
      <c r="I592" s="324" t="s">
        <v>55</v>
      </c>
      <c r="J592" s="324" t="s">
        <v>55</v>
      </c>
      <c r="K592" s="324">
        <v>3</v>
      </c>
    </row>
    <row r="593" spans="1:23" s="324" customFormat="1" ht="0.65" hidden="1" customHeight="1">
      <c r="A593" s="324">
        <v>6031</v>
      </c>
      <c r="O593" s="324" t="s">
        <v>142</v>
      </c>
      <c r="U593" s="324" t="s">
        <v>27</v>
      </c>
    </row>
    <row r="594" spans="1:23" s="324" customFormat="1" ht="0.65" hidden="1" customHeight="1">
      <c r="A594" s="324">
        <v>6032</v>
      </c>
    </row>
    <row r="595" spans="1:23" s="324" customFormat="1" ht="0.65" hidden="1" customHeight="1">
      <c r="A595" s="324">
        <v>6033</v>
      </c>
      <c r="P595" s="324" t="s">
        <v>146</v>
      </c>
      <c r="Q595" s="324" t="s">
        <v>147</v>
      </c>
    </row>
    <row r="596" spans="1:23" s="324" customFormat="1" ht="0.65" hidden="1" customHeight="1">
      <c r="A596" s="324">
        <v>6034</v>
      </c>
      <c r="O596" s="324" t="s">
        <v>490</v>
      </c>
      <c r="P596" s="324">
        <v>534375</v>
      </c>
      <c r="Q596" s="324">
        <v>534375</v>
      </c>
      <c r="V596" s="324" t="s">
        <v>146</v>
      </c>
      <c r="W596" s="324" t="s">
        <v>147</v>
      </c>
    </row>
    <row r="597" spans="1:23" s="324" customFormat="1" ht="0.65" hidden="1" customHeight="1">
      <c r="A597" s="324">
        <v>6035</v>
      </c>
      <c r="O597" s="324" t="s">
        <v>491</v>
      </c>
      <c r="P597" s="324">
        <v>142031.25</v>
      </c>
      <c r="Q597" s="324">
        <v>142031.25</v>
      </c>
      <c r="U597" s="324" t="s">
        <v>13</v>
      </c>
      <c r="V597" s="324">
        <v>87817.478696592501</v>
      </c>
      <c r="W597" s="324">
        <v>87817.478696592501</v>
      </c>
    </row>
    <row r="598" spans="1:23" s="324" customFormat="1" ht="0.65" hidden="1" customHeight="1">
      <c r="A598" s="324">
        <v>6036</v>
      </c>
      <c r="O598" s="324" t="s">
        <v>493</v>
      </c>
      <c r="P598" s="324">
        <v>68750</v>
      </c>
      <c r="Q598" s="324">
        <v>68750</v>
      </c>
      <c r="U598" s="324" t="s">
        <v>28</v>
      </c>
      <c r="V598" s="324">
        <v>0.17939434472028948</v>
      </c>
      <c r="W598" s="324">
        <v>0.17939434472028948</v>
      </c>
    </row>
    <row r="599" spans="1:23" s="324" customFormat="1" ht="0.65" hidden="1" customHeight="1">
      <c r="A599" s="324">
        <v>6037</v>
      </c>
      <c r="O599" s="324" t="s">
        <v>494</v>
      </c>
      <c r="P599" s="324">
        <v>210781.25</v>
      </c>
      <c r="Q599" s="324">
        <v>210781.25</v>
      </c>
      <c r="U599" s="324" t="s">
        <v>29</v>
      </c>
      <c r="V599" s="324">
        <v>0.16433680223923744</v>
      </c>
      <c r="W599" s="324">
        <v>0.16433680223923744</v>
      </c>
    </row>
    <row r="600" spans="1:23" s="324" customFormat="1" ht="0.65" hidden="1" customHeight="1">
      <c r="A600" s="324">
        <v>6038</v>
      </c>
      <c r="U600" s="324" t="s">
        <v>30</v>
      </c>
      <c r="V600" s="324">
        <v>2025</v>
      </c>
      <c r="W600" s="324">
        <v>2025</v>
      </c>
    </row>
    <row r="601" spans="1:23" s="324" customFormat="1" ht="0.65" hidden="1" customHeight="1">
      <c r="A601" s="324">
        <v>6039</v>
      </c>
    </row>
    <row r="602" spans="1:23" s="324" customFormat="1" ht="0.65" hidden="1" customHeight="1">
      <c r="A602" s="324">
        <v>6040</v>
      </c>
      <c r="O602" s="324" t="s">
        <v>25</v>
      </c>
    </row>
    <row r="603" spans="1:23" s="324" customFormat="1" ht="0.65" hidden="1" customHeight="1">
      <c r="A603" s="324">
        <v>6041</v>
      </c>
    </row>
    <row r="604" spans="1:23" s="324" customFormat="1" ht="0.65" hidden="1" customHeight="1">
      <c r="A604" s="324">
        <v>6042</v>
      </c>
      <c r="P604" s="324" t="s">
        <v>146</v>
      </c>
      <c r="Q604" s="324" t="s">
        <v>147</v>
      </c>
    </row>
    <row r="605" spans="1:23" s="324" customFormat="1" ht="0.65" hidden="1" customHeight="1">
      <c r="A605" s="324">
        <v>6043</v>
      </c>
      <c r="O605" s="324" t="s">
        <v>124</v>
      </c>
      <c r="P605" s="324">
        <v>5.2500000000000012E-2</v>
      </c>
      <c r="Q605" s="324">
        <v>5.2500000000000012E-2</v>
      </c>
    </row>
    <row r="606" spans="1:23" s="324" customFormat="1" ht="0.65" hidden="1" customHeight="1">
      <c r="A606" s="324">
        <v>6044</v>
      </c>
      <c r="O606" s="324" t="s">
        <v>125</v>
      </c>
      <c r="P606" s="324">
        <v>0.12000000000000001</v>
      </c>
      <c r="Q606" s="324">
        <v>0.12000000000000001</v>
      </c>
    </row>
    <row r="607" spans="1:23" s="324" customFormat="1" ht="0.65" hidden="1" customHeight="1">
      <c r="A607" s="324">
        <v>6045</v>
      </c>
      <c r="O607" s="324" t="s">
        <v>126</v>
      </c>
      <c r="P607" s="324">
        <v>0.10312499999999999</v>
      </c>
      <c r="Q607" s="324">
        <v>0.10312499999999999</v>
      </c>
    </row>
    <row r="608" spans="1:23" s="324" customFormat="1" ht="0.65" hidden="1" customHeight="1">
      <c r="A608" s="324">
        <v>6046</v>
      </c>
    </row>
    <row r="609" spans="1:26" s="324" customFormat="1" ht="0.65" hidden="1" customHeight="1">
      <c r="A609" s="324">
        <v>6047</v>
      </c>
      <c r="B609" s="324">
        <v>2</v>
      </c>
      <c r="C609" s="324">
        <v>3</v>
      </c>
      <c r="D609" s="324">
        <v>4</v>
      </c>
      <c r="E609" s="324">
        <v>5</v>
      </c>
      <c r="F609" s="324">
        <v>6</v>
      </c>
      <c r="G609" s="324">
        <v>7</v>
      </c>
      <c r="H609" s="324">
        <v>8</v>
      </c>
      <c r="I609" s="324">
        <v>9</v>
      </c>
      <c r="J609" s="324">
        <v>10</v>
      </c>
      <c r="K609" s="324">
        <v>11</v>
      </c>
      <c r="L609" s="324">
        <v>12</v>
      </c>
      <c r="M609" s="324">
        <v>13</v>
      </c>
      <c r="N609" s="324">
        <v>14</v>
      </c>
      <c r="O609" s="324">
        <v>15</v>
      </c>
      <c r="P609" s="324">
        <v>16</v>
      </c>
      <c r="Q609" s="324">
        <v>17</v>
      </c>
      <c r="R609" s="324">
        <v>18</v>
      </c>
      <c r="S609" s="324">
        <v>19</v>
      </c>
      <c r="T609" s="324">
        <v>20</v>
      </c>
      <c r="U609" s="324">
        <v>21</v>
      </c>
      <c r="V609" s="324">
        <v>22</v>
      </c>
      <c r="W609" s="324">
        <v>23</v>
      </c>
      <c r="X609" s="324">
        <v>24</v>
      </c>
      <c r="Y609" s="324">
        <v>25</v>
      </c>
      <c r="Z609" s="324">
        <v>26</v>
      </c>
    </row>
    <row r="610" spans="1:26" s="324" customFormat="1" ht="0.65" hidden="1" customHeight="1">
      <c r="A610" s="324">
        <v>6048</v>
      </c>
    </row>
    <row r="611" spans="1:26" s="324" customFormat="1" ht="0.65" hidden="1" customHeight="1">
      <c r="A611" s="324">
        <v>6049</v>
      </c>
    </row>
    <row r="612" spans="1:26" s="324" customFormat="1" ht="0.65" hidden="1" customHeight="1">
      <c r="A612" s="324">
        <v>6050</v>
      </c>
    </row>
    <row r="613" spans="1:26" s="324" customFormat="1" ht="0.65" hidden="1" customHeight="1">
      <c r="A613" s="324">
        <v>6051</v>
      </c>
    </row>
    <row r="614" spans="1:26" s="324" customFormat="1" ht="0.65" hidden="1" customHeight="1">
      <c r="A614" s="324">
        <v>6052</v>
      </c>
    </row>
    <row r="615" spans="1:26" s="324" customFormat="1" ht="0.65" hidden="1" customHeight="1">
      <c r="A615" s="324">
        <v>6053</v>
      </c>
    </row>
    <row r="616" spans="1:26" s="324" customFormat="1" ht="0.65" hidden="1" customHeight="1">
      <c r="A616" s="324">
        <v>6054</v>
      </c>
    </row>
    <row r="617" spans="1:26" s="324" customFormat="1" ht="0.65" hidden="1" customHeight="1">
      <c r="A617" s="324">
        <v>6055</v>
      </c>
    </row>
    <row r="618" spans="1:26" s="324" customFormat="1" ht="0.65" hidden="1" customHeight="1">
      <c r="A618" s="324">
        <v>6056</v>
      </c>
    </row>
    <row r="619" spans="1:26" s="324" customFormat="1" ht="0.65" hidden="1" customHeight="1">
      <c r="A619" s="324">
        <v>6057</v>
      </c>
    </row>
    <row r="620" spans="1:26" s="324" customFormat="1" ht="0.65" hidden="1" customHeight="1">
      <c r="A620" s="324">
        <v>6058</v>
      </c>
    </row>
    <row r="621" spans="1:26" s="324" customFormat="1" ht="0.65" hidden="1" customHeight="1">
      <c r="A621" s="324">
        <v>6059</v>
      </c>
      <c r="D621" s="324">
        <v>750000</v>
      </c>
      <c r="E621" s="324">
        <v>750000</v>
      </c>
      <c r="F621" s="324">
        <v>1</v>
      </c>
    </row>
    <row r="622" spans="1:26" s="324" customFormat="1" ht="0.65" hidden="1" customHeight="1">
      <c r="A622" s="324">
        <v>6060</v>
      </c>
      <c r="D622" s="324">
        <v>10</v>
      </c>
      <c r="E622" s="324">
        <v>10</v>
      </c>
      <c r="F622" s="324">
        <v>1</v>
      </c>
    </row>
    <row r="623" spans="1:26" s="324" customFormat="1" ht="0.65" hidden="1" customHeight="1">
      <c r="A623" s="324">
        <v>6061</v>
      </c>
      <c r="D623" s="324">
        <v>75000</v>
      </c>
      <c r="E623" s="324">
        <v>75000</v>
      </c>
      <c r="F623" s="324">
        <v>1</v>
      </c>
    </row>
    <row r="624" spans="1:26" s="324" customFormat="1" ht="0.65" hidden="1" customHeight="1">
      <c r="A624" s="324">
        <v>6062</v>
      </c>
    </row>
    <row r="625" spans="1:6" s="324" customFormat="1" ht="0.65" hidden="1" customHeight="1">
      <c r="A625" s="324">
        <v>6063</v>
      </c>
      <c r="D625" s="324">
        <v>250000</v>
      </c>
      <c r="E625" s="324">
        <v>250000</v>
      </c>
      <c r="F625" s="324">
        <v>1</v>
      </c>
    </row>
    <row r="626" spans="1:6" s="324" customFormat="1" ht="0.65" hidden="1" customHeight="1">
      <c r="A626" s="324">
        <v>6064</v>
      </c>
      <c r="D626" s="324">
        <v>-25000</v>
      </c>
      <c r="E626" s="324">
        <v>-25000</v>
      </c>
      <c r="F626" s="324">
        <v>1</v>
      </c>
    </row>
    <row r="627" spans="1:6" s="324" customFormat="1" ht="0.65" hidden="1" customHeight="1">
      <c r="A627" s="324">
        <v>6065</v>
      </c>
    </row>
    <row r="628" spans="1:6" s="324" customFormat="1" ht="0.65" hidden="1" customHeight="1">
      <c r="A628" s="324">
        <v>6066</v>
      </c>
      <c r="D628" s="324">
        <v>90</v>
      </c>
      <c r="E628" s="324">
        <v>90</v>
      </c>
      <c r="F628" s="324">
        <v>1</v>
      </c>
    </row>
    <row r="629" spans="1:6" s="324" customFormat="1" ht="0.65" hidden="1" customHeight="1">
      <c r="A629" s="324">
        <v>6067</v>
      </c>
      <c r="D629" s="324">
        <v>90</v>
      </c>
      <c r="E629" s="324">
        <v>90</v>
      </c>
      <c r="F629" s="324">
        <v>1</v>
      </c>
    </row>
    <row r="630" spans="1:6" s="324" customFormat="1" ht="0.65" hidden="1" customHeight="1">
      <c r="A630" s="324">
        <v>6068</v>
      </c>
    </row>
    <row r="631" spans="1:6" s="324" customFormat="1" ht="0.65" hidden="1" customHeight="1">
      <c r="A631" s="324">
        <v>6069</v>
      </c>
    </row>
    <row r="632" spans="1:6" s="324" customFormat="1" ht="0.65" hidden="1" customHeight="1">
      <c r="A632" s="324">
        <v>6070</v>
      </c>
      <c r="D632" s="324">
        <v>225000</v>
      </c>
      <c r="E632" s="324">
        <v>225000</v>
      </c>
      <c r="F632" s="324">
        <v>1</v>
      </c>
    </row>
    <row r="633" spans="1:6" s="324" customFormat="1" ht="0.65" hidden="1" customHeight="1">
      <c r="A633" s="324">
        <v>6071</v>
      </c>
      <c r="D633" s="324">
        <v>187500</v>
      </c>
      <c r="E633" s="324">
        <v>187500</v>
      </c>
      <c r="F633" s="324">
        <v>1</v>
      </c>
    </row>
    <row r="634" spans="1:6" s="324" customFormat="1" ht="0.65" hidden="1" customHeight="1">
      <c r="A634" s="324">
        <v>6072</v>
      </c>
      <c r="D634" s="324">
        <v>4</v>
      </c>
      <c r="E634" s="324">
        <v>4</v>
      </c>
      <c r="F634" s="324">
        <v>1</v>
      </c>
    </row>
    <row r="635" spans="1:6" s="324" customFormat="1" ht="0.65" hidden="1" customHeight="1">
      <c r="A635" s="324">
        <v>6073</v>
      </c>
      <c r="D635" s="324">
        <v>45000</v>
      </c>
      <c r="E635" s="324">
        <v>45000</v>
      </c>
      <c r="F635" s="324">
        <v>1</v>
      </c>
    </row>
    <row r="636" spans="1:6" s="324" customFormat="1" ht="0.65" hidden="1" customHeight="1">
      <c r="A636" s="324">
        <v>6074</v>
      </c>
    </row>
    <row r="637" spans="1:6" s="324" customFormat="1" ht="0.65" hidden="1" customHeight="1">
      <c r="A637" s="324">
        <v>6075</v>
      </c>
      <c r="D637" s="324">
        <v>0.25</v>
      </c>
      <c r="E637" s="324">
        <v>0.25</v>
      </c>
      <c r="F637" s="324">
        <v>1</v>
      </c>
    </row>
    <row r="638" spans="1:6" s="324" customFormat="1" ht="0.65" hidden="1" customHeight="1">
      <c r="A638" s="324">
        <v>6076</v>
      </c>
      <c r="D638" s="324" t="s">
        <v>9</v>
      </c>
    </row>
    <row r="639" spans="1:6" s="324" customFormat="1" ht="0.65" hidden="1" customHeight="1">
      <c r="A639" s="324">
        <v>6077</v>
      </c>
    </row>
    <row r="640" spans="1:6" s="324" customFormat="1" ht="0.65" hidden="1" customHeight="1">
      <c r="A640" s="324">
        <v>6078</v>
      </c>
      <c r="D640" s="324">
        <v>420000.00000000006</v>
      </c>
      <c r="E640" s="324">
        <v>420000.00000000006</v>
      </c>
      <c r="F640" s="324">
        <v>1</v>
      </c>
    </row>
    <row r="641" spans="1:7" s="324" customFormat="1" ht="0.65" hidden="1" customHeight="1">
      <c r="A641" s="324">
        <v>6079</v>
      </c>
      <c r="D641" s="324">
        <v>1800000</v>
      </c>
      <c r="E641" s="324">
        <v>1800000</v>
      </c>
      <c r="F641" s="324">
        <v>1</v>
      </c>
    </row>
    <row r="642" spans="1:7" s="324" customFormat="1" ht="0.65" hidden="1" customHeight="1">
      <c r="A642" s="324">
        <v>6080</v>
      </c>
      <c r="D642" s="324">
        <v>0.02</v>
      </c>
      <c r="E642" s="324">
        <v>0.02</v>
      </c>
      <c r="F642" s="324">
        <v>1</v>
      </c>
    </row>
    <row r="643" spans="1:7" s="324" customFormat="1" ht="0.65" hidden="1" customHeight="1">
      <c r="A643" s="324">
        <v>6081</v>
      </c>
      <c r="D643" s="324">
        <v>6000000</v>
      </c>
      <c r="E643" s="324">
        <v>6000000</v>
      </c>
      <c r="F643" s="324">
        <v>1</v>
      </c>
    </row>
    <row r="644" spans="1:7" s="324" customFormat="1" ht="0.65" hidden="1" customHeight="1">
      <c r="A644" s="324">
        <v>6082</v>
      </c>
      <c r="D644" s="324">
        <v>18000000</v>
      </c>
      <c r="E644" s="324">
        <v>18000000</v>
      </c>
      <c r="F644" s="324">
        <v>1</v>
      </c>
    </row>
    <row r="645" spans="1:7" s="324" customFormat="1" ht="0.65" hidden="1" customHeight="1">
      <c r="A645" s="324">
        <v>6083</v>
      </c>
    </row>
    <row r="646" spans="1:7" s="324" customFormat="1" ht="0.65" hidden="1" customHeight="1">
      <c r="A646" s="324">
        <v>6084</v>
      </c>
      <c r="D646" s="324" t="s">
        <v>16</v>
      </c>
    </row>
    <row r="647" spans="1:7" s="65" customFormat="1" hidden="1">
      <c r="G647" s="27"/>
    </row>
  </sheetData>
  <sheetProtection algorithmName="SHA-512" hashValue="Jso1CtDQ7MKuK8ZdQJuGzzYGXOpPHNEkdwWjwiRoVoKWm3vDWrhKUYuyDQEB754Xb1j6pmIdqsprr1p/2NkDCA==" saltValue="uO5ZyYGanEU/Jf5WlsTdaw==" spinCount="100000" sheet="1" selectLockedCells="1"/>
  <mergeCells count="2">
    <mergeCell ref="B1:C1"/>
    <mergeCell ref="H5:J5"/>
  </mergeCells>
  <conditionalFormatting sqref="O10:V11 O27:S28 U26:W26">
    <cfRule type="expression" dxfId="223" priority="7" stopIfTrue="1">
      <formula>$O$10&gt;$D$3+$E$32</formula>
    </cfRule>
  </conditionalFormatting>
  <conditionalFormatting sqref="O12:V13 O29:S30 U27:W27">
    <cfRule type="expression" dxfId="222" priority="6" stopIfTrue="1">
      <formula>$O$12&gt;$D$3+$E$32</formula>
    </cfRule>
  </conditionalFormatting>
  <conditionalFormatting sqref="P5:V5 P7:V7 P9:V9 P11:V11 P13:V13 P20:S20 P22:S22 P24:S24 P26:S26 P28:S28 P30:S30">
    <cfRule type="expression" dxfId="221" priority="5" stopIfTrue="1">
      <formula>NOT(P5=P4)</formula>
    </cfRule>
  </conditionalFormatting>
  <conditionalFormatting sqref="Q36:Q39 Q45:Q47 W22:W27 W37:W40">
    <cfRule type="expression" dxfId="220" priority="8" stopIfTrue="1">
      <formula>NOT(P22=Q22)</formula>
    </cfRule>
  </conditionalFormatting>
  <conditionalFormatting sqref="O5:V5 O7:V7 O9:V9 O11:V11 O13:V13 O20:S20 O22:S22 O24:S24 O26:S26 O28:S28 O30:S30 W20:W27 Q35:Q39 W36:W40 Q44:Q47">
    <cfRule type="expression" dxfId="219" priority="4" stopIfTrue="1">
      <formula>OR($L$1=17,NOT($L$2=0))</formula>
    </cfRule>
  </conditionalFormatting>
  <conditionalFormatting sqref="A1:A48 B7:B18 D1:E2 F3:H3 F16:H16 F24:H24 F31:H31 K1:L2 K7:K32 X21:Z27 A49:XFD646">
    <cfRule type="expression" dxfId="218" priority="3" stopIfTrue="1">
      <formula>NOT($E$33="javi")</formula>
    </cfRule>
  </conditionalFormatting>
  <conditionalFormatting sqref="A1:XFD1048576">
    <cfRule type="expression" dxfId="217" priority="2" stopIfTrue="1">
      <formula>OR($E$1="",NOT($D$1=$D$2),NOT($E$2="SI"),NOT($F$90="NO"))</formula>
    </cfRule>
  </conditionalFormatting>
  <conditionalFormatting sqref="F3:H3 F16:H16 F24:H24 F31:H31">
    <cfRule type="expression" dxfId="216" priority="1" stopIfTrue="1">
      <formula>NOT($G$3="")</formula>
    </cfRule>
  </conditionalFormatting>
  <pageMargins left="0.70866141732283472" right="0.70866141732283472" top="0.74803149606299213" bottom="0.74803149606299213" header="0.31496062992125984" footer="0.31496062992125984"/>
  <pageSetup paperSize="9" scale="70" pageOrder="overThenDown" orientation="landscape" r:id="rId1"/>
  <headerFooter>
    <oddHeader>&amp;CCaso práctico de inversión en condiciones de certeza sin inflación: Sustitución de maquinaria con inversiones en fondo de maniobra - Análisis de sensitividad</oddHeader>
    <oddFooter>&amp;CPágina &amp;P de &amp;N</oddFooter>
  </headerFooter>
  <colBreaks count="1" manualBreakCount="1">
    <brk id="12"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96A31-1C47-4A2F-829D-9754831B9D35}">
  <dimension ref="A1:AF516"/>
  <sheetViews>
    <sheetView showGridLines="0" zoomScale="90" zoomScaleNormal="90" workbookViewId="0">
      <selection activeCell="N3" sqref="N3"/>
    </sheetView>
  </sheetViews>
  <sheetFormatPr baseColWidth="10" defaultColWidth="11.453125" defaultRowHeight="14.5"/>
  <cols>
    <col min="1" max="1" width="12.453125" style="60" customWidth="1"/>
    <col min="2" max="2" width="15.81640625" style="60" customWidth="1"/>
    <col min="3" max="3" width="11.453125" style="60"/>
    <col min="4" max="4" width="4.453125" style="60" customWidth="1"/>
    <col min="5" max="5" width="3.54296875" style="60" customWidth="1"/>
    <col min="6" max="19" width="12.54296875" style="60" customWidth="1"/>
    <col min="20" max="21" width="11.453125" style="60"/>
    <col min="22" max="32" width="0" style="324" hidden="1" customWidth="1"/>
    <col min="33" max="16384" width="11.453125" style="60"/>
  </cols>
  <sheetData>
    <row r="1" spans="1:31">
      <c r="A1" s="960" t="s">
        <v>19</v>
      </c>
      <c r="B1" s="960"/>
      <c r="C1" s="14" t="str">
        <f>'Instrucciones de uso'!$H$15</f>
        <v>contraseña</v>
      </c>
      <c r="D1" s="14" t="str">
        <f>IF(OR('Enunciado (sin infla)'!$G$2="",NOT('Enunciado (sin infla)'!$H$2="")),"",'Enunciado (sin infla)'!$G$2)</f>
        <v/>
      </c>
      <c r="E1" s="184" t="s">
        <v>187</v>
      </c>
      <c r="F1" s="969" t="s">
        <v>327</v>
      </c>
      <c r="G1" s="969"/>
      <c r="H1" s="969"/>
      <c r="I1" s="969"/>
      <c r="J1" s="969"/>
      <c r="K1" s="969"/>
      <c r="L1" s="969"/>
      <c r="M1" s="969"/>
      <c r="N1" s="186" t="s">
        <v>320</v>
      </c>
      <c r="O1" s="142"/>
      <c r="P1" s="142"/>
      <c r="Q1" s="187" t="s">
        <v>325</v>
      </c>
      <c r="V1" s="324" t="s">
        <v>24</v>
      </c>
    </row>
    <row r="2" spans="1:31">
      <c r="A2" s="254"/>
      <c r="C2" s="14" t="str">
        <f>'Instrucciones de uso'!$J$15</f>
        <v>contraseña</v>
      </c>
      <c r="D2" s="345" t="str">
        <f>'Instrucciones de uso'!$I$33</f>
        <v/>
      </c>
      <c r="E2" s="142"/>
      <c r="F2" s="288" t="s">
        <v>3951</v>
      </c>
      <c r="G2" s="142"/>
      <c r="H2" s="142"/>
      <c r="I2" s="142"/>
      <c r="J2" s="142"/>
      <c r="K2" s="142"/>
      <c r="L2" s="142"/>
      <c r="M2" s="142"/>
      <c r="N2" s="142"/>
      <c r="O2" s="142"/>
      <c r="P2" s="142"/>
    </row>
    <row r="3" spans="1:31">
      <c r="A3" s="354" t="e">
        <f>$D$1*1000+1</f>
        <v>#VALUE!</v>
      </c>
      <c r="B3" s="259" t="e">
        <f>VLOOKUP($A3,$A$81:$AF$515,B$73,FALSE)</f>
        <v>#VALUE!</v>
      </c>
      <c r="C3" s="260" t="e">
        <f>VLOOKUP($A3,$A$81:$AF$515,C$73,FALSE)</f>
        <v>#VALUE!</v>
      </c>
      <c r="D3" s="174"/>
      <c r="E3" s="185">
        <v>1</v>
      </c>
      <c r="F3" s="968" t="s">
        <v>292</v>
      </c>
      <c r="G3" s="968"/>
      <c r="H3" s="968"/>
      <c r="I3" s="968"/>
      <c r="J3" s="968"/>
      <c r="K3" s="968"/>
      <c r="L3" s="968"/>
      <c r="M3" s="968"/>
      <c r="N3" s="173"/>
      <c r="O3" s="172" t="str">
        <f>IF(ISERROR(IF(N3="","",IF(ISNUMBER(N3),"","ERROR: debe ser número"))),"ERROR",IF(N3="","",IF(ISNUMBER(N3),"","ERROR: debe ser número")))</f>
        <v/>
      </c>
      <c r="P3" s="143"/>
      <c r="Q3" s="177" t="str">
        <f t="shared" ref="Q3:Q28" si="0">IF(AND($N$30="x",$J$30=0),IF(ABS(N3-F44)&lt;0.0001,"CORRECTO",F44),"")</f>
        <v/>
      </c>
      <c r="R3" s="1"/>
      <c r="V3" s="328" t="e">
        <f t="shared" ref="V3:W3" si="1">VLOOKUP($A3,$A$81:$AF$515,V$73,FALSE)</f>
        <v>#VALUE!</v>
      </c>
      <c r="W3" s="328" t="e">
        <f t="shared" si="1"/>
        <v>#VALUE!</v>
      </c>
    </row>
    <row r="4" spans="1:31">
      <c r="A4" s="354" t="e">
        <f>1+A3</f>
        <v>#VALUE!</v>
      </c>
      <c r="B4" s="182"/>
      <c r="C4" s="182"/>
      <c r="D4" s="174"/>
      <c r="E4" s="185">
        <v>2</v>
      </c>
      <c r="F4" s="968" t="s">
        <v>313</v>
      </c>
      <c r="G4" s="968"/>
      <c r="H4" s="968"/>
      <c r="I4" s="968"/>
      <c r="J4" s="968"/>
      <c r="K4" s="968"/>
      <c r="L4" s="968"/>
      <c r="M4" s="968"/>
      <c r="N4" s="173"/>
      <c r="O4" s="172" t="str">
        <f t="shared" ref="O4:O28" si="2">IF(ISERROR(IF(N4="","",IF(ISNUMBER(N4),"","ERROR: debe ser número"))),"ERROR",IF(N4="","",IF(ISNUMBER(N4),"","ERROR: debe ser número")))</f>
        <v/>
      </c>
      <c r="P4" s="143"/>
      <c r="Q4" s="177" t="str">
        <f t="shared" si="0"/>
        <v/>
      </c>
      <c r="R4" s="1"/>
    </row>
    <row r="5" spans="1:31" ht="30" customHeight="1">
      <c r="A5" s="354" t="e">
        <f t="shared" ref="A5:A68" si="3">1+A4</f>
        <v>#VALUE!</v>
      </c>
      <c r="B5" s="261" t="s">
        <v>32</v>
      </c>
      <c r="C5" s="262"/>
      <c r="D5" s="174"/>
      <c r="E5" s="185">
        <v>3</v>
      </c>
      <c r="F5" s="968" t="s">
        <v>314</v>
      </c>
      <c r="G5" s="968"/>
      <c r="H5" s="968"/>
      <c r="I5" s="968"/>
      <c r="J5" s="968"/>
      <c r="K5" s="968"/>
      <c r="L5" s="968"/>
      <c r="M5" s="968"/>
      <c r="N5" s="173"/>
      <c r="O5" s="150" t="str">
        <f t="shared" si="2"/>
        <v/>
      </c>
      <c r="P5" s="967" t="str">
        <f>IF($D$69="SI","Uso indebido de la Excel: no puede modificarse el enunciado. Deshaga operación (Ctrl-Z) para continuar","")</f>
        <v/>
      </c>
      <c r="Q5" s="177" t="str">
        <f t="shared" si="0"/>
        <v/>
      </c>
      <c r="V5" s="324" t="s">
        <v>21</v>
      </c>
    </row>
    <row r="6" spans="1:31">
      <c r="A6" s="354" t="e">
        <f t="shared" si="3"/>
        <v>#VALUE!</v>
      </c>
      <c r="B6" s="183" t="e">
        <f t="shared" ref="B6:C8" si="4">VLOOKUP($A6,$A$81:$AF$515,B$73,FALSE)</f>
        <v>#VALUE!</v>
      </c>
      <c r="C6" s="268" t="e">
        <f t="shared" si="4"/>
        <v>#VALUE!</v>
      </c>
      <c r="D6" s="174"/>
      <c r="E6" s="185">
        <v>4</v>
      </c>
      <c r="F6" s="968" t="s">
        <v>293</v>
      </c>
      <c r="G6" s="968"/>
      <c r="H6" s="968"/>
      <c r="I6" s="968"/>
      <c r="J6" s="968"/>
      <c r="K6" s="968"/>
      <c r="L6" s="968"/>
      <c r="M6" s="968"/>
      <c r="N6" s="189"/>
      <c r="O6" s="150" t="str">
        <f t="shared" si="2"/>
        <v/>
      </c>
      <c r="P6" s="967"/>
      <c r="Q6" s="178" t="str">
        <f t="shared" si="0"/>
        <v/>
      </c>
      <c r="R6" s="1"/>
    </row>
    <row r="7" spans="1:31">
      <c r="A7" s="354" t="e">
        <f t="shared" si="3"/>
        <v>#VALUE!</v>
      </c>
      <c r="B7" s="183" t="e">
        <f t="shared" si="4"/>
        <v>#VALUE!</v>
      </c>
      <c r="C7" s="269" t="e">
        <f t="shared" si="4"/>
        <v>#VALUE!</v>
      </c>
      <c r="D7" s="174"/>
      <c r="E7" s="185">
        <v>5</v>
      </c>
      <c r="F7" s="968" t="s">
        <v>294</v>
      </c>
      <c r="G7" s="968"/>
      <c r="H7" s="968"/>
      <c r="I7" s="968"/>
      <c r="J7" s="968"/>
      <c r="K7" s="968"/>
      <c r="L7" s="968"/>
      <c r="M7" s="968"/>
      <c r="N7" s="189"/>
      <c r="O7" s="150" t="str">
        <f t="shared" si="2"/>
        <v/>
      </c>
      <c r="P7" s="967"/>
      <c r="Q7" s="178" t="str">
        <f t="shared" si="0"/>
        <v/>
      </c>
      <c r="R7" s="1"/>
    </row>
    <row r="8" spans="1:31">
      <c r="A8" s="354" t="e">
        <f t="shared" si="3"/>
        <v>#VALUE!</v>
      </c>
      <c r="B8" s="183" t="e">
        <f t="shared" si="4"/>
        <v>#VALUE!</v>
      </c>
      <c r="C8" s="268" t="e">
        <f t="shared" si="4"/>
        <v>#VALUE!</v>
      </c>
      <c r="D8" s="174"/>
      <c r="E8" s="185">
        <v>6</v>
      </c>
      <c r="F8" s="968" t="s">
        <v>295</v>
      </c>
      <c r="G8" s="968"/>
      <c r="H8" s="968"/>
      <c r="I8" s="968"/>
      <c r="J8" s="968"/>
      <c r="K8" s="968"/>
      <c r="L8" s="968"/>
      <c r="M8" s="968"/>
      <c r="N8" s="189"/>
      <c r="O8" s="150" t="str">
        <f t="shared" si="2"/>
        <v/>
      </c>
      <c r="P8" s="967"/>
      <c r="Q8" s="178" t="str">
        <f t="shared" si="0"/>
        <v/>
      </c>
      <c r="R8" s="1"/>
      <c r="V8" s="327" t="s">
        <v>0</v>
      </c>
      <c r="W8" s="335" t="s">
        <v>69</v>
      </c>
      <c r="X8" s="335" t="s">
        <v>70</v>
      </c>
      <c r="Y8" s="335" t="s">
        <v>71</v>
      </c>
      <c r="Z8" s="335" t="s">
        <v>72</v>
      </c>
      <c r="AA8" s="335" t="s">
        <v>73</v>
      </c>
      <c r="AB8" s="335" t="s">
        <v>74</v>
      </c>
      <c r="AC8" s="335" t="s">
        <v>75</v>
      </c>
      <c r="AD8" s="328"/>
      <c r="AE8" s="328"/>
    </row>
    <row r="9" spans="1:31" ht="31.5" customHeight="1">
      <c r="A9" s="354" t="e">
        <f t="shared" si="3"/>
        <v>#VALUE!</v>
      </c>
      <c r="B9" s="183"/>
      <c r="C9" s="182"/>
      <c r="D9" s="174"/>
      <c r="E9" s="185">
        <v>7</v>
      </c>
      <c r="F9" s="968" t="s">
        <v>311</v>
      </c>
      <c r="G9" s="968"/>
      <c r="H9" s="968"/>
      <c r="I9" s="968"/>
      <c r="J9" s="968"/>
      <c r="K9" s="968"/>
      <c r="L9" s="968"/>
      <c r="M9" s="968"/>
      <c r="N9" s="173"/>
      <c r="O9" s="150" t="str">
        <f t="shared" si="2"/>
        <v/>
      </c>
      <c r="P9" s="967"/>
      <c r="Q9" s="177" t="str">
        <f t="shared" si="0"/>
        <v/>
      </c>
      <c r="R9" s="1"/>
      <c r="V9" s="336" t="e">
        <f t="shared" ref="V9:AC11" si="5">VLOOKUP($A9,$A$81:$AF$515,V$73,FALSE)</f>
        <v>#VALUE!</v>
      </c>
      <c r="W9" s="328" t="e">
        <f t="shared" si="5"/>
        <v>#VALUE!</v>
      </c>
      <c r="X9" s="328" t="e">
        <f t="shared" si="5"/>
        <v>#VALUE!</v>
      </c>
      <c r="Y9" s="328" t="e">
        <f t="shared" si="5"/>
        <v>#VALUE!</v>
      </c>
      <c r="Z9" s="328" t="e">
        <f t="shared" si="5"/>
        <v>#VALUE!</v>
      </c>
      <c r="AA9" s="328" t="e">
        <f t="shared" si="5"/>
        <v>#VALUE!</v>
      </c>
      <c r="AB9" s="328" t="e">
        <f t="shared" si="5"/>
        <v>#VALUE!</v>
      </c>
      <c r="AC9" s="328" t="e">
        <f t="shared" si="5"/>
        <v>#VALUE!</v>
      </c>
      <c r="AD9" s="328"/>
      <c r="AE9" s="328"/>
    </row>
    <row r="10" spans="1:31" ht="31.5" customHeight="1">
      <c r="A10" s="354" t="e">
        <f t="shared" si="3"/>
        <v>#VALUE!</v>
      </c>
      <c r="B10" s="183" t="e">
        <f>VLOOKUP($A10,$A$81:$AF$515,B$73,FALSE)</f>
        <v>#VALUE!</v>
      </c>
      <c r="C10" s="268" t="e">
        <f t="shared" ref="C10" si="6">VLOOKUP($A10,$A$81:$AF$515,C$73,FALSE)</f>
        <v>#VALUE!</v>
      </c>
      <c r="D10" s="174"/>
      <c r="E10" s="185">
        <v>8</v>
      </c>
      <c r="F10" s="968" t="s">
        <v>296</v>
      </c>
      <c r="G10" s="968"/>
      <c r="H10" s="968"/>
      <c r="I10" s="968"/>
      <c r="J10" s="968"/>
      <c r="K10" s="968"/>
      <c r="L10" s="968"/>
      <c r="M10" s="968"/>
      <c r="N10" s="173"/>
      <c r="O10" s="150" t="str">
        <f t="shared" si="2"/>
        <v/>
      </c>
      <c r="P10" s="967"/>
      <c r="Q10" s="177" t="str">
        <f t="shared" si="0"/>
        <v/>
      </c>
      <c r="R10" s="1"/>
      <c r="V10" s="336" t="e">
        <f t="shared" si="5"/>
        <v>#VALUE!</v>
      </c>
      <c r="W10" s="328" t="e">
        <f t="shared" si="5"/>
        <v>#VALUE!</v>
      </c>
      <c r="X10" s="328" t="e">
        <f t="shared" si="5"/>
        <v>#VALUE!</v>
      </c>
      <c r="Y10" s="328" t="e">
        <f t="shared" si="5"/>
        <v>#VALUE!</v>
      </c>
      <c r="Z10" s="328" t="e">
        <f t="shared" si="5"/>
        <v>#VALUE!</v>
      </c>
      <c r="AA10" s="328" t="e">
        <f t="shared" si="5"/>
        <v>#VALUE!</v>
      </c>
      <c r="AB10" s="328" t="e">
        <f t="shared" si="5"/>
        <v>#VALUE!</v>
      </c>
      <c r="AC10" s="328" t="e">
        <f t="shared" si="5"/>
        <v>#VALUE!</v>
      </c>
    </row>
    <row r="11" spans="1:31" ht="30" customHeight="1">
      <c r="A11" s="354" t="e">
        <f t="shared" si="3"/>
        <v>#VALUE!</v>
      </c>
      <c r="B11" s="183" t="e">
        <f>VLOOKUP($A11,$A$81:$AF$515,B$73,FALSE)</f>
        <v>#VALUE!</v>
      </c>
      <c r="C11" s="268" t="e">
        <f t="shared" ref="B11:C26" si="7">VLOOKUP($A11,$A$81:$AF$515,C$73,FALSE)</f>
        <v>#VALUE!</v>
      </c>
      <c r="D11" s="174"/>
      <c r="E11" s="185">
        <v>9</v>
      </c>
      <c r="F11" s="968" t="s">
        <v>298</v>
      </c>
      <c r="G11" s="968"/>
      <c r="H11" s="968"/>
      <c r="I11" s="968"/>
      <c r="J11" s="968"/>
      <c r="K11" s="968"/>
      <c r="L11" s="968"/>
      <c r="M11" s="968"/>
      <c r="N11" s="173"/>
      <c r="O11" s="150" t="str">
        <f t="shared" si="2"/>
        <v/>
      </c>
      <c r="P11" s="967"/>
      <c r="Q11" s="177" t="str">
        <f t="shared" si="0"/>
        <v/>
      </c>
      <c r="R11" s="1"/>
      <c r="V11" s="336" t="e">
        <f t="shared" si="5"/>
        <v>#VALUE!</v>
      </c>
      <c r="W11" s="328" t="e">
        <f t="shared" si="5"/>
        <v>#VALUE!</v>
      </c>
      <c r="X11" s="328" t="e">
        <f t="shared" si="5"/>
        <v>#VALUE!</v>
      </c>
      <c r="Y11" s="328" t="e">
        <f t="shared" si="5"/>
        <v>#VALUE!</v>
      </c>
      <c r="Z11" s="328" t="e">
        <f t="shared" si="5"/>
        <v>#VALUE!</v>
      </c>
      <c r="AA11" s="328" t="e">
        <f t="shared" si="5"/>
        <v>#VALUE!</v>
      </c>
      <c r="AB11" s="328" t="e">
        <f t="shared" si="5"/>
        <v>#VALUE!</v>
      </c>
      <c r="AC11" s="328" t="e">
        <f t="shared" si="5"/>
        <v>#VALUE!</v>
      </c>
    </row>
    <row r="12" spans="1:31" ht="32.25" customHeight="1">
      <c r="A12" s="354" t="e">
        <f t="shared" si="3"/>
        <v>#VALUE!</v>
      </c>
      <c r="B12" s="183"/>
      <c r="C12" s="182"/>
      <c r="D12" s="174"/>
      <c r="E12" s="185">
        <v>10</v>
      </c>
      <c r="F12" s="968" t="s">
        <v>297</v>
      </c>
      <c r="G12" s="968"/>
      <c r="H12" s="968"/>
      <c r="I12" s="968"/>
      <c r="J12" s="968"/>
      <c r="K12" s="968"/>
      <c r="L12" s="968"/>
      <c r="M12" s="968"/>
      <c r="N12" s="173"/>
      <c r="O12" s="150" t="str">
        <f t="shared" si="2"/>
        <v/>
      </c>
      <c r="P12" s="142"/>
      <c r="Q12" s="177" t="str">
        <f t="shared" si="0"/>
        <v/>
      </c>
      <c r="R12" s="1"/>
    </row>
    <row r="13" spans="1:31" ht="31.5" customHeight="1">
      <c r="A13" s="354" t="e">
        <f t="shared" si="3"/>
        <v>#VALUE!</v>
      </c>
      <c r="B13" s="183" t="e">
        <f t="shared" si="7"/>
        <v>#VALUE!</v>
      </c>
      <c r="C13" s="269" t="e">
        <f t="shared" si="7"/>
        <v>#VALUE!</v>
      </c>
      <c r="D13" s="174"/>
      <c r="E13" s="185">
        <v>11</v>
      </c>
      <c r="F13" s="968" t="s">
        <v>299</v>
      </c>
      <c r="G13" s="968"/>
      <c r="H13" s="968"/>
      <c r="I13" s="968"/>
      <c r="J13" s="968"/>
      <c r="K13" s="968"/>
      <c r="L13" s="968"/>
      <c r="M13" s="968"/>
      <c r="N13" s="173"/>
      <c r="O13" s="150" t="str">
        <f t="shared" si="2"/>
        <v/>
      </c>
      <c r="P13" s="142"/>
      <c r="Q13" s="177" t="str">
        <f t="shared" si="0"/>
        <v/>
      </c>
      <c r="R13" s="1"/>
      <c r="V13" s="324" t="s">
        <v>22</v>
      </c>
    </row>
    <row r="14" spans="1:31" ht="30" customHeight="1">
      <c r="A14" s="354" t="e">
        <f t="shared" si="3"/>
        <v>#VALUE!</v>
      </c>
      <c r="B14" s="183" t="e">
        <f t="shared" si="7"/>
        <v>#VALUE!</v>
      </c>
      <c r="C14" s="269" t="e">
        <f t="shared" si="7"/>
        <v>#VALUE!</v>
      </c>
      <c r="D14" s="174"/>
      <c r="E14" s="185">
        <v>12</v>
      </c>
      <c r="F14" s="968" t="s">
        <v>300</v>
      </c>
      <c r="G14" s="968"/>
      <c r="H14" s="968"/>
      <c r="I14" s="968"/>
      <c r="J14" s="968"/>
      <c r="K14" s="968"/>
      <c r="L14" s="968"/>
      <c r="M14" s="968"/>
      <c r="N14" s="173"/>
      <c r="O14" s="150" t="str">
        <f t="shared" si="2"/>
        <v/>
      </c>
      <c r="P14" s="142"/>
      <c r="Q14" s="177" t="str">
        <f t="shared" si="0"/>
        <v/>
      </c>
      <c r="R14" s="1"/>
    </row>
    <row r="15" spans="1:31" ht="30.75" customHeight="1">
      <c r="A15" s="354" t="e">
        <f t="shared" si="3"/>
        <v>#VALUE!</v>
      </c>
      <c r="B15" s="183"/>
      <c r="C15" s="182"/>
      <c r="D15" s="174"/>
      <c r="E15" s="185">
        <v>13</v>
      </c>
      <c r="F15" s="968" t="s">
        <v>301</v>
      </c>
      <c r="G15" s="968"/>
      <c r="H15" s="968"/>
      <c r="I15" s="968"/>
      <c r="J15" s="968"/>
      <c r="K15" s="968"/>
      <c r="L15" s="968"/>
      <c r="M15" s="968"/>
      <c r="N15" s="173"/>
      <c r="O15" s="150" t="str">
        <f t="shared" si="2"/>
        <v/>
      </c>
      <c r="P15" s="142"/>
      <c r="Q15" s="177" t="str">
        <f t="shared" si="0"/>
        <v/>
      </c>
      <c r="R15" s="1"/>
    </row>
    <row r="16" spans="1:31" ht="31.5" customHeight="1">
      <c r="A16" s="354" t="e">
        <f t="shared" si="3"/>
        <v>#VALUE!</v>
      </c>
      <c r="B16" s="261" t="e">
        <f t="shared" si="7"/>
        <v>#VALUE!</v>
      </c>
      <c r="C16" s="262"/>
      <c r="D16" s="174"/>
      <c r="E16" s="185">
        <v>14</v>
      </c>
      <c r="F16" s="968" t="s">
        <v>302</v>
      </c>
      <c r="G16" s="968"/>
      <c r="H16" s="968"/>
      <c r="I16" s="968"/>
      <c r="J16" s="968"/>
      <c r="K16" s="968"/>
      <c r="L16" s="968"/>
      <c r="M16" s="968"/>
      <c r="N16" s="173"/>
      <c r="O16" s="150" t="str">
        <f t="shared" si="2"/>
        <v/>
      </c>
      <c r="P16" s="142"/>
      <c r="Q16" s="177" t="str">
        <f t="shared" si="0"/>
        <v/>
      </c>
      <c r="R16" s="1"/>
      <c r="V16" s="327" t="s">
        <v>0</v>
      </c>
      <c r="W16" s="335" t="s">
        <v>76</v>
      </c>
      <c r="X16" s="335" t="s">
        <v>77</v>
      </c>
      <c r="Y16" s="335" t="s">
        <v>78</v>
      </c>
      <c r="Z16" s="335" t="s">
        <v>79</v>
      </c>
      <c r="AA16" s="328"/>
      <c r="AB16" s="328"/>
      <c r="AC16" s="328"/>
    </row>
    <row r="17" spans="1:29" ht="31.5" customHeight="1">
      <c r="A17" s="354" t="e">
        <f t="shared" si="3"/>
        <v>#VALUE!</v>
      </c>
      <c r="B17" s="183" t="e">
        <f t="shared" ref="B17:B20" si="8">VLOOKUP($A17,$A$81:$AF$515,B$73,FALSE)</f>
        <v>#VALUE!</v>
      </c>
      <c r="C17" s="268" t="e">
        <f t="shared" si="7"/>
        <v>#VALUE!</v>
      </c>
      <c r="D17" s="174"/>
      <c r="E17" s="185">
        <v>15</v>
      </c>
      <c r="F17" s="968" t="s">
        <v>303</v>
      </c>
      <c r="G17" s="968"/>
      <c r="H17" s="968"/>
      <c r="I17" s="968"/>
      <c r="J17" s="968"/>
      <c r="K17" s="968"/>
      <c r="L17" s="968"/>
      <c r="M17" s="968"/>
      <c r="N17" s="173"/>
      <c r="O17" s="150" t="str">
        <f t="shared" si="2"/>
        <v/>
      </c>
      <c r="P17" s="142"/>
      <c r="Q17" s="177" t="str">
        <f t="shared" si="0"/>
        <v/>
      </c>
      <c r="R17" s="1"/>
      <c r="V17" s="336" t="e">
        <f t="shared" ref="V17:Z20" si="9">VLOOKUP($A17,$A$81:$AF$515,V$73,FALSE)</f>
        <v>#VALUE!</v>
      </c>
      <c r="W17" s="328" t="e">
        <f t="shared" si="9"/>
        <v>#VALUE!</v>
      </c>
      <c r="X17" s="328" t="e">
        <f t="shared" si="9"/>
        <v>#VALUE!</v>
      </c>
      <c r="Y17" s="328" t="e">
        <f t="shared" si="9"/>
        <v>#VALUE!</v>
      </c>
      <c r="Z17" s="328" t="e">
        <f t="shared" si="9"/>
        <v>#VALUE!</v>
      </c>
      <c r="AA17" s="328"/>
      <c r="AB17" s="328"/>
      <c r="AC17" s="328"/>
    </row>
    <row r="18" spans="1:29" ht="30.75" customHeight="1">
      <c r="A18" s="354" t="e">
        <f t="shared" si="3"/>
        <v>#VALUE!</v>
      </c>
      <c r="B18" s="183" t="e">
        <f t="shared" si="8"/>
        <v>#VALUE!</v>
      </c>
      <c r="C18" s="268" t="e">
        <f t="shared" si="7"/>
        <v>#VALUE!</v>
      </c>
      <c r="D18" s="174"/>
      <c r="E18" s="185">
        <v>16</v>
      </c>
      <c r="F18" s="968" t="s">
        <v>304</v>
      </c>
      <c r="G18" s="968"/>
      <c r="H18" s="968"/>
      <c r="I18" s="968"/>
      <c r="J18" s="968"/>
      <c r="K18" s="968"/>
      <c r="L18" s="968"/>
      <c r="M18" s="968"/>
      <c r="N18" s="173"/>
      <c r="O18" s="150" t="str">
        <f t="shared" si="2"/>
        <v/>
      </c>
      <c r="P18" s="142"/>
      <c r="Q18" s="177" t="str">
        <f t="shared" si="0"/>
        <v/>
      </c>
      <c r="R18" s="1"/>
      <c r="V18" s="336" t="e">
        <f t="shared" si="9"/>
        <v>#VALUE!</v>
      </c>
      <c r="W18" s="328" t="e">
        <f t="shared" si="9"/>
        <v>#VALUE!</v>
      </c>
      <c r="X18" s="328" t="e">
        <f t="shared" si="9"/>
        <v>#VALUE!</v>
      </c>
      <c r="Y18" s="328" t="e">
        <f t="shared" si="9"/>
        <v>#VALUE!</v>
      </c>
      <c r="Z18" s="328" t="e">
        <f t="shared" si="9"/>
        <v>#VALUE!</v>
      </c>
      <c r="AA18" s="328"/>
      <c r="AB18" s="328"/>
      <c r="AC18" s="328"/>
    </row>
    <row r="19" spans="1:29" ht="30.75" customHeight="1">
      <c r="A19" s="354" t="e">
        <f t="shared" si="3"/>
        <v>#VALUE!</v>
      </c>
      <c r="B19" s="183" t="e">
        <f t="shared" si="8"/>
        <v>#VALUE!</v>
      </c>
      <c r="C19" s="269" t="e">
        <f t="shared" si="7"/>
        <v>#VALUE!</v>
      </c>
      <c r="D19" s="174"/>
      <c r="E19" s="185">
        <v>17</v>
      </c>
      <c r="F19" s="968" t="s">
        <v>305</v>
      </c>
      <c r="G19" s="968"/>
      <c r="H19" s="968"/>
      <c r="I19" s="968"/>
      <c r="J19" s="968"/>
      <c r="K19" s="968"/>
      <c r="L19" s="968"/>
      <c r="M19" s="968"/>
      <c r="N19" s="173"/>
      <c r="O19" s="150" t="str">
        <f t="shared" si="2"/>
        <v/>
      </c>
      <c r="P19" s="142"/>
      <c r="Q19" s="177" t="str">
        <f t="shared" si="0"/>
        <v/>
      </c>
      <c r="R19" s="1"/>
      <c r="V19" s="336" t="e">
        <f t="shared" si="9"/>
        <v>#VALUE!</v>
      </c>
      <c r="W19" s="328" t="e">
        <f t="shared" si="9"/>
        <v>#VALUE!</v>
      </c>
      <c r="X19" s="328" t="e">
        <f t="shared" si="9"/>
        <v>#VALUE!</v>
      </c>
      <c r="Y19" s="328" t="e">
        <f t="shared" si="9"/>
        <v>#VALUE!</v>
      </c>
      <c r="Z19" s="328" t="e">
        <f t="shared" si="9"/>
        <v>#VALUE!</v>
      </c>
      <c r="AA19" s="328"/>
      <c r="AB19" s="328"/>
      <c r="AC19" s="328"/>
    </row>
    <row r="20" spans="1:29" ht="30.75" customHeight="1">
      <c r="A20" s="354" t="e">
        <f t="shared" si="3"/>
        <v>#VALUE!</v>
      </c>
      <c r="B20" s="183" t="e">
        <f t="shared" si="8"/>
        <v>#VALUE!</v>
      </c>
      <c r="C20" s="268" t="e">
        <f t="shared" si="7"/>
        <v>#VALUE!</v>
      </c>
      <c r="D20" s="174"/>
      <c r="E20" s="185">
        <v>18</v>
      </c>
      <c r="F20" s="968" t="s">
        <v>306</v>
      </c>
      <c r="G20" s="968"/>
      <c r="H20" s="968"/>
      <c r="I20" s="968"/>
      <c r="J20" s="968"/>
      <c r="K20" s="968"/>
      <c r="L20" s="968"/>
      <c r="M20" s="968"/>
      <c r="N20" s="173"/>
      <c r="O20" s="150" t="str">
        <f t="shared" si="2"/>
        <v/>
      </c>
      <c r="P20" s="142"/>
      <c r="Q20" s="177" t="str">
        <f t="shared" si="0"/>
        <v/>
      </c>
      <c r="R20" s="1"/>
      <c r="V20" s="336" t="e">
        <f t="shared" si="9"/>
        <v>#VALUE!</v>
      </c>
      <c r="W20" s="328" t="e">
        <f t="shared" si="9"/>
        <v>#VALUE!</v>
      </c>
      <c r="X20" s="328" t="e">
        <f t="shared" si="9"/>
        <v>#VALUE!</v>
      </c>
      <c r="Y20" s="328" t="e">
        <f t="shared" si="9"/>
        <v>#VALUE!</v>
      </c>
      <c r="Z20" s="328" t="e">
        <f t="shared" si="9"/>
        <v>#VALUE!</v>
      </c>
      <c r="AA20" s="328"/>
      <c r="AB20" s="328"/>
      <c r="AC20" s="328"/>
    </row>
    <row r="21" spans="1:29" ht="31.5" customHeight="1">
      <c r="A21" s="354" t="e">
        <f t="shared" si="3"/>
        <v>#VALUE!</v>
      </c>
      <c r="B21" s="183"/>
      <c r="C21" s="182"/>
      <c r="D21" s="174"/>
      <c r="E21" s="185">
        <v>19</v>
      </c>
      <c r="F21" s="968" t="s">
        <v>307</v>
      </c>
      <c r="G21" s="968"/>
      <c r="H21" s="968"/>
      <c r="I21" s="968"/>
      <c r="J21" s="968"/>
      <c r="K21" s="968"/>
      <c r="L21" s="968"/>
      <c r="M21" s="968"/>
      <c r="N21" s="173"/>
      <c r="O21" s="150" t="str">
        <f t="shared" si="2"/>
        <v/>
      </c>
      <c r="P21" s="142"/>
      <c r="Q21" s="177" t="str">
        <f t="shared" si="0"/>
        <v/>
      </c>
      <c r="R21" s="1"/>
      <c r="AA21" s="328"/>
      <c r="AB21" s="328"/>
      <c r="AC21" s="328"/>
    </row>
    <row r="22" spans="1:29">
      <c r="A22" s="354" t="e">
        <f t="shared" si="3"/>
        <v>#VALUE!</v>
      </c>
      <c r="B22" s="183" t="e">
        <f>VLOOKUP($A22,$A$81:$AF$515,B$73,FALSE)</f>
        <v>#VALUE!</v>
      </c>
      <c r="C22" s="270" t="e">
        <f t="shared" si="7"/>
        <v>#VALUE!</v>
      </c>
      <c r="D22" s="174"/>
      <c r="E22" s="185">
        <v>20</v>
      </c>
      <c r="F22" s="968" t="s">
        <v>308</v>
      </c>
      <c r="G22" s="968"/>
      <c r="H22" s="968"/>
      <c r="I22" s="968"/>
      <c r="J22" s="968"/>
      <c r="K22" s="968"/>
      <c r="L22" s="968"/>
      <c r="M22" s="968"/>
      <c r="N22" s="173"/>
      <c r="O22" s="150" t="str">
        <f t="shared" si="2"/>
        <v/>
      </c>
      <c r="P22" s="967" t="str">
        <f>IF($D$69="SI","Uso indebido de la Excel: no puede modificarse el enunciado. Deshaga operación (Ctrl-Z) para continuar","")</f>
        <v/>
      </c>
      <c r="Q22" s="177" t="str">
        <f t="shared" si="0"/>
        <v/>
      </c>
      <c r="R22" s="1"/>
      <c r="V22" s="324" t="s">
        <v>23</v>
      </c>
      <c r="AC22" s="328"/>
    </row>
    <row r="23" spans="1:29" ht="30.75" customHeight="1">
      <c r="A23" s="354" t="e">
        <f t="shared" si="3"/>
        <v>#VALUE!</v>
      </c>
      <c r="B23" s="308"/>
      <c r="C23" s="183" t="e">
        <f t="shared" si="7"/>
        <v>#VALUE!</v>
      </c>
      <c r="D23" s="174"/>
      <c r="E23" s="185">
        <v>21</v>
      </c>
      <c r="F23" s="968" t="s">
        <v>309</v>
      </c>
      <c r="G23" s="968"/>
      <c r="H23" s="968"/>
      <c r="I23" s="968"/>
      <c r="J23" s="968"/>
      <c r="K23" s="968"/>
      <c r="L23" s="968"/>
      <c r="M23" s="968"/>
      <c r="N23" s="173"/>
      <c r="O23" s="150" t="str">
        <f t="shared" si="2"/>
        <v/>
      </c>
      <c r="P23" s="967"/>
      <c r="Q23" s="177" t="str">
        <f t="shared" si="0"/>
        <v/>
      </c>
      <c r="R23" s="1"/>
      <c r="V23" s="328"/>
      <c r="W23" s="328"/>
      <c r="AC23" s="328"/>
    </row>
    <row r="24" spans="1:29">
      <c r="A24" s="354" t="e">
        <f t="shared" si="3"/>
        <v>#VALUE!</v>
      </c>
      <c r="B24" s="183"/>
      <c r="C24" s="182"/>
      <c r="D24" s="174"/>
      <c r="E24" s="185">
        <v>22</v>
      </c>
      <c r="F24" s="968" t="s">
        <v>317</v>
      </c>
      <c r="G24" s="968"/>
      <c r="H24" s="968"/>
      <c r="I24" s="968"/>
      <c r="J24" s="968"/>
      <c r="K24" s="968"/>
      <c r="L24" s="968"/>
      <c r="M24" s="968"/>
      <c r="N24" s="173"/>
      <c r="O24" s="150" t="str">
        <f t="shared" si="2"/>
        <v/>
      </c>
      <c r="P24" s="967"/>
      <c r="Q24" s="177" t="str">
        <f t="shared" si="0"/>
        <v/>
      </c>
      <c r="R24" s="1"/>
      <c r="V24" s="328" t="e">
        <f t="shared" ref="V24:W26" si="10">VLOOKUP($A24,$A$81:$AF$515,V$73,FALSE)</f>
        <v>#VALUE!</v>
      </c>
      <c r="W24" s="328" t="e">
        <f t="shared" si="10"/>
        <v>#VALUE!</v>
      </c>
      <c r="AC24" s="328"/>
    </row>
    <row r="25" spans="1:29">
      <c r="A25" s="354" t="e">
        <f t="shared" si="3"/>
        <v>#VALUE!</v>
      </c>
      <c r="B25" s="183" t="e">
        <f t="shared" ref="B25:C31" si="11">VLOOKUP($A25,$A$81:$AF$515,B$73,FALSE)</f>
        <v>#VALUE!</v>
      </c>
      <c r="C25" s="268" t="e">
        <f t="shared" si="7"/>
        <v>#VALUE!</v>
      </c>
      <c r="D25" s="174"/>
      <c r="E25" s="185">
        <v>23</v>
      </c>
      <c r="F25" s="968" t="s">
        <v>310</v>
      </c>
      <c r="G25" s="968"/>
      <c r="H25" s="968"/>
      <c r="I25" s="968"/>
      <c r="J25" s="968"/>
      <c r="K25" s="968"/>
      <c r="L25" s="968"/>
      <c r="M25" s="968"/>
      <c r="N25" s="173"/>
      <c r="O25" s="150" t="str">
        <f t="shared" si="2"/>
        <v/>
      </c>
      <c r="P25" s="967"/>
      <c r="Q25" s="177" t="str">
        <f t="shared" si="0"/>
        <v/>
      </c>
      <c r="R25" s="1"/>
      <c r="V25" s="328" t="e">
        <f t="shared" si="10"/>
        <v>#VALUE!</v>
      </c>
      <c r="W25" s="328" t="e">
        <f t="shared" si="10"/>
        <v>#VALUE!</v>
      </c>
      <c r="AC25" s="328"/>
    </row>
    <row r="26" spans="1:29">
      <c r="A26" s="354" t="e">
        <f t="shared" si="3"/>
        <v>#VALUE!</v>
      </c>
      <c r="B26" s="183" t="e">
        <f t="shared" si="11"/>
        <v>#VALUE!</v>
      </c>
      <c r="C26" s="268" t="e">
        <f t="shared" si="7"/>
        <v>#VALUE!</v>
      </c>
      <c r="D26" s="174"/>
      <c r="E26" s="185">
        <v>24</v>
      </c>
      <c r="F26" s="968" t="s">
        <v>315</v>
      </c>
      <c r="G26" s="968"/>
      <c r="H26" s="968"/>
      <c r="I26" s="968"/>
      <c r="J26" s="968"/>
      <c r="K26" s="968"/>
      <c r="L26" s="968"/>
      <c r="M26" s="968"/>
      <c r="N26" s="173"/>
      <c r="O26" s="150" t="str">
        <f t="shared" si="2"/>
        <v/>
      </c>
      <c r="P26" s="967"/>
      <c r="Q26" s="177" t="str">
        <f t="shared" si="0"/>
        <v/>
      </c>
      <c r="R26" s="1"/>
      <c r="V26" s="328" t="e">
        <f t="shared" si="10"/>
        <v>#VALUE!</v>
      </c>
      <c r="W26" s="328" t="e">
        <f t="shared" si="10"/>
        <v>#VALUE!</v>
      </c>
      <c r="AC26" s="328"/>
    </row>
    <row r="27" spans="1:29">
      <c r="A27" s="354" t="e">
        <f t="shared" si="3"/>
        <v>#VALUE!</v>
      </c>
      <c r="B27" s="183" t="e">
        <f t="shared" si="11"/>
        <v>#VALUE!</v>
      </c>
      <c r="C27" s="271" t="e">
        <f t="shared" si="11"/>
        <v>#VALUE!</v>
      </c>
      <c r="D27" s="174"/>
      <c r="E27" s="185">
        <v>25</v>
      </c>
      <c r="F27" s="968" t="s">
        <v>316</v>
      </c>
      <c r="G27" s="968"/>
      <c r="H27" s="968"/>
      <c r="I27" s="968"/>
      <c r="J27" s="968"/>
      <c r="K27" s="968"/>
      <c r="L27" s="968"/>
      <c r="M27" s="968"/>
      <c r="N27" s="173"/>
      <c r="O27" s="150" t="str">
        <f t="shared" si="2"/>
        <v/>
      </c>
      <c r="P27" s="967"/>
      <c r="Q27" s="177" t="str">
        <f t="shared" si="0"/>
        <v/>
      </c>
      <c r="R27" s="1"/>
      <c r="AC27" s="328"/>
    </row>
    <row r="28" spans="1:29" ht="30.75" customHeight="1">
      <c r="A28" s="354" t="e">
        <f t="shared" si="3"/>
        <v>#VALUE!</v>
      </c>
      <c r="B28" s="183" t="e">
        <f t="shared" si="11"/>
        <v>#VALUE!</v>
      </c>
      <c r="C28" s="268" t="e">
        <f t="shared" si="11"/>
        <v>#VALUE!</v>
      </c>
      <c r="D28" s="174"/>
      <c r="E28" s="185">
        <v>26</v>
      </c>
      <c r="F28" s="968" t="s">
        <v>312</v>
      </c>
      <c r="G28" s="968"/>
      <c r="H28" s="968"/>
      <c r="I28" s="968"/>
      <c r="J28" s="968"/>
      <c r="K28" s="968"/>
      <c r="L28" s="968"/>
      <c r="M28" s="968"/>
      <c r="N28" s="173"/>
      <c r="O28" s="150" t="str">
        <f t="shared" si="2"/>
        <v/>
      </c>
      <c r="P28" s="967"/>
      <c r="Q28" s="177" t="str">
        <f t="shared" si="0"/>
        <v/>
      </c>
      <c r="R28" s="1"/>
      <c r="V28" s="324" t="s">
        <v>26</v>
      </c>
    </row>
    <row r="29" spans="1:29">
      <c r="A29" s="354" t="e">
        <f t="shared" si="3"/>
        <v>#VALUE!</v>
      </c>
      <c r="B29" s="183" t="e">
        <f t="shared" si="11"/>
        <v>#VALUE!</v>
      </c>
      <c r="C29" s="268" t="e">
        <f t="shared" si="11"/>
        <v>#VALUE!</v>
      </c>
      <c r="D29" s="174"/>
      <c r="E29" s="142"/>
      <c r="F29" s="142"/>
      <c r="G29" s="142"/>
      <c r="H29" s="142"/>
      <c r="I29" s="143"/>
      <c r="J29" s="142"/>
      <c r="K29" s="142"/>
      <c r="L29" s="142"/>
      <c r="M29" s="142"/>
      <c r="N29" s="171"/>
      <c r="O29" s="142"/>
      <c r="P29" s="142"/>
      <c r="R29" s="1"/>
      <c r="Z29" s="359" t="s">
        <v>81</v>
      </c>
    </row>
    <row r="30" spans="1:29">
      <c r="A30" s="354" t="e">
        <f t="shared" si="3"/>
        <v>#VALUE!</v>
      </c>
      <c r="B30" s="182"/>
      <c r="C30" s="182"/>
      <c r="D30" s="174"/>
      <c r="E30" s="142"/>
      <c r="F30" s="142"/>
      <c r="G30" s="142"/>
      <c r="H30" s="142"/>
      <c r="I30" s="143"/>
      <c r="J30" s="327">
        <f>26-COUNTIF(O3:O28,"")</f>
        <v>0</v>
      </c>
      <c r="K30" s="142"/>
      <c r="L30" s="142"/>
      <c r="M30" s="175" t="s">
        <v>319</v>
      </c>
      <c r="N30" s="89"/>
      <c r="O30" s="150" t="str">
        <f>IF(OR(N30="",N30="x"),"","ERROR: debe ser 'x'")</f>
        <v/>
      </c>
      <c r="P30" s="142"/>
      <c r="R30" s="1"/>
      <c r="V30" s="327" t="s">
        <v>0</v>
      </c>
      <c r="W30" s="335" t="s">
        <v>75</v>
      </c>
      <c r="X30" s="335" t="s">
        <v>79</v>
      </c>
      <c r="Y30" s="335" t="s">
        <v>80</v>
      </c>
      <c r="Z30" s="335" t="s">
        <v>1</v>
      </c>
      <c r="AB30" s="327" t="s">
        <v>31</v>
      </c>
    </row>
    <row r="31" spans="1:29">
      <c r="A31" s="354" t="e">
        <f t="shared" si="3"/>
        <v>#VALUE!</v>
      </c>
      <c r="B31" s="183" t="e">
        <f t="shared" si="11"/>
        <v>#VALUE!</v>
      </c>
      <c r="C31" s="181" t="e">
        <f t="shared" si="11"/>
        <v>#VALUE!</v>
      </c>
      <c r="D31" s="174"/>
      <c r="E31" s="142"/>
      <c r="F31" s="142"/>
      <c r="G31" s="142"/>
      <c r="H31" s="179" t="str">
        <f>IF(H32="","",IF(NOT(ISNUMBER(H32)),"ERROR: debe ser número",IF(OR(H32&lt;0,H32&gt;26,NOT(INT(H32)=H32)),"ERROR: debe ser número entero entre 1 y 26","")))</f>
        <v/>
      </c>
      <c r="I31" s="143"/>
      <c r="J31" s="142"/>
      <c r="K31" s="142"/>
      <c r="L31" s="142"/>
      <c r="M31" s="142"/>
      <c r="N31" s="176"/>
      <c r="O31" s="142"/>
      <c r="P31" s="142"/>
      <c r="R31" s="1"/>
      <c r="V31" s="336" t="e">
        <f t="shared" ref="V31:Z33" si="12">VLOOKUP($A31,$A$81:$AF$515,V$73,FALSE)</f>
        <v>#VALUE!</v>
      </c>
      <c r="W31" s="337" t="e">
        <f t="shared" si="12"/>
        <v>#VALUE!</v>
      </c>
      <c r="X31" s="328" t="e">
        <f t="shared" si="12"/>
        <v>#VALUE!</v>
      </c>
      <c r="Y31" s="328" t="e">
        <f t="shared" si="12"/>
        <v>#VALUE!</v>
      </c>
      <c r="Z31" s="328" t="e">
        <f t="shared" si="12"/>
        <v>#VALUE!</v>
      </c>
      <c r="AB31" s="328" t="e">
        <f t="shared" ref="AB31:AB33" si="13">VLOOKUP($A31,$A$81:$AF$515,AB$73,FALSE)</f>
        <v>#VALUE!</v>
      </c>
    </row>
    <row r="32" spans="1:29">
      <c r="A32" s="354" t="e">
        <f t="shared" si="3"/>
        <v>#VALUE!</v>
      </c>
      <c r="B32" s="307"/>
      <c r="C32" s="307"/>
      <c r="E32" s="142"/>
      <c r="F32" s="139" t="s">
        <v>326</v>
      </c>
      <c r="G32" s="142"/>
      <c r="H32" s="89"/>
      <c r="I32" s="180" t="e">
        <f>CONCATENATE(IF(AND(H32&gt;3,H32&lt;7),TEXT(VLOOKUP(H32,$E$44:$F$69,2,FALSE),"0,0000"),TEXT(VLOOKUP(H32,$E$44:$F$69,2,FALSE),"#.##0"))," = ")</f>
        <v>#N/A</v>
      </c>
      <c r="J32" s="970" t="e">
        <f>VLOOKUP(H32,$E$44:$H$69,4,FALSE)</f>
        <v>#N/A</v>
      </c>
      <c r="K32" s="970"/>
      <c r="L32" s="970"/>
      <c r="M32" s="970"/>
      <c r="N32" s="970"/>
      <c r="O32" s="970"/>
      <c r="P32" s="970"/>
      <c r="Q32" s="970"/>
      <c r="R32" s="1"/>
      <c r="V32" s="336" t="e">
        <f t="shared" si="12"/>
        <v>#VALUE!</v>
      </c>
      <c r="W32" s="328" t="e">
        <f t="shared" si="12"/>
        <v>#VALUE!</v>
      </c>
      <c r="X32" s="328" t="e">
        <f t="shared" si="12"/>
        <v>#VALUE!</v>
      </c>
      <c r="Y32" s="328" t="e">
        <f t="shared" si="12"/>
        <v>#VALUE!</v>
      </c>
      <c r="Z32" s="328" t="e">
        <f t="shared" si="12"/>
        <v>#VALUE!</v>
      </c>
      <c r="AB32" s="328" t="e">
        <f t="shared" si="13"/>
        <v>#VALUE!</v>
      </c>
      <c r="AC32" s="324" t="e">
        <f>IF(AND(AB31&lt;0,NOT(AB32&lt;0)),V32,"")</f>
        <v>#VALUE!</v>
      </c>
    </row>
    <row r="33" spans="1:29">
      <c r="A33" s="65" t="e">
        <f t="shared" si="3"/>
        <v>#VALUE!</v>
      </c>
      <c r="E33" s="142"/>
      <c r="F33" s="142"/>
      <c r="G33" s="142"/>
      <c r="H33" s="176"/>
      <c r="I33" s="143"/>
      <c r="J33" s="970"/>
      <c r="K33" s="970"/>
      <c r="L33" s="970"/>
      <c r="M33" s="970"/>
      <c r="N33" s="970"/>
      <c r="O33" s="970"/>
      <c r="P33" s="970"/>
      <c r="Q33" s="970"/>
      <c r="R33" s="1"/>
      <c r="V33" s="336" t="e">
        <f t="shared" si="12"/>
        <v>#VALUE!</v>
      </c>
      <c r="W33" s="328" t="e">
        <f t="shared" si="12"/>
        <v>#VALUE!</v>
      </c>
      <c r="X33" s="328" t="e">
        <f t="shared" si="12"/>
        <v>#VALUE!</v>
      </c>
      <c r="Y33" s="328" t="e">
        <f t="shared" si="12"/>
        <v>#VALUE!</v>
      </c>
      <c r="Z33" s="328" t="e">
        <f t="shared" si="12"/>
        <v>#VALUE!</v>
      </c>
      <c r="AB33" s="328" t="e">
        <f t="shared" si="13"/>
        <v>#VALUE!</v>
      </c>
      <c r="AC33" s="324" t="e">
        <f>IF(AND(AB32&lt;0,NOT(AB33&lt;0)),V33,"")</f>
        <v>#VALUE!</v>
      </c>
    </row>
    <row r="34" spans="1:29">
      <c r="A34" s="65" t="e">
        <f t="shared" si="3"/>
        <v>#VALUE!</v>
      </c>
      <c r="E34" s="142"/>
      <c r="F34" s="142"/>
      <c r="G34" s="142"/>
      <c r="H34" s="142"/>
      <c r="I34" s="143"/>
      <c r="J34" s="970"/>
      <c r="K34" s="970"/>
      <c r="L34" s="970"/>
      <c r="M34" s="970"/>
      <c r="N34" s="970"/>
      <c r="O34" s="970"/>
      <c r="P34" s="970"/>
      <c r="Q34" s="970"/>
      <c r="R34" s="1"/>
      <c r="V34" s="336"/>
      <c r="W34" s="328"/>
      <c r="X34" s="328"/>
      <c r="Y34" s="328"/>
      <c r="Z34" s="328"/>
      <c r="AB34" s="328"/>
    </row>
    <row r="35" spans="1:29">
      <c r="A35" s="65" t="e">
        <f t="shared" si="3"/>
        <v>#VALUE!</v>
      </c>
      <c r="E35" s="142"/>
      <c r="F35" s="142"/>
      <c r="G35" s="142"/>
      <c r="H35" s="142"/>
      <c r="I35" s="143"/>
      <c r="J35" s="970"/>
      <c r="K35" s="970"/>
      <c r="L35" s="970"/>
      <c r="M35" s="970"/>
      <c r="N35" s="970"/>
      <c r="O35" s="970"/>
      <c r="P35" s="970"/>
      <c r="Q35" s="970"/>
      <c r="R35" s="1"/>
      <c r="V35" s="336"/>
      <c r="W35" s="328"/>
      <c r="X35" s="328"/>
      <c r="Y35" s="328"/>
      <c r="Z35" s="328"/>
      <c r="AB35" s="328"/>
    </row>
    <row r="36" spans="1:29" hidden="1">
      <c r="A36" s="60" t="e">
        <f t="shared" si="3"/>
        <v>#VALUE!</v>
      </c>
      <c r="E36" s="142"/>
      <c r="F36" s="142"/>
      <c r="G36" s="142"/>
      <c r="H36" s="142"/>
      <c r="I36" s="143"/>
      <c r="J36" s="142"/>
      <c r="K36" s="142"/>
      <c r="L36" s="142"/>
      <c r="M36" s="142"/>
      <c r="N36" s="142"/>
      <c r="O36" s="142"/>
      <c r="P36" s="142"/>
      <c r="R36" s="1"/>
      <c r="V36" s="336"/>
      <c r="W36" s="328"/>
      <c r="X36" s="328"/>
      <c r="Y36" s="328"/>
      <c r="Z36" s="328"/>
      <c r="AB36" s="328"/>
    </row>
    <row r="37" spans="1:29" s="324" customFormat="1" ht="0.65" hidden="1" customHeight="1">
      <c r="A37" s="324" t="e">
        <f t="shared" si="3"/>
        <v>#VALUE!</v>
      </c>
      <c r="I37" s="328"/>
      <c r="R37" s="328"/>
      <c r="V37" s="336"/>
      <c r="W37" s="328"/>
      <c r="X37" s="328"/>
      <c r="Y37" s="328"/>
      <c r="Z37" s="328"/>
      <c r="AB37" s="328"/>
    </row>
    <row r="38" spans="1:29" s="324" customFormat="1" ht="0.65" hidden="1" customHeight="1">
      <c r="A38" s="324" t="e">
        <f t="shared" si="3"/>
        <v>#VALUE!</v>
      </c>
      <c r="I38" s="328"/>
      <c r="R38" s="328"/>
      <c r="V38" s="336"/>
      <c r="W38" s="328"/>
      <c r="X38" s="328"/>
      <c r="Y38" s="328"/>
      <c r="Z38" s="328"/>
      <c r="AB38" s="328"/>
    </row>
    <row r="39" spans="1:29" s="324" customFormat="1" ht="0.65" hidden="1" customHeight="1">
      <c r="A39" s="324" t="e">
        <f t="shared" si="3"/>
        <v>#VALUE!</v>
      </c>
      <c r="I39" s="328"/>
      <c r="R39" s="328"/>
      <c r="V39" s="336"/>
      <c r="W39" s="328"/>
      <c r="X39" s="328"/>
      <c r="Y39" s="328"/>
      <c r="Z39" s="328"/>
      <c r="AB39" s="328"/>
    </row>
    <row r="40" spans="1:29" s="324" customFormat="1" ht="0.65" hidden="1" customHeight="1">
      <c r="A40" s="324" t="e">
        <f t="shared" si="3"/>
        <v>#VALUE!</v>
      </c>
      <c r="I40" s="328"/>
      <c r="R40" s="328"/>
      <c r="V40" s="336"/>
      <c r="W40" s="328"/>
      <c r="X40" s="328"/>
      <c r="Y40" s="328"/>
      <c r="Z40" s="328"/>
      <c r="AB40" s="328"/>
    </row>
    <row r="41" spans="1:29" s="324" customFormat="1" ht="0.65" hidden="1" customHeight="1">
      <c r="A41" s="324" t="e">
        <f t="shared" si="3"/>
        <v>#VALUE!</v>
      </c>
      <c r="I41" s="328"/>
      <c r="R41" s="328"/>
      <c r="V41" s="336"/>
      <c r="W41" s="328"/>
      <c r="X41" s="328"/>
      <c r="Y41" s="328"/>
      <c r="Z41" s="328"/>
      <c r="AB41" s="328"/>
    </row>
    <row r="42" spans="1:29" s="324" customFormat="1" ht="0.65" hidden="1" customHeight="1">
      <c r="A42" s="324" t="e">
        <f t="shared" si="3"/>
        <v>#VALUE!</v>
      </c>
      <c r="E42" s="355" t="str">
        <f>IF(OR(D42="",D42="x"),"","ERROR")</f>
        <v/>
      </c>
      <c r="F42" s="355" t="s">
        <v>318</v>
      </c>
      <c r="H42" s="324" t="s">
        <v>185</v>
      </c>
      <c r="I42" s="328"/>
      <c r="R42" s="328"/>
      <c r="V42" s="336" t="e">
        <f t="shared" ref="V42:Z42" si="14">VLOOKUP($A42,$A$81:$AF$515,V$73,FALSE)</f>
        <v>#VALUE!</v>
      </c>
      <c r="W42" s="328" t="e">
        <f t="shared" si="14"/>
        <v>#VALUE!</v>
      </c>
      <c r="X42" s="328" t="e">
        <f t="shared" si="14"/>
        <v>#VALUE!</v>
      </c>
      <c r="Y42" s="328" t="e">
        <f t="shared" si="14"/>
        <v>#VALUE!</v>
      </c>
      <c r="Z42" s="328" t="e">
        <f t="shared" si="14"/>
        <v>#VALUE!</v>
      </c>
      <c r="AA42" s="328"/>
      <c r="AB42" s="328" t="e">
        <f t="shared" ref="AB42" si="15">VLOOKUP($A42,$A$81:$AF$515,AB$73,FALSE)</f>
        <v>#VALUE!</v>
      </c>
      <c r="AC42" s="324" t="e">
        <f>IF(AND(AB33&lt;0,NOT(AB42&lt;0)),V42,"")</f>
        <v>#VALUE!</v>
      </c>
    </row>
    <row r="43" spans="1:29" s="324" customFormat="1" ht="0.65" hidden="1" customHeight="1">
      <c r="A43" s="324" t="e">
        <f t="shared" si="3"/>
        <v>#VALUE!</v>
      </c>
      <c r="E43" s="355" t="str">
        <f>IF(OR(D43="",D43="T",D43="N"),"","ERROR")</f>
        <v/>
      </c>
      <c r="F43" s="355"/>
      <c r="I43" s="328"/>
      <c r="R43" s="328"/>
      <c r="Z43" s="328"/>
      <c r="AA43" s="328"/>
      <c r="AB43" s="328"/>
      <c r="AC43" s="328"/>
    </row>
    <row r="44" spans="1:29" s="324" customFormat="1" ht="0.65" hidden="1" customHeight="1">
      <c r="A44" s="324" t="e">
        <f t="shared" si="3"/>
        <v>#VALUE!</v>
      </c>
      <c r="B44" s="328" t="e">
        <f t="shared" ref="B44:B46" si="16">VLOOKUP($A44,$A$81:$AF$515,B$73,FALSE)</f>
        <v>#VALUE!</v>
      </c>
      <c r="C44" s="328" t="e">
        <f>C6</f>
        <v>#VALUE!</v>
      </c>
      <c r="D44" s="326" t="e">
        <f>IF(B44=C44,1,0)</f>
        <v>#VALUE!</v>
      </c>
      <c r="E44" s="324">
        <v>1</v>
      </c>
      <c r="F44" s="342" t="e">
        <f t="shared" ref="F44:H69" si="17">VLOOKUP($A44,$A$81:$AF$515,F$73,FALSE)</f>
        <v>#VALUE!</v>
      </c>
      <c r="G44" s="324" t="e">
        <f t="shared" si="17"/>
        <v>#VALUE!</v>
      </c>
      <c r="H44" s="324" t="e">
        <f t="shared" si="17"/>
        <v>#VALUE!</v>
      </c>
      <c r="I44" s="328"/>
      <c r="R44" s="328"/>
      <c r="V44" s="324" t="s">
        <v>25</v>
      </c>
      <c r="W44" s="328"/>
      <c r="Z44" s="328"/>
      <c r="AA44" s="328"/>
      <c r="AB44" s="328"/>
      <c r="AC44" s="328"/>
    </row>
    <row r="45" spans="1:29" s="324" customFormat="1" ht="0.65" hidden="1" customHeight="1">
      <c r="A45" s="324" t="e">
        <f t="shared" si="3"/>
        <v>#VALUE!</v>
      </c>
      <c r="B45" s="324" t="e">
        <f t="shared" si="16"/>
        <v>#VALUE!</v>
      </c>
      <c r="C45" s="324" t="e">
        <f>C7</f>
        <v>#VALUE!</v>
      </c>
      <c r="D45" s="326" t="e">
        <f>IF(B45=C45,1,0)</f>
        <v>#VALUE!</v>
      </c>
      <c r="E45" s="324">
        <v>2</v>
      </c>
      <c r="F45" s="342" t="e">
        <f t="shared" si="17"/>
        <v>#VALUE!</v>
      </c>
      <c r="G45" s="324" t="e">
        <f t="shared" si="17"/>
        <v>#VALUE!</v>
      </c>
      <c r="H45" s="324" t="e">
        <f t="shared" si="17"/>
        <v>#VALUE!</v>
      </c>
      <c r="V45" s="328"/>
      <c r="W45" s="328"/>
      <c r="Z45" s="328"/>
      <c r="AA45" s="328"/>
      <c r="AB45" s="328"/>
      <c r="AC45" s="328"/>
    </row>
    <row r="46" spans="1:29" s="324" customFormat="1" ht="0.65" hidden="1" customHeight="1">
      <c r="A46" s="324" t="e">
        <f t="shared" si="3"/>
        <v>#VALUE!</v>
      </c>
      <c r="B46" s="324" t="e">
        <f t="shared" si="16"/>
        <v>#VALUE!</v>
      </c>
      <c r="C46" s="324" t="e">
        <f>C8</f>
        <v>#VALUE!</v>
      </c>
      <c r="D46" s="326" t="e">
        <f>IF(B46=C46,1,0)</f>
        <v>#VALUE!</v>
      </c>
      <c r="E46" s="324">
        <v>3</v>
      </c>
      <c r="F46" s="342" t="e">
        <f t="shared" si="17"/>
        <v>#VALUE!</v>
      </c>
      <c r="G46" s="324" t="e">
        <f t="shared" si="17"/>
        <v>#VALUE!</v>
      </c>
      <c r="H46" s="324" t="e">
        <f t="shared" si="17"/>
        <v>#VALUE!</v>
      </c>
      <c r="V46" s="337" t="s">
        <v>2069</v>
      </c>
      <c r="W46" s="340" t="e">
        <f t="shared" ref="W46:W48" si="18">VLOOKUP($A46,$A$81:$AF$515,W$73,FALSE)</f>
        <v>#VALUE!</v>
      </c>
      <c r="AA46" s="328"/>
      <c r="AB46" s="328"/>
    </row>
    <row r="47" spans="1:29" s="324" customFormat="1" ht="0.65" hidden="1" customHeight="1">
      <c r="A47" s="324" t="e">
        <f t="shared" si="3"/>
        <v>#VALUE!</v>
      </c>
      <c r="D47" s="326"/>
      <c r="E47" s="324">
        <v>4</v>
      </c>
      <c r="F47" s="329" t="e">
        <f t="shared" si="17"/>
        <v>#VALUE!</v>
      </c>
      <c r="G47" s="324" t="e">
        <f t="shared" si="17"/>
        <v>#VALUE!</v>
      </c>
      <c r="H47" s="324" t="e">
        <f t="shared" si="17"/>
        <v>#VALUE!</v>
      </c>
      <c r="V47" s="337" t="s">
        <v>2070</v>
      </c>
      <c r="W47" s="340" t="e">
        <f t="shared" si="18"/>
        <v>#VALUE!</v>
      </c>
      <c r="AA47" s="328"/>
      <c r="AB47" s="328"/>
    </row>
    <row r="48" spans="1:29" s="324" customFormat="1" ht="0.65" hidden="1" customHeight="1">
      <c r="A48" s="324" t="e">
        <f t="shared" si="3"/>
        <v>#VALUE!</v>
      </c>
      <c r="B48" s="324" t="e">
        <f t="shared" ref="B48:B49" si="19">VLOOKUP($A48,$A$81:$AF$515,B$73,FALSE)</f>
        <v>#VALUE!</v>
      </c>
      <c r="C48" s="324" t="e">
        <f>C10</f>
        <v>#VALUE!</v>
      </c>
      <c r="D48" s="326" t="e">
        <f>IF(B48=C48,1,0)</f>
        <v>#VALUE!</v>
      </c>
      <c r="E48" s="324">
        <v>5</v>
      </c>
      <c r="F48" s="329" t="e">
        <f t="shared" si="17"/>
        <v>#VALUE!</v>
      </c>
      <c r="G48" s="324" t="e">
        <f t="shared" si="17"/>
        <v>#VALUE!</v>
      </c>
      <c r="H48" s="324" t="e">
        <f t="shared" si="17"/>
        <v>#VALUE!</v>
      </c>
      <c r="V48" s="337" t="s">
        <v>2071</v>
      </c>
      <c r="W48" s="340" t="e">
        <f t="shared" si="18"/>
        <v>#VALUE!</v>
      </c>
    </row>
    <row r="49" spans="1:28" s="324" customFormat="1" ht="0.65" hidden="1" customHeight="1">
      <c r="A49" s="324" t="e">
        <f t="shared" si="3"/>
        <v>#VALUE!</v>
      </c>
      <c r="B49" s="324" t="e">
        <f t="shared" si="19"/>
        <v>#VALUE!</v>
      </c>
      <c r="C49" s="324" t="e">
        <f>C11</f>
        <v>#VALUE!</v>
      </c>
      <c r="D49" s="326" t="e">
        <f>IF(B49=C49,1,0)</f>
        <v>#VALUE!</v>
      </c>
      <c r="E49" s="324">
        <v>6</v>
      </c>
      <c r="F49" s="329" t="e">
        <f t="shared" si="17"/>
        <v>#VALUE!</v>
      </c>
      <c r="G49" s="324" t="e">
        <f t="shared" si="17"/>
        <v>#VALUE!</v>
      </c>
      <c r="H49" s="324" t="e">
        <f t="shared" si="17"/>
        <v>#VALUE!</v>
      </c>
      <c r="Z49" s="328"/>
    </row>
    <row r="50" spans="1:28" s="324" customFormat="1" ht="0.65" hidden="1" customHeight="1">
      <c r="A50" s="324" t="e">
        <f t="shared" si="3"/>
        <v>#VALUE!</v>
      </c>
      <c r="D50" s="326"/>
      <c r="E50" s="324">
        <v>7</v>
      </c>
      <c r="F50" s="342" t="e">
        <f t="shared" si="17"/>
        <v>#VALUE!</v>
      </c>
      <c r="G50" s="324" t="e">
        <f t="shared" si="17"/>
        <v>#VALUE!</v>
      </c>
      <c r="H50" s="324" t="e">
        <f t="shared" si="17"/>
        <v>#VALUE!</v>
      </c>
      <c r="V50" s="324" t="s">
        <v>27</v>
      </c>
    </row>
    <row r="51" spans="1:28" s="324" customFormat="1" ht="0.65" hidden="1" customHeight="1">
      <c r="A51" s="324" t="e">
        <f t="shared" si="3"/>
        <v>#VALUE!</v>
      </c>
      <c r="B51" s="324" t="e">
        <f t="shared" ref="B51:B52" si="20">VLOOKUP($A51,$A$81:$AF$515,B$73,FALSE)</f>
        <v>#VALUE!</v>
      </c>
      <c r="C51" s="324" t="e">
        <f>C13</f>
        <v>#VALUE!</v>
      </c>
      <c r="D51" s="326" t="e">
        <f>IF(B51=C51,1,0)</f>
        <v>#VALUE!</v>
      </c>
      <c r="E51" s="324">
        <v>8</v>
      </c>
      <c r="F51" s="342" t="e">
        <f t="shared" si="17"/>
        <v>#VALUE!</v>
      </c>
      <c r="G51" s="324" t="e">
        <f t="shared" si="17"/>
        <v>#VALUE!</v>
      </c>
      <c r="H51" s="324" t="e">
        <f t="shared" si="17"/>
        <v>#VALUE!</v>
      </c>
    </row>
    <row r="52" spans="1:28" s="324" customFormat="1" ht="0.65" hidden="1" customHeight="1">
      <c r="A52" s="324" t="e">
        <f t="shared" si="3"/>
        <v>#VALUE!</v>
      </c>
      <c r="B52" s="324" t="e">
        <f t="shared" si="20"/>
        <v>#VALUE!</v>
      </c>
      <c r="C52" s="324" t="e">
        <f>C14</f>
        <v>#VALUE!</v>
      </c>
      <c r="D52" s="326" t="e">
        <f>IF(B52=C52,1,0)</f>
        <v>#VALUE!</v>
      </c>
      <c r="E52" s="324">
        <v>9</v>
      </c>
      <c r="F52" s="342" t="e">
        <f t="shared" si="17"/>
        <v>#VALUE!</v>
      </c>
      <c r="G52" s="324" t="e">
        <f t="shared" si="17"/>
        <v>#VALUE!</v>
      </c>
      <c r="H52" s="324" t="e">
        <f t="shared" si="17"/>
        <v>#VALUE!</v>
      </c>
      <c r="V52" s="328" t="s">
        <v>13</v>
      </c>
      <c r="W52" s="327" t="e">
        <f t="shared" ref="W52:X55" si="21">VLOOKUP($A52,$A$81:$AF$515,W$73,FALSE)</f>
        <v>#VALUE!</v>
      </c>
      <c r="X52" s="324" t="e">
        <f t="shared" si="21"/>
        <v>#VALUE!</v>
      </c>
      <c r="Z52" s="328"/>
    </row>
    <row r="53" spans="1:28" s="324" customFormat="1" ht="0.65" hidden="1" customHeight="1">
      <c r="A53" s="324" t="e">
        <f t="shared" si="3"/>
        <v>#VALUE!</v>
      </c>
      <c r="D53" s="326"/>
      <c r="E53" s="324">
        <v>10</v>
      </c>
      <c r="F53" s="342" t="e">
        <f t="shared" si="17"/>
        <v>#VALUE!</v>
      </c>
      <c r="G53" s="324" t="e">
        <f t="shared" si="17"/>
        <v>#VALUE!</v>
      </c>
      <c r="H53" s="324" t="e">
        <f t="shared" si="17"/>
        <v>#VALUE!</v>
      </c>
      <c r="V53" s="324" t="s">
        <v>28</v>
      </c>
      <c r="W53" s="340" t="e">
        <f t="shared" si="21"/>
        <v>#VALUE!</v>
      </c>
      <c r="X53" s="324" t="e">
        <f t="shared" si="21"/>
        <v>#VALUE!</v>
      </c>
      <c r="Z53" s="328"/>
    </row>
    <row r="54" spans="1:28" s="324" customFormat="1" ht="0.65" hidden="1" customHeight="1">
      <c r="A54" s="324" t="e">
        <f t="shared" si="3"/>
        <v>#VALUE!</v>
      </c>
      <c r="D54" s="326"/>
      <c r="E54" s="324">
        <v>11</v>
      </c>
      <c r="F54" s="342" t="e">
        <f t="shared" si="17"/>
        <v>#VALUE!</v>
      </c>
      <c r="G54" s="324" t="e">
        <f t="shared" si="17"/>
        <v>#VALUE!</v>
      </c>
      <c r="H54" s="324" t="e">
        <f t="shared" si="17"/>
        <v>#VALUE!</v>
      </c>
      <c r="V54" s="324" t="s">
        <v>29</v>
      </c>
      <c r="W54" s="341" t="e">
        <f t="shared" si="21"/>
        <v>#VALUE!</v>
      </c>
      <c r="X54" s="324" t="e">
        <f t="shared" si="21"/>
        <v>#VALUE!</v>
      </c>
      <c r="Z54" s="328"/>
    </row>
    <row r="55" spans="1:28" s="324" customFormat="1" ht="0.65" hidden="1" customHeight="1">
      <c r="A55" s="324" t="e">
        <f t="shared" si="3"/>
        <v>#VALUE!</v>
      </c>
      <c r="B55" s="324" t="e">
        <f t="shared" ref="B55:B58" si="22">VLOOKUP($A55,$A$81:$AF$515,B$73,FALSE)</f>
        <v>#VALUE!</v>
      </c>
      <c r="C55" s="324" t="e">
        <f>C17</f>
        <v>#VALUE!</v>
      </c>
      <c r="D55" s="326" t="e">
        <f>IF(B55=C55,1,0)</f>
        <v>#VALUE!</v>
      </c>
      <c r="E55" s="324">
        <v>12</v>
      </c>
      <c r="F55" s="342" t="e">
        <f t="shared" si="17"/>
        <v>#VALUE!</v>
      </c>
      <c r="G55" s="324" t="e">
        <f t="shared" si="17"/>
        <v>#VALUE!</v>
      </c>
      <c r="H55" s="324" t="e">
        <f t="shared" si="17"/>
        <v>#VALUE!</v>
      </c>
      <c r="V55" s="324" t="s">
        <v>30</v>
      </c>
      <c r="W55" s="326" t="e">
        <f t="shared" si="21"/>
        <v>#VALUE!</v>
      </c>
      <c r="X55" s="328" t="e">
        <f t="shared" si="21"/>
        <v>#VALUE!</v>
      </c>
      <c r="Y55" s="328"/>
      <c r="Z55" s="328"/>
      <c r="AA55" s="328"/>
      <c r="AB55" s="328"/>
    </row>
    <row r="56" spans="1:28" s="324" customFormat="1" ht="0.65" hidden="1" customHeight="1">
      <c r="A56" s="324" t="e">
        <f t="shared" si="3"/>
        <v>#VALUE!</v>
      </c>
      <c r="B56" s="324" t="e">
        <f t="shared" si="22"/>
        <v>#VALUE!</v>
      </c>
      <c r="C56" s="324" t="e">
        <f>C18</f>
        <v>#VALUE!</v>
      </c>
      <c r="D56" s="326" t="e">
        <f>IF(B56=C56,1,0)</f>
        <v>#VALUE!</v>
      </c>
      <c r="E56" s="324">
        <v>13</v>
      </c>
      <c r="F56" s="342" t="e">
        <f t="shared" si="17"/>
        <v>#VALUE!</v>
      </c>
      <c r="G56" s="324" t="e">
        <f t="shared" si="17"/>
        <v>#VALUE!</v>
      </c>
      <c r="H56" s="324" t="e">
        <f t="shared" si="17"/>
        <v>#VALUE!</v>
      </c>
    </row>
    <row r="57" spans="1:28" s="324" customFormat="1" ht="0.65" hidden="1" customHeight="1">
      <c r="A57" s="324" t="e">
        <f t="shared" si="3"/>
        <v>#VALUE!</v>
      </c>
      <c r="B57" s="324" t="e">
        <f t="shared" si="22"/>
        <v>#VALUE!</v>
      </c>
      <c r="C57" s="324" t="e">
        <f>C19</f>
        <v>#VALUE!</v>
      </c>
      <c r="D57" s="326" t="e">
        <f>IF(B57=C57,1,0)</f>
        <v>#VALUE!</v>
      </c>
      <c r="E57" s="324">
        <v>14</v>
      </c>
      <c r="F57" s="342" t="e">
        <f t="shared" si="17"/>
        <v>#VALUE!</v>
      </c>
      <c r="G57" s="324" t="e">
        <f t="shared" si="17"/>
        <v>#VALUE!</v>
      </c>
      <c r="H57" s="324" t="e">
        <f t="shared" si="17"/>
        <v>#VALUE!</v>
      </c>
    </row>
    <row r="58" spans="1:28" s="324" customFormat="1" ht="0.65" hidden="1" customHeight="1">
      <c r="A58" s="324" t="e">
        <f t="shared" si="3"/>
        <v>#VALUE!</v>
      </c>
      <c r="B58" s="324" t="e">
        <f t="shared" si="22"/>
        <v>#VALUE!</v>
      </c>
      <c r="C58" s="324" t="e">
        <f>C20</f>
        <v>#VALUE!</v>
      </c>
      <c r="D58" s="326" t="e">
        <f>IF(B58=C58,1,0)</f>
        <v>#VALUE!</v>
      </c>
      <c r="E58" s="324">
        <v>15</v>
      </c>
      <c r="F58" s="342" t="e">
        <f t="shared" si="17"/>
        <v>#VALUE!</v>
      </c>
      <c r="G58" s="324" t="e">
        <f t="shared" si="17"/>
        <v>#VALUE!</v>
      </c>
      <c r="H58" s="324" t="e">
        <f t="shared" si="17"/>
        <v>#VALUE!</v>
      </c>
    </row>
    <row r="59" spans="1:28" s="324" customFormat="1" ht="0.65" hidden="1" customHeight="1">
      <c r="A59" s="324" t="e">
        <f t="shared" si="3"/>
        <v>#VALUE!</v>
      </c>
      <c r="D59" s="326"/>
      <c r="E59" s="324">
        <v>16</v>
      </c>
      <c r="F59" s="342" t="e">
        <f t="shared" si="17"/>
        <v>#VALUE!</v>
      </c>
      <c r="G59" s="324" t="e">
        <f t="shared" si="17"/>
        <v>#VALUE!</v>
      </c>
      <c r="H59" s="324" t="e">
        <f t="shared" si="17"/>
        <v>#VALUE!</v>
      </c>
    </row>
    <row r="60" spans="1:28" s="324" customFormat="1" ht="0.65" hidden="1" customHeight="1">
      <c r="A60" s="324" t="e">
        <f t="shared" si="3"/>
        <v>#VALUE!</v>
      </c>
      <c r="B60" s="324" t="e">
        <f t="shared" ref="B60" si="23">VLOOKUP($A60,$A$81:$AF$515,B$73,FALSE)</f>
        <v>#VALUE!</v>
      </c>
      <c r="C60" s="324" t="e">
        <f>C22</f>
        <v>#VALUE!</v>
      </c>
      <c r="D60" s="326" t="e">
        <f>IF(B60=C60,1,0)</f>
        <v>#VALUE!</v>
      </c>
      <c r="E60" s="324">
        <v>17</v>
      </c>
      <c r="F60" s="342" t="e">
        <f t="shared" si="17"/>
        <v>#VALUE!</v>
      </c>
      <c r="G60" s="324" t="e">
        <f t="shared" si="17"/>
        <v>#VALUE!</v>
      </c>
      <c r="H60" s="324" t="e">
        <f t="shared" si="17"/>
        <v>#VALUE!</v>
      </c>
    </row>
    <row r="61" spans="1:28" s="324" customFormat="1" ht="0.65" hidden="1" customHeight="1">
      <c r="A61" s="324" t="e">
        <f t="shared" si="3"/>
        <v>#VALUE!</v>
      </c>
      <c r="D61" s="326"/>
      <c r="E61" s="324">
        <v>18</v>
      </c>
      <c r="F61" s="342" t="e">
        <f t="shared" si="17"/>
        <v>#VALUE!</v>
      </c>
      <c r="G61" s="324" t="e">
        <f t="shared" si="17"/>
        <v>#VALUE!</v>
      </c>
      <c r="H61" s="324" t="e">
        <f t="shared" si="17"/>
        <v>#VALUE!</v>
      </c>
    </row>
    <row r="62" spans="1:28" s="324" customFormat="1" ht="0.65" hidden="1" customHeight="1">
      <c r="A62" s="324" t="e">
        <f t="shared" si="3"/>
        <v>#VALUE!</v>
      </c>
      <c r="D62" s="326"/>
      <c r="E62" s="324">
        <v>19</v>
      </c>
      <c r="F62" s="342" t="e">
        <f t="shared" si="17"/>
        <v>#VALUE!</v>
      </c>
      <c r="G62" s="324" t="e">
        <f t="shared" si="17"/>
        <v>#VALUE!</v>
      </c>
      <c r="H62" s="324" t="e">
        <f t="shared" si="17"/>
        <v>#VALUE!</v>
      </c>
    </row>
    <row r="63" spans="1:28" s="324" customFormat="1" ht="0.65" hidden="1" customHeight="1">
      <c r="A63" s="324" t="e">
        <f t="shared" si="3"/>
        <v>#VALUE!</v>
      </c>
      <c r="B63" s="324" t="e">
        <f t="shared" ref="B63:B67" si="24">VLOOKUP($A63,$A$81:$AF$515,B$73,FALSE)</f>
        <v>#VALUE!</v>
      </c>
      <c r="C63" s="324" t="e">
        <f>C25</f>
        <v>#VALUE!</v>
      </c>
      <c r="D63" s="326" t="e">
        <f>IF(B63=C63,1,0)</f>
        <v>#VALUE!</v>
      </c>
      <c r="E63" s="324">
        <v>20</v>
      </c>
      <c r="F63" s="342" t="e">
        <f t="shared" si="17"/>
        <v>#VALUE!</v>
      </c>
      <c r="G63" s="324" t="e">
        <f t="shared" si="17"/>
        <v>#VALUE!</v>
      </c>
      <c r="H63" s="324" t="e">
        <f t="shared" si="17"/>
        <v>#VALUE!</v>
      </c>
    </row>
    <row r="64" spans="1:28" s="324" customFormat="1" ht="0.65" hidden="1" customHeight="1">
      <c r="A64" s="324" t="e">
        <f t="shared" si="3"/>
        <v>#VALUE!</v>
      </c>
      <c r="B64" s="324" t="e">
        <f t="shared" si="24"/>
        <v>#VALUE!</v>
      </c>
      <c r="C64" s="324" t="e">
        <f>C26</f>
        <v>#VALUE!</v>
      </c>
      <c r="D64" s="326" t="e">
        <f>IF(B64=C64,1,0)</f>
        <v>#VALUE!</v>
      </c>
      <c r="E64" s="324">
        <v>21</v>
      </c>
      <c r="F64" s="342" t="e">
        <f t="shared" si="17"/>
        <v>#VALUE!</v>
      </c>
      <c r="G64" s="324" t="e">
        <f t="shared" si="17"/>
        <v>#VALUE!</v>
      </c>
      <c r="H64" s="324" t="e">
        <f t="shared" si="17"/>
        <v>#VALUE!</v>
      </c>
    </row>
    <row r="65" spans="1:32" s="324" customFormat="1" ht="0.65" hidden="1" customHeight="1">
      <c r="A65" s="324" t="e">
        <f t="shared" si="3"/>
        <v>#VALUE!</v>
      </c>
      <c r="B65" s="324" t="e">
        <f t="shared" si="24"/>
        <v>#VALUE!</v>
      </c>
      <c r="C65" s="324" t="e">
        <f>C27</f>
        <v>#VALUE!</v>
      </c>
      <c r="D65" s="326" t="e">
        <f>IF(B65=C65,1,0)</f>
        <v>#VALUE!</v>
      </c>
      <c r="E65" s="324">
        <v>22</v>
      </c>
      <c r="F65" s="342" t="e">
        <f t="shared" si="17"/>
        <v>#VALUE!</v>
      </c>
      <c r="G65" s="324" t="e">
        <f t="shared" si="17"/>
        <v>#VALUE!</v>
      </c>
      <c r="H65" s="324" t="e">
        <f t="shared" si="17"/>
        <v>#VALUE!</v>
      </c>
    </row>
    <row r="66" spans="1:32" s="324" customFormat="1" ht="0.65" hidden="1" customHeight="1">
      <c r="A66" s="324" t="e">
        <f t="shared" si="3"/>
        <v>#VALUE!</v>
      </c>
      <c r="B66" s="324" t="e">
        <f t="shared" si="24"/>
        <v>#VALUE!</v>
      </c>
      <c r="C66" s="324" t="e">
        <f>C28</f>
        <v>#VALUE!</v>
      </c>
      <c r="D66" s="326" t="e">
        <f>IF(B66=C66,1,0)</f>
        <v>#VALUE!</v>
      </c>
      <c r="E66" s="324">
        <v>23</v>
      </c>
      <c r="F66" s="342" t="e">
        <f t="shared" si="17"/>
        <v>#VALUE!</v>
      </c>
      <c r="G66" s="324" t="e">
        <f t="shared" si="17"/>
        <v>#VALUE!</v>
      </c>
      <c r="H66" s="324" t="e">
        <f t="shared" si="17"/>
        <v>#VALUE!</v>
      </c>
    </row>
    <row r="67" spans="1:32" s="324" customFormat="1" ht="0.65" hidden="1" customHeight="1">
      <c r="A67" s="324" t="e">
        <f t="shared" si="3"/>
        <v>#VALUE!</v>
      </c>
      <c r="B67" s="324" t="e">
        <f t="shared" si="24"/>
        <v>#VALUE!</v>
      </c>
      <c r="C67" s="324" t="e">
        <f>C29</f>
        <v>#VALUE!</v>
      </c>
      <c r="D67" s="326" t="e">
        <f>IF(B67=C67,1,0)</f>
        <v>#VALUE!</v>
      </c>
      <c r="E67" s="324">
        <v>24</v>
      </c>
      <c r="F67" s="342" t="e">
        <f t="shared" si="17"/>
        <v>#VALUE!</v>
      </c>
      <c r="G67" s="324" t="e">
        <f t="shared" si="17"/>
        <v>#VALUE!</v>
      </c>
      <c r="H67" s="324" t="e">
        <f t="shared" si="17"/>
        <v>#VALUE!</v>
      </c>
    </row>
    <row r="68" spans="1:32" s="324" customFormat="1" ht="0.65" hidden="1" customHeight="1">
      <c r="A68" s="324" t="e">
        <f t="shared" si="3"/>
        <v>#VALUE!</v>
      </c>
      <c r="C68" s="330" t="s">
        <v>422</v>
      </c>
      <c r="D68" s="326" t="e">
        <f>SUM(D44:D67)</f>
        <v>#VALUE!</v>
      </c>
      <c r="E68" s="324">
        <v>25</v>
      </c>
      <c r="F68" s="342" t="e">
        <f t="shared" si="17"/>
        <v>#VALUE!</v>
      </c>
      <c r="G68" s="324" t="e">
        <f t="shared" si="17"/>
        <v>#VALUE!</v>
      </c>
      <c r="H68" s="324" t="e">
        <f t="shared" si="17"/>
        <v>#VALUE!</v>
      </c>
    </row>
    <row r="69" spans="1:32" s="324" customFormat="1" ht="0.65" hidden="1" customHeight="1">
      <c r="A69" s="324" t="e">
        <f t="shared" ref="A69:A70" si="25">1+A68</f>
        <v>#VALUE!</v>
      </c>
      <c r="C69" s="330" t="s">
        <v>423</v>
      </c>
      <c r="D69" s="326" t="str">
        <f>IF(D1="","NO",IF(D68=17,"NO","SI"))</f>
        <v>NO</v>
      </c>
      <c r="E69" s="324">
        <v>26</v>
      </c>
      <c r="F69" s="342" t="e">
        <f t="shared" si="17"/>
        <v>#VALUE!</v>
      </c>
      <c r="G69" s="324" t="e">
        <f t="shared" si="17"/>
        <v>#VALUE!</v>
      </c>
      <c r="H69" s="324" t="e">
        <f t="shared" si="17"/>
        <v>#VALUE!</v>
      </c>
    </row>
    <row r="70" spans="1:32" s="324" customFormat="1" ht="0.65" hidden="1" customHeight="1">
      <c r="A70" s="324" t="e">
        <f t="shared" si="25"/>
        <v>#VALUE!</v>
      </c>
      <c r="D70" s="326"/>
      <c r="F70" s="357" t="e">
        <f t="shared" ref="F70" si="26">VLOOKUP($A70,$A$81:$AF$515,F$73,FALSE)</f>
        <v>#VALUE!</v>
      </c>
    </row>
    <row r="71" spans="1:32" s="324" customFormat="1" ht="0.65" hidden="1" customHeight="1">
      <c r="D71" s="326"/>
    </row>
    <row r="72" spans="1:32" s="324" customFormat="1" ht="0.65" hidden="1" customHeight="1">
      <c r="D72" s="326"/>
    </row>
    <row r="73" spans="1:32" s="324" customFormat="1" ht="0.65" hidden="1" customHeight="1">
      <c r="B73" s="326">
        <v>2</v>
      </c>
      <c r="C73" s="326">
        <f>1+B73</f>
        <v>3</v>
      </c>
      <c r="D73" s="326">
        <f t="shared" ref="D73:AF73" si="27">1+C73</f>
        <v>4</v>
      </c>
      <c r="E73" s="326">
        <f t="shared" si="27"/>
        <v>5</v>
      </c>
      <c r="F73" s="326">
        <f t="shared" si="27"/>
        <v>6</v>
      </c>
      <c r="G73" s="326">
        <f t="shared" si="27"/>
        <v>7</v>
      </c>
      <c r="H73" s="326">
        <f t="shared" si="27"/>
        <v>8</v>
      </c>
      <c r="I73" s="326">
        <f t="shared" si="27"/>
        <v>9</v>
      </c>
      <c r="J73" s="326">
        <f t="shared" si="27"/>
        <v>10</v>
      </c>
      <c r="K73" s="326">
        <f t="shared" si="27"/>
        <v>11</v>
      </c>
      <c r="L73" s="326">
        <f t="shared" si="27"/>
        <v>12</v>
      </c>
      <c r="M73" s="326">
        <f t="shared" si="27"/>
        <v>13</v>
      </c>
      <c r="N73" s="326">
        <f t="shared" si="27"/>
        <v>14</v>
      </c>
      <c r="O73" s="326">
        <f t="shared" si="27"/>
        <v>15</v>
      </c>
      <c r="P73" s="326">
        <f t="shared" si="27"/>
        <v>16</v>
      </c>
      <c r="Q73" s="326">
        <f t="shared" si="27"/>
        <v>17</v>
      </c>
      <c r="R73" s="326">
        <f t="shared" si="27"/>
        <v>18</v>
      </c>
      <c r="S73" s="326">
        <f t="shared" si="27"/>
        <v>19</v>
      </c>
      <c r="T73" s="326">
        <f t="shared" si="27"/>
        <v>20</v>
      </c>
      <c r="U73" s="326">
        <f t="shared" si="27"/>
        <v>21</v>
      </c>
      <c r="V73" s="326">
        <f t="shared" si="27"/>
        <v>22</v>
      </c>
      <c r="W73" s="326">
        <f t="shared" si="27"/>
        <v>23</v>
      </c>
      <c r="X73" s="326">
        <f t="shared" si="27"/>
        <v>24</v>
      </c>
      <c r="Y73" s="326">
        <f t="shared" si="27"/>
        <v>25</v>
      </c>
      <c r="Z73" s="326">
        <f t="shared" si="27"/>
        <v>26</v>
      </c>
      <c r="AA73" s="326">
        <f t="shared" si="27"/>
        <v>27</v>
      </c>
      <c r="AB73" s="326">
        <f t="shared" si="27"/>
        <v>28</v>
      </c>
      <c r="AC73" s="326">
        <f t="shared" si="27"/>
        <v>29</v>
      </c>
      <c r="AD73" s="326">
        <f t="shared" si="27"/>
        <v>30</v>
      </c>
      <c r="AE73" s="326">
        <f t="shared" si="27"/>
        <v>31</v>
      </c>
      <c r="AF73" s="326">
        <f t="shared" si="27"/>
        <v>32</v>
      </c>
    </row>
    <row r="74" spans="1:32" s="324" customFormat="1" ht="0.65" hidden="1" customHeight="1">
      <c r="D74" s="326"/>
    </row>
    <row r="75" spans="1:32" s="324" customFormat="1" ht="0.65" hidden="1" customHeight="1">
      <c r="D75" s="326"/>
    </row>
    <row r="76" spans="1:32" s="324" customFormat="1" ht="0.65" hidden="1" customHeight="1">
      <c r="D76" s="326"/>
    </row>
    <row r="77" spans="1:32" s="324" customFormat="1" ht="0.65" hidden="1" customHeight="1"/>
    <row r="78" spans="1:32" s="324" customFormat="1" ht="0.65" hidden="1" customHeight="1"/>
    <row r="79" spans="1:32" s="324" customFormat="1" ht="0.65" hidden="1" customHeight="1"/>
    <row r="80" spans="1:32" s="324" customFormat="1" ht="0.65" hidden="1" customHeight="1"/>
    <row r="81" spans="1:29" s="324" customFormat="1" ht="0.65" hidden="1" customHeight="1">
      <c r="A81" s="324" t="s">
        <v>19</v>
      </c>
      <c r="C81" s="324" t="s">
        <v>336</v>
      </c>
      <c r="D81" s="324">
        <v>1</v>
      </c>
      <c r="E81" s="324" t="s">
        <v>187</v>
      </c>
      <c r="F81" s="324" t="s">
        <v>327</v>
      </c>
      <c r="N81" s="324" t="s">
        <v>320</v>
      </c>
      <c r="Q81" s="324" t="s">
        <v>325</v>
      </c>
      <c r="V81" s="324" t="s">
        <v>24</v>
      </c>
    </row>
    <row r="82" spans="1:29" s="324" customFormat="1" ht="0.65" hidden="1" customHeight="1">
      <c r="C82" s="324" t="s">
        <v>336</v>
      </c>
      <c r="D82" s="324" t="s">
        <v>486</v>
      </c>
      <c r="F82" s="324" t="s">
        <v>3951</v>
      </c>
    </row>
    <row r="83" spans="1:29" s="324" customFormat="1" ht="0.65" hidden="1" customHeight="1">
      <c r="A83" s="324">
        <v>1001</v>
      </c>
      <c r="B83" s="324" t="s">
        <v>5</v>
      </c>
      <c r="C83" s="324">
        <v>2022</v>
      </c>
      <c r="E83" s="324">
        <v>1</v>
      </c>
      <c r="F83" s="324" t="s">
        <v>292</v>
      </c>
      <c r="N83" s="324">
        <v>1000000</v>
      </c>
      <c r="O83" s="324" t="s">
        <v>55</v>
      </c>
      <c r="Q83" s="324" t="s">
        <v>800</v>
      </c>
      <c r="V83" s="324" t="s">
        <v>490</v>
      </c>
      <c r="W83" s="324">
        <v>825000</v>
      </c>
    </row>
    <row r="84" spans="1:29" s="324" customFormat="1" ht="0.65" hidden="1" customHeight="1">
      <c r="A84" s="324">
        <v>1002</v>
      </c>
      <c r="E84" s="324">
        <v>2</v>
      </c>
      <c r="F84" s="324" t="s">
        <v>313</v>
      </c>
      <c r="N84" s="324">
        <v>200000</v>
      </c>
      <c r="O84" s="324" t="s">
        <v>55</v>
      </c>
      <c r="Q84" s="324" t="s">
        <v>800</v>
      </c>
    </row>
    <row r="85" spans="1:29" s="324" customFormat="1" ht="0.65" hidden="1" customHeight="1">
      <c r="A85" s="324">
        <v>1003</v>
      </c>
      <c r="B85" s="324" t="s">
        <v>32</v>
      </c>
      <c r="E85" s="324">
        <v>3</v>
      </c>
      <c r="F85" s="324" t="s">
        <v>314</v>
      </c>
      <c r="N85" s="324">
        <v>175000</v>
      </c>
      <c r="O85" s="324" t="s">
        <v>55</v>
      </c>
      <c r="P85" s="324" t="s">
        <v>55</v>
      </c>
      <c r="Q85" s="324" t="s">
        <v>800</v>
      </c>
      <c r="V85" s="324" t="s">
        <v>21</v>
      </c>
    </row>
    <row r="86" spans="1:29" s="324" customFormat="1" ht="0.65" hidden="1" customHeight="1">
      <c r="A86" s="324">
        <v>1004</v>
      </c>
      <c r="B86" s="324" t="s">
        <v>488</v>
      </c>
      <c r="C86" s="324">
        <v>1000000</v>
      </c>
      <c r="E86" s="324">
        <v>4</v>
      </c>
      <c r="F86" s="324" t="s">
        <v>293</v>
      </c>
      <c r="N86" s="324">
        <v>3.7499999999999999E-2</v>
      </c>
      <c r="O86" s="324" t="s">
        <v>55</v>
      </c>
      <c r="Q86" s="324" t="s">
        <v>800</v>
      </c>
    </row>
    <row r="87" spans="1:29" s="324" customFormat="1" ht="0.65" hidden="1" customHeight="1">
      <c r="A87" s="324">
        <v>1005</v>
      </c>
      <c r="B87" s="324" t="s">
        <v>6</v>
      </c>
      <c r="C87" s="324">
        <v>10</v>
      </c>
      <c r="E87" s="324">
        <v>5</v>
      </c>
      <c r="F87" s="324" t="s">
        <v>294</v>
      </c>
      <c r="N87" s="324">
        <v>8.249999999999999E-2</v>
      </c>
      <c r="O87" s="324" t="s">
        <v>55</v>
      </c>
      <c r="Q87" s="324" t="s">
        <v>800</v>
      </c>
    </row>
    <row r="88" spans="1:29" s="324" customFormat="1" ht="0.65" hidden="1" customHeight="1">
      <c r="A88" s="324">
        <v>1006</v>
      </c>
      <c r="B88" s="324" t="s">
        <v>489</v>
      </c>
      <c r="C88" s="324">
        <v>400000</v>
      </c>
      <c r="E88" s="324">
        <v>6</v>
      </c>
      <c r="F88" s="324" t="s">
        <v>295</v>
      </c>
      <c r="N88" s="324">
        <v>5.9999999999999991E-2</v>
      </c>
      <c r="O88" s="324" t="s">
        <v>55</v>
      </c>
      <c r="Q88" s="324" t="s">
        <v>800</v>
      </c>
      <c r="V88" s="324" t="s">
        <v>0</v>
      </c>
      <c r="W88" s="324" t="s">
        <v>69</v>
      </c>
      <c r="X88" s="324" t="s">
        <v>70</v>
      </c>
      <c r="Y88" s="324" t="s">
        <v>71</v>
      </c>
      <c r="Z88" s="324" t="s">
        <v>72</v>
      </c>
      <c r="AA88" s="324" t="s">
        <v>73</v>
      </c>
      <c r="AB88" s="324" t="s">
        <v>74</v>
      </c>
      <c r="AC88" s="324" t="s">
        <v>75</v>
      </c>
    </row>
    <row r="89" spans="1:29" s="324" customFormat="1" ht="0.65" hidden="1" customHeight="1">
      <c r="A89" s="324">
        <v>1007</v>
      </c>
      <c r="E89" s="324">
        <v>7</v>
      </c>
      <c r="F89" s="324" t="s">
        <v>311</v>
      </c>
      <c r="N89" s="324">
        <v>320761.43393539626</v>
      </c>
      <c r="O89" s="324" t="s">
        <v>55</v>
      </c>
      <c r="Q89" s="324" t="s">
        <v>800</v>
      </c>
      <c r="V89" s="324">
        <v>2023</v>
      </c>
      <c r="W89" s="324">
        <v>420000</v>
      </c>
      <c r="X89" s="324">
        <v>300000</v>
      </c>
      <c r="Y89" s="324">
        <v>50000</v>
      </c>
      <c r="Z89" s="324">
        <v>70000</v>
      </c>
      <c r="AA89" s="324">
        <v>17500</v>
      </c>
      <c r="AB89" s="324">
        <v>52500</v>
      </c>
      <c r="AC89" s="324">
        <v>102500</v>
      </c>
    </row>
    <row r="90" spans="1:29" s="324" customFormat="1" ht="0.65" hidden="1" customHeight="1">
      <c r="A90" s="324">
        <v>1008</v>
      </c>
      <c r="B90" s="324" t="s">
        <v>34</v>
      </c>
      <c r="C90" s="324">
        <v>420000</v>
      </c>
      <c r="E90" s="324">
        <v>8</v>
      </c>
      <c r="F90" s="324" t="s">
        <v>296</v>
      </c>
      <c r="N90" s="324">
        <v>80190.358483849064</v>
      </c>
      <c r="O90" s="324" t="s">
        <v>55</v>
      </c>
      <c r="Q90" s="324" t="s">
        <v>800</v>
      </c>
      <c r="V90" s="324">
        <v>2024</v>
      </c>
      <c r="W90" s="324">
        <v>420000</v>
      </c>
      <c r="X90" s="324">
        <v>300000</v>
      </c>
      <c r="Y90" s="324">
        <v>50000</v>
      </c>
      <c r="Z90" s="324">
        <v>70000</v>
      </c>
      <c r="AA90" s="324">
        <v>17500</v>
      </c>
      <c r="AB90" s="324">
        <v>52500</v>
      </c>
      <c r="AC90" s="324">
        <v>102500</v>
      </c>
    </row>
    <row r="91" spans="1:29" s="324" customFormat="1" ht="0.65" hidden="1" customHeight="1">
      <c r="A91" s="324">
        <v>1009</v>
      </c>
      <c r="B91" s="324" t="s">
        <v>35</v>
      </c>
      <c r="C91" s="324">
        <v>300000</v>
      </c>
      <c r="E91" s="324">
        <v>9</v>
      </c>
      <c r="F91" s="324" t="s">
        <v>298</v>
      </c>
      <c r="N91" s="324">
        <v>43907.890406174221</v>
      </c>
      <c r="O91" s="324" t="s">
        <v>55</v>
      </c>
      <c r="Q91" s="324" t="s">
        <v>800</v>
      </c>
      <c r="V91" s="324">
        <v>2025</v>
      </c>
      <c r="W91" s="324">
        <v>420000</v>
      </c>
      <c r="X91" s="324">
        <v>300000</v>
      </c>
      <c r="Y91" s="324">
        <v>100000</v>
      </c>
      <c r="Z91" s="324">
        <v>20000</v>
      </c>
      <c r="AA91" s="324">
        <v>5000</v>
      </c>
      <c r="AB91" s="324">
        <v>15000</v>
      </c>
      <c r="AC91" s="324">
        <v>115000</v>
      </c>
    </row>
    <row r="92" spans="1:29" s="324" customFormat="1" ht="0.65" hidden="1" customHeight="1">
      <c r="A92" s="324">
        <v>1010</v>
      </c>
      <c r="E92" s="324">
        <v>10</v>
      </c>
      <c r="F92" s="324" t="s">
        <v>297</v>
      </c>
      <c r="N92" s="324">
        <v>51886.792452830188</v>
      </c>
      <c r="O92" s="324" t="s">
        <v>55</v>
      </c>
      <c r="Q92" s="324" t="s">
        <v>800</v>
      </c>
    </row>
    <row r="93" spans="1:29" s="324" customFormat="1" ht="0.65" hidden="1" customHeight="1">
      <c r="A93" s="324">
        <v>1011</v>
      </c>
      <c r="B93" s="324" t="s">
        <v>7</v>
      </c>
      <c r="C93" s="324">
        <v>90</v>
      </c>
      <c r="E93" s="324">
        <v>11</v>
      </c>
      <c r="F93" s="324" t="s">
        <v>299</v>
      </c>
      <c r="N93" s="324">
        <v>400000</v>
      </c>
      <c r="O93" s="324" t="s">
        <v>55</v>
      </c>
      <c r="Q93" s="324" t="s">
        <v>800</v>
      </c>
      <c r="V93" s="324" t="s">
        <v>22</v>
      </c>
    </row>
    <row r="94" spans="1:29" s="324" customFormat="1" ht="0.65" hidden="1" customHeight="1">
      <c r="A94" s="324">
        <v>1012</v>
      </c>
      <c r="B94" s="324" t="s">
        <v>8</v>
      </c>
      <c r="C94" s="324">
        <v>60</v>
      </c>
      <c r="E94" s="324">
        <v>12</v>
      </c>
      <c r="F94" s="324" t="s">
        <v>300</v>
      </c>
      <c r="N94" s="324">
        <v>100000</v>
      </c>
      <c r="O94" s="324" t="s">
        <v>55</v>
      </c>
      <c r="Q94" s="324" t="s">
        <v>800</v>
      </c>
    </row>
    <row r="95" spans="1:29" s="324" customFormat="1" ht="0.65" hidden="1" customHeight="1">
      <c r="A95" s="324">
        <v>1013</v>
      </c>
      <c r="E95" s="324">
        <v>13</v>
      </c>
      <c r="F95" s="324" t="s">
        <v>301</v>
      </c>
      <c r="N95" s="324">
        <v>175000</v>
      </c>
      <c r="O95" s="324" t="s">
        <v>55</v>
      </c>
      <c r="Q95" s="324" t="s">
        <v>800</v>
      </c>
    </row>
    <row r="96" spans="1:29" s="324" customFormat="1" ht="0.65" hidden="1" customHeight="1">
      <c r="A96" s="324">
        <v>1014</v>
      </c>
      <c r="B96" s="324" t="s">
        <v>33</v>
      </c>
      <c r="E96" s="324">
        <v>14</v>
      </c>
      <c r="F96" s="324" t="s">
        <v>302</v>
      </c>
      <c r="N96" s="324">
        <v>475000</v>
      </c>
      <c r="O96" s="324" t="s">
        <v>55</v>
      </c>
      <c r="Q96" s="324" t="s">
        <v>800</v>
      </c>
      <c r="V96" s="324" t="s">
        <v>0</v>
      </c>
      <c r="W96" s="324" t="s">
        <v>76</v>
      </c>
      <c r="X96" s="324" t="s">
        <v>77</v>
      </c>
      <c r="Y96" s="324" t="s">
        <v>78</v>
      </c>
      <c r="Z96" s="324" t="s">
        <v>79</v>
      </c>
    </row>
    <row r="97" spans="1:29" s="324" customFormat="1" ht="0.65" hidden="1" customHeight="1">
      <c r="A97" s="324">
        <v>1015</v>
      </c>
      <c r="B97" s="324" t="s">
        <v>492</v>
      </c>
      <c r="C97" s="324">
        <v>200000</v>
      </c>
      <c r="E97" s="324">
        <v>15</v>
      </c>
      <c r="F97" s="324" t="s">
        <v>303</v>
      </c>
      <c r="N97" s="324">
        <v>100000</v>
      </c>
      <c r="O97" s="324" t="s">
        <v>55</v>
      </c>
      <c r="Q97" s="324" t="s">
        <v>800</v>
      </c>
      <c r="V97" s="324">
        <v>2022</v>
      </c>
      <c r="W97" s="324">
        <v>0</v>
      </c>
      <c r="X97" s="324">
        <v>0</v>
      </c>
      <c r="Y97" s="324">
        <v>0</v>
      </c>
      <c r="Z97" s="324">
        <v>0</v>
      </c>
    </row>
    <row r="98" spans="1:29" s="324" customFormat="1" ht="0.65" hidden="1" customHeight="1">
      <c r="A98" s="324">
        <v>1016</v>
      </c>
      <c r="B98" s="324" t="s">
        <v>495</v>
      </c>
      <c r="C98" s="324">
        <v>100000</v>
      </c>
      <c r="E98" s="324">
        <v>16</v>
      </c>
      <c r="F98" s="324" t="s">
        <v>304</v>
      </c>
      <c r="N98" s="324">
        <v>25000</v>
      </c>
      <c r="O98" s="324" t="s">
        <v>55</v>
      </c>
      <c r="Q98" s="324" t="s">
        <v>800</v>
      </c>
      <c r="V98" s="324">
        <v>2023</v>
      </c>
      <c r="W98" s="324">
        <v>105000</v>
      </c>
      <c r="X98" s="324">
        <v>50000</v>
      </c>
      <c r="Y98" s="324">
        <v>55000</v>
      </c>
      <c r="Z98" s="324">
        <v>55000</v>
      </c>
    </row>
    <row r="99" spans="1:29" s="324" customFormat="1" ht="0.65" hidden="1" customHeight="1">
      <c r="A99" s="324">
        <v>1017</v>
      </c>
      <c r="B99" s="324" t="s">
        <v>6</v>
      </c>
      <c r="C99" s="324">
        <v>2</v>
      </c>
      <c r="E99" s="324">
        <v>17</v>
      </c>
      <c r="F99" s="324" t="s">
        <v>305</v>
      </c>
      <c r="N99" s="324">
        <v>0</v>
      </c>
      <c r="O99" s="324" t="s">
        <v>55</v>
      </c>
      <c r="Q99" s="324" t="s">
        <v>800</v>
      </c>
      <c r="V99" s="324">
        <v>2024</v>
      </c>
      <c r="W99" s="324">
        <v>105000</v>
      </c>
      <c r="X99" s="324">
        <v>50000</v>
      </c>
      <c r="Y99" s="324">
        <v>55000</v>
      </c>
      <c r="Z99" s="324">
        <v>0</v>
      </c>
    </row>
    <row r="100" spans="1:29" s="324" customFormat="1" ht="0.65" hidden="1" customHeight="1">
      <c r="A100" s="324">
        <v>1018</v>
      </c>
      <c r="B100" s="324" t="s">
        <v>489</v>
      </c>
      <c r="C100" s="324">
        <v>100000</v>
      </c>
      <c r="E100" s="324">
        <v>18</v>
      </c>
      <c r="F100" s="324" t="s">
        <v>306</v>
      </c>
      <c r="N100" s="324">
        <v>75000</v>
      </c>
      <c r="O100" s="324" t="s">
        <v>55</v>
      </c>
      <c r="Q100" s="324" t="s">
        <v>800</v>
      </c>
      <c r="V100" s="324">
        <v>2025</v>
      </c>
      <c r="W100" s="324">
        <v>105000</v>
      </c>
      <c r="X100" s="324">
        <v>50000</v>
      </c>
      <c r="Y100" s="324">
        <v>55000</v>
      </c>
      <c r="Z100" s="324">
        <v>0</v>
      </c>
    </row>
    <row r="101" spans="1:29" s="324" customFormat="1" ht="0.65" hidden="1" customHeight="1">
      <c r="A101" s="324">
        <v>1019</v>
      </c>
      <c r="E101" s="324">
        <v>19</v>
      </c>
      <c r="F101" s="324" t="s">
        <v>307</v>
      </c>
      <c r="N101" s="324">
        <v>335847.71321292064</v>
      </c>
      <c r="O101" s="324" t="s">
        <v>55</v>
      </c>
      <c r="Q101" s="324" t="s">
        <v>800</v>
      </c>
    </row>
    <row r="102" spans="1:29" s="324" customFormat="1" ht="0.65" hidden="1" customHeight="1">
      <c r="A102" s="324">
        <v>1020</v>
      </c>
      <c r="B102" s="324" t="s">
        <v>4</v>
      </c>
      <c r="C102" s="324">
        <v>0.25</v>
      </c>
      <c r="E102" s="324">
        <v>20</v>
      </c>
      <c r="F102" s="324" t="s">
        <v>308</v>
      </c>
      <c r="N102" s="324">
        <v>55000</v>
      </c>
      <c r="O102" s="324" t="s">
        <v>55</v>
      </c>
      <c r="P102" s="324" t="s">
        <v>55</v>
      </c>
      <c r="Q102" s="324" t="s">
        <v>800</v>
      </c>
      <c r="V102" s="324" t="s">
        <v>23</v>
      </c>
    </row>
    <row r="103" spans="1:29" s="324" customFormat="1" ht="0.65" hidden="1" customHeight="1">
      <c r="A103" s="324">
        <v>1021</v>
      </c>
      <c r="C103" s="324" t="s">
        <v>9</v>
      </c>
      <c r="E103" s="324">
        <v>21</v>
      </c>
      <c r="F103" s="324" t="s">
        <v>309</v>
      </c>
      <c r="N103" s="324">
        <v>46179.060566776592</v>
      </c>
      <c r="O103" s="324" t="s">
        <v>55</v>
      </c>
      <c r="Q103" s="324" t="s">
        <v>800</v>
      </c>
    </row>
    <row r="104" spans="1:29" s="324" customFormat="1" ht="0.65" hidden="1" customHeight="1">
      <c r="A104" s="324">
        <v>1022</v>
      </c>
      <c r="E104" s="324">
        <v>22</v>
      </c>
      <c r="F104" s="324" t="s">
        <v>317</v>
      </c>
      <c r="N104" s="324">
        <v>-210381.05281541159</v>
      </c>
      <c r="O104" s="324" t="s">
        <v>55</v>
      </c>
      <c r="Q104" s="324" t="s">
        <v>800</v>
      </c>
      <c r="V104" s="324" t="s">
        <v>491</v>
      </c>
      <c r="W104" s="324">
        <v>400000</v>
      </c>
    </row>
    <row r="105" spans="1:29" s="324" customFormat="1" ht="0.65" hidden="1" customHeight="1">
      <c r="A105" s="324">
        <v>1023</v>
      </c>
      <c r="B105" s="324" t="s">
        <v>10</v>
      </c>
      <c r="C105" s="324">
        <v>350000</v>
      </c>
      <c r="E105" s="324">
        <v>23</v>
      </c>
      <c r="F105" s="324" t="s">
        <v>310</v>
      </c>
      <c r="N105" s="324">
        <v>-241640.535466792</v>
      </c>
      <c r="O105" s="324" t="s">
        <v>55</v>
      </c>
      <c r="Q105" s="324" t="s">
        <v>800</v>
      </c>
      <c r="V105" s="324" t="s">
        <v>493</v>
      </c>
      <c r="W105" s="324">
        <v>55000</v>
      </c>
    </row>
    <row r="106" spans="1:29" s="324" customFormat="1" ht="0.65" hidden="1" customHeight="1">
      <c r="A106" s="324">
        <v>1024</v>
      </c>
      <c r="B106" s="324" t="s">
        <v>11</v>
      </c>
      <c r="C106" s="324">
        <v>420000</v>
      </c>
      <c r="E106" s="324">
        <v>24</v>
      </c>
      <c r="F106" s="324" t="s">
        <v>315</v>
      </c>
      <c r="N106" s="324">
        <v>10896.57905519323</v>
      </c>
      <c r="O106" s="324" t="s">
        <v>55</v>
      </c>
      <c r="Q106" s="324" t="s">
        <v>800</v>
      </c>
      <c r="V106" s="324" t="s">
        <v>494</v>
      </c>
      <c r="W106" s="324">
        <v>455000</v>
      </c>
    </row>
    <row r="107" spans="1:29" s="324" customFormat="1" ht="0.65" hidden="1" customHeight="1">
      <c r="A107" s="324">
        <v>1025</v>
      </c>
      <c r="B107" s="324" t="s">
        <v>12</v>
      </c>
      <c r="C107" s="324">
        <v>2.2499999999999999E-2</v>
      </c>
      <c r="E107" s="324">
        <v>25</v>
      </c>
      <c r="F107" s="324" t="s">
        <v>316</v>
      </c>
      <c r="N107" s="324">
        <v>-5188.8471691396335</v>
      </c>
      <c r="O107" s="324" t="s">
        <v>55</v>
      </c>
      <c r="Q107" s="324" t="s">
        <v>800</v>
      </c>
    </row>
    <row r="108" spans="1:29" s="324" customFormat="1" ht="0.65" hidden="1" customHeight="1">
      <c r="A108" s="324">
        <v>1026</v>
      </c>
      <c r="B108" s="324" t="s">
        <v>2</v>
      </c>
      <c r="C108" s="324">
        <v>7000000</v>
      </c>
      <c r="E108" s="324">
        <v>26</v>
      </c>
      <c r="F108" s="324" t="s">
        <v>312</v>
      </c>
      <c r="N108" s="324">
        <v>-16038.071696769839</v>
      </c>
      <c r="O108" s="324" t="s">
        <v>55</v>
      </c>
      <c r="Q108" s="324" t="s">
        <v>800</v>
      </c>
      <c r="V108" s="324" t="s">
        <v>26</v>
      </c>
    </row>
    <row r="109" spans="1:29" s="324" customFormat="1" ht="0.65" hidden="1" customHeight="1">
      <c r="A109" s="324">
        <v>1027</v>
      </c>
      <c r="B109" s="324" t="s">
        <v>3</v>
      </c>
      <c r="C109" s="324">
        <v>7000000</v>
      </c>
      <c r="Z109" s="324" t="s">
        <v>81</v>
      </c>
    </row>
    <row r="110" spans="1:29" s="324" customFormat="1" ht="0.65" hidden="1" customHeight="1">
      <c r="A110" s="324">
        <v>1028</v>
      </c>
      <c r="J110" s="324">
        <v>0</v>
      </c>
      <c r="M110" s="324" t="s">
        <v>319</v>
      </c>
      <c r="N110" s="324" t="s">
        <v>36</v>
      </c>
      <c r="O110" s="324" t="s">
        <v>55</v>
      </c>
      <c r="V110" s="324" t="s">
        <v>0</v>
      </c>
      <c r="W110" s="324" t="s">
        <v>75</v>
      </c>
      <c r="X110" s="324" t="s">
        <v>79</v>
      </c>
      <c r="Y110" s="324" t="s">
        <v>80</v>
      </c>
      <c r="Z110" s="324" t="s">
        <v>1</v>
      </c>
      <c r="AB110" s="324" t="s">
        <v>31</v>
      </c>
    </row>
    <row r="111" spans="1:29" s="324" customFormat="1" ht="0.65" hidden="1" customHeight="1">
      <c r="A111" s="324">
        <v>1029</v>
      </c>
      <c r="B111" s="324" t="s">
        <v>14</v>
      </c>
      <c r="C111" s="324" t="s">
        <v>16</v>
      </c>
      <c r="H111" s="324" t="s">
        <v>55</v>
      </c>
      <c r="N111" s="324" t="s">
        <v>424</v>
      </c>
      <c r="V111" s="324">
        <v>2022</v>
      </c>
      <c r="W111" s="324">
        <v>0</v>
      </c>
      <c r="X111" s="324">
        <v>0</v>
      </c>
      <c r="Y111" s="324">
        <v>0</v>
      </c>
      <c r="Z111" s="324">
        <v>-825000</v>
      </c>
      <c r="AB111" s="324">
        <v>-825000</v>
      </c>
    </row>
    <row r="112" spans="1:29" s="324" customFormat="1" ht="0.65" hidden="1" customHeight="1">
      <c r="A112" s="324">
        <v>1030</v>
      </c>
      <c r="F112" s="324" t="s">
        <v>326</v>
      </c>
      <c r="H112" s="324">
        <v>3</v>
      </c>
      <c r="I112" s="324" t="s">
        <v>801</v>
      </c>
      <c r="J112" s="324" t="s">
        <v>802</v>
      </c>
      <c r="V112" s="324">
        <v>2023</v>
      </c>
      <c r="W112" s="324">
        <v>102500</v>
      </c>
      <c r="X112" s="324">
        <v>55000</v>
      </c>
      <c r="Y112" s="324">
        <v>47500</v>
      </c>
      <c r="Z112" s="324">
        <v>47500</v>
      </c>
      <c r="AB112" s="324">
        <v>-777500</v>
      </c>
      <c r="AC112" s="324" t="s">
        <v>55</v>
      </c>
    </row>
    <row r="113" spans="1:29" s="324" customFormat="1" ht="0.65" hidden="1" customHeight="1">
      <c r="A113" s="324">
        <v>1031</v>
      </c>
      <c r="V113" s="324">
        <v>2024</v>
      </c>
      <c r="W113" s="324">
        <v>102500</v>
      </c>
      <c r="X113" s="324">
        <v>0</v>
      </c>
      <c r="Y113" s="324">
        <v>102500</v>
      </c>
      <c r="Z113" s="324">
        <v>102500</v>
      </c>
      <c r="AB113" s="324">
        <v>-675000</v>
      </c>
      <c r="AC113" s="324" t="s">
        <v>55</v>
      </c>
    </row>
    <row r="114" spans="1:29" s="324" customFormat="1" ht="0.65" hidden="1" customHeight="1">
      <c r="A114" s="324">
        <v>1032</v>
      </c>
    </row>
    <row r="115" spans="1:29" s="324" customFormat="1" ht="0.65" hidden="1" customHeight="1">
      <c r="A115" s="324">
        <v>1033</v>
      </c>
    </row>
    <row r="116" spans="1:29" s="324" customFormat="1" ht="0.65" hidden="1" customHeight="1">
      <c r="A116" s="324">
        <v>1034</v>
      </c>
    </row>
    <row r="117" spans="1:29" s="324" customFormat="1" ht="0.65" hidden="1" customHeight="1">
      <c r="A117" s="324">
        <v>1035</v>
      </c>
    </row>
    <row r="118" spans="1:29" s="324" customFormat="1" ht="0.65" hidden="1" customHeight="1">
      <c r="A118" s="324">
        <v>1036</v>
      </c>
    </row>
    <row r="119" spans="1:29" s="324" customFormat="1" ht="0.65" hidden="1" customHeight="1">
      <c r="A119" s="324">
        <v>1037</v>
      </c>
    </row>
    <row r="120" spans="1:29" s="324" customFormat="1" ht="0.65" hidden="1" customHeight="1">
      <c r="A120" s="324">
        <v>1038</v>
      </c>
    </row>
    <row r="121" spans="1:29" s="324" customFormat="1" ht="0.65" hidden="1" customHeight="1">
      <c r="A121" s="324">
        <v>1039</v>
      </c>
    </row>
    <row r="122" spans="1:29" s="324" customFormat="1" ht="0.65" hidden="1" customHeight="1">
      <c r="A122" s="324">
        <v>1040</v>
      </c>
      <c r="E122" s="324" t="s">
        <v>55</v>
      </c>
      <c r="F122" s="324" t="s">
        <v>318</v>
      </c>
      <c r="H122" s="324" t="s">
        <v>185</v>
      </c>
      <c r="V122" s="324">
        <v>2025</v>
      </c>
      <c r="W122" s="324">
        <v>115000</v>
      </c>
      <c r="X122" s="324">
        <v>0</v>
      </c>
      <c r="Y122" s="324">
        <v>115000</v>
      </c>
      <c r="Z122" s="324">
        <v>570000</v>
      </c>
      <c r="AB122" s="324">
        <v>-105000</v>
      </c>
      <c r="AC122" s="324" t="s">
        <v>55</v>
      </c>
    </row>
    <row r="123" spans="1:29" s="324" customFormat="1" ht="0.65" hidden="1" customHeight="1">
      <c r="A123" s="324">
        <v>1041</v>
      </c>
      <c r="E123" s="324" t="s">
        <v>55</v>
      </c>
    </row>
    <row r="124" spans="1:29" s="324" customFormat="1" ht="0.65" hidden="1" customHeight="1">
      <c r="A124" s="324">
        <v>1042</v>
      </c>
      <c r="B124" s="324">
        <v>1000000</v>
      </c>
      <c r="C124" s="324">
        <v>1000000</v>
      </c>
      <c r="D124" s="324">
        <v>1</v>
      </c>
      <c r="E124" s="324">
        <v>1</v>
      </c>
      <c r="F124" s="324">
        <v>1000000</v>
      </c>
      <c r="H124" s="324" t="s">
        <v>321</v>
      </c>
      <c r="V124" s="324" t="s">
        <v>25</v>
      </c>
    </row>
    <row r="125" spans="1:29" s="324" customFormat="1" ht="0.65" hidden="1" customHeight="1">
      <c r="A125" s="324">
        <v>1043</v>
      </c>
      <c r="B125" s="324">
        <v>10</v>
      </c>
      <c r="C125" s="324">
        <v>10</v>
      </c>
      <c r="D125" s="324">
        <v>1</v>
      </c>
      <c r="E125" s="324">
        <v>2</v>
      </c>
      <c r="F125" s="324">
        <v>200000</v>
      </c>
      <c r="H125" s="324" t="s">
        <v>322</v>
      </c>
    </row>
    <row r="126" spans="1:29" s="324" customFormat="1" ht="0.65" hidden="1" customHeight="1">
      <c r="A126" s="324">
        <v>1044</v>
      </c>
      <c r="B126" s="324">
        <v>400000</v>
      </c>
      <c r="C126" s="324">
        <v>400000</v>
      </c>
      <c r="D126" s="324">
        <v>1</v>
      </c>
      <c r="E126" s="324">
        <v>3</v>
      </c>
      <c r="F126" s="324">
        <v>175000</v>
      </c>
      <c r="H126" s="324" t="s">
        <v>802</v>
      </c>
      <c r="V126" s="324" t="s">
        <v>124</v>
      </c>
      <c r="W126" s="324">
        <v>3.7499999999999999E-2</v>
      </c>
    </row>
    <row r="127" spans="1:29" s="324" customFormat="1" ht="0.65" hidden="1" customHeight="1">
      <c r="A127" s="324">
        <v>1045</v>
      </c>
      <c r="E127" s="324">
        <v>4</v>
      </c>
      <c r="F127" s="324">
        <v>3.7499999999999999E-2</v>
      </c>
      <c r="H127" s="324" t="s">
        <v>803</v>
      </c>
      <c r="V127" s="324" t="s">
        <v>125</v>
      </c>
      <c r="W127" s="324">
        <v>8.249999999999999E-2</v>
      </c>
    </row>
    <row r="128" spans="1:29" s="324" customFormat="1" ht="0.65" hidden="1" customHeight="1">
      <c r="A128" s="324">
        <v>1046</v>
      </c>
      <c r="B128" s="324">
        <v>420000</v>
      </c>
      <c r="C128" s="324">
        <v>420000</v>
      </c>
      <c r="D128" s="324">
        <v>1</v>
      </c>
      <c r="E128" s="324">
        <v>5</v>
      </c>
      <c r="F128" s="324">
        <v>8.249999999999999E-2</v>
      </c>
      <c r="H128" s="324" t="s">
        <v>804</v>
      </c>
      <c r="V128" s="324" t="s">
        <v>126</v>
      </c>
      <c r="W128" s="324">
        <v>0.06</v>
      </c>
    </row>
    <row r="129" spans="1:24" s="324" customFormat="1" ht="0.65" hidden="1" customHeight="1">
      <c r="A129" s="324">
        <v>1047</v>
      </c>
      <c r="B129" s="324">
        <v>300000</v>
      </c>
      <c r="C129" s="324">
        <v>300000</v>
      </c>
      <c r="D129" s="324">
        <v>1</v>
      </c>
      <c r="E129" s="324">
        <v>6</v>
      </c>
      <c r="F129" s="324">
        <v>5.9999999999999991E-2</v>
      </c>
      <c r="H129" s="324" t="s">
        <v>805</v>
      </c>
    </row>
    <row r="130" spans="1:24" s="324" customFormat="1" ht="0.65" hidden="1" customHeight="1">
      <c r="A130" s="324">
        <v>1048</v>
      </c>
      <c r="E130" s="324">
        <v>7</v>
      </c>
      <c r="F130" s="324">
        <v>320761.43393539626</v>
      </c>
      <c r="H130" s="324" t="s">
        <v>806</v>
      </c>
      <c r="V130" s="324" t="s">
        <v>27</v>
      </c>
    </row>
    <row r="131" spans="1:24" s="324" customFormat="1" ht="0.65" hidden="1" customHeight="1">
      <c r="A131" s="324">
        <v>1049</v>
      </c>
      <c r="B131" s="324">
        <v>90</v>
      </c>
      <c r="C131" s="324">
        <v>90</v>
      </c>
      <c r="D131" s="324">
        <v>1</v>
      </c>
      <c r="E131" s="324">
        <v>8</v>
      </c>
      <c r="F131" s="324">
        <v>80190.358483849064</v>
      </c>
      <c r="H131" s="324" t="s">
        <v>807</v>
      </c>
    </row>
    <row r="132" spans="1:24" s="324" customFormat="1" ht="0.65" hidden="1" customHeight="1">
      <c r="A132" s="324">
        <v>1050</v>
      </c>
      <c r="B132" s="324">
        <v>60</v>
      </c>
      <c r="C132" s="324">
        <v>60</v>
      </c>
      <c r="D132" s="324">
        <v>1</v>
      </c>
      <c r="E132" s="324">
        <v>9</v>
      </c>
      <c r="F132" s="324">
        <v>43907.890406174221</v>
      </c>
      <c r="H132" s="324" t="s">
        <v>808</v>
      </c>
      <c r="V132" s="324" t="s">
        <v>13</v>
      </c>
      <c r="W132" s="324">
        <v>-210381.05281541136</v>
      </c>
      <c r="X132" s="324" t="s">
        <v>654</v>
      </c>
    </row>
    <row r="133" spans="1:24" s="324" customFormat="1" ht="0.65" hidden="1" customHeight="1">
      <c r="A133" s="324">
        <v>1051</v>
      </c>
      <c r="E133" s="324">
        <v>10</v>
      </c>
      <c r="F133" s="324">
        <v>51886.792452830188</v>
      </c>
      <c r="H133" s="324" t="s">
        <v>809</v>
      </c>
      <c r="V133" s="324" t="s">
        <v>28</v>
      </c>
      <c r="W133" s="324">
        <v>-4.8576778446782765E-2</v>
      </c>
      <c r="X133" s="324" t="s">
        <v>655</v>
      </c>
    </row>
    <row r="134" spans="1:24" s="324" customFormat="1" ht="0.65" hidden="1" customHeight="1">
      <c r="A134" s="324">
        <v>1052</v>
      </c>
      <c r="E134" s="324">
        <v>11</v>
      </c>
      <c r="F134" s="324">
        <v>400000</v>
      </c>
      <c r="H134" s="324" t="s">
        <v>323</v>
      </c>
      <c r="V134" s="324" t="s">
        <v>29</v>
      </c>
      <c r="W134" s="324">
        <v>-0.25500733674595316</v>
      </c>
      <c r="X134" s="324" t="s">
        <v>656</v>
      </c>
    </row>
    <row r="135" spans="1:24" s="324" customFormat="1" ht="0.65" hidden="1" customHeight="1">
      <c r="A135" s="324">
        <v>1053</v>
      </c>
      <c r="B135" s="324">
        <v>200000</v>
      </c>
      <c r="C135" s="324">
        <v>200000</v>
      </c>
      <c r="D135" s="324">
        <v>1</v>
      </c>
      <c r="E135" s="324">
        <v>12</v>
      </c>
      <c r="F135" s="324">
        <v>100000</v>
      </c>
      <c r="H135" s="324" t="s">
        <v>810</v>
      </c>
      <c r="V135" s="324" t="s">
        <v>30</v>
      </c>
      <c r="W135" s="324" t="s">
        <v>639</v>
      </c>
      <c r="X135" s="324" t="s">
        <v>657</v>
      </c>
    </row>
    <row r="136" spans="1:24" s="324" customFormat="1" ht="0.65" hidden="1" customHeight="1">
      <c r="A136" s="324">
        <v>1054</v>
      </c>
      <c r="B136" s="324">
        <v>100000</v>
      </c>
      <c r="C136" s="324">
        <v>100000</v>
      </c>
      <c r="D136" s="324">
        <v>1</v>
      </c>
      <c r="E136" s="324">
        <v>13</v>
      </c>
      <c r="F136" s="324">
        <v>175000</v>
      </c>
      <c r="H136" s="324" t="s">
        <v>811</v>
      </c>
    </row>
    <row r="137" spans="1:24" s="324" customFormat="1" ht="0.65" hidden="1" customHeight="1">
      <c r="A137" s="324">
        <v>1055</v>
      </c>
      <c r="B137" s="324">
        <v>2</v>
      </c>
      <c r="C137" s="324">
        <v>2</v>
      </c>
      <c r="D137" s="324">
        <v>1</v>
      </c>
      <c r="E137" s="324">
        <v>14</v>
      </c>
      <c r="F137" s="324">
        <v>475000</v>
      </c>
      <c r="H137" s="324" t="s">
        <v>812</v>
      </c>
    </row>
    <row r="138" spans="1:24" s="324" customFormat="1" ht="0.65" hidden="1" customHeight="1">
      <c r="A138" s="324">
        <v>1056</v>
      </c>
      <c r="B138" s="324">
        <v>100000</v>
      </c>
      <c r="C138" s="324">
        <v>100000</v>
      </c>
      <c r="D138" s="324">
        <v>1</v>
      </c>
      <c r="E138" s="324">
        <v>15</v>
      </c>
      <c r="F138" s="324">
        <v>100000</v>
      </c>
      <c r="H138" s="324" t="s">
        <v>324</v>
      </c>
    </row>
    <row r="139" spans="1:24" s="324" customFormat="1" ht="0.65" hidden="1" customHeight="1">
      <c r="A139" s="324">
        <v>1057</v>
      </c>
      <c r="E139" s="324">
        <v>16</v>
      </c>
      <c r="F139" s="324">
        <v>25000</v>
      </c>
      <c r="H139" s="324" t="s">
        <v>813</v>
      </c>
    </row>
    <row r="140" spans="1:24" s="324" customFormat="1" ht="0.65" hidden="1" customHeight="1">
      <c r="A140" s="324">
        <v>1058</v>
      </c>
      <c r="B140" s="324">
        <v>0.25</v>
      </c>
      <c r="C140" s="324">
        <v>0.25</v>
      </c>
      <c r="D140" s="324">
        <v>1</v>
      </c>
      <c r="E140" s="324">
        <v>17</v>
      </c>
      <c r="F140" s="324">
        <v>0</v>
      </c>
      <c r="H140" s="324" t="s">
        <v>814</v>
      </c>
    </row>
    <row r="141" spans="1:24" s="324" customFormat="1" ht="0.65" hidden="1" customHeight="1">
      <c r="A141" s="324">
        <v>1059</v>
      </c>
      <c r="E141" s="324">
        <v>18</v>
      </c>
      <c r="F141" s="324">
        <v>75000</v>
      </c>
      <c r="H141" s="324" t="s">
        <v>815</v>
      </c>
    </row>
    <row r="142" spans="1:24" s="324" customFormat="1" ht="0.65" hidden="1" customHeight="1">
      <c r="A142" s="324">
        <v>1060</v>
      </c>
      <c r="E142" s="324">
        <v>19</v>
      </c>
      <c r="F142" s="324">
        <v>335847.71321292064</v>
      </c>
      <c r="H142" s="324" t="s">
        <v>816</v>
      </c>
    </row>
    <row r="143" spans="1:24" s="324" customFormat="1" ht="0.65" hidden="1" customHeight="1">
      <c r="A143" s="324">
        <v>1061</v>
      </c>
      <c r="B143" s="324">
        <v>350000</v>
      </c>
      <c r="C143" s="324">
        <v>350000</v>
      </c>
      <c r="D143" s="324">
        <v>1</v>
      </c>
      <c r="E143" s="324">
        <v>20</v>
      </c>
      <c r="F143" s="324">
        <v>55000</v>
      </c>
      <c r="H143" s="324" t="s">
        <v>817</v>
      </c>
    </row>
    <row r="144" spans="1:24" s="324" customFormat="1" ht="0.65" hidden="1" customHeight="1">
      <c r="A144" s="324">
        <v>1062</v>
      </c>
      <c r="B144" s="324">
        <v>420000</v>
      </c>
      <c r="C144" s="324">
        <v>420000</v>
      </c>
      <c r="D144" s="324">
        <v>1</v>
      </c>
      <c r="E144" s="324">
        <v>21</v>
      </c>
      <c r="F144" s="324">
        <v>46179.060566776592</v>
      </c>
      <c r="H144" s="324" t="s">
        <v>818</v>
      </c>
    </row>
    <row r="145" spans="1:23" s="324" customFormat="1" ht="0.65" hidden="1" customHeight="1">
      <c r="A145" s="324">
        <v>1063</v>
      </c>
      <c r="B145" s="324">
        <v>2.2499999999999999E-2</v>
      </c>
      <c r="C145" s="324">
        <v>2.2499999999999999E-2</v>
      </c>
      <c r="D145" s="324">
        <v>1</v>
      </c>
      <c r="E145" s="324">
        <v>22</v>
      </c>
      <c r="F145" s="324">
        <v>-210381.05281541159</v>
      </c>
      <c r="H145" s="324" t="s">
        <v>819</v>
      </c>
    </row>
    <row r="146" spans="1:23" s="324" customFormat="1" ht="0.65" hidden="1" customHeight="1">
      <c r="A146" s="324">
        <v>1064</v>
      </c>
      <c r="B146" s="324">
        <v>7000000</v>
      </c>
      <c r="C146" s="324">
        <v>7000000</v>
      </c>
      <c r="D146" s="324">
        <v>1</v>
      </c>
      <c r="E146" s="324">
        <v>23</v>
      </c>
      <c r="F146" s="324">
        <v>-241640.53546679212</v>
      </c>
      <c r="H146" s="324" t="s">
        <v>820</v>
      </c>
    </row>
    <row r="147" spans="1:23" s="324" customFormat="1" ht="0.65" hidden="1" customHeight="1">
      <c r="A147" s="324">
        <v>1065</v>
      </c>
      <c r="B147" s="324">
        <v>7000000</v>
      </c>
      <c r="C147" s="324">
        <v>7000000</v>
      </c>
      <c r="D147" s="324">
        <v>1</v>
      </c>
      <c r="E147" s="324">
        <v>24</v>
      </c>
      <c r="F147" s="324">
        <v>10896.57905519323</v>
      </c>
      <c r="H147" s="324" t="s">
        <v>821</v>
      </c>
    </row>
    <row r="148" spans="1:23" s="324" customFormat="1" ht="0.65" hidden="1" customHeight="1">
      <c r="A148" s="324">
        <v>1066</v>
      </c>
      <c r="C148" s="324" t="s">
        <v>422</v>
      </c>
      <c r="D148" s="324">
        <v>17</v>
      </c>
      <c r="E148" s="324">
        <v>25</v>
      </c>
      <c r="F148" s="324">
        <v>-5188.8471691396335</v>
      </c>
      <c r="H148" s="324" t="s">
        <v>822</v>
      </c>
    </row>
    <row r="149" spans="1:23" s="324" customFormat="1" ht="0.65" hidden="1" customHeight="1">
      <c r="A149" s="324">
        <v>1067</v>
      </c>
      <c r="C149" s="324" t="s">
        <v>423</v>
      </c>
      <c r="D149" s="324" t="s">
        <v>520</v>
      </c>
      <c r="E149" s="324">
        <v>26</v>
      </c>
      <c r="F149" s="324">
        <v>-16038.071696769839</v>
      </c>
      <c r="H149" s="324" t="s">
        <v>823</v>
      </c>
    </row>
    <row r="150" spans="1:23" s="324" customFormat="1" ht="0.65" hidden="1" customHeight="1">
      <c r="A150" s="324">
        <v>1068</v>
      </c>
      <c r="F150" s="324">
        <v>6.6249999999999989E-2</v>
      </c>
    </row>
    <row r="151" spans="1:23" s="324" customFormat="1" ht="0.65" hidden="1" customHeight="1"/>
    <row r="152" spans="1:23" s="324" customFormat="1" ht="0.65" hidden="1" customHeight="1"/>
    <row r="153" spans="1:23" s="324" customFormat="1" ht="0.65" hidden="1" customHeight="1"/>
    <row r="154" spans="1:23" s="324" customFormat="1" ht="0.65" hidden="1" customHeight="1">
      <c r="A154" s="324" t="s">
        <v>19</v>
      </c>
      <c r="C154" s="324" t="s">
        <v>336</v>
      </c>
      <c r="D154" s="324">
        <v>2</v>
      </c>
      <c r="E154" s="324" t="s">
        <v>187</v>
      </c>
      <c r="F154" s="324" t="s">
        <v>327</v>
      </c>
      <c r="N154" s="324" t="s">
        <v>320</v>
      </c>
      <c r="Q154" s="324" t="s">
        <v>325</v>
      </c>
      <c r="V154" s="324" t="s">
        <v>24</v>
      </c>
    </row>
    <row r="155" spans="1:23" s="324" customFormat="1" ht="0.65" hidden="1" customHeight="1">
      <c r="C155" s="324" t="s">
        <v>336</v>
      </c>
      <c r="D155" s="324" t="s">
        <v>486</v>
      </c>
      <c r="F155" s="324" t="s">
        <v>3951</v>
      </c>
    </row>
    <row r="156" spans="1:23" s="324" customFormat="1" ht="0.65" hidden="1" customHeight="1">
      <c r="A156" s="324">
        <v>2001</v>
      </c>
      <c r="B156" s="324" t="s">
        <v>5</v>
      </c>
      <c r="C156" s="324">
        <v>2022</v>
      </c>
      <c r="E156" s="324">
        <v>1</v>
      </c>
      <c r="F156" s="324" t="s">
        <v>292</v>
      </c>
      <c r="N156" s="324">
        <v>600000</v>
      </c>
      <c r="O156" s="324" t="s">
        <v>55</v>
      </c>
      <c r="Q156" s="324" t="s">
        <v>800</v>
      </c>
      <c r="V156" s="324" t="s">
        <v>490</v>
      </c>
      <c r="W156" s="324">
        <v>543750</v>
      </c>
    </row>
    <row r="157" spans="1:23" s="324" customFormat="1" ht="0.65" hidden="1" customHeight="1">
      <c r="A157" s="324">
        <v>2002</v>
      </c>
      <c r="E157" s="324">
        <v>2</v>
      </c>
      <c r="F157" s="324" t="s">
        <v>313</v>
      </c>
      <c r="N157" s="324">
        <v>45000</v>
      </c>
      <c r="O157" s="324" t="s">
        <v>55</v>
      </c>
      <c r="Q157" s="324" t="s">
        <v>800</v>
      </c>
    </row>
    <row r="158" spans="1:23" s="324" customFormat="1" ht="0.65" hidden="1" customHeight="1">
      <c r="A158" s="324">
        <v>2003</v>
      </c>
      <c r="B158" s="324" t="s">
        <v>32</v>
      </c>
      <c r="E158" s="324">
        <v>3</v>
      </c>
      <c r="F158" s="324" t="s">
        <v>314</v>
      </c>
      <c r="N158" s="324">
        <v>56250</v>
      </c>
      <c r="O158" s="324" t="s">
        <v>55</v>
      </c>
      <c r="P158" s="324" t="s">
        <v>55</v>
      </c>
      <c r="Q158" s="324" t="s">
        <v>800</v>
      </c>
      <c r="V158" s="324" t="s">
        <v>21</v>
      </c>
    </row>
    <row r="159" spans="1:23" s="324" customFormat="1" ht="0.65" hidden="1" customHeight="1">
      <c r="A159" s="324">
        <v>2004</v>
      </c>
      <c r="B159" s="324" t="s">
        <v>488</v>
      </c>
      <c r="C159" s="324">
        <v>600000</v>
      </c>
      <c r="E159" s="324">
        <v>4</v>
      </c>
      <c r="F159" s="324" t="s">
        <v>293</v>
      </c>
      <c r="N159" s="324">
        <v>4.4999999999999998E-2</v>
      </c>
      <c r="O159" s="324" t="s">
        <v>55</v>
      </c>
      <c r="Q159" s="324" t="s">
        <v>800</v>
      </c>
    </row>
    <row r="160" spans="1:23" s="324" customFormat="1" ht="0.65" hidden="1" customHeight="1">
      <c r="A160" s="324">
        <v>2005</v>
      </c>
      <c r="B160" s="324" t="s">
        <v>6</v>
      </c>
      <c r="C160" s="324">
        <v>10</v>
      </c>
      <c r="E160" s="324">
        <v>5</v>
      </c>
      <c r="F160" s="324" t="s">
        <v>294</v>
      </c>
      <c r="N160" s="324">
        <v>0.08</v>
      </c>
      <c r="O160" s="324" t="s">
        <v>55</v>
      </c>
      <c r="Q160" s="324" t="s">
        <v>800</v>
      </c>
    </row>
    <row r="161" spans="1:29" s="324" customFormat="1" ht="0.65" hidden="1" customHeight="1">
      <c r="A161" s="324">
        <v>2006</v>
      </c>
      <c r="B161" s="324" t="s">
        <v>489</v>
      </c>
      <c r="C161" s="324">
        <v>400000</v>
      </c>
      <c r="E161" s="324">
        <v>6</v>
      </c>
      <c r="F161" s="324" t="s">
        <v>295</v>
      </c>
      <c r="N161" s="324">
        <v>5.3749999999999999E-2</v>
      </c>
      <c r="O161" s="324" t="s">
        <v>55</v>
      </c>
      <c r="Q161" s="324" t="s">
        <v>800</v>
      </c>
      <c r="V161" s="324" t="s">
        <v>0</v>
      </c>
      <c r="W161" s="324" t="s">
        <v>69</v>
      </c>
      <c r="X161" s="324" t="s">
        <v>70</v>
      </c>
      <c r="Y161" s="324" t="s">
        <v>71</v>
      </c>
      <c r="Z161" s="324" t="s">
        <v>72</v>
      </c>
      <c r="AA161" s="324" t="s">
        <v>73</v>
      </c>
      <c r="AB161" s="324" t="s">
        <v>74</v>
      </c>
      <c r="AC161" s="324" t="s">
        <v>75</v>
      </c>
    </row>
    <row r="162" spans="1:29" s="324" customFormat="1" ht="0.65" hidden="1" customHeight="1">
      <c r="A162" s="324">
        <v>2007</v>
      </c>
      <c r="E162" s="324">
        <v>7</v>
      </c>
      <c r="F162" s="324" t="s">
        <v>311</v>
      </c>
      <c r="N162" s="324">
        <v>324506.98203695507</v>
      </c>
      <c r="O162" s="324" t="s">
        <v>55</v>
      </c>
      <c r="Q162" s="324" t="s">
        <v>800</v>
      </c>
      <c r="V162" s="324">
        <v>2023</v>
      </c>
      <c r="W162" s="324">
        <v>360000</v>
      </c>
      <c r="X162" s="324">
        <v>240000</v>
      </c>
      <c r="Y162" s="324">
        <v>30000</v>
      </c>
      <c r="Z162" s="324">
        <v>90000</v>
      </c>
      <c r="AA162" s="324">
        <v>22500</v>
      </c>
      <c r="AB162" s="324">
        <v>67500</v>
      </c>
      <c r="AC162" s="324">
        <v>97500</v>
      </c>
    </row>
    <row r="163" spans="1:29" s="324" customFormat="1" ht="0.65" hidden="1" customHeight="1">
      <c r="A163" s="324">
        <v>2008</v>
      </c>
      <c r="B163" s="324" t="s">
        <v>34</v>
      </c>
      <c r="C163" s="324">
        <v>360000</v>
      </c>
      <c r="E163" s="324">
        <v>8</v>
      </c>
      <c r="F163" s="324" t="s">
        <v>296</v>
      </c>
      <c r="N163" s="324">
        <v>81126.745509238768</v>
      </c>
      <c r="O163" s="324" t="s">
        <v>55</v>
      </c>
      <c r="Q163" s="324" t="s">
        <v>800</v>
      </c>
      <c r="V163" s="324">
        <v>2024</v>
      </c>
      <c r="W163" s="324">
        <v>360000</v>
      </c>
      <c r="X163" s="324">
        <v>240000</v>
      </c>
      <c r="Y163" s="324">
        <v>30000</v>
      </c>
      <c r="Z163" s="324">
        <v>90000</v>
      </c>
      <c r="AA163" s="324">
        <v>22500</v>
      </c>
      <c r="AB163" s="324">
        <v>67500</v>
      </c>
      <c r="AC163" s="324">
        <v>97500</v>
      </c>
    </row>
    <row r="164" spans="1:29" s="324" customFormat="1" ht="0.65" hidden="1" customHeight="1">
      <c r="A164" s="324">
        <v>2009</v>
      </c>
      <c r="B164" s="324" t="s">
        <v>35</v>
      </c>
      <c r="C164" s="324">
        <v>240000</v>
      </c>
      <c r="E164" s="324">
        <v>9</v>
      </c>
      <c r="F164" s="324" t="s">
        <v>298</v>
      </c>
      <c r="N164" s="324">
        <v>20281.686377309692</v>
      </c>
      <c r="O164" s="324" t="s">
        <v>55</v>
      </c>
      <c r="Q164" s="324" t="s">
        <v>800</v>
      </c>
      <c r="V164" s="324">
        <v>2025</v>
      </c>
      <c r="W164" s="324">
        <v>360000</v>
      </c>
      <c r="X164" s="324">
        <v>240000</v>
      </c>
      <c r="Y164" s="324">
        <v>30000</v>
      </c>
      <c r="Z164" s="324">
        <v>90000</v>
      </c>
      <c r="AA164" s="324">
        <v>22500</v>
      </c>
      <c r="AB164" s="324">
        <v>67500</v>
      </c>
      <c r="AC164" s="324">
        <v>97500</v>
      </c>
    </row>
    <row r="165" spans="1:29" s="324" customFormat="1" ht="0.65" hidden="1" customHeight="1">
      <c r="A165" s="324">
        <v>2010</v>
      </c>
      <c r="E165" s="324">
        <v>10</v>
      </c>
      <c r="F165" s="324" t="s">
        <v>297</v>
      </c>
      <c r="N165" s="324">
        <v>-9489.916963226573</v>
      </c>
      <c r="O165" s="324" t="s">
        <v>55</v>
      </c>
      <c r="Q165" s="324" t="s">
        <v>800</v>
      </c>
    </row>
    <row r="166" spans="1:29" s="324" customFormat="1" ht="0.65" hidden="1" customHeight="1">
      <c r="A166" s="324">
        <v>2011</v>
      </c>
      <c r="B166" s="324" t="s">
        <v>7</v>
      </c>
      <c r="C166" s="324">
        <v>30</v>
      </c>
      <c r="E166" s="324">
        <v>11</v>
      </c>
      <c r="F166" s="324" t="s">
        <v>299</v>
      </c>
      <c r="N166" s="324">
        <v>400000</v>
      </c>
      <c r="O166" s="324" t="s">
        <v>55</v>
      </c>
      <c r="Q166" s="324" t="s">
        <v>800</v>
      </c>
      <c r="V166" s="324" t="s">
        <v>22</v>
      </c>
    </row>
    <row r="167" spans="1:29" s="324" customFormat="1" ht="0.65" hidden="1" customHeight="1">
      <c r="A167" s="324">
        <v>2012</v>
      </c>
      <c r="B167" s="324" t="s">
        <v>8</v>
      </c>
      <c r="C167" s="324">
        <v>60</v>
      </c>
      <c r="E167" s="324">
        <v>12</v>
      </c>
      <c r="F167" s="324" t="s">
        <v>300</v>
      </c>
      <c r="N167" s="324">
        <v>100000</v>
      </c>
      <c r="O167" s="324" t="s">
        <v>55</v>
      </c>
      <c r="Q167" s="324" t="s">
        <v>800</v>
      </c>
    </row>
    <row r="168" spans="1:29" s="324" customFormat="1" ht="0.65" hidden="1" customHeight="1">
      <c r="A168" s="324">
        <v>2013</v>
      </c>
      <c r="E168" s="324">
        <v>13</v>
      </c>
      <c r="F168" s="324" t="s">
        <v>301</v>
      </c>
      <c r="N168" s="324">
        <v>105000</v>
      </c>
      <c r="O168" s="324" t="s">
        <v>55</v>
      </c>
      <c r="Q168" s="324" t="s">
        <v>800</v>
      </c>
    </row>
    <row r="169" spans="1:29" s="324" customFormat="1" ht="0.65" hidden="1" customHeight="1">
      <c r="A169" s="324">
        <v>2014</v>
      </c>
      <c r="B169" s="324" t="s">
        <v>33</v>
      </c>
      <c r="E169" s="324">
        <v>14</v>
      </c>
      <c r="F169" s="324" t="s">
        <v>302</v>
      </c>
      <c r="N169" s="324">
        <v>405000</v>
      </c>
      <c r="O169" s="324" t="s">
        <v>55</v>
      </c>
      <c r="Q169" s="324" t="s">
        <v>800</v>
      </c>
      <c r="V169" s="324" t="s">
        <v>0</v>
      </c>
      <c r="W169" s="324" t="s">
        <v>76</v>
      </c>
      <c r="X169" s="324" t="s">
        <v>77</v>
      </c>
      <c r="Y169" s="324" t="s">
        <v>78</v>
      </c>
      <c r="Z169" s="324" t="s">
        <v>79</v>
      </c>
    </row>
    <row r="170" spans="1:29" s="324" customFormat="1" ht="0.65" hidden="1" customHeight="1">
      <c r="A170" s="324">
        <v>2015</v>
      </c>
      <c r="B170" s="324" t="s">
        <v>492</v>
      </c>
      <c r="C170" s="324">
        <v>45000</v>
      </c>
      <c r="E170" s="324">
        <v>15</v>
      </c>
      <c r="F170" s="324" t="s">
        <v>303</v>
      </c>
      <c r="N170" s="324">
        <v>22500</v>
      </c>
      <c r="O170" s="324" t="s">
        <v>55</v>
      </c>
      <c r="Q170" s="324" t="s">
        <v>800</v>
      </c>
      <c r="V170" s="324">
        <v>2022</v>
      </c>
      <c r="W170" s="324">
        <v>0</v>
      </c>
      <c r="X170" s="324">
        <v>0</v>
      </c>
      <c r="Y170" s="324">
        <v>0</v>
      </c>
      <c r="Z170" s="324">
        <v>0</v>
      </c>
    </row>
    <row r="171" spans="1:29" s="324" customFormat="1" ht="0.65" hidden="1" customHeight="1">
      <c r="A171" s="324">
        <v>2016</v>
      </c>
      <c r="B171" s="324" t="s">
        <v>495</v>
      </c>
      <c r="C171" s="324">
        <v>90000</v>
      </c>
      <c r="E171" s="324">
        <v>16</v>
      </c>
      <c r="F171" s="324" t="s">
        <v>304</v>
      </c>
      <c r="N171" s="324">
        <v>5625</v>
      </c>
      <c r="O171" s="324" t="s">
        <v>55</v>
      </c>
      <c r="Q171" s="324" t="s">
        <v>800</v>
      </c>
      <c r="V171" s="324">
        <v>2023</v>
      </c>
      <c r="W171" s="324">
        <v>30000</v>
      </c>
      <c r="X171" s="324">
        <v>40000</v>
      </c>
      <c r="Y171" s="324">
        <v>-10000</v>
      </c>
      <c r="Z171" s="324">
        <v>-10000</v>
      </c>
    </row>
    <row r="172" spans="1:29" s="324" customFormat="1" ht="0.65" hidden="1" customHeight="1">
      <c r="A172" s="324">
        <v>2017</v>
      </c>
      <c r="B172" s="324" t="s">
        <v>6</v>
      </c>
      <c r="C172" s="324">
        <v>3</v>
      </c>
      <c r="E172" s="324">
        <v>17</v>
      </c>
      <c r="F172" s="324" t="s">
        <v>305</v>
      </c>
      <c r="N172" s="324">
        <v>0</v>
      </c>
      <c r="O172" s="324" t="s">
        <v>55</v>
      </c>
      <c r="Q172" s="324" t="s">
        <v>800</v>
      </c>
      <c r="V172" s="324">
        <v>2024</v>
      </c>
      <c r="W172" s="324">
        <v>30000</v>
      </c>
      <c r="X172" s="324">
        <v>40000</v>
      </c>
      <c r="Y172" s="324">
        <v>-10000</v>
      </c>
      <c r="Z172" s="324">
        <v>0</v>
      </c>
    </row>
    <row r="173" spans="1:29" s="324" customFormat="1" ht="0.65" hidden="1" customHeight="1">
      <c r="A173" s="324">
        <v>2018</v>
      </c>
      <c r="B173" s="324" t="s">
        <v>489</v>
      </c>
      <c r="C173" s="324">
        <v>22500</v>
      </c>
      <c r="E173" s="324">
        <v>18</v>
      </c>
      <c r="F173" s="324" t="s">
        <v>306</v>
      </c>
      <c r="N173" s="324">
        <v>16875</v>
      </c>
      <c r="O173" s="324" t="s">
        <v>55</v>
      </c>
      <c r="Q173" s="324" t="s">
        <v>800</v>
      </c>
      <c r="V173" s="324">
        <v>2025</v>
      </c>
      <c r="W173" s="324">
        <v>30000</v>
      </c>
      <c r="X173" s="324">
        <v>40000</v>
      </c>
      <c r="Y173" s="324">
        <v>-10000</v>
      </c>
      <c r="Z173" s="324">
        <v>0</v>
      </c>
    </row>
    <row r="174" spans="1:29" s="324" customFormat="1" ht="0.65" hidden="1" customHeight="1">
      <c r="A174" s="324">
        <v>2019</v>
      </c>
      <c r="E174" s="324">
        <v>19</v>
      </c>
      <c r="F174" s="324" t="s">
        <v>307</v>
      </c>
      <c r="N174" s="324">
        <v>331710.22173611453</v>
      </c>
      <c r="O174" s="324" t="s">
        <v>55</v>
      </c>
      <c r="Q174" s="324" t="s">
        <v>800</v>
      </c>
    </row>
    <row r="175" spans="1:29" s="324" customFormat="1" ht="0.65" hidden="1" customHeight="1">
      <c r="A175" s="324">
        <v>2020</v>
      </c>
      <c r="B175" s="324" t="s">
        <v>4</v>
      </c>
      <c r="C175" s="324">
        <v>0.25</v>
      </c>
      <c r="E175" s="324">
        <v>20</v>
      </c>
      <c r="F175" s="324" t="s">
        <v>308</v>
      </c>
      <c r="N175" s="324">
        <v>-10000</v>
      </c>
      <c r="O175" s="324" t="s">
        <v>55</v>
      </c>
      <c r="P175" s="324" t="s">
        <v>55</v>
      </c>
      <c r="Q175" s="324" t="s">
        <v>800</v>
      </c>
      <c r="V175" s="324" t="s">
        <v>23</v>
      </c>
    </row>
    <row r="176" spans="1:29" s="324" customFormat="1" ht="0.65" hidden="1" customHeight="1">
      <c r="A176" s="324">
        <v>2021</v>
      </c>
      <c r="C176" s="324" t="s">
        <v>9</v>
      </c>
      <c r="E176" s="324">
        <v>21</v>
      </c>
      <c r="F176" s="324" t="s">
        <v>309</v>
      </c>
      <c r="N176" s="324">
        <v>-8546.4791429594734</v>
      </c>
      <c r="O176" s="324" t="s">
        <v>55</v>
      </c>
      <c r="Q176" s="324" t="s">
        <v>800</v>
      </c>
    </row>
    <row r="177" spans="1:29" s="324" customFormat="1" ht="0.65" hidden="1" customHeight="1">
      <c r="A177" s="324">
        <v>2022</v>
      </c>
      <c r="E177" s="324">
        <v>22</v>
      </c>
      <c r="F177" s="324" t="s">
        <v>317</v>
      </c>
      <c r="N177" s="324">
        <v>52565.582461407568</v>
      </c>
      <c r="O177" s="324" t="s">
        <v>55</v>
      </c>
      <c r="Q177" s="324" t="s">
        <v>800</v>
      </c>
      <c r="V177" s="324" t="s">
        <v>491</v>
      </c>
      <c r="W177" s="324">
        <v>388125</v>
      </c>
    </row>
    <row r="178" spans="1:29" s="324" customFormat="1" ht="0.65" hidden="1" customHeight="1">
      <c r="A178" s="324">
        <v>2023</v>
      </c>
      <c r="B178" s="324" t="s">
        <v>10</v>
      </c>
      <c r="C178" s="324">
        <v>720000</v>
      </c>
      <c r="E178" s="324">
        <v>23</v>
      </c>
      <c r="F178" s="324" t="s">
        <v>310</v>
      </c>
      <c r="N178" s="324">
        <v>76441.273885904084</v>
      </c>
      <c r="O178" s="324" t="s">
        <v>55</v>
      </c>
      <c r="Q178" s="324" t="s">
        <v>800</v>
      </c>
      <c r="V178" s="324" t="s">
        <v>493</v>
      </c>
      <c r="W178" s="324">
        <v>-10000</v>
      </c>
    </row>
    <row r="179" spans="1:29" s="324" customFormat="1" ht="0.65" hidden="1" customHeight="1">
      <c r="A179" s="324">
        <v>2024</v>
      </c>
      <c r="B179" s="324" t="s">
        <v>11</v>
      </c>
      <c r="C179" s="324">
        <v>240000</v>
      </c>
      <c r="E179" s="324">
        <v>24</v>
      </c>
      <c r="F179" s="324" t="s">
        <v>315</v>
      </c>
      <c r="N179" s="324">
        <v>2830.3134608012952</v>
      </c>
      <c r="O179" s="324" t="s">
        <v>55</v>
      </c>
      <c r="Q179" s="324" t="s">
        <v>800</v>
      </c>
      <c r="V179" s="324" t="s">
        <v>494</v>
      </c>
      <c r="W179" s="324">
        <v>378125</v>
      </c>
    </row>
    <row r="180" spans="1:29" s="324" customFormat="1" ht="0.65" hidden="1" customHeight="1">
      <c r="A180" s="324">
        <v>2025</v>
      </c>
      <c r="B180" s="324" t="s">
        <v>12</v>
      </c>
      <c r="C180" s="324">
        <v>0.02</v>
      </c>
      <c r="E180" s="324">
        <v>25</v>
      </c>
      <c r="F180" s="324" t="s">
        <v>316</v>
      </c>
      <c r="N180" s="324">
        <v>-3773.7512810683984</v>
      </c>
      <c r="O180" s="324" t="s">
        <v>55</v>
      </c>
      <c r="Q180" s="324" t="s">
        <v>800</v>
      </c>
    </row>
    <row r="181" spans="1:29" s="324" customFormat="1" ht="0.65" hidden="1" customHeight="1">
      <c r="A181" s="324">
        <v>2026</v>
      </c>
      <c r="B181" s="324" t="s">
        <v>2</v>
      </c>
      <c r="C181" s="324">
        <v>12000000</v>
      </c>
      <c r="E181" s="324">
        <v>26</v>
      </c>
      <c r="F181" s="324" t="s">
        <v>312</v>
      </c>
      <c r="N181" s="324">
        <v>-14535.208570405273</v>
      </c>
      <c r="O181" s="324" t="s">
        <v>55</v>
      </c>
      <c r="Q181" s="324" t="s">
        <v>800</v>
      </c>
      <c r="V181" s="324" t="s">
        <v>26</v>
      </c>
    </row>
    <row r="182" spans="1:29" s="324" customFormat="1" ht="0.65" hidden="1" customHeight="1">
      <c r="A182" s="324">
        <v>2027</v>
      </c>
      <c r="B182" s="324" t="s">
        <v>3</v>
      </c>
      <c r="C182" s="324">
        <v>4000000</v>
      </c>
      <c r="Z182" s="324" t="s">
        <v>81</v>
      </c>
    </row>
    <row r="183" spans="1:29" s="324" customFormat="1" ht="0.65" hidden="1" customHeight="1">
      <c r="A183" s="324">
        <v>2028</v>
      </c>
      <c r="J183" s="324">
        <v>0</v>
      </c>
      <c r="M183" s="324" t="s">
        <v>319</v>
      </c>
      <c r="N183" s="324" t="s">
        <v>36</v>
      </c>
      <c r="O183" s="324" t="s">
        <v>55</v>
      </c>
      <c r="V183" s="324" t="s">
        <v>0</v>
      </c>
      <c r="W183" s="324" t="s">
        <v>75</v>
      </c>
      <c r="X183" s="324" t="s">
        <v>79</v>
      </c>
      <c r="Y183" s="324" t="s">
        <v>80</v>
      </c>
      <c r="Z183" s="324" t="s">
        <v>1</v>
      </c>
      <c r="AB183" s="324" t="s">
        <v>31</v>
      </c>
    </row>
    <row r="184" spans="1:29" s="324" customFormat="1" ht="0.65" hidden="1" customHeight="1">
      <c r="A184" s="324">
        <v>2029</v>
      </c>
      <c r="B184" s="324" t="s">
        <v>14</v>
      </c>
      <c r="C184" s="324" t="s">
        <v>16</v>
      </c>
      <c r="H184" s="324" t="s">
        <v>55</v>
      </c>
      <c r="N184" s="324" t="s">
        <v>424</v>
      </c>
      <c r="V184" s="324">
        <v>2022</v>
      </c>
      <c r="W184" s="324">
        <v>0</v>
      </c>
      <c r="X184" s="324">
        <v>0</v>
      </c>
      <c r="Y184" s="324">
        <v>0</v>
      </c>
      <c r="Z184" s="324">
        <v>-543750</v>
      </c>
      <c r="AB184" s="324">
        <v>-543750</v>
      </c>
    </row>
    <row r="185" spans="1:29" s="324" customFormat="1" ht="0.65" hidden="1" customHeight="1">
      <c r="A185" s="324">
        <v>2030</v>
      </c>
      <c r="F185" s="324" t="s">
        <v>326</v>
      </c>
      <c r="H185" s="324">
        <v>3</v>
      </c>
      <c r="I185" s="324" t="s">
        <v>1061</v>
      </c>
      <c r="J185" s="324" t="s">
        <v>1062</v>
      </c>
      <c r="V185" s="324">
        <v>2023</v>
      </c>
      <c r="W185" s="324">
        <v>97500</v>
      </c>
      <c r="X185" s="324">
        <v>-10000</v>
      </c>
      <c r="Y185" s="324">
        <v>107500</v>
      </c>
      <c r="Z185" s="324">
        <v>107500</v>
      </c>
      <c r="AB185" s="324">
        <v>-436250</v>
      </c>
      <c r="AC185" s="324" t="s">
        <v>55</v>
      </c>
    </row>
    <row r="186" spans="1:29" s="324" customFormat="1" ht="0.65" hidden="1" customHeight="1">
      <c r="A186" s="324">
        <v>2031</v>
      </c>
      <c r="V186" s="324">
        <v>2024</v>
      </c>
      <c r="W186" s="324">
        <v>97500</v>
      </c>
      <c r="X186" s="324">
        <v>0</v>
      </c>
      <c r="Y186" s="324">
        <v>97500</v>
      </c>
      <c r="Z186" s="324">
        <v>97500</v>
      </c>
      <c r="AB186" s="324">
        <v>-338750</v>
      </c>
      <c r="AC186" s="324" t="s">
        <v>55</v>
      </c>
    </row>
    <row r="187" spans="1:29" s="324" customFormat="1" ht="0.65" hidden="1" customHeight="1">
      <c r="A187" s="324">
        <v>2032</v>
      </c>
    </row>
    <row r="188" spans="1:29" s="324" customFormat="1" ht="0.65" hidden="1" customHeight="1">
      <c r="A188" s="324">
        <v>2033</v>
      </c>
    </row>
    <row r="189" spans="1:29" s="324" customFormat="1" ht="0.65" hidden="1" customHeight="1">
      <c r="A189" s="324">
        <v>2034</v>
      </c>
    </row>
    <row r="190" spans="1:29" s="324" customFormat="1" ht="0.65" hidden="1" customHeight="1">
      <c r="A190" s="324">
        <v>2035</v>
      </c>
    </row>
    <row r="191" spans="1:29" s="324" customFormat="1" ht="0.65" hidden="1" customHeight="1">
      <c r="A191" s="324">
        <v>2036</v>
      </c>
    </row>
    <row r="192" spans="1:29" s="324" customFormat="1" ht="0.65" hidden="1" customHeight="1">
      <c r="A192" s="324">
        <v>2037</v>
      </c>
    </row>
    <row r="193" spans="1:29" s="324" customFormat="1" ht="0.65" hidden="1" customHeight="1">
      <c r="A193" s="324">
        <v>2038</v>
      </c>
    </row>
    <row r="194" spans="1:29" s="324" customFormat="1" ht="0.65" hidden="1" customHeight="1">
      <c r="A194" s="324">
        <v>2039</v>
      </c>
    </row>
    <row r="195" spans="1:29" s="324" customFormat="1" ht="0.65" hidden="1" customHeight="1">
      <c r="A195" s="324">
        <v>2040</v>
      </c>
      <c r="E195" s="324" t="s">
        <v>55</v>
      </c>
      <c r="F195" s="324" t="s">
        <v>318</v>
      </c>
      <c r="H195" s="324" t="s">
        <v>185</v>
      </c>
      <c r="V195" s="324">
        <v>2025</v>
      </c>
      <c r="W195" s="324">
        <v>97500</v>
      </c>
      <c r="X195" s="324">
        <v>0</v>
      </c>
      <c r="Y195" s="324">
        <v>97500</v>
      </c>
      <c r="Z195" s="324">
        <v>475625</v>
      </c>
      <c r="AB195" s="324">
        <v>136875</v>
      </c>
      <c r="AC195" s="324">
        <v>2025</v>
      </c>
    </row>
    <row r="196" spans="1:29" s="324" customFormat="1" ht="0.65" hidden="1" customHeight="1">
      <c r="A196" s="324">
        <v>2041</v>
      </c>
      <c r="E196" s="324" t="s">
        <v>55</v>
      </c>
    </row>
    <row r="197" spans="1:29" s="324" customFormat="1" ht="0.65" hidden="1" customHeight="1">
      <c r="A197" s="324">
        <v>2042</v>
      </c>
      <c r="B197" s="324">
        <v>600000</v>
      </c>
      <c r="C197" s="324">
        <v>600000</v>
      </c>
      <c r="D197" s="324">
        <v>1</v>
      </c>
      <c r="E197" s="324">
        <v>1</v>
      </c>
      <c r="F197" s="324">
        <v>600000</v>
      </c>
      <c r="H197" s="324" t="s">
        <v>321</v>
      </c>
      <c r="V197" s="324" t="s">
        <v>25</v>
      </c>
    </row>
    <row r="198" spans="1:29" s="324" customFormat="1" ht="0.65" hidden="1" customHeight="1">
      <c r="A198" s="324">
        <v>2043</v>
      </c>
      <c r="B198" s="324">
        <v>10</v>
      </c>
      <c r="C198" s="324">
        <v>10</v>
      </c>
      <c r="D198" s="324">
        <v>1</v>
      </c>
      <c r="E198" s="324">
        <v>2</v>
      </c>
      <c r="F198" s="324">
        <v>45000</v>
      </c>
      <c r="H198" s="324" t="s">
        <v>322</v>
      </c>
    </row>
    <row r="199" spans="1:29" s="324" customFormat="1" ht="0.65" hidden="1" customHeight="1">
      <c r="A199" s="324">
        <v>2044</v>
      </c>
      <c r="B199" s="324">
        <v>400000</v>
      </c>
      <c r="C199" s="324">
        <v>400000</v>
      </c>
      <c r="D199" s="324">
        <v>1</v>
      </c>
      <c r="E199" s="324">
        <v>3</v>
      </c>
      <c r="F199" s="324">
        <v>56250</v>
      </c>
      <c r="H199" s="324" t="s">
        <v>1062</v>
      </c>
      <c r="V199" s="324" t="s">
        <v>124</v>
      </c>
      <c r="W199" s="324">
        <v>4.4999999999999998E-2</v>
      </c>
    </row>
    <row r="200" spans="1:29" s="324" customFormat="1" ht="0.65" hidden="1" customHeight="1">
      <c r="A200" s="324">
        <v>2045</v>
      </c>
      <c r="E200" s="324">
        <v>4</v>
      </c>
      <c r="F200" s="324">
        <v>4.4999999999999998E-2</v>
      </c>
      <c r="H200" s="324" t="s">
        <v>1063</v>
      </c>
      <c r="V200" s="324" t="s">
        <v>125</v>
      </c>
      <c r="W200" s="324">
        <v>0.08</v>
      </c>
    </row>
    <row r="201" spans="1:29" s="324" customFormat="1" ht="0.65" hidden="1" customHeight="1">
      <c r="A201" s="324">
        <v>2046</v>
      </c>
      <c r="B201" s="324">
        <v>360000</v>
      </c>
      <c r="C201" s="324">
        <v>360000</v>
      </c>
      <c r="D201" s="324">
        <v>1</v>
      </c>
      <c r="E201" s="324">
        <v>5</v>
      </c>
      <c r="F201" s="324">
        <v>0.08</v>
      </c>
      <c r="H201" s="324" t="s">
        <v>1064</v>
      </c>
      <c r="V201" s="324" t="s">
        <v>126</v>
      </c>
      <c r="W201" s="324">
        <v>5.3750000000000006E-2</v>
      </c>
    </row>
    <row r="202" spans="1:29" s="324" customFormat="1" ht="0.65" hidden="1" customHeight="1">
      <c r="A202" s="324">
        <v>2047</v>
      </c>
      <c r="B202" s="324">
        <v>240000</v>
      </c>
      <c r="C202" s="324">
        <v>240000</v>
      </c>
      <c r="D202" s="324">
        <v>1</v>
      </c>
      <c r="E202" s="324">
        <v>6</v>
      </c>
      <c r="F202" s="324">
        <v>5.3749999999999999E-2</v>
      </c>
      <c r="H202" s="324" t="s">
        <v>1065</v>
      </c>
    </row>
    <row r="203" spans="1:29" s="324" customFormat="1" ht="0.65" hidden="1" customHeight="1">
      <c r="A203" s="324">
        <v>2048</v>
      </c>
      <c r="E203" s="324">
        <v>7</v>
      </c>
      <c r="F203" s="324">
        <v>324506.98203695507</v>
      </c>
      <c r="H203" s="324" t="s">
        <v>1066</v>
      </c>
      <c r="V203" s="324" t="s">
        <v>27</v>
      </c>
    </row>
    <row r="204" spans="1:29" s="324" customFormat="1" ht="0.65" hidden="1" customHeight="1">
      <c r="A204" s="324">
        <v>2049</v>
      </c>
      <c r="B204" s="324">
        <v>30</v>
      </c>
      <c r="C204" s="324">
        <v>30</v>
      </c>
      <c r="D204" s="324">
        <v>1</v>
      </c>
      <c r="E204" s="324">
        <v>8</v>
      </c>
      <c r="F204" s="324">
        <v>81126.745509238768</v>
      </c>
      <c r="H204" s="324" t="s">
        <v>1067</v>
      </c>
    </row>
    <row r="205" spans="1:29" s="324" customFormat="1" ht="0.65" hidden="1" customHeight="1">
      <c r="A205" s="324">
        <v>2050</v>
      </c>
      <c r="B205" s="324">
        <v>60</v>
      </c>
      <c r="C205" s="324">
        <v>60</v>
      </c>
      <c r="D205" s="324">
        <v>1</v>
      </c>
      <c r="E205" s="324">
        <v>9</v>
      </c>
      <c r="F205" s="324">
        <v>20281.686377309692</v>
      </c>
      <c r="H205" s="324" t="s">
        <v>1068</v>
      </c>
      <c r="V205" s="324" t="s">
        <v>13</v>
      </c>
      <c r="W205" s="324">
        <v>52565.582461407641</v>
      </c>
      <c r="X205" s="324" t="s">
        <v>1020</v>
      </c>
    </row>
    <row r="206" spans="1:29" s="324" customFormat="1" ht="0.65" hidden="1" customHeight="1">
      <c r="A206" s="324">
        <v>2051</v>
      </c>
      <c r="E206" s="324">
        <v>10</v>
      </c>
      <c r="F206" s="324">
        <v>-9489.916963226573</v>
      </c>
      <c r="H206" s="324" t="s">
        <v>1069</v>
      </c>
      <c r="V206" s="324" t="s">
        <v>28</v>
      </c>
      <c r="W206" s="324">
        <v>9.3380333972086005E-2</v>
      </c>
      <c r="X206" s="324" t="s">
        <v>1021</v>
      </c>
    </row>
    <row r="207" spans="1:29" s="324" customFormat="1" ht="0.65" hidden="1" customHeight="1">
      <c r="A207" s="324">
        <v>2052</v>
      </c>
      <c r="E207" s="324">
        <v>11</v>
      </c>
      <c r="F207" s="324">
        <v>400000</v>
      </c>
      <c r="H207" s="324" t="s">
        <v>323</v>
      </c>
      <c r="V207" s="324" t="s">
        <v>29</v>
      </c>
      <c r="W207" s="324">
        <v>9.6672335561209452E-2</v>
      </c>
      <c r="X207" s="324" t="s">
        <v>1022</v>
      </c>
    </row>
    <row r="208" spans="1:29" s="324" customFormat="1" ht="0.65" hidden="1" customHeight="1">
      <c r="A208" s="324">
        <v>2053</v>
      </c>
      <c r="B208" s="324">
        <v>45000</v>
      </c>
      <c r="C208" s="324">
        <v>45000</v>
      </c>
      <c r="D208" s="324">
        <v>1</v>
      </c>
      <c r="E208" s="324">
        <v>12</v>
      </c>
      <c r="F208" s="324">
        <v>100000</v>
      </c>
      <c r="H208" s="324" t="s">
        <v>810</v>
      </c>
      <c r="V208" s="324" t="s">
        <v>30</v>
      </c>
      <c r="W208" s="324">
        <v>3</v>
      </c>
      <c r="X208" s="324" t="s">
        <v>1023</v>
      </c>
    </row>
    <row r="209" spans="1:8" s="324" customFormat="1" ht="0.65" hidden="1" customHeight="1">
      <c r="A209" s="324">
        <v>2054</v>
      </c>
      <c r="B209" s="324">
        <v>90000</v>
      </c>
      <c r="C209" s="324">
        <v>90000</v>
      </c>
      <c r="D209" s="324">
        <v>1</v>
      </c>
      <c r="E209" s="324">
        <v>13</v>
      </c>
      <c r="F209" s="324">
        <v>105000</v>
      </c>
      <c r="H209" s="324" t="s">
        <v>1070</v>
      </c>
    </row>
    <row r="210" spans="1:8" s="324" customFormat="1" ht="0.65" hidden="1" customHeight="1">
      <c r="A210" s="324">
        <v>2055</v>
      </c>
      <c r="B210" s="324">
        <v>3</v>
      </c>
      <c r="C210" s="324">
        <v>3</v>
      </c>
      <c r="D210" s="324">
        <v>1</v>
      </c>
      <c r="E210" s="324">
        <v>14</v>
      </c>
      <c r="F210" s="324">
        <v>405000</v>
      </c>
      <c r="H210" s="324" t="s">
        <v>1071</v>
      </c>
    </row>
    <row r="211" spans="1:8" s="324" customFormat="1" ht="0.65" hidden="1" customHeight="1">
      <c r="A211" s="324">
        <v>2056</v>
      </c>
      <c r="B211" s="324">
        <v>22500</v>
      </c>
      <c r="C211" s="324">
        <v>22500</v>
      </c>
      <c r="D211" s="324">
        <v>1</v>
      </c>
      <c r="E211" s="324">
        <v>15</v>
      </c>
      <c r="F211" s="324">
        <v>22500</v>
      </c>
      <c r="H211" s="324" t="s">
        <v>324</v>
      </c>
    </row>
    <row r="212" spans="1:8" s="324" customFormat="1" ht="0.65" hidden="1" customHeight="1">
      <c r="A212" s="324">
        <v>2057</v>
      </c>
      <c r="E212" s="324">
        <v>16</v>
      </c>
      <c r="F212" s="324">
        <v>5625</v>
      </c>
      <c r="H212" s="324" t="s">
        <v>1072</v>
      </c>
    </row>
    <row r="213" spans="1:8" s="324" customFormat="1" ht="0.65" hidden="1" customHeight="1">
      <c r="A213" s="324">
        <v>2058</v>
      </c>
      <c r="B213" s="324">
        <v>0.25</v>
      </c>
      <c r="C213" s="324">
        <v>0.25</v>
      </c>
      <c r="D213" s="324">
        <v>1</v>
      </c>
      <c r="E213" s="324">
        <v>17</v>
      </c>
      <c r="F213" s="324">
        <v>0</v>
      </c>
      <c r="H213" s="324" t="s">
        <v>814</v>
      </c>
    </row>
    <row r="214" spans="1:8" s="324" customFormat="1" ht="0.65" hidden="1" customHeight="1">
      <c r="A214" s="324">
        <v>2059</v>
      </c>
      <c r="E214" s="324">
        <v>18</v>
      </c>
      <c r="F214" s="324">
        <v>16875</v>
      </c>
      <c r="H214" s="324" t="s">
        <v>1073</v>
      </c>
    </row>
    <row r="215" spans="1:8" s="324" customFormat="1" ht="0.65" hidden="1" customHeight="1">
      <c r="A215" s="324">
        <v>2060</v>
      </c>
      <c r="E215" s="324">
        <v>19</v>
      </c>
      <c r="F215" s="324">
        <v>331710.22173611453</v>
      </c>
      <c r="H215" s="324" t="s">
        <v>1074</v>
      </c>
    </row>
    <row r="216" spans="1:8" s="324" customFormat="1" ht="0.65" hidden="1" customHeight="1">
      <c r="A216" s="324">
        <v>2061</v>
      </c>
      <c r="B216" s="324">
        <v>720000</v>
      </c>
      <c r="C216" s="324">
        <v>720000</v>
      </c>
      <c r="D216" s="324">
        <v>1</v>
      </c>
      <c r="E216" s="324">
        <v>20</v>
      </c>
      <c r="F216" s="324">
        <v>-10000</v>
      </c>
      <c r="H216" s="324" t="s">
        <v>1075</v>
      </c>
    </row>
    <row r="217" spans="1:8" s="324" customFormat="1" ht="0.65" hidden="1" customHeight="1">
      <c r="A217" s="324">
        <v>2062</v>
      </c>
      <c r="B217" s="324">
        <v>240000</v>
      </c>
      <c r="C217" s="324">
        <v>240000</v>
      </c>
      <c r="D217" s="324">
        <v>1</v>
      </c>
      <c r="E217" s="324">
        <v>21</v>
      </c>
      <c r="F217" s="324">
        <v>-8546.4791429594734</v>
      </c>
      <c r="H217" s="324" t="s">
        <v>1076</v>
      </c>
    </row>
    <row r="218" spans="1:8" s="324" customFormat="1" ht="0.65" hidden="1" customHeight="1">
      <c r="A218" s="324">
        <v>2063</v>
      </c>
      <c r="B218" s="324">
        <v>0.02</v>
      </c>
      <c r="C218" s="324">
        <v>0.02</v>
      </c>
      <c r="D218" s="324">
        <v>1</v>
      </c>
      <c r="E218" s="324">
        <v>22</v>
      </c>
      <c r="F218" s="324">
        <v>52565.582461407568</v>
      </c>
      <c r="H218" s="324" t="s">
        <v>1077</v>
      </c>
    </row>
    <row r="219" spans="1:8" s="324" customFormat="1" ht="0.65" hidden="1" customHeight="1">
      <c r="A219" s="324">
        <v>2064</v>
      </c>
      <c r="B219" s="324">
        <v>12000000</v>
      </c>
      <c r="C219" s="324">
        <v>12000000</v>
      </c>
      <c r="D219" s="324">
        <v>1</v>
      </c>
      <c r="E219" s="324">
        <v>23</v>
      </c>
      <c r="F219" s="324">
        <v>76441.273885904113</v>
      </c>
      <c r="H219" s="324" t="s">
        <v>1078</v>
      </c>
    </row>
    <row r="220" spans="1:8" s="324" customFormat="1" ht="0.65" hidden="1" customHeight="1">
      <c r="A220" s="324">
        <v>2065</v>
      </c>
      <c r="B220" s="324">
        <v>4000000</v>
      </c>
      <c r="C220" s="324">
        <v>4000000</v>
      </c>
      <c r="D220" s="324">
        <v>1</v>
      </c>
      <c r="E220" s="324">
        <v>24</v>
      </c>
      <c r="F220" s="324">
        <v>2830.3134608012952</v>
      </c>
      <c r="H220" s="324" t="s">
        <v>1079</v>
      </c>
    </row>
    <row r="221" spans="1:8" s="324" customFormat="1" ht="0.65" hidden="1" customHeight="1">
      <c r="A221" s="324">
        <v>2066</v>
      </c>
      <c r="C221" s="324" t="s">
        <v>422</v>
      </c>
      <c r="D221" s="324">
        <v>17</v>
      </c>
      <c r="E221" s="324">
        <v>25</v>
      </c>
      <c r="F221" s="324">
        <v>-3773.7512810683984</v>
      </c>
      <c r="H221" s="324" t="s">
        <v>1080</v>
      </c>
    </row>
    <row r="222" spans="1:8" s="324" customFormat="1" ht="0.65" hidden="1" customHeight="1">
      <c r="A222" s="324">
        <v>2067</v>
      </c>
      <c r="C222" s="324" t="s">
        <v>423</v>
      </c>
      <c r="D222" s="324" t="s">
        <v>520</v>
      </c>
      <c r="E222" s="324">
        <v>26</v>
      </c>
      <c r="F222" s="324">
        <v>-14535.208570405273</v>
      </c>
      <c r="H222" s="324" t="s">
        <v>1081</v>
      </c>
    </row>
    <row r="223" spans="1:8" s="324" customFormat="1" ht="0.65" hidden="1" customHeight="1">
      <c r="A223" s="324">
        <v>2068</v>
      </c>
      <c r="F223" s="324">
        <v>6.5000000000000002E-2</v>
      </c>
    </row>
    <row r="224" spans="1:8" s="324" customFormat="1" ht="0.65" hidden="1" customHeight="1"/>
    <row r="225" spans="1:29" s="324" customFormat="1" ht="0.65" hidden="1" customHeight="1"/>
    <row r="226" spans="1:29" s="324" customFormat="1" ht="0.65" hidden="1" customHeight="1"/>
    <row r="227" spans="1:29" s="324" customFormat="1" ht="0.65" hidden="1" customHeight="1">
      <c r="A227" s="324" t="s">
        <v>19</v>
      </c>
      <c r="C227" s="324" t="s">
        <v>336</v>
      </c>
      <c r="D227" s="324">
        <v>3</v>
      </c>
      <c r="E227" s="324" t="s">
        <v>187</v>
      </c>
      <c r="F227" s="324" t="s">
        <v>327</v>
      </c>
      <c r="N227" s="324" t="s">
        <v>320</v>
      </c>
      <c r="Q227" s="324" t="s">
        <v>325</v>
      </c>
      <c r="V227" s="324" t="s">
        <v>24</v>
      </c>
    </row>
    <row r="228" spans="1:29" s="324" customFormat="1" ht="0.65" hidden="1" customHeight="1">
      <c r="C228" s="324" t="s">
        <v>336</v>
      </c>
      <c r="D228" s="324" t="s">
        <v>486</v>
      </c>
      <c r="F228" s="324" t="s">
        <v>3951</v>
      </c>
    </row>
    <row r="229" spans="1:29" s="324" customFormat="1" ht="0.65" hidden="1" customHeight="1">
      <c r="A229" s="324">
        <v>3001</v>
      </c>
      <c r="B229" s="324" t="s">
        <v>5</v>
      </c>
      <c r="C229" s="324">
        <v>2022</v>
      </c>
      <c r="E229" s="324">
        <v>1</v>
      </c>
      <c r="F229" s="324" t="s">
        <v>292</v>
      </c>
      <c r="N229" s="324">
        <v>300000</v>
      </c>
      <c r="O229" s="324" t="s">
        <v>55</v>
      </c>
      <c r="Q229" s="324" t="s">
        <v>800</v>
      </c>
      <c r="V229" s="324" t="s">
        <v>490</v>
      </c>
      <c r="W229" s="324">
        <v>175000</v>
      </c>
    </row>
    <row r="230" spans="1:29" s="324" customFormat="1" ht="0.65" hidden="1" customHeight="1">
      <c r="A230" s="324">
        <v>3002</v>
      </c>
      <c r="E230" s="324">
        <v>2</v>
      </c>
      <c r="F230" s="324" t="s">
        <v>313</v>
      </c>
      <c r="N230" s="324">
        <v>100000</v>
      </c>
      <c r="O230" s="324" t="s">
        <v>55</v>
      </c>
      <c r="Q230" s="324" t="s">
        <v>800</v>
      </c>
    </row>
    <row r="231" spans="1:29" s="324" customFormat="1" ht="0.65" hidden="1" customHeight="1">
      <c r="A231" s="324">
        <v>3003</v>
      </c>
      <c r="B231" s="324" t="s">
        <v>32</v>
      </c>
      <c r="E231" s="324">
        <v>3</v>
      </c>
      <c r="F231" s="324" t="s">
        <v>314</v>
      </c>
      <c r="N231" s="324">
        <v>125000</v>
      </c>
      <c r="O231" s="324" t="s">
        <v>55</v>
      </c>
      <c r="P231" s="324" t="s">
        <v>55</v>
      </c>
      <c r="Q231" s="324" t="s">
        <v>800</v>
      </c>
      <c r="V231" s="324" t="s">
        <v>21</v>
      </c>
    </row>
    <row r="232" spans="1:29" s="324" customFormat="1" ht="0.65" hidden="1" customHeight="1">
      <c r="A232" s="324">
        <v>3004</v>
      </c>
      <c r="B232" s="324" t="s">
        <v>488</v>
      </c>
      <c r="C232" s="324">
        <v>300000</v>
      </c>
      <c r="E232" s="324">
        <v>4</v>
      </c>
      <c r="F232" s="324" t="s">
        <v>293</v>
      </c>
      <c r="N232" s="324">
        <v>4.4999999999999998E-2</v>
      </c>
      <c r="O232" s="324" t="s">
        <v>55</v>
      </c>
      <c r="Q232" s="324" t="s">
        <v>800</v>
      </c>
    </row>
    <row r="233" spans="1:29" s="324" customFormat="1" ht="0.65" hidden="1" customHeight="1">
      <c r="A233" s="324">
        <v>3005</v>
      </c>
      <c r="B233" s="324" t="s">
        <v>6</v>
      </c>
      <c r="C233" s="324">
        <v>6</v>
      </c>
      <c r="E233" s="324">
        <v>5</v>
      </c>
      <c r="F233" s="324" t="s">
        <v>294</v>
      </c>
      <c r="N233" s="324">
        <v>0.08</v>
      </c>
      <c r="O233" s="324" t="s">
        <v>55</v>
      </c>
      <c r="Q233" s="324" t="s">
        <v>800</v>
      </c>
    </row>
    <row r="234" spans="1:29" s="324" customFormat="1" ht="0.65" hidden="1" customHeight="1">
      <c r="A234" s="324">
        <v>3006</v>
      </c>
      <c r="B234" s="324" t="s">
        <v>489</v>
      </c>
      <c r="C234" s="324">
        <v>100000</v>
      </c>
      <c r="E234" s="324">
        <v>6</v>
      </c>
      <c r="F234" s="324" t="s">
        <v>295</v>
      </c>
      <c r="N234" s="324">
        <v>7.1249999999999994E-2</v>
      </c>
      <c r="O234" s="324" t="s">
        <v>55</v>
      </c>
      <c r="Q234" s="324" t="s">
        <v>800</v>
      </c>
      <c r="V234" s="324" t="s">
        <v>0</v>
      </c>
      <c r="W234" s="324" t="s">
        <v>69</v>
      </c>
      <c r="X234" s="324" t="s">
        <v>70</v>
      </c>
      <c r="Y234" s="324" t="s">
        <v>71</v>
      </c>
      <c r="Z234" s="324" t="s">
        <v>72</v>
      </c>
      <c r="AA234" s="324" t="s">
        <v>73</v>
      </c>
      <c r="AB234" s="324" t="s">
        <v>74</v>
      </c>
      <c r="AC234" s="324" t="s">
        <v>75</v>
      </c>
    </row>
    <row r="235" spans="1:29" s="324" customFormat="1" ht="0.65" hidden="1" customHeight="1">
      <c r="A235" s="324">
        <v>3007</v>
      </c>
      <c r="E235" s="324">
        <v>7</v>
      </c>
      <c r="F235" s="324" t="s">
        <v>311</v>
      </c>
      <c r="N235" s="324">
        <v>377040.11904125626</v>
      </c>
      <c r="O235" s="324" t="s">
        <v>55</v>
      </c>
      <c r="Q235" s="324" t="s">
        <v>800</v>
      </c>
      <c r="V235" s="324">
        <v>2023</v>
      </c>
      <c r="W235" s="324">
        <v>720000</v>
      </c>
      <c r="X235" s="324">
        <v>576000</v>
      </c>
      <c r="Y235" s="324">
        <v>-16666.666666666672</v>
      </c>
      <c r="Z235" s="324">
        <v>160666.66666666669</v>
      </c>
      <c r="AA235" s="324">
        <v>40166.666666666672</v>
      </c>
      <c r="AB235" s="324">
        <v>120500.00000000001</v>
      </c>
      <c r="AC235" s="324">
        <v>103833.33333333334</v>
      </c>
    </row>
    <row r="236" spans="1:29" s="324" customFormat="1" ht="0.65" hidden="1" customHeight="1">
      <c r="A236" s="324">
        <v>3008</v>
      </c>
      <c r="B236" s="324" t="s">
        <v>34</v>
      </c>
      <c r="C236" s="324">
        <v>720000</v>
      </c>
      <c r="E236" s="324">
        <v>8</v>
      </c>
      <c r="F236" s="324" t="s">
        <v>296</v>
      </c>
      <c r="N236" s="324">
        <v>94260.029760314064</v>
      </c>
      <c r="O236" s="324" t="s">
        <v>55</v>
      </c>
      <c r="Q236" s="324" t="s">
        <v>800</v>
      </c>
      <c r="V236" s="324">
        <v>2024</v>
      </c>
      <c r="W236" s="324">
        <v>720000</v>
      </c>
      <c r="X236" s="324">
        <v>576000</v>
      </c>
      <c r="Y236" s="324">
        <v>-16666.666666666672</v>
      </c>
      <c r="Z236" s="324">
        <v>160666.66666666669</v>
      </c>
      <c r="AA236" s="324">
        <v>40166.666666666672</v>
      </c>
      <c r="AB236" s="324">
        <v>120500.00000000001</v>
      </c>
      <c r="AC236" s="324">
        <v>103833.33333333334</v>
      </c>
    </row>
    <row r="237" spans="1:29" s="324" customFormat="1" ht="0.65" hidden="1" customHeight="1">
      <c r="A237" s="324">
        <v>3009</v>
      </c>
      <c r="B237" s="324" t="s">
        <v>35</v>
      </c>
      <c r="C237" s="324">
        <v>576000</v>
      </c>
      <c r="E237" s="324">
        <v>9</v>
      </c>
      <c r="F237" s="324" t="s">
        <v>298</v>
      </c>
      <c r="N237" s="324">
        <v>-10909.72566670302</v>
      </c>
      <c r="O237" s="324" t="s">
        <v>55</v>
      </c>
      <c r="Q237" s="324" t="s">
        <v>800</v>
      </c>
      <c r="V237" s="324">
        <v>2025</v>
      </c>
      <c r="W237" s="324">
        <v>720000</v>
      </c>
      <c r="X237" s="324">
        <v>576000</v>
      </c>
      <c r="Y237" s="324">
        <v>-16666.666666666672</v>
      </c>
      <c r="Z237" s="324">
        <v>160666.66666666669</v>
      </c>
      <c r="AA237" s="324">
        <v>40166.666666666672</v>
      </c>
      <c r="AB237" s="324">
        <v>120500.00000000001</v>
      </c>
      <c r="AC237" s="324">
        <v>103833.33333333334</v>
      </c>
    </row>
    <row r="238" spans="1:29" s="324" customFormat="1" ht="0.65" hidden="1" customHeight="1">
      <c r="A238" s="324">
        <v>3010</v>
      </c>
      <c r="E238" s="324">
        <v>10</v>
      </c>
      <c r="F238" s="324" t="s">
        <v>297</v>
      </c>
      <c r="N238" s="324">
        <v>67211.201866977834</v>
      </c>
      <c r="O238" s="324" t="s">
        <v>55</v>
      </c>
      <c r="Q238" s="324" t="s">
        <v>800</v>
      </c>
    </row>
    <row r="239" spans="1:29" s="324" customFormat="1" ht="0.65" hidden="1" customHeight="1">
      <c r="A239" s="324">
        <v>3011</v>
      </c>
      <c r="B239" s="324" t="s">
        <v>7</v>
      </c>
      <c r="C239" s="324">
        <v>60</v>
      </c>
      <c r="E239" s="324">
        <v>11</v>
      </c>
      <c r="F239" s="324" t="s">
        <v>299</v>
      </c>
      <c r="N239" s="324">
        <v>100000</v>
      </c>
      <c r="O239" s="324" t="s">
        <v>55</v>
      </c>
      <c r="Q239" s="324" t="s">
        <v>800</v>
      </c>
      <c r="V239" s="324" t="s">
        <v>22</v>
      </c>
    </row>
    <row r="240" spans="1:29" s="324" customFormat="1" ht="0.65" hidden="1" customHeight="1">
      <c r="A240" s="324">
        <v>3012</v>
      </c>
      <c r="B240" s="324" t="s">
        <v>8</v>
      </c>
      <c r="C240" s="324">
        <v>30</v>
      </c>
      <c r="E240" s="324">
        <v>12</v>
      </c>
      <c r="F240" s="324" t="s">
        <v>300</v>
      </c>
      <c r="N240" s="324">
        <v>25000</v>
      </c>
      <c r="O240" s="324" t="s">
        <v>55</v>
      </c>
      <c r="Q240" s="324" t="s">
        <v>800</v>
      </c>
    </row>
    <row r="241" spans="1:28" s="324" customFormat="1" ht="0.65" hidden="1" customHeight="1">
      <c r="A241" s="324">
        <v>3013</v>
      </c>
      <c r="E241" s="324">
        <v>13</v>
      </c>
      <c r="F241" s="324" t="s">
        <v>301</v>
      </c>
      <c r="N241" s="324">
        <v>37500</v>
      </c>
      <c r="O241" s="324" t="s">
        <v>55</v>
      </c>
      <c r="Q241" s="324" t="s">
        <v>800</v>
      </c>
    </row>
    <row r="242" spans="1:28" s="324" customFormat="1" ht="0.65" hidden="1" customHeight="1">
      <c r="A242" s="324">
        <v>3014</v>
      </c>
      <c r="B242" s="324" t="s">
        <v>33</v>
      </c>
      <c r="E242" s="324">
        <v>14</v>
      </c>
      <c r="F242" s="324" t="s">
        <v>302</v>
      </c>
      <c r="N242" s="324">
        <v>112500</v>
      </c>
      <c r="O242" s="324" t="s">
        <v>55</v>
      </c>
      <c r="Q242" s="324" t="s">
        <v>800</v>
      </c>
      <c r="V242" s="324" t="s">
        <v>0</v>
      </c>
      <c r="W242" s="324" t="s">
        <v>76</v>
      </c>
      <c r="X242" s="324" t="s">
        <v>77</v>
      </c>
      <c r="Y242" s="324" t="s">
        <v>78</v>
      </c>
      <c r="Z242" s="324" t="s">
        <v>79</v>
      </c>
    </row>
    <row r="243" spans="1:28" s="324" customFormat="1" ht="0.65" hidden="1" customHeight="1">
      <c r="A243" s="324">
        <v>3015</v>
      </c>
      <c r="B243" s="324" t="s">
        <v>492</v>
      </c>
      <c r="C243" s="324">
        <v>100000</v>
      </c>
      <c r="E243" s="324">
        <v>15</v>
      </c>
      <c r="F243" s="324" t="s">
        <v>303</v>
      </c>
      <c r="N243" s="324">
        <v>50000</v>
      </c>
      <c r="O243" s="324" t="s">
        <v>55</v>
      </c>
      <c r="Q243" s="324" t="s">
        <v>800</v>
      </c>
      <c r="V243" s="324">
        <v>2022</v>
      </c>
      <c r="W243" s="324">
        <v>0</v>
      </c>
      <c r="X243" s="324">
        <v>0</v>
      </c>
      <c r="Y243" s="324">
        <v>0</v>
      </c>
      <c r="Z243" s="324">
        <v>0</v>
      </c>
    </row>
    <row r="244" spans="1:28" s="324" customFormat="1" ht="0.65" hidden="1" customHeight="1">
      <c r="A244" s="324">
        <v>3016</v>
      </c>
      <c r="B244" s="324" t="s">
        <v>495</v>
      </c>
      <c r="C244" s="324">
        <v>200000</v>
      </c>
      <c r="E244" s="324">
        <v>16</v>
      </c>
      <c r="F244" s="324" t="s">
        <v>304</v>
      </c>
      <c r="N244" s="324">
        <v>12500</v>
      </c>
      <c r="O244" s="324" t="s">
        <v>55</v>
      </c>
      <c r="Q244" s="324" t="s">
        <v>800</v>
      </c>
      <c r="V244" s="324">
        <v>2023</v>
      </c>
      <c r="W244" s="324">
        <v>120000</v>
      </c>
      <c r="X244" s="324">
        <v>48000</v>
      </c>
      <c r="Y244" s="324">
        <v>72000</v>
      </c>
      <c r="Z244" s="324">
        <v>72000</v>
      </c>
    </row>
    <row r="245" spans="1:28" s="324" customFormat="1" ht="0.65" hidden="1" customHeight="1">
      <c r="A245" s="324">
        <v>3017</v>
      </c>
      <c r="B245" s="324" t="s">
        <v>6</v>
      </c>
      <c r="C245" s="324">
        <v>3</v>
      </c>
      <c r="E245" s="324">
        <v>17</v>
      </c>
      <c r="F245" s="324" t="s">
        <v>305</v>
      </c>
      <c r="N245" s="324">
        <v>0</v>
      </c>
      <c r="O245" s="324" t="s">
        <v>55</v>
      </c>
      <c r="Q245" s="324" t="s">
        <v>800</v>
      </c>
      <c r="V245" s="324">
        <v>2024</v>
      </c>
      <c r="W245" s="324">
        <v>120000</v>
      </c>
      <c r="X245" s="324">
        <v>48000</v>
      </c>
      <c r="Y245" s="324">
        <v>72000</v>
      </c>
      <c r="Z245" s="324">
        <v>0</v>
      </c>
    </row>
    <row r="246" spans="1:28" s="324" customFormat="1" ht="0.65" hidden="1" customHeight="1">
      <c r="A246" s="324">
        <v>3018</v>
      </c>
      <c r="B246" s="324" t="s">
        <v>489</v>
      </c>
      <c r="C246" s="324">
        <v>50000</v>
      </c>
      <c r="E246" s="324">
        <v>18</v>
      </c>
      <c r="F246" s="324" t="s">
        <v>306</v>
      </c>
      <c r="N246" s="324">
        <v>37500</v>
      </c>
      <c r="O246" s="324" t="s">
        <v>55</v>
      </c>
      <c r="Q246" s="324" t="s">
        <v>800</v>
      </c>
      <c r="V246" s="324">
        <v>2025</v>
      </c>
      <c r="W246" s="324">
        <v>120000</v>
      </c>
      <c r="X246" s="324">
        <v>48000</v>
      </c>
      <c r="Y246" s="324">
        <v>72000</v>
      </c>
      <c r="Z246" s="324">
        <v>0</v>
      </c>
    </row>
    <row r="247" spans="1:28" s="324" customFormat="1" ht="0.65" hidden="1" customHeight="1">
      <c r="A247" s="324">
        <v>3019</v>
      </c>
      <c r="E247" s="324">
        <v>19</v>
      </c>
      <c r="F247" s="324" t="s">
        <v>307</v>
      </c>
      <c r="N247" s="324">
        <v>61008.276832453375</v>
      </c>
      <c r="O247" s="324" t="s">
        <v>55</v>
      </c>
      <c r="Q247" s="324" t="s">
        <v>800</v>
      </c>
    </row>
    <row r="248" spans="1:28" s="324" customFormat="1" ht="0.65" hidden="1" customHeight="1">
      <c r="A248" s="324">
        <v>3020</v>
      </c>
      <c r="B248" s="324" t="s">
        <v>4</v>
      </c>
      <c r="C248" s="324">
        <v>0.25</v>
      </c>
      <c r="E248" s="324">
        <v>20</v>
      </c>
      <c r="F248" s="324" t="s">
        <v>308</v>
      </c>
      <c r="N248" s="324">
        <v>72000</v>
      </c>
      <c r="O248" s="324" t="s">
        <v>55</v>
      </c>
      <c r="P248" s="324" t="s">
        <v>55</v>
      </c>
      <c r="Q248" s="324" t="s">
        <v>800</v>
      </c>
      <c r="V248" s="324" t="s">
        <v>23</v>
      </c>
    </row>
    <row r="249" spans="1:28" s="324" customFormat="1" ht="0.65" hidden="1" customHeight="1">
      <c r="A249" s="324">
        <v>3021</v>
      </c>
      <c r="C249" s="324" t="s">
        <v>9</v>
      </c>
      <c r="E249" s="324">
        <v>21</v>
      </c>
      <c r="F249" s="324" t="s">
        <v>309</v>
      </c>
      <c r="N249" s="324">
        <v>58567.945759155242</v>
      </c>
      <c r="O249" s="324" t="s">
        <v>55</v>
      </c>
      <c r="Q249" s="324" t="s">
        <v>800</v>
      </c>
    </row>
    <row r="250" spans="1:28" s="324" customFormat="1" ht="0.65" hidden="1" customHeight="1">
      <c r="A250" s="324">
        <v>3022</v>
      </c>
      <c r="E250" s="324">
        <v>22</v>
      </c>
      <c r="F250" s="324" t="s">
        <v>317</v>
      </c>
      <c r="N250" s="324">
        <v>149235.38433886995</v>
      </c>
      <c r="O250" s="324" t="s">
        <v>55</v>
      </c>
      <c r="Q250" s="324" t="s">
        <v>800</v>
      </c>
      <c r="V250" s="324" t="s">
        <v>491</v>
      </c>
      <c r="W250" s="324">
        <v>75000</v>
      </c>
    </row>
    <row r="251" spans="1:28" s="324" customFormat="1" ht="0.65" hidden="1" customHeight="1">
      <c r="A251" s="324">
        <v>3023</v>
      </c>
      <c r="B251" s="324" t="s">
        <v>10</v>
      </c>
      <c r="C251" s="324">
        <v>180000</v>
      </c>
      <c r="E251" s="324">
        <v>23</v>
      </c>
      <c r="F251" s="324" t="s">
        <v>310</v>
      </c>
      <c r="N251" s="324">
        <v>205704.15183568746</v>
      </c>
      <c r="O251" s="324" t="s">
        <v>55</v>
      </c>
      <c r="Q251" s="324" t="s">
        <v>800</v>
      </c>
      <c r="V251" s="324" t="s">
        <v>493</v>
      </c>
      <c r="W251" s="324">
        <v>72000</v>
      </c>
    </row>
    <row r="252" spans="1:28" s="324" customFormat="1" ht="0.65" hidden="1" customHeight="1">
      <c r="A252" s="324">
        <v>3024</v>
      </c>
      <c r="B252" s="324" t="s">
        <v>11</v>
      </c>
      <c r="C252" s="324">
        <v>450000</v>
      </c>
      <c r="E252" s="324">
        <v>24</v>
      </c>
      <c r="F252" s="324" t="s">
        <v>315</v>
      </c>
      <c r="N252" s="324">
        <v>14405.426846370974</v>
      </c>
      <c r="O252" s="324" t="s">
        <v>55</v>
      </c>
      <c r="Q252" s="324" t="s">
        <v>800</v>
      </c>
      <c r="V252" s="324" t="s">
        <v>494</v>
      </c>
      <c r="W252" s="324">
        <v>147000</v>
      </c>
    </row>
    <row r="253" spans="1:28" s="324" customFormat="1" ht="0.65" hidden="1" customHeight="1">
      <c r="A253" s="324">
        <v>3025</v>
      </c>
      <c r="B253" s="324" t="s">
        <v>12</v>
      </c>
      <c r="C253" s="324">
        <v>0.03</v>
      </c>
      <c r="E253" s="324">
        <v>25</v>
      </c>
      <c r="F253" s="324" t="s">
        <v>316</v>
      </c>
      <c r="N253" s="324">
        <v>-5762.1707385483896</v>
      </c>
      <c r="O253" s="324" t="s">
        <v>55</v>
      </c>
      <c r="Q253" s="324" t="s">
        <v>800</v>
      </c>
    </row>
    <row r="254" spans="1:28" s="324" customFormat="1" ht="0.65" hidden="1" customHeight="1">
      <c r="A254" s="324">
        <v>3026</v>
      </c>
      <c r="B254" s="324" t="s">
        <v>2</v>
      </c>
      <c r="C254" s="324">
        <v>3000000</v>
      </c>
      <c r="E254" s="324">
        <v>26</v>
      </c>
      <c r="F254" s="324" t="s">
        <v>312</v>
      </c>
      <c r="N254" s="324">
        <v>-18655.630890062166</v>
      </c>
      <c r="O254" s="324" t="s">
        <v>55</v>
      </c>
      <c r="Q254" s="324" t="s">
        <v>800</v>
      </c>
      <c r="V254" s="324" t="s">
        <v>26</v>
      </c>
    </row>
    <row r="255" spans="1:28" s="324" customFormat="1" ht="0.65" hidden="1" customHeight="1">
      <c r="A255" s="324">
        <v>3027</v>
      </c>
      <c r="B255" s="324" t="s">
        <v>3</v>
      </c>
      <c r="C255" s="324">
        <v>9000000</v>
      </c>
      <c r="Z255" s="324" t="s">
        <v>81</v>
      </c>
    </row>
    <row r="256" spans="1:28" s="324" customFormat="1" ht="0.65" hidden="1" customHeight="1">
      <c r="A256" s="324">
        <v>3028</v>
      </c>
      <c r="J256" s="324">
        <v>0</v>
      </c>
      <c r="M256" s="324" t="s">
        <v>319</v>
      </c>
      <c r="N256" s="324" t="s">
        <v>36</v>
      </c>
      <c r="O256" s="324" t="s">
        <v>55</v>
      </c>
      <c r="V256" s="324" t="s">
        <v>0</v>
      </c>
      <c r="W256" s="324" t="s">
        <v>75</v>
      </c>
      <c r="X256" s="324" t="s">
        <v>79</v>
      </c>
      <c r="Y256" s="324" t="s">
        <v>80</v>
      </c>
      <c r="Z256" s="324" t="s">
        <v>1</v>
      </c>
      <c r="AB256" s="324" t="s">
        <v>31</v>
      </c>
    </row>
    <row r="257" spans="1:29" s="324" customFormat="1" ht="0.65" hidden="1" customHeight="1">
      <c r="A257" s="324">
        <v>3029</v>
      </c>
      <c r="B257" s="324" t="s">
        <v>14</v>
      </c>
      <c r="C257" s="324" t="s">
        <v>16</v>
      </c>
      <c r="H257" s="324" t="s">
        <v>55</v>
      </c>
      <c r="N257" s="324" t="s">
        <v>424</v>
      </c>
      <c r="V257" s="324">
        <v>2022</v>
      </c>
      <c r="W257" s="324">
        <v>0</v>
      </c>
      <c r="X257" s="324">
        <v>0</v>
      </c>
      <c r="Y257" s="324">
        <v>0</v>
      </c>
      <c r="Z257" s="324">
        <v>-175000</v>
      </c>
      <c r="AB257" s="324">
        <v>-175000</v>
      </c>
    </row>
    <row r="258" spans="1:29" s="324" customFormat="1" ht="0.65" hidden="1" customHeight="1">
      <c r="A258" s="324">
        <v>3030</v>
      </c>
      <c r="F258" s="324" t="s">
        <v>326</v>
      </c>
      <c r="H258" s="324">
        <v>3</v>
      </c>
      <c r="I258" s="324" t="s">
        <v>1285</v>
      </c>
      <c r="J258" s="324" t="s">
        <v>1286</v>
      </c>
      <c r="V258" s="324">
        <v>2023</v>
      </c>
      <c r="W258" s="324">
        <v>103833.33333333334</v>
      </c>
      <c r="X258" s="324">
        <v>72000</v>
      </c>
      <c r="Y258" s="324">
        <v>31833.333333333343</v>
      </c>
      <c r="Z258" s="324">
        <v>31833.333333333343</v>
      </c>
      <c r="AB258" s="324">
        <v>-143166.66666666666</v>
      </c>
      <c r="AC258" s="324" t="s">
        <v>55</v>
      </c>
    </row>
    <row r="259" spans="1:29" s="324" customFormat="1" ht="0.65" hidden="1" customHeight="1">
      <c r="A259" s="324">
        <v>3031</v>
      </c>
      <c r="V259" s="324">
        <v>2024</v>
      </c>
      <c r="W259" s="324">
        <v>103833.33333333334</v>
      </c>
      <c r="X259" s="324">
        <v>0</v>
      </c>
      <c r="Y259" s="324">
        <v>103833.33333333334</v>
      </c>
      <c r="Z259" s="324">
        <v>103833.33333333334</v>
      </c>
      <c r="AB259" s="324">
        <v>-39333.333333333314</v>
      </c>
      <c r="AC259" s="324" t="s">
        <v>55</v>
      </c>
    </row>
    <row r="260" spans="1:29" s="324" customFormat="1" ht="0.65" hidden="1" customHeight="1">
      <c r="A260" s="324">
        <v>3032</v>
      </c>
    </row>
    <row r="261" spans="1:29" s="324" customFormat="1" ht="0.65" hidden="1" customHeight="1">
      <c r="A261" s="324">
        <v>3033</v>
      </c>
    </row>
    <row r="262" spans="1:29" s="324" customFormat="1" ht="0.65" hidden="1" customHeight="1">
      <c r="A262" s="324">
        <v>3034</v>
      </c>
    </row>
    <row r="263" spans="1:29" s="324" customFormat="1" ht="0.65" hidden="1" customHeight="1">
      <c r="A263" s="324">
        <v>3035</v>
      </c>
    </row>
    <row r="264" spans="1:29" s="324" customFormat="1" ht="0.65" hidden="1" customHeight="1">
      <c r="A264" s="324">
        <v>3036</v>
      </c>
    </row>
    <row r="265" spans="1:29" s="324" customFormat="1" ht="0.65" hidden="1" customHeight="1">
      <c r="A265" s="324">
        <v>3037</v>
      </c>
    </row>
    <row r="266" spans="1:29" s="324" customFormat="1" ht="0.65" hidden="1" customHeight="1">
      <c r="A266" s="324">
        <v>3038</v>
      </c>
    </row>
    <row r="267" spans="1:29" s="324" customFormat="1" ht="0.65" hidden="1" customHeight="1">
      <c r="A267" s="324">
        <v>3039</v>
      </c>
    </row>
    <row r="268" spans="1:29" s="324" customFormat="1" ht="0.65" hidden="1" customHeight="1">
      <c r="A268" s="324">
        <v>3040</v>
      </c>
      <c r="E268" s="324" t="s">
        <v>55</v>
      </c>
      <c r="F268" s="324" t="s">
        <v>318</v>
      </c>
      <c r="H268" s="324" t="s">
        <v>185</v>
      </c>
      <c r="V268" s="324">
        <v>2025</v>
      </c>
      <c r="W268" s="324">
        <v>103833.33333333334</v>
      </c>
      <c r="X268" s="324">
        <v>0</v>
      </c>
      <c r="Y268" s="324">
        <v>103833.33333333334</v>
      </c>
      <c r="Z268" s="324">
        <v>250833.33333333334</v>
      </c>
      <c r="AB268" s="324">
        <v>211500.00000000003</v>
      </c>
      <c r="AC268" s="324">
        <v>2025</v>
      </c>
    </row>
    <row r="269" spans="1:29" s="324" customFormat="1" ht="0.65" hidden="1" customHeight="1">
      <c r="A269" s="324">
        <v>3041</v>
      </c>
      <c r="E269" s="324" t="s">
        <v>55</v>
      </c>
    </row>
    <row r="270" spans="1:29" s="324" customFormat="1" ht="0.65" hidden="1" customHeight="1">
      <c r="A270" s="324">
        <v>3042</v>
      </c>
      <c r="B270" s="324">
        <v>300000</v>
      </c>
      <c r="C270" s="324">
        <v>300000</v>
      </c>
      <c r="D270" s="324">
        <v>1</v>
      </c>
      <c r="E270" s="324">
        <v>1</v>
      </c>
      <c r="F270" s="324">
        <v>300000</v>
      </c>
      <c r="H270" s="324" t="s">
        <v>321</v>
      </c>
      <c r="V270" s="324" t="s">
        <v>25</v>
      </c>
    </row>
    <row r="271" spans="1:29" s="324" customFormat="1" ht="0.65" hidden="1" customHeight="1">
      <c r="A271" s="324">
        <v>3043</v>
      </c>
      <c r="B271" s="324">
        <v>6</v>
      </c>
      <c r="C271" s="324">
        <v>6</v>
      </c>
      <c r="D271" s="324">
        <v>1</v>
      </c>
      <c r="E271" s="324">
        <v>2</v>
      </c>
      <c r="F271" s="324">
        <v>100000</v>
      </c>
      <c r="H271" s="324" t="s">
        <v>322</v>
      </c>
    </row>
    <row r="272" spans="1:29" s="324" customFormat="1" ht="0.65" hidden="1" customHeight="1">
      <c r="A272" s="324">
        <v>3044</v>
      </c>
      <c r="B272" s="324">
        <v>100000</v>
      </c>
      <c r="C272" s="324">
        <v>100000</v>
      </c>
      <c r="D272" s="324">
        <v>1</v>
      </c>
      <c r="E272" s="324">
        <v>3</v>
      </c>
      <c r="F272" s="324">
        <v>125000</v>
      </c>
      <c r="H272" s="324" t="s">
        <v>1286</v>
      </c>
      <c r="V272" s="324" t="s">
        <v>124</v>
      </c>
      <c r="W272" s="324">
        <v>4.4999999999999998E-2</v>
      </c>
    </row>
    <row r="273" spans="1:24" s="324" customFormat="1" ht="0.65" hidden="1" customHeight="1">
      <c r="A273" s="324">
        <v>3045</v>
      </c>
      <c r="E273" s="324">
        <v>4</v>
      </c>
      <c r="F273" s="324">
        <v>4.4999999999999998E-2</v>
      </c>
      <c r="H273" s="324" t="s">
        <v>1287</v>
      </c>
      <c r="V273" s="324" t="s">
        <v>125</v>
      </c>
      <c r="W273" s="324">
        <v>0.08</v>
      </c>
    </row>
    <row r="274" spans="1:24" s="324" customFormat="1" ht="0.65" hidden="1" customHeight="1">
      <c r="A274" s="324">
        <v>3046</v>
      </c>
      <c r="B274" s="324">
        <v>720000</v>
      </c>
      <c r="C274" s="324">
        <v>720000</v>
      </c>
      <c r="D274" s="324">
        <v>1</v>
      </c>
      <c r="E274" s="324">
        <v>5</v>
      </c>
      <c r="F274" s="324">
        <v>0.08</v>
      </c>
      <c r="H274" s="324" t="s">
        <v>1288</v>
      </c>
      <c r="V274" s="324" t="s">
        <v>126</v>
      </c>
      <c r="W274" s="324">
        <v>7.1249999999999994E-2</v>
      </c>
    </row>
    <row r="275" spans="1:24" s="324" customFormat="1" ht="0.65" hidden="1" customHeight="1">
      <c r="A275" s="324">
        <v>3047</v>
      </c>
      <c r="B275" s="324">
        <v>576000</v>
      </c>
      <c r="C275" s="324">
        <v>576000</v>
      </c>
      <c r="D275" s="324">
        <v>1</v>
      </c>
      <c r="E275" s="324">
        <v>6</v>
      </c>
      <c r="F275" s="324">
        <v>7.1249999999999994E-2</v>
      </c>
      <c r="H275" s="324" t="s">
        <v>1289</v>
      </c>
    </row>
    <row r="276" spans="1:24" s="324" customFormat="1" ht="0.65" hidden="1" customHeight="1">
      <c r="A276" s="324">
        <v>3048</v>
      </c>
      <c r="E276" s="324">
        <v>7</v>
      </c>
      <c r="F276" s="324">
        <v>377040.11904125626</v>
      </c>
      <c r="H276" s="324" t="s">
        <v>1290</v>
      </c>
      <c r="V276" s="324" t="s">
        <v>27</v>
      </c>
    </row>
    <row r="277" spans="1:24" s="324" customFormat="1" ht="0.65" hidden="1" customHeight="1">
      <c r="A277" s="324">
        <v>3049</v>
      </c>
      <c r="B277" s="324">
        <v>60</v>
      </c>
      <c r="C277" s="324">
        <v>60</v>
      </c>
      <c r="D277" s="324">
        <v>1</v>
      </c>
      <c r="E277" s="324">
        <v>8</v>
      </c>
      <c r="F277" s="324">
        <v>94260.029760314064</v>
      </c>
      <c r="H277" s="324" t="s">
        <v>1291</v>
      </c>
    </row>
    <row r="278" spans="1:24" s="324" customFormat="1" ht="0.65" hidden="1" customHeight="1">
      <c r="A278" s="324">
        <v>3050</v>
      </c>
      <c r="B278" s="324">
        <v>30</v>
      </c>
      <c r="C278" s="324">
        <v>30</v>
      </c>
      <c r="D278" s="324">
        <v>1</v>
      </c>
      <c r="E278" s="324">
        <v>9</v>
      </c>
      <c r="F278" s="324">
        <v>-10909.72566670302</v>
      </c>
      <c r="H278" s="324" t="s">
        <v>1292</v>
      </c>
      <c r="V278" s="324" t="s">
        <v>13</v>
      </c>
      <c r="W278" s="324">
        <v>149235.38433886995</v>
      </c>
      <c r="X278" s="324" t="s">
        <v>1020</v>
      </c>
    </row>
    <row r="279" spans="1:24" s="324" customFormat="1" ht="0.65" hidden="1" customHeight="1">
      <c r="A279" s="324">
        <v>3051</v>
      </c>
      <c r="E279" s="324">
        <v>10</v>
      </c>
      <c r="F279" s="324">
        <v>67211.201866977834</v>
      </c>
      <c r="H279" s="324" t="s">
        <v>1293</v>
      </c>
      <c r="V279" s="324" t="s">
        <v>28</v>
      </c>
      <c r="W279" s="324">
        <v>0.37357216681627725</v>
      </c>
      <c r="X279" s="324" t="s">
        <v>1021</v>
      </c>
    </row>
    <row r="280" spans="1:24" s="324" customFormat="1" ht="0.65" hidden="1" customHeight="1">
      <c r="A280" s="324">
        <v>3052</v>
      </c>
      <c r="E280" s="324">
        <v>11</v>
      </c>
      <c r="F280" s="324">
        <v>100000</v>
      </c>
      <c r="H280" s="324" t="s">
        <v>323</v>
      </c>
      <c r="V280" s="324" t="s">
        <v>29</v>
      </c>
      <c r="W280" s="324">
        <v>0.85277362479354257</v>
      </c>
      <c r="X280" s="324" t="s">
        <v>1022</v>
      </c>
    </row>
    <row r="281" spans="1:24" s="324" customFormat="1" ht="0.65" hidden="1" customHeight="1">
      <c r="A281" s="324">
        <v>3053</v>
      </c>
      <c r="B281" s="324">
        <v>100000</v>
      </c>
      <c r="C281" s="324">
        <v>100000</v>
      </c>
      <c r="D281" s="324">
        <v>1</v>
      </c>
      <c r="E281" s="324">
        <v>12</v>
      </c>
      <c r="F281" s="324">
        <v>25000</v>
      </c>
      <c r="H281" s="324" t="s">
        <v>813</v>
      </c>
      <c r="V281" s="324" t="s">
        <v>30</v>
      </c>
      <c r="W281" s="324">
        <v>3</v>
      </c>
      <c r="X281" s="324" t="s">
        <v>1023</v>
      </c>
    </row>
    <row r="282" spans="1:24" s="324" customFormat="1" ht="0.65" hidden="1" customHeight="1">
      <c r="A282" s="324">
        <v>3054</v>
      </c>
      <c r="B282" s="324">
        <v>200000</v>
      </c>
      <c r="C282" s="324">
        <v>200000</v>
      </c>
      <c r="D282" s="324">
        <v>1</v>
      </c>
      <c r="E282" s="324">
        <v>13</v>
      </c>
      <c r="F282" s="324">
        <v>37500</v>
      </c>
      <c r="H282" s="324" t="s">
        <v>1294</v>
      </c>
    </row>
    <row r="283" spans="1:24" s="324" customFormat="1" ht="0.65" hidden="1" customHeight="1">
      <c r="A283" s="324">
        <v>3055</v>
      </c>
      <c r="B283" s="324">
        <v>3</v>
      </c>
      <c r="C283" s="324">
        <v>3</v>
      </c>
      <c r="D283" s="324">
        <v>1</v>
      </c>
      <c r="E283" s="324">
        <v>14</v>
      </c>
      <c r="F283" s="324">
        <v>112500</v>
      </c>
      <c r="H283" s="324" t="s">
        <v>1295</v>
      </c>
    </row>
    <row r="284" spans="1:24" s="324" customFormat="1" ht="0.65" hidden="1" customHeight="1">
      <c r="A284" s="324">
        <v>3056</v>
      </c>
      <c r="B284" s="324">
        <v>50000</v>
      </c>
      <c r="C284" s="324">
        <v>50000</v>
      </c>
      <c r="D284" s="324">
        <v>1</v>
      </c>
      <c r="E284" s="324">
        <v>15</v>
      </c>
      <c r="F284" s="324">
        <v>50000</v>
      </c>
      <c r="H284" s="324" t="s">
        <v>324</v>
      </c>
    </row>
    <row r="285" spans="1:24" s="324" customFormat="1" ht="0.65" hidden="1" customHeight="1">
      <c r="A285" s="324">
        <v>3057</v>
      </c>
      <c r="E285" s="324">
        <v>16</v>
      </c>
      <c r="F285" s="324">
        <v>12500</v>
      </c>
      <c r="H285" s="324" t="s">
        <v>1296</v>
      </c>
    </row>
    <row r="286" spans="1:24" s="324" customFormat="1" ht="0.65" hidden="1" customHeight="1">
      <c r="A286" s="324">
        <v>3058</v>
      </c>
      <c r="B286" s="324">
        <v>0.25</v>
      </c>
      <c r="C286" s="324">
        <v>0.25</v>
      </c>
      <c r="D286" s="324">
        <v>1</v>
      </c>
      <c r="E286" s="324">
        <v>17</v>
      </c>
      <c r="F286" s="324">
        <v>0</v>
      </c>
      <c r="H286" s="324" t="s">
        <v>814</v>
      </c>
    </row>
    <row r="287" spans="1:24" s="324" customFormat="1" ht="0.65" hidden="1" customHeight="1">
      <c r="A287" s="324">
        <v>3059</v>
      </c>
      <c r="E287" s="324">
        <v>18</v>
      </c>
      <c r="F287" s="324">
        <v>37500</v>
      </c>
      <c r="H287" s="324" t="s">
        <v>1297</v>
      </c>
    </row>
    <row r="288" spans="1:24" s="324" customFormat="1" ht="0.65" hidden="1" customHeight="1">
      <c r="A288" s="324">
        <v>3060</v>
      </c>
      <c r="E288" s="324">
        <v>19</v>
      </c>
      <c r="F288" s="324">
        <v>61008.276832453375</v>
      </c>
      <c r="H288" s="324" t="s">
        <v>1298</v>
      </c>
    </row>
    <row r="289" spans="1:23" s="324" customFormat="1" ht="0.65" hidden="1" customHeight="1">
      <c r="A289" s="324">
        <v>3061</v>
      </c>
      <c r="B289" s="324">
        <v>180000</v>
      </c>
      <c r="C289" s="324">
        <v>180000</v>
      </c>
      <c r="D289" s="324">
        <v>1</v>
      </c>
      <c r="E289" s="324">
        <v>20</v>
      </c>
      <c r="F289" s="324">
        <v>72000</v>
      </c>
      <c r="H289" s="324" t="s">
        <v>1299</v>
      </c>
    </row>
    <row r="290" spans="1:23" s="324" customFormat="1" ht="0.65" hidden="1" customHeight="1">
      <c r="A290" s="324">
        <v>3062</v>
      </c>
      <c r="B290" s="324">
        <v>450000</v>
      </c>
      <c r="C290" s="324">
        <v>450000</v>
      </c>
      <c r="D290" s="324">
        <v>1</v>
      </c>
      <c r="E290" s="324">
        <v>21</v>
      </c>
      <c r="F290" s="324">
        <v>58567.945759155242</v>
      </c>
      <c r="H290" s="324" t="s">
        <v>1300</v>
      </c>
    </row>
    <row r="291" spans="1:23" s="324" customFormat="1" ht="0.65" hidden="1" customHeight="1">
      <c r="A291" s="324">
        <v>3063</v>
      </c>
      <c r="B291" s="324">
        <v>0.03</v>
      </c>
      <c r="C291" s="324">
        <v>0.03</v>
      </c>
      <c r="D291" s="324">
        <v>1</v>
      </c>
      <c r="E291" s="324">
        <v>22</v>
      </c>
      <c r="F291" s="324">
        <v>149235.38433886995</v>
      </c>
      <c r="H291" s="324" t="s">
        <v>1301</v>
      </c>
    </row>
    <row r="292" spans="1:23" s="324" customFormat="1" ht="0.65" hidden="1" customHeight="1">
      <c r="A292" s="324">
        <v>3064</v>
      </c>
      <c r="B292" s="324">
        <v>3000000</v>
      </c>
      <c r="C292" s="324">
        <v>3000000</v>
      </c>
      <c r="D292" s="324">
        <v>1</v>
      </c>
      <c r="E292" s="324">
        <v>23</v>
      </c>
      <c r="F292" s="324">
        <v>205704.15183568749</v>
      </c>
      <c r="H292" s="324" t="s">
        <v>1302</v>
      </c>
    </row>
    <row r="293" spans="1:23" s="324" customFormat="1" ht="0.65" hidden="1" customHeight="1">
      <c r="A293" s="324">
        <v>3065</v>
      </c>
      <c r="B293" s="324">
        <v>9000000</v>
      </c>
      <c r="C293" s="324">
        <v>9000000</v>
      </c>
      <c r="D293" s="324">
        <v>1</v>
      </c>
      <c r="E293" s="324">
        <v>24</v>
      </c>
      <c r="F293" s="324">
        <v>14405.426846370974</v>
      </c>
      <c r="H293" s="324" t="s">
        <v>1303</v>
      </c>
    </row>
    <row r="294" spans="1:23" s="324" customFormat="1" ht="0.65" hidden="1" customHeight="1">
      <c r="A294" s="324">
        <v>3066</v>
      </c>
      <c r="C294" s="324" t="s">
        <v>422</v>
      </c>
      <c r="D294" s="324">
        <v>17</v>
      </c>
      <c r="E294" s="324">
        <v>25</v>
      </c>
      <c r="F294" s="324">
        <v>-5762.1707385483896</v>
      </c>
      <c r="H294" s="324" t="s">
        <v>1304</v>
      </c>
    </row>
    <row r="295" spans="1:23" s="324" customFormat="1" ht="0.65" hidden="1" customHeight="1">
      <c r="A295" s="324">
        <v>3067</v>
      </c>
      <c r="C295" s="324" t="s">
        <v>423</v>
      </c>
      <c r="D295" s="324" t="s">
        <v>520</v>
      </c>
      <c r="E295" s="324">
        <v>26</v>
      </c>
      <c r="F295" s="324">
        <v>-18655.630890062166</v>
      </c>
      <c r="H295" s="324" t="s">
        <v>1305</v>
      </c>
    </row>
    <row r="296" spans="1:23" s="324" customFormat="1" ht="0.65" hidden="1" customHeight="1">
      <c r="A296" s="324">
        <v>3068</v>
      </c>
      <c r="F296" s="324">
        <v>7.4999999999999997E-2</v>
      </c>
    </row>
    <row r="297" spans="1:23" s="324" customFormat="1" ht="0.65" hidden="1" customHeight="1"/>
    <row r="298" spans="1:23" s="324" customFormat="1" ht="0.65" hidden="1" customHeight="1"/>
    <row r="299" spans="1:23" s="324" customFormat="1" ht="0.65" hidden="1" customHeight="1"/>
    <row r="300" spans="1:23" s="324" customFormat="1" ht="0.65" hidden="1" customHeight="1">
      <c r="A300" s="324" t="s">
        <v>19</v>
      </c>
      <c r="C300" s="324" t="s">
        <v>336</v>
      </c>
      <c r="D300" s="324">
        <v>4</v>
      </c>
      <c r="E300" s="324" t="s">
        <v>187</v>
      </c>
      <c r="F300" s="324" t="s">
        <v>327</v>
      </c>
      <c r="N300" s="324" t="s">
        <v>320</v>
      </c>
      <c r="Q300" s="324" t="s">
        <v>325</v>
      </c>
      <c r="V300" s="324" t="s">
        <v>24</v>
      </c>
    </row>
    <row r="301" spans="1:23" s="324" customFormat="1" ht="0.65" hidden="1" customHeight="1">
      <c r="C301" s="324" t="s">
        <v>336</v>
      </c>
      <c r="D301" s="324" t="s">
        <v>486</v>
      </c>
      <c r="F301" s="324" t="s">
        <v>3951</v>
      </c>
    </row>
    <row r="302" spans="1:23" s="324" customFormat="1" ht="0.65" hidden="1" customHeight="1">
      <c r="A302" s="324">
        <v>4001</v>
      </c>
      <c r="B302" s="324" t="s">
        <v>5</v>
      </c>
      <c r="C302" s="324">
        <v>2022</v>
      </c>
      <c r="E302" s="324">
        <v>1</v>
      </c>
      <c r="F302" s="324" t="s">
        <v>292</v>
      </c>
      <c r="N302" s="324">
        <v>500000</v>
      </c>
      <c r="O302" s="324" t="s">
        <v>55</v>
      </c>
      <c r="Q302" s="324" t="s">
        <v>800</v>
      </c>
      <c r="V302" s="324" t="s">
        <v>490</v>
      </c>
      <c r="W302" s="324">
        <v>306250</v>
      </c>
    </row>
    <row r="303" spans="1:23" s="324" customFormat="1" ht="0.65" hidden="1" customHeight="1">
      <c r="A303" s="324">
        <v>4002</v>
      </c>
      <c r="E303" s="324">
        <v>2</v>
      </c>
      <c r="F303" s="324" t="s">
        <v>313</v>
      </c>
      <c r="N303" s="324">
        <v>175000</v>
      </c>
      <c r="O303" s="324" t="s">
        <v>55</v>
      </c>
      <c r="Q303" s="324" t="s">
        <v>800</v>
      </c>
    </row>
    <row r="304" spans="1:23" s="324" customFormat="1" ht="0.65" hidden="1" customHeight="1">
      <c r="A304" s="324">
        <v>4003</v>
      </c>
      <c r="B304" s="324" t="s">
        <v>32</v>
      </c>
      <c r="E304" s="324">
        <v>3</v>
      </c>
      <c r="F304" s="324" t="s">
        <v>314</v>
      </c>
      <c r="N304" s="324">
        <v>193750</v>
      </c>
      <c r="O304" s="324" t="s">
        <v>55</v>
      </c>
      <c r="P304" s="324" t="s">
        <v>55</v>
      </c>
      <c r="Q304" s="324" t="s">
        <v>800</v>
      </c>
      <c r="V304" s="324" t="s">
        <v>21</v>
      </c>
    </row>
    <row r="305" spans="1:29" s="324" customFormat="1" ht="0.65" hidden="1" customHeight="1">
      <c r="A305" s="324">
        <v>4004</v>
      </c>
      <c r="B305" s="324" t="s">
        <v>488</v>
      </c>
      <c r="C305" s="324">
        <v>500000</v>
      </c>
      <c r="E305" s="324">
        <v>4</v>
      </c>
      <c r="F305" s="324" t="s">
        <v>293</v>
      </c>
      <c r="N305" s="324">
        <v>0.06</v>
      </c>
      <c r="O305" s="324" t="s">
        <v>55</v>
      </c>
      <c r="Q305" s="324" t="s">
        <v>800</v>
      </c>
    </row>
    <row r="306" spans="1:29" s="324" customFormat="1" ht="0.65" hidden="1" customHeight="1">
      <c r="A306" s="324">
        <v>4005</v>
      </c>
      <c r="B306" s="324" t="s">
        <v>6</v>
      </c>
      <c r="C306" s="324">
        <v>10</v>
      </c>
      <c r="E306" s="324">
        <v>5</v>
      </c>
      <c r="F306" s="324" t="s">
        <v>294</v>
      </c>
      <c r="N306" s="324">
        <v>0.11</v>
      </c>
      <c r="O306" s="324" t="s">
        <v>55</v>
      </c>
      <c r="Q306" s="324" t="s">
        <v>800</v>
      </c>
    </row>
    <row r="307" spans="1:29" s="324" customFormat="1" ht="0.65" hidden="1" customHeight="1">
      <c r="A307" s="324">
        <v>4006</v>
      </c>
      <c r="B307" s="324" t="s">
        <v>489</v>
      </c>
      <c r="C307" s="324">
        <v>100000</v>
      </c>
      <c r="E307" s="324">
        <v>6</v>
      </c>
      <c r="F307" s="324" t="s">
        <v>295</v>
      </c>
      <c r="N307" s="324">
        <v>8.5000000000000006E-2</v>
      </c>
      <c r="O307" s="324" t="s">
        <v>55</v>
      </c>
      <c r="Q307" s="324" t="s">
        <v>800</v>
      </c>
      <c r="V307" s="324" t="s">
        <v>0</v>
      </c>
      <c r="W307" s="324" t="s">
        <v>69</v>
      </c>
      <c r="X307" s="324" t="s">
        <v>70</v>
      </c>
      <c r="Y307" s="324" t="s">
        <v>71</v>
      </c>
      <c r="Z307" s="324" t="s">
        <v>72</v>
      </c>
      <c r="AA307" s="324" t="s">
        <v>73</v>
      </c>
      <c r="AB307" s="324" t="s">
        <v>74</v>
      </c>
      <c r="AC307" s="324" t="s">
        <v>75</v>
      </c>
    </row>
    <row r="308" spans="1:29" s="324" customFormat="1" ht="0.65" hidden="1" customHeight="1">
      <c r="A308" s="324">
        <v>4007</v>
      </c>
      <c r="E308" s="324">
        <v>7</v>
      </c>
      <c r="F308" s="324" t="s">
        <v>311</v>
      </c>
      <c r="N308" s="324">
        <v>255402.23714031855</v>
      </c>
      <c r="O308" s="324" t="s">
        <v>55</v>
      </c>
      <c r="Q308" s="324" t="s">
        <v>800</v>
      </c>
      <c r="V308" s="324">
        <v>2023</v>
      </c>
      <c r="W308" s="324">
        <v>600000</v>
      </c>
      <c r="X308" s="324">
        <v>500000</v>
      </c>
      <c r="Y308" s="324">
        <v>-12500</v>
      </c>
      <c r="Z308" s="324">
        <v>112500</v>
      </c>
      <c r="AA308" s="324">
        <v>28125</v>
      </c>
      <c r="AB308" s="324">
        <v>84375</v>
      </c>
      <c r="AC308" s="324">
        <v>71875</v>
      </c>
    </row>
    <row r="309" spans="1:29" s="324" customFormat="1" ht="0.65" hidden="1" customHeight="1">
      <c r="A309" s="324">
        <v>4008</v>
      </c>
      <c r="B309" s="324" t="s">
        <v>34</v>
      </c>
      <c r="C309" s="324">
        <v>600000</v>
      </c>
      <c r="E309" s="324">
        <v>8</v>
      </c>
      <c r="F309" s="324" t="s">
        <v>296</v>
      </c>
      <c r="N309" s="324">
        <v>63850.559285079638</v>
      </c>
      <c r="O309" s="324" t="s">
        <v>55</v>
      </c>
      <c r="Q309" s="324" t="s">
        <v>800</v>
      </c>
      <c r="V309" s="324">
        <v>2024</v>
      </c>
      <c r="W309" s="324">
        <v>600000</v>
      </c>
      <c r="X309" s="324">
        <v>500000</v>
      </c>
      <c r="Y309" s="324">
        <v>-12500</v>
      </c>
      <c r="Z309" s="324">
        <v>112500</v>
      </c>
      <c r="AA309" s="324">
        <v>28125</v>
      </c>
      <c r="AB309" s="324">
        <v>84375</v>
      </c>
      <c r="AC309" s="324">
        <v>71875</v>
      </c>
    </row>
    <row r="310" spans="1:29" s="324" customFormat="1" ht="0.65" hidden="1" customHeight="1">
      <c r="A310" s="324">
        <v>4009</v>
      </c>
      <c r="B310" s="324" t="s">
        <v>35</v>
      </c>
      <c r="C310" s="324">
        <v>500000</v>
      </c>
      <c r="E310" s="324">
        <v>9</v>
      </c>
      <c r="F310" s="324" t="s">
        <v>298</v>
      </c>
      <c r="N310" s="324">
        <v>-7981.3199106349548</v>
      </c>
      <c r="O310" s="324" t="s">
        <v>55</v>
      </c>
      <c r="Q310" s="324" t="s">
        <v>800</v>
      </c>
      <c r="V310" s="324">
        <v>2025</v>
      </c>
      <c r="W310" s="324">
        <v>600000</v>
      </c>
      <c r="X310" s="324">
        <v>500000</v>
      </c>
      <c r="Y310" s="324">
        <v>-12500</v>
      </c>
      <c r="Z310" s="324">
        <v>112500</v>
      </c>
      <c r="AA310" s="324">
        <v>28125</v>
      </c>
      <c r="AB310" s="324">
        <v>84375</v>
      </c>
      <c r="AC310" s="324">
        <v>71875</v>
      </c>
    </row>
    <row r="311" spans="1:29" s="324" customFormat="1" ht="0.65" hidden="1" customHeight="1">
      <c r="A311" s="324">
        <v>4010</v>
      </c>
      <c r="E311" s="324">
        <v>10</v>
      </c>
      <c r="F311" s="324" t="s">
        <v>297</v>
      </c>
      <c r="N311" s="324">
        <v>23041.474654377882</v>
      </c>
      <c r="O311" s="324" t="s">
        <v>55</v>
      </c>
      <c r="Q311" s="324" t="s">
        <v>800</v>
      </c>
    </row>
    <row r="312" spans="1:29" s="324" customFormat="1" ht="0.65" hidden="1" customHeight="1">
      <c r="A312" s="324">
        <v>4011</v>
      </c>
      <c r="B312" s="324" t="s">
        <v>7</v>
      </c>
      <c r="C312" s="324">
        <v>90</v>
      </c>
      <c r="E312" s="324">
        <v>11</v>
      </c>
      <c r="F312" s="324" t="s">
        <v>299</v>
      </c>
      <c r="N312" s="324">
        <v>100000</v>
      </c>
      <c r="O312" s="324" t="s">
        <v>55</v>
      </c>
      <c r="Q312" s="324" t="s">
        <v>800</v>
      </c>
      <c r="V312" s="324" t="s">
        <v>22</v>
      </c>
    </row>
    <row r="313" spans="1:29" s="324" customFormat="1" ht="0.65" hidden="1" customHeight="1">
      <c r="A313" s="324">
        <v>4012</v>
      </c>
      <c r="B313" s="324" t="s">
        <v>8</v>
      </c>
      <c r="C313" s="324">
        <v>90</v>
      </c>
      <c r="E313" s="324">
        <v>12</v>
      </c>
      <c r="F313" s="324" t="s">
        <v>300</v>
      </c>
      <c r="N313" s="324">
        <v>25000</v>
      </c>
      <c r="O313" s="324" t="s">
        <v>55</v>
      </c>
      <c r="Q313" s="324" t="s">
        <v>800</v>
      </c>
    </row>
    <row r="314" spans="1:29" s="324" customFormat="1" ht="0.65" hidden="1" customHeight="1">
      <c r="A314" s="324">
        <v>4013</v>
      </c>
      <c r="E314" s="324">
        <v>13</v>
      </c>
      <c r="F314" s="324" t="s">
        <v>301</v>
      </c>
      <c r="N314" s="324">
        <v>87500</v>
      </c>
      <c r="O314" s="324" t="s">
        <v>55</v>
      </c>
      <c r="Q314" s="324" t="s">
        <v>800</v>
      </c>
    </row>
    <row r="315" spans="1:29" s="324" customFormat="1" ht="0.65" hidden="1" customHeight="1">
      <c r="A315" s="324">
        <v>4014</v>
      </c>
      <c r="B315" s="324" t="s">
        <v>33</v>
      </c>
      <c r="E315" s="324">
        <v>14</v>
      </c>
      <c r="F315" s="324" t="s">
        <v>302</v>
      </c>
      <c r="N315" s="324">
        <v>162500</v>
      </c>
      <c r="O315" s="324" t="s">
        <v>55</v>
      </c>
      <c r="Q315" s="324" t="s">
        <v>800</v>
      </c>
      <c r="V315" s="324" t="s">
        <v>0</v>
      </c>
      <c r="W315" s="324" t="s">
        <v>76</v>
      </c>
      <c r="X315" s="324" t="s">
        <v>77</v>
      </c>
      <c r="Y315" s="324" t="s">
        <v>78</v>
      </c>
      <c r="Z315" s="324" t="s">
        <v>79</v>
      </c>
    </row>
    <row r="316" spans="1:29" s="324" customFormat="1" ht="0.65" hidden="1" customHeight="1">
      <c r="A316" s="324">
        <v>4015</v>
      </c>
      <c r="B316" s="324" t="s">
        <v>492</v>
      </c>
      <c r="C316" s="324">
        <v>175000</v>
      </c>
      <c r="E316" s="324">
        <v>15</v>
      </c>
      <c r="F316" s="324" t="s">
        <v>303</v>
      </c>
      <c r="N316" s="324">
        <v>43750</v>
      </c>
      <c r="O316" s="324" t="s">
        <v>55</v>
      </c>
      <c r="Q316" s="324" t="s">
        <v>800</v>
      </c>
      <c r="V316" s="324">
        <v>2022</v>
      </c>
      <c r="W316" s="324">
        <v>0</v>
      </c>
      <c r="X316" s="324">
        <v>0</v>
      </c>
      <c r="Y316" s="324">
        <v>0</v>
      </c>
      <c r="Z316" s="324">
        <v>0</v>
      </c>
    </row>
    <row r="317" spans="1:29" s="324" customFormat="1" ht="0.65" hidden="1" customHeight="1">
      <c r="A317" s="324">
        <v>4016</v>
      </c>
      <c r="B317" s="324" t="s">
        <v>495</v>
      </c>
      <c r="C317" s="324">
        <v>250000</v>
      </c>
      <c r="E317" s="324">
        <v>16</v>
      </c>
      <c r="F317" s="324" t="s">
        <v>304</v>
      </c>
      <c r="N317" s="324">
        <v>10937.5</v>
      </c>
      <c r="O317" s="324" t="s">
        <v>55</v>
      </c>
      <c r="Q317" s="324" t="s">
        <v>800</v>
      </c>
      <c r="V317" s="324">
        <v>2023</v>
      </c>
      <c r="W317" s="324">
        <v>150000</v>
      </c>
      <c r="X317" s="324">
        <v>125000</v>
      </c>
      <c r="Y317" s="324">
        <v>25000</v>
      </c>
      <c r="Z317" s="324">
        <v>25000</v>
      </c>
    </row>
    <row r="318" spans="1:29" s="324" customFormat="1" ht="0.65" hidden="1" customHeight="1">
      <c r="A318" s="324">
        <v>4017</v>
      </c>
      <c r="B318" s="324" t="s">
        <v>6</v>
      </c>
      <c r="C318" s="324">
        <v>4</v>
      </c>
      <c r="E318" s="324">
        <v>17</v>
      </c>
      <c r="F318" s="324" t="s">
        <v>305</v>
      </c>
      <c r="N318" s="324">
        <v>15625</v>
      </c>
      <c r="O318" s="324" t="s">
        <v>55</v>
      </c>
      <c r="Q318" s="324" t="s">
        <v>800</v>
      </c>
      <c r="V318" s="324">
        <v>2024</v>
      </c>
      <c r="W318" s="324">
        <v>150000</v>
      </c>
      <c r="X318" s="324">
        <v>125000</v>
      </c>
      <c r="Y318" s="324">
        <v>25000</v>
      </c>
      <c r="Z318" s="324">
        <v>0</v>
      </c>
    </row>
    <row r="319" spans="1:29" s="324" customFormat="1" ht="0.65" hidden="1" customHeight="1">
      <c r="A319" s="324">
        <v>4018</v>
      </c>
      <c r="B319" s="324" t="s">
        <v>489</v>
      </c>
      <c r="C319" s="324">
        <v>43750</v>
      </c>
      <c r="E319" s="324">
        <v>18</v>
      </c>
      <c r="F319" s="324" t="s">
        <v>306</v>
      </c>
      <c r="N319" s="324">
        <v>48437.5</v>
      </c>
      <c r="O319" s="324" t="s">
        <v>55</v>
      </c>
      <c r="Q319" s="324" t="s">
        <v>800</v>
      </c>
      <c r="V319" s="324">
        <v>2025</v>
      </c>
      <c r="W319" s="324">
        <v>150000</v>
      </c>
      <c r="X319" s="324">
        <v>125000</v>
      </c>
      <c r="Y319" s="324">
        <v>25000</v>
      </c>
      <c r="Z319" s="324">
        <v>0</v>
      </c>
    </row>
    <row r="320" spans="1:29" s="324" customFormat="1" ht="0.65" hidden="1" customHeight="1">
      <c r="A320" s="324">
        <v>4019</v>
      </c>
      <c r="E320" s="324">
        <v>19</v>
      </c>
      <c r="F320" s="324" t="s">
        <v>307</v>
      </c>
      <c r="N320" s="324">
        <v>89300.454977255053</v>
      </c>
      <c r="O320" s="324" t="s">
        <v>55</v>
      </c>
      <c r="Q320" s="324" t="s">
        <v>800</v>
      </c>
    </row>
    <row r="321" spans="1:29" s="324" customFormat="1" ht="0.65" hidden="1" customHeight="1">
      <c r="A321" s="324">
        <v>4020</v>
      </c>
      <c r="B321" s="324" t="s">
        <v>4</v>
      </c>
      <c r="C321" s="324">
        <v>0.25</v>
      </c>
      <c r="E321" s="324">
        <v>20</v>
      </c>
      <c r="F321" s="324" t="s">
        <v>308</v>
      </c>
      <c r="N321" s="324">
        <v>25000</v>
      </c>
      <c r="O321" s="324" t="s">
        <v>55</v>
      </c>
      <c r="P321" s="324" t="s">
        <v>55</v>
      </c>
      <c r="Q321" s="324" t="s">
        <v>800</v>
      </c>
      <c r="V321" s="324" t="s">
        <v>23</v>
      </c>
    </row>
    <row r="322" spans="1:29" s="324" customFormat="1" ht="0.65" hidden="1" customHeight="1">
      <c r="A322" s="324">
        <v>4021</v>
      </c>
      <c r="C322" s="324" t="s">
        <v>9</v>
      </c>
      <c r="E322" s="324">
        <v>21</v>
      </c>
      <c r="F322" s="324" t="s">
        <v>309</v>
      </c>
      <c r="N322" s="324">
        <v>19572.702460768229</v>
      </c>
      <c r="O322" s="324" t="s">
        <v>55</v>
      </c>
      <c r="Q322" s="324" t="s">
        <v>800</v>
      </c>
    </row>
    <row r="323" spans="1:29" s="324" customFormat="1" ht="0.65" hidden="1" customHeight="1">
      <c r="A323" s="324">
        <v>4022</v>
      </c>
      <c r="E323" s="324">
        <v>22</v>
      </c>
      <c r="F323" s="324" t="s">
        <v>317</v>
      </c>
      <c r="N323" s="324">
        <v>-36847.959271750646</v>
      </c>
      <c r="O323" s="324" t="s">
        <v>55</v>
      </c>
      <c r="Q323" s="324" t="s">
        <v>800</v>
      </c>
      <c r="V323" s="324" t="s">
        <v>491</v>
      </c>
      <c r="W323" s="324">
        <v>114062.5</v>
      </c>
    </row>
    <row r="324" spans="1:29" s="324" customFormat="1" ht="0.65" hidden="1" customHeight="1">
      <c r="A324" s="324">
        <v>4023</v>
      </c>
      <c r="B324" s="324" t="s">
        <v>10</v>
      </c>
      <c r="C324" s="324">
        <v>400000</v>
      </c>
      <c r="E324" s="324">
        <v>23</v>
      </c>
      <c r="F324" s="324" t="s">
        <v>310</v>
      </c>
      <c r="N324" s="324">
        <v>-35055.992030815753</v>
      </c>
      <c r="O324" s="324" t="s">
        <v>55</v>
      </c>
      <c r="Q324" s="324" t="s">
        <v>800</v>
      </c>
      <c r="V324" s="324" t="s">
        <v>493</v>
      </c>
      <c r="W324" s="324">
        <v>25000</v>
      </c>
    </row>
    <row r="325" spans="1:29" s="324" customFormat="1" ht="0.65" hidden="1" customHeight="1">
      <c r="A325" s="324">
        <v>4024</v>
      </c>
      <c r="B325" s="324" t="s">
        <v>11</v>
      </c>
      <c r="C325" s="324">
        <v>500000</v>
      </c>
      <c r="E325" s="324">
        <v>24</v>
      </c>
      <c r="F325" s="324" t="s">
        <v>315</v>
      </c>
      <c r="N325" s="324">
        <v>20812.633161657897</v>
      </c>
      <c r="O325" s="324" t="s">
        <v>55</v>
      </c>
      <c r="Q325" s="324" t="s">
        <v>800</v>
      </c>
      <c r="V325" s="324" t="s">
        <v>494</v>
      </c>
      <c r="W325" s="324">
        <v>139062.5</v>
      </c>
    </row>
    <row r="326" spans="1:29" s="324" customFormat="1" ht="0.65" hidden="1" customHeight="1">
      <c r="A326" s="324">
        <v>4025</v>
      </c>
      <c r="B326" s="324" t="s">
        <v>12</v>
      </c>
      <c r="C326" s="324">
        <v>0.01</v>
      </c>
      <c r="E326" s="324">
        <v>25</v>
      </c>
      <c r="F326" s="324" t="s">
        <v>316</v>
      </c>
      <c r="N326" s="324">
        <v>-17343.860968048248</v>
      </c>
      <c r="O326" s="324" t="s">
        <v>55</v>
      </c>
      <c r="Q326" s="324" t="s">
        <v>800</v>
      </c>
    </row>
    <row r="327" spans="1:29" s="324" customFormat="1" ht="0.65" hidden="1" customHeight="1">
      <c r="A327" s="324">
        <v>4026</v>
      </c>
      <c r="B327" s="324" t="s">
        <v>2</v>
      </c>
      <c r="C327" s="324">
        <v>5000000</v>
      </c>
      <c r="E327" s="324">
        <v>26</v>
      </c>
      <c r="F327" s="324" t="s">
        <v>312</v>
      </c>
      <c r="N327" s="324">
        <v>-21709.190156927085</v>
      </c>
      <c r="O327" s="324" t="s">
        <v>55</v>
      </c>
      <c r="Q327" s="324" t="s">
        <v>800</v>
      </c>
      <c r="V327" s="324" t="s">
        <v>26</v>
      </c>
    </row>
    <row r="328" spans="1:29" s="324" customFormat="1" ht="0.65" hidden="1" customHeight="1">
      <c r="A328" s="324">
        <v>4027</v>
      </c>
      <c r="B328" s="324" t="s">
        <v>3</v>
      </c>
      <c r="C328" s="324">
        <v>5000000</v>
      </c>
      <c r="Z328" s="324" t="s">
        <v>81</v>
      </c>
    </row>
    <row r="329" spans="1:29" s="324" customFormat="1" ht="0.65" hidden="1" customHeight="1">
      <c r="A329" s="324">
        <v>4028</v>
      </c>
      <c r="J329" s="324">
        <v>0</v>
      </c>
      <c r="M329" s="324" t="s">
        <v>319</v>
      </c>
      <c r="N329" s="324" t="s">
        <v>36</v>
      </c>
      <c r="O329" s="324" t="s">
        <v>55</v>
      </c>
      <c r="V329" s="324" t="s">
        <v>0</v>
      </c>
      <c r="W329" s="324" t="s">
        <v>75</v>
      </c>
      <c r="X329" s="324" t="s">
        <v>79</v>
      </c>
      <c r="Y329" s="324" t="s">
        <v>80</v>
      </c>
      <c r="Z329" s="324" t="s">
        <v>1</v>
      </c>
      <c r="AB329" s="324" t="s">
        <v>31</v>
      </c>
    </row>
    <row r="330" spans="1:29" s="324" customFormat="1" ht="0.65" hidden="1" customHeight="1">
      <c r="A330" s="324">
        <v>4029</v>
      </c>
      <c r="B330" s="324" t="s">
        <v>14</v>
      </c>
      <c r="C330" s="324" t="s">
        <v>16</v>
      </c>
      <c r="H330" s="324" t="s">
        <v>55</v>
      </c>
      <c r="N330" s="324" t="s">
        <v>424</v>
      </c>
      <c r="V330" s="324">
        <v>2022</v>
      </c>
      <c r="W330" s="324">
        <v>0</v>
      </c>
      <c r="X330" s="324">
        <v>0</v>
      </c>
      <c r="Y330" s="324">
        <v>0</v>
      </c>
      <c r="Z330" s="324">
        <v>-306250</v>
      </c>
      <c r="AB330" s="324">
        <v>-306250</v>
      </c>
    </row>
    <row r="331" spans="1:29" s="324" customFormat="1" ht="0.65" hidden="1" customHeight="1">
      <c r="A331" s="324">
        <v>4030</v>
      </c>
      <c r="F331" s="324" t="s">
        <v>326</v>
      </c>
      <c r="H331" s="324">
        <v>3</v>
      </c>
      <c r="I331" s="324" t="s">
        <v>1492</v>
      </c>
      <c r="J331" s="324" t="s">
        <v>1493</v>
      </c>
      <c r="V331" s="324">
        <v>2023</v>
      </c>
      <c r="W331" s="324">
        <v>71875</v>
      </c>
      <c r="X331" s="324">
        <v>25000</v>
      </c>
      <c r="Y331" s="324">
        <v>46875</v>
      </c>
      <c r="Z331" s="324">
        <v>46875</v>
      </c>
      <c r="AB331" s="324">
        <v>-259375</v>
      </c>
      <c r="AC331" s="324" t="s">
        <v>55</v>
      </c>
    </row>
    <row r="332" spans="1:29" s="324" customFormat="1" ht="0.65" hidden="1" customHeight="1">
      <c r="A332" s="324">
        <v>4031</v>
      </c>
      <c r="V332" s="324">
        <v>2024</v>
      </c>
      <c r="W332" s="324">
        <v>71875</v>
      </c>
      <c r="X332" s="324">
        <v>0</v>
      </c>
      <c r="Y332" s="324">
        <v>71875</v>
      </c>
      <c r="Z332" s="324">
        <v>71875</v>
      </c>
      <c r="AB332" s="324">
        <v>-187500</v>
      </c>
      <c r="AC332" s="324" t="s">
        <v>55</v>
      </c>
    </row>
    <row r="333" spans="1:29" s="324" customFormat="1" ht="0.65" hidden="1" customHeight="1">
      <c r="A333" s="324">
        <v>4032</v>
      </c>
    </row>
    <row r="334" spans="1:29" s="324" customFormat="1" ht="0.65" hidden="1" customHeight="1">
      <c r="A334" s="324">
        <v>4033</v>
      </c>
    </row>
    <row r="335" spans="1:29" s="324" customFormat="1" ht="0.65" hidden="1" customHeight="1">
      <c r="A335" s="324">
        <v>4034</v>
      </c>
    </row>
    <row r="336" spans="1:29" s="324" customFormat="1" ht="0.65" hidden="1" customHeight="1">
      <c r="A336" s="324">
        <v>4035</v>
      </c>
    </row>
    <row r="337" spans="1:29" s="324" customFormat="1" ht="0.65" hidden="1" customHeight="1">
      <c r="A337" s="324">
        <v>4036</v>
      </c>
    </row>
    <row r="338" spans="1:29" s="324" customFormat="1" ht="0.65" hidden="1" customHeight="1">
      <c r="A338" s="324">
        <v>4037</v>
      </c>
    </row>
    <row r="339" spans="1:29" s="324" customFormat="1" ht="0.65" hidden="1" customHeight="1">
      <c r="A339" s="324">
        <v>4038</v>
      </c>
    </row>
    <row r="340" spans="1:29" s="324" customFormat="1" ht="0.65" hidden="1" customHeight="1">
      <c r="A340" s="324">
        <v>4039</v>
      </c>
    </row>
    <row r="341" spans="1:29" s="324" customFormat="1" ht="0.65" hidden="1" customHeight="1">
      <c r="A341" s="324">
        <v>4040</v>
      </c>
      <c r="E341" s="324" t="s">
        <v>55</v>
      </c>
      <c r="F341" s="324" t="s">
        <v>318</v>
      </c>
      <c r="H341" s="324" t="s">
        <v>185</v>
      </c>
      <c r="V341" s="324">
        <v>2025</v>
      </c>
      <c r="W341" s="324">
        <v>71875</v>
      </c>
      <c r="X341" s="324">
        <v>0</v>
      </c>
      <c r="Y341" s="324">
        <v>71875</v>
      </c>
      <c r="Z341" s="324">
        <v>210937.5</v>
      </c>
      <c r="AB341" s="324">
        <v>23437.5</v>
      </c>
      <c r="AC341" s="324">
        <v>2025</v>
      </c>
    </row>
    <row r="342" spans="1:29" s="324" customFormat="1" ht="0.65" hidden="1" customHeight="1">
      <c r="A342" s="324">
        <v>4041</v>
      </c>
      <c r="E342" s="324" t="s">
        <v>55</v>
      </c>
    </row>
    <row r="343" spans="1:29" s="324" customFormat="1" ht="0.65" hidden="1" customHeight="1">
      <c r="A343" s="324">
        <v>4042</v>
      </c>
      <c r="B343" s="324">
        <v>500000</v>
      </c>
      <c r="C343" s="324">
        <v>500000</v>
      </c>
      <c r="D343" s="324">
        <v>1</v>
      </c>
      <c r="E343" s="324">
        <v>1</v>
      </c>
      <c r="F343" s="324">
        <v>500000</v>
      </c>
      <c r="H343" s="324" t="s">
        <v>321</v>
      </c>
      <c r="V343" s="324" t="s">
        <v>25</v>
      </c>
    </row>
    <row r="344" spans="1:29" s="324" customFormat="1" ht="0.65" hidden="1" customHeight="1">
      <c r="A344" s="324">
        <v>4043</v>
      </c>
      <c r="B344" s="324">
        <v>10</v>
      </c>
      <c r="C344" s="324">
        <v>10</v>
      </c>
      <c r="D344" s="324">
        <v>1</v>
      </c>
      <c r="E344" s="324">
        <v>2</v>
      </c>
      <c r="F344" s="324">
        <v>175000</v>
      </c>
      <c r="H344" s="324" t="s">
        <v>322</v>
      </c>
    </row>
    <row r="345" spans="1:29" s="324" customFormat="1" ht="0.65" hidden="1" customHeight="1">
      <c r="A345" s="324">
        <v>4044</v>
      </c>
      <c r="B345" s="324">
        <v>100000</v>
      </c>
      <c r="C345" s="324">
        <v>100000</v>
      </c>
      <c r="D345" s="324">
        <v>1</v>
      </c>
      <c r="E345" s="324">
        <v>3</v>
      </c>
      <c r="F345" s="324">
        <v>193750</v>
      </c>
      <c r="H345" s="324" t="s">
        <v>1493</v>
      </c>
      <c r="V345" s="324" t="s">
        <v>124</v>
      </c>
      <c r="W345" s="324">
        <v>0.06</v>
      </c>
    </row>
    <row r="346" spans="1:29" s="324" customFormat="1" ht="0.65" hidden="1" customHeight="1">
      <c r="A346" s="324">
        <v>4045</v>
      </c>
      <c r="E346" s="324">
        <v>4</v>
      </c>
      <c r="F346" s="324">
        <v>0.06</v>
      </c>
      <c r="H346" s="324" t="s">
        <v>1494</v>
      </c>
      <c r="V346" s="324" t="s">
        <v>125</v>
      </c>
      <c r="W346" s="324">
        <v>0.11</v>
      </c>
    </row>
    <row r="347" spans="1:29" s="324" customFormat="1" ht="0.65" hidden="1" customHeight="1">
      <c r="A347" s="324">
        <v>4046</v>
      </c>
      <c r="B347" s="324">
        <v>600000</v>
      </c>
      <c r="C347" s="324">
        <v>600000</v>
      </c>
      <c r="D347" s="324">
        <v>1</v>
      </c>
      <c r="E347" s="324">
        <v>5</v>
      </c>
      <c r="F347" s="324">
        <v>0.11</v>
      </c>
      <c r="H347" s="324" t="s">
        <v>1495</v>
      </c>
      <c r="V347" s="324" t="s">
        <v>126</v>
      </c>
      <c r="W347" s="324">
        <v>8.4999999999999992E-2</v>
      </c>
    </row>
    <row r="348" spans="1:29" s="324" customFormat="1" ht="0.65" hidden="1" customHeight="1">
      <c r="A348" s="324">
        <v>4047</v>
      </c>
      <c r="B348" s="324">
        <v>500000</v>
      </c>
      <c r="C348" s="324">
        <v>500000</v>
      </c>
      <c r="D348" s="324">
        <v>1</v>
      </c>
      <c r="E348" s="324">
        <v>6</v>
      </c>
      <c r="F348" s="324">
        <v>8.5000000000000006E-2</v>
      </c>
      <c r="H348" s="324" t="s">
        <v>1496</v>
      </c>
    </row>
    <row r="349" spans="1:29" s="324" customFormat="1" ht="0.65" hidden="1" customHeight="1">
      <c r="A349" s="324">
        <v>4048</v>
      </c>
      <c r="E349" s="324">
        <v>7</v>
      </c>
      <c r="F349" s="324">
        <v>255402.23714031855</v>
      </c>
      <c r="H349" s="324" t="s">
        <v>1497</v>
      </c>
      <c r="V349" s="324" t="s">
        <v>27</v>
      </c>
    </row>
    <row r="350" spans="1:29" s="324" customFormat="1" ht="0.65" hidden="1" customHeight="1">
      <c r="A350" s="324">
        <v>4049</v>
      </c>
      <c r="B350" s="324">
        <v>90</v>
      </c>
      <c r="C350" s="324">
        <v>90</v>
      </c>
      <c r="D350" s="324">
        <v>1</v>
      </c>
      <c r="E350" s="324">
        <v>8</v>
      </c>
      <c r="F350" s="324">
        <v>63850.559285079638</v>
      </c>
      <c r="H350" s="324" t="s">
        <v>1498</v>
      </c>
    </row>
    <row r="351" spans="1:29" s="324" customFormat="1" ht="0.65" hidden="1" customHeight="1">
      <c r="A351" s="324">
        <v>4050</v>
      </c>
      <c r="B351" s="324">
        <v>90</v>
      </c>
      <c r="C351" s="324">
        <v>90</v>
      </c>
      <c r="D351" s="324">
        <v>1</v>
      </c>
      <c r="E351" s="324">
        <v>9</v>
      </c>
      <c r="F351" s="324">
        <v>-7981.3199106349548</v>
      </c>
      <c r="H351" s="324" t="s">
        <v>1499</v>
      </c>
      <c r="V351" s="324" t="s">
        <v>13</v>
      </c>
      <c r="W351" s="324">
        <v>-36847.959271750646</v>
      </c>
      <c r="X351" s="324" t="s">
        <v>654</v>
      </c>
    </row>
    <row r="352" spans="1:29" s="324" customFormat="1" ht="0.65" hidden="1" customHeight="1">
      <c r="A352" s="324">
        <v>4051</v>
      </c>
      <c r="E352" s="324">
        <v>10</v>
      </c>
      <c r="F352" s="324">
        <v>23041.474654377882</v>
      </c>
      <c r="H352" s="324" t="s">
        <v>1500</v>
      </c>
      <c r="V352" s="324" t="s">
        <v>28</v>
      </c>
      <c r="W352" s="324">
        <v>3.0062994449785885E-2</v>
      </c>
      <c r="X352" s="324" t="s">
        <v>655</v>
      </c>
    </row>
    <row r="353" spans="1:24" s="324" customFormat="1" ht="0.65" hidden="1" customHeight="1">
      <c r="A353" s="324">
        <v>4052</v>
      </c>
      <c r="E353" s="324">
        <v>11</v>
      </c>
      <c r="F353" s="324">
        <v>100000</v>
      </c>
      <c r="H353" s="324" t="s">
        <v>323</v>
      </c>
      <c r="V353" s="324" t="s">
        <v>29</v>
      </c>
      <c r="W353" s="324">
        <v>-0.12031986700979802</v>
      </c>
      <c r="X353" s="324" t="s">
        <v>656</v>
      </c>
    </row>
    <row r="354" spans="1:24" s="324" customFormat="1" ht="0.65" hidden="1" customHeight="1">
      <c r="A354" s="324">
        <v>4053</v>
      </c>
      <c r="B354" s="324">
        <v>175000</v>
      </c>
      <c r="C354" s="324">
        <v>175000</v>
      </c>
      <c r="D354" s="324">
        <v>1</v>
      </c>
      <c r="E354" s="324">
        <v>12</v>
      </c>
      <c r="F354" s="324">
        <v>25000</v>
      </c>
      <c r="H354" s="324" t="s">
        <v>813</v>
      </c>
      <c r="V354" s="324" t="s">
        <v>30</v>
      </c>
      <c r="W354" s="324">
        <v>3</v>
      </c>
      <c r="X354" s="324" t="s">
        <v>1023</v>
      </c>
    </row>
    <row r="355" spans="1:24" s="324" customFormat="1" ht="0.65" hidden="1" customHeight="1">
      <c r="A355" s="324">
        <v>4054</v>
      </c>
      <c r="B355" s="324">
        <v>250000</v>
      </c>
      <c r="C355" s="324">
        <v>250000</v>
      </c>
      <c r="D355" s="324">
        <v>1</v>
      </c>
      <c r="E355" s="324">
        <v>13</v>
      </c>
      <c r="F355" s="324">
        <v>87500</v>
      </c>
      <c r="H355" s="324" t="s">
        <v>1501</v>
      </c>
    </row>
    <row r="356" spans="1:24" s="324" customFormat="1" ht="0.65" hidden="1" customHeight="1">
      <c r="A356" s="324">
        <v>4055</v>
      </c>
      <c r="B356" s="324">
        <v>4</v>
      </c>
      <c r="C356" s="324">
        <v>4</v>
      </c>
      <c r="D356" s="324">
        <v>1</v>
      </c>
      <c r="E356" s="324">
        <v>14</v>
      </c>
      <c r="F356" s="324">
        <v>162500</v>
      </c>
      <c r="H356" s="324" t="s">
        <v>1502</v>
      </c>
    </row>
    <row r="357" spans="1:24" s="324" customFormat="1" ht="0.65" hidden="1" customHeight="1">
      <c r="A357" s="324">
        <v>4056</v>
      </c>
      <c r="B357" s="324">
        <v>43750</v>
      </c>
      <c r="C357" s="324">
        <v>43750</v>
      </c>
      <c r="D357" s="324">
        <v>1</v>
      </c>
      <c r="E357" s="324">
        <v>15</v>
      </c>
      <c r="F357" s="324">
        <v>43750</v>
      </c>
      <c r="H357" s="324" t="s">
        <v>324</v>
      </c>
    </row>
    <row r="358" spans="1:24" s="324" customFormat="1" ht="0.65" hidden="1" customHeight="1">
      <c r="A358" s="324">
        <v>4057</v>
      </c>
      <c r="E358" s="324">
        <v>16</v>
      </c>
      <c r="F358" s="324">
        <v>10937.5</v>
      </c>
      <c r="H358" s="324" t="s">
        <v>1503</v>
      </c>
    </row>
    <row r="359" spans="1:24" s="324" customFormat="1" ht="0.65" hidden="1" customHeight="1">
      <c r="A359" s="324">
        <v>4058</v>
      </c>
      <c r="B359" s="324">
        <v>0.25</v>
      </c>
      <c r="C359" s="324">
        <v>0.25</v>
      </c>
      <c r="D359" s="324">
        <v>1</v>
      </c>
      <c r="E359" s="324">
        <v>17</v>
      </c>
      <c r="F359" s="324">
        <v>15625</v>
      </c>
      <c r="H359" s="324" t="s">
        <v>1504</v>
      </c>
    </row>
    <row r="360" spans="1:24" s="324" customFormat="1" ht="0.65" hidden="1" customHeight="1">
      <c r="A360" s="324">
        <v>4059</v>
      </c>
      <c r="E360" s="324">
        <v>18</v>
      </c>
      <c r="F360" s="324">
        <v>48437.5</v>
      </c>
      <c r="H360" s="324" t="s">
        <v>1505</v>
      </c>
    </row>
    <row r="361" spans="1:24" s="324" customFormat="1" ht="0.65" hidden="1" customHeight="1">
      <c r="A361" s="324">
        <v>4060</v>
      </c>
      <c r="E361" s="324">
        <v>19</v>
      </c>
      <c r="F361" s="324">
        <v>89300.454977255053</v>
      </c>
      <c r="H361" s="324" t="s">
        <v>1506</v>
      </c>
    </row>
    <row r="362" spans="1:24" s="324" customFormat="1" ht="0.65" hidden="1" customHeight="1">
      <c r="A362" s="324">
        <v>4061</v>
      </c>
      <c r="B362" s="324">
        <v>400000</v>
      </c>
      <c r="C362" s="324">
        <v>400000</v>
      </c>
      <c r="D362" s="324">
        <v>1</v>
      </c>
      <c r="E362" s="324">
        <v>20</v>
      </c>
      <c r="F362" s="324">
        <v>25000</v>
      </c>
      <c r="H362" s="324" t="s">
        <v>1507</v>
      </c>
    </row>
    <row r="363" spans="1:24" s="324" customFormat="1" ht="0.65" hidden="1" customHeight="1">
      <c r="A363" s="324">
        <v>4062</v>
      </c>
      <c r="B363" s="324">
        <v>500000</v>
      </c>
      <c r="C363" s="324">
        <v>500000</v>
      </c>
      <c r="D363" s="324">
        <v>1</v>
      </c>
      <c r="E363" s="324">
        <v>21</v>
      </c>
      <c r="F363" s="324">
        <v>19572.702460768229</v>
      </c>
      <c r="H363" s="324" t="s">
        <v>1508</v>
      </c>
    </row>
    <row r="364" spans="1:24" s="324" customFormat="1" ht="0.65" hidden="1" customHeight="1">
      <c r="A364" s="324">
        <v>4063</v>
      </c>
      <c r="B364" s="324">
        <v>0.01</v>
      </c>
      <c r="C364" s="324">
        <v>0.01</v>
      </c>
      <c r="D364" s="324">
        <v>1</v>
      </c>
      <c r="E364" s="324">
        <v>22</v>
      </c>
      <c r="F364" s="324">
        <v>-36847.959271750646</v>
      </c>
      <c r="H364" s="324" t="s">
        <v>1509</v>
      </c>
    </row>
    <row r="365" spans="1:24" s="324" customFormat="1" ht="0.65" hidden="1" customHeight="1">
      <c r="A365" s="324">
        <v>4064</v>
      </c>
      <c r="B365" s="324">
        <v>5000000</v>
      </c>
      <c r="C365" s="324">
        <v>5000000</v>
      </c>
      <c r="D365" s="324">
        <v>1</v>
      </c>
      <c r="E365" s="324">
        <v>23</v>
      </c>
      <c r="F365" s="324">
        <v>-35055.992030815767</v>
      </c>
      <c r="H365" s="324" t="s">
        <v>1510</v>
      </c>
    </row>
    <row r="366" spans="1:24" s="324" customFormat="1" ht="0.65" hidden="1" customHeight="1">
      <c r="A366" s="324">
        <v>4065</v>
      </c>
      <c r="B366" s="324">
        <v>5000000</v>
      </c>
      <c r="C366" s="324">
        <v>5000000</v>
      </c>
      <c r="D366" s="324">
        <v>1</v>
      </c>
      <c r="E366" s="324">
        <v>24</v>
      </c>
      <c r="F366" s="324">
        <v>20812.633161657897</v>
      </c>
      <c r="H366" s="324" t="s">
        <v>1511</v>
      </c>
    </row>
    <row r="367" spans="1:24" s="324" customFormat="1" ht="0.65" hidden="1" customHeight="1">
      <c r="A367" s="324">
        <v>4066</v>
      </c>
      <c r="C367" s="324" t="s">
        <v>422</v>
      </c>
      <c r="D367" s="324">
        <v>17</v>
      </c>
      <c r="E367" s="324">
        <v>25</v>
      </c>
      <c r="F367" s="324">
        <v>-17343.860968048248</v>
      </c>
      <c r="H367" s="324" t="s">
        <v>1512</v>
      </c>
    </row>
    <row r="368" spans="1:24" s="324" customFormat="1" ht="0.65" hidden="1" customHeight="1">
      <c r="A368" s="324">
        <v>4067</v>
      </c>
      <c r="C368" s="324" t="s">
        <v>423</v>
      </c>
      <c r="D368" s="324" t="s">
        <v>520</v>
      </c>
      <c r="E368" s="324">
        <v>26</v>
      </c>
      <c r="F368" s="324">
        <v>-21709.190156927085</v>
      </c>
      <c r="H368" s="324" t="s">
        <v>1513</v>
      </c>
    </row>
    <row r="369" spans="1:29" s="324" customFormat="1" ht="0.65" hidden="1" customHeight="1">
      <c r="A369" s="324">
        <v>4068</v>
      </c>
      <c r="F369" s="324">
        <v>9.5000000000000001E-2</v>
      </c>
    </row>
    <row r="370" spans="1:29" s="324" customFormat="1" ht="0.65" hidden="1" customHeight="1"/>
    <row r="371" spans="1:29" s="324" customFormat="1" ht="0.65" hidden="1" customHeight="1"/>
    <row r="372" spans="1:29" s="324" customFormat="1" ht="0.65" hidden="1" customHeight="1"/>
    <row r="373" spans="1:29" s="324" customFormat="1" ht="0.65" hidden="1" customHeight="1">
      <c r="A373" s="324" t="s">
        <v>19</v>
      </c>
      <c r="C373" s="324" t="s">
        <v>336</v>
      </c>
      <c r="D373" s="324">
        <v>5</v>
      </c>
      <c r="E373" s="324" t="s">
        <v>187</v>
      </c>
      <c r="F373" s="324" t="s">
        <v>327</v>
      </c>
      <c r="N373" s="324" t="s">
        <v>320</v>
      </c>
      <c r="Q373" s="324" t="s">
        <v>325</v>
      </c>
      <c r="V373" s="324" t="s">
        <v>24</v>
      </c>
    </row>
    <row r="374" spans="1:29" s="324" customFormat="1" ht="0.65" hidden="1" customHeight="1">
      <c r="C374" s="324" t="s">
        <v>336</v>
      </c>
      <c r="D374" s="324" t="s">
        <v>486</v>
      </c>
      <c r="F374" s="324" t="s">
        <v>3951</v>
      </c>
    </row>
    <row r="375" spans="1:29" s="324" customFormat="1" ht="0.65" hidden="1" customHeight="1">
      <c r="A375" s="324">
        <v>5001</v>
      </c>
      <c r="B375" s="324" t="s">
        <v>5</v>
      </c>
      <c r="C375" s="324">
        <v>2022</v>
      </c>
      <c r="E375" s="324">
        <v>1</v>
      </c>
      <c r="F375" s="324" t="s">
        <v>292</v>
      </c>
      <c r="N375" s="324">
        <v>1200000</v>
      </c>
      <c r="O375" s="324" t="s">
        <v>55</v>
      </c>
      <c r="Q375" s="324" t="s">
        <v>800</v>
      </c>
      <c r="V375" s="324" t="s">
        <v>490</v>
      </c>
      <c r="W375" s="324">
        <v>967500</v>
      </c>
    </row>
    <row r="376" spans="1:29" s="324" customFormat="1" ht="0.65" hidden="1" customHeight="1">
      <c r="A376" s="324">
        <v>5002</v>
      </c>
      <c r="E376" s="324">
        <v>2</v>
      </c>
      <c r="F376" s="324" t="s">
        <v>313</v>
      </c>
      <c r="N376" s="324">
        <v>210000</v>
      </c>
      <c r="O376" s="324" t="s">
        <v>55</v>
      </c>
      <c r="Q376" s="324" t="s">
        <v>800</v>
      </c>
    </row>
    <row r="377" spans="1:29" s="324" customFormat="1" ht="0.65" hidden="1" customHeight="1">
      <c r="A377" s="324">
        <v>5003</v>
      </c>
      <c r="B377" s="324" t="s">
        <v>32</v>
      </c>
      <c r="E377" s="324">
        <v>3</v>
      </c>
      <c r="F377" s="324" t="s">
        <v>314</v>
      </c>
      <c r="N377" s="324">
        <v>232500</v>
      </c>
      <c r="O377" s="324" t="s">
        <v>55</v>
      </c>
      <c r="P377" s="324" t="s">
        <v>55</v>
      </c>
      <c r="Q377" s="324" t="s">
        <v>800</v>
      </c>
      <c r="V377" s="324" t="s">
        <v>21</v>
      </c>
    </row>
    <row r="378" spans="1:29" s="324" customFormat="1" ht="0.65" hidden="1" customHeight="1">
      <c r="A378" s="324">
        <v>5004</v>
      </c>
      <c r="B378" s="324" t="s">
        <v>488</v>
      </c>
      <c r="C378" s="324">
        <v>1200000</v>
      </c>
      <c r="E378" s="324">
        <v>4</v>
      </c>
      <c r="F378" s="324" t="s">
        <v>293</v>
      </c>
      <c r="N378" s="324">
        <v>4.4999999999999998E-2</v>
      </c>
      <c r="O378" s="324" t="s">
        <v>55</v>
      </c>
      <c r="Q378" s="324" t="s">
        <v>800</v>
      </c>
    </row>
    <row r="379" spans="1:29" s="324" customFormat="1" ht="0.65" hidden="1" customHeight="1">
      <c r="A379" s="324">
        <v>5005</v>
      </c>
      <c r="B379" s="324" t="s">
        <v>6</v>
      </c>
      <c r="C379" s="324">
        <v>10</v>
      </c>
      <c r="E379" s="324">
        <v>5</v>
      </c>
      <c r="F379" s="324" t="s">
        <v>294</v>
      </c>
      <c r="N379" s="324">
        <v>0.1</v>
      </c>
      <c r="O379" s="324" t="s">
        <v>55</v>
      </c>
      <c r="Q379" s="324" t="s">
        <v>800</v>
      </c>
    </row>
    <row r="380" spans="1:29" s="324" customFormat="1" ht="0.65" hidden="1" customHeight="1">
      <c r="A380" s="324">
        <v>5006</v>
      </c>
      <c r="B380" s="324" t="s">
        <v>489</v>
      </c>
      <c r="C380" s="324">
        <v>120000</v>
      </c>
      <c r="E380" s="324">
        <v>6</v>
      </c>
      <c r="F380" s="324" t="s">
        <v>295</v>
      </c>
      <c r="N380" s="324">
        <v>8.8999999999999996E-2</v>
      </c>
      <c r="O380" s="324" t="s">
        <v>55</v>
      </c>
      <c r="Q380" s="324" t="s">
        <v>800</v>
      </c>
      <c r="V380" s="324" t="s">
        <v>0</v>
      </c>
      <c r="W380" s="324" t="s">
        <v>69</v>
      </c>
      <c r="X380" s="324" t="s">
        <v>70</v>
      </c>
      <c r="Y380" s="324" t="s">
        <v>71</v>
      </c>
      <c r="Z380" s="324" t="s">
        <v>72</v>
      </c>
      <c r="AA380" s="324" t="s">
        <v>73</v>
      </c>
      <c r="AB380" s="324" t="s">
        <v>74</v>
      </c>
      <c r="AC380" s="324" t="s">
        <v>75</v>
      </c>
    </row>
    <row r="381" spans="1:29" s="324" customFormat="1" ht="0.65" hidden="1" customHeight="1">
      <c r="A381" s="324">
        <v>5007</v>
      </c>
      <c r="E381" s="324">
        <v>7</v>
      </c>
      <c r="F381" s="324" t="s">
        <v>311</v>
      </c>
      <c r="N381" s="324">
        <v>1141115.7577071893</v>
      </c>
      <c r="O381" s="324" t="s">
        <v>55</v>
      </c>
      <c r="Q381" s="324" t="s">
        <v>800</v>
      </c>
      <c r="V381" s="324">
        <v>2023</v>
      </c>
      <c r="W381" s="324">
        <v>600000</v>
      </c>
      <c r="X381" s="324">
        <v>150000</v>
      </c>
      <c r="Y381" s="324">
        <v>-30000</v>
      </c>
      <c r="Z381" s="324">
        <v>480000</v>
      </c>
      <c r="AA381" s="324">
        <v>120000</v>
      </c>
      <c r="AB381" s="324">
        <v>360000</v>
      </c>
      <c r="AC381" s="324">
        <v>330000</v>
      </c>
    </row>
    <row r="382" spans="1:29" s="324" customFormat="1" ht="0.65" hidden="1" customHeight="1">
      <c r="A382" s="324">
        <v>5008</v>
      </c>
      <c r="B382" s="324" t="s">
        <v>34</v>
      </c>
      <c r="C382" s="324">
        <v>600000</v>
      </c>
      <c r="E382" s="324">
        <v>8</v>
      </c>
      <c r="F382" s="324" t="s">
        <v>296</v>
      </c>
      <c r="N382" s="324">
        <v>285278.93942679733</v>
      </c>
      <c r="O382" s="324" t="s">
        <v>55</v>
      </c>
      <c r="Q382" s="324" t="s">
        <v>800</v>
      </c>
      <c r="V382" s="324">
        <v>2024</v>
      </c>
      <c r="W382" s="324">
        <v>600000</v>
      </c>
      <c r="X382" s="324">
        <v>150000</v>
      </c>
      <c r="Y382" s="324">
        <v>-30000</v>
      </c>
      <c r="Z382" s="324">
        <v>480000</v>
      </c>
      <c r="AA382" s="324">
        <v>120000</v>
      </c>
      <c r="AB382" s="324">
        <v>360000</v>
      </c>
      <c r="AC382" s="324">
        <v>330000</v>
      </c>
    </row>
    <row r="383" spans="1:29" s="324" customFormat="1" ht="0.65" hidden="1" customHeight="1">
      <c r="A383" s="324">
        <v>5009</v>
      </c>
      <c r="B383" s="324" t="s">
        <v>35</v>
      </c>
      <c r="C383" s="324">
        <v>150000</v>
      </c>
      <c r="E383" s="324">
        <v>9</v>
      </c>
      <c r="F383" s="324" t="s">
        <v>298</v>
      </c>
      <c r="N383" s="324">
        <v>10018.128835218522</v>
      </c>
      <c r="O383" s="324" t="s">
        <v>55</v>
      </c>
      <c r="Q383" s="324" t="s">
        <v>800</v>
      </c>
      <c r="V383" s="324">
        <v>2025</v>
      </c>
      <c r="W383" s="324">
        <v>600000</v>
      </c>
      <c r="X383" s="324">
        <v>150000</v>
      </c>
      <c r="Y383" s="324">
        <v>120000</v>
      </c>
      <c r="Z383" s="324">
        <v>330000</v>
      </c>
      <c r="AA383" s="324">
        <v>82500</v>
      </c>
      <c r="AB383" s="324">
        <v>247500</v>
      </c>
      <c r="AC383" s="324">
        <v>367500</v>
      </c>
    </row>
    <row r="384" spans="1:29" s="324" customFormat="1" ht="0.65" hidden="1" customHeight="1">
      <c r="A384" s="324">
        <v>5010</v>
      </c>
      <c r="E384" s="324">
        <v>10</v>
      </c>
      <c r="F384" s="324" t="s">
        <v>297</v>
      </c>
      <c r="N384" s="324">
        <v>57392.102846648304</v>
      </c>
      <c r="O384" s="324" t="s">
        <v>55</v>
      </c>
      <c r="Q384" s="324" t="s">
        <v>800</v>
      </c>
    </row>
    <row r="385" spans="1:26" s="324" customFormat="1" ht="0.65" hidden="1" customHeight="1">
      <c r="A385" s="324">
        <v>5011</v>
      </c>
      <c r="B385" s="324" t="s">
        <v>7</v>
      </c>
      <c r="C385" s="324">
        <v>60</v>
      </c>
      <c r="E385" s="324">
        <v>11</v>
      </c>
      <c r="F385" s="324" t="s">
        <v>299</v>
      </c>
      <c r="N385" s="324">
        <v>120000</v>
      </c>
      <c r="O385" s="324" t="s">
        <v>55</v>
      </c>
      <c r="Q385" s="324" t="s">
        <v>800</v>
      </c>
      <c r="V385" s="324" t="s">
        <v>22</v>
      </c>
    </row>
    <row r="386" spans="1:26" s="324" customFormat="1" ht="0.65" hidden="1" customHeight="1">
      <c r="A386" s="324">
        <v>5012</v>
      </c>
      <c r="B386" s="324" t="s">
        <v>8</v>
      </c>
      <c r="C386" s="324">
        <v>90</v>
      </c>
      <c r="E386" s="324">
        <v>12</v>
      </c>
      <c r="F386" s="324" t="s">
        <v>300</v>
      </c>
      <c r="N386" s="324">
        <v>30000</v>
      </c>
      <c r="O386" s="324" t="s">
        <v>55</v>
      </c>
      <c r="Q386" s="324" t="s">
        <v>800</v>
      </c>
    </row>
    <row r="387" spans="1:26" s="324" customFormat="1" ht="0.65" hidden="1" customHeight="1">
      <c r="A387" s="324">
        <v>5013</v>
      </c>
      <c r="E387" s="324">
        <v>13</v>
      </c>
      <c r="F387" s="324" t="s">
        <v>301</v>
      </c>
      <c r="N387" s="324">
        <v>210000</v>
      </c>
      <c r="O387" s="324" t="s">
        <v>55</v>
      </c>
      <c r="Q387" s="324" t="s">
        <v>800</v>
      </c>
    </row>
    <row r="388" spans="1:26" s="324" customFormat="1" ht="0.65" hidden="1" customHeight="1">
      <c r="A388" s="324">
        <v>5014</v>
      </c>
      <c r="B388" s="324" t="s">
        <v>33</v>
      </c>
      <c r="E388" s="324">
        <v>14</v>
      </c>
      <c r="F388" s="324" t="s">
        <v>302</v>
      </c>
      <c r="N388" s="324">
        <v>300000</v>
      </c>
      <c r="O388" s="324" t="s">
        <v>55</v>
      </c>
      <c r="Q388" s="324" t="s">
        <v>800</v>
      </c>
      <c r="V388" s="324" t="s">
        <v>0</v>
      </c>
      <c r="W388" s="324" t="s">
        <v>76</v>
      </c>
      <c r="X388" s="324" t="s">
        <v>77</v>
      </c>
      <c r="Y388" s="324" t="s">
        <v>78</v>
      </c>
      <c r="Z388" s="324" t="s">
        <v>79</v>
      </c>
    </row>
    <row r="389" spans="1:26" s="324" customFormat="1" ht="0.65" hidden="1" customHeight="1">
      <c r="A389" s="324">
        <v>5015</v>
      </c>
      <c r="B389" s="324" t="s">
        <v>492</v>
      </c>
      <c r="C389" s="324">
        <v>210000</v>
      </c>
      <c r="E389" s="324">
        <v>15</v>
      </c>
      <c r="F389" s="324" t="s">
        <v>303</v>
      </c>
      <c r="N389" s="324">
        <v>30000</v>
      </c>
      <c r="O389" s="324" t="s">
        <v>55</v>
      </c>
      <c r="Q389" s="324" t="s">
        <v>800</v>
      </c>
      <c r="V389" s="324">
        <v>2022</v>
      </c>
      <c r="W389" s="324">
        <v>0</v>
      </c>
      <c r="X389" s="324">
        <v>0</v>
      </c>
      <c r="Y389" s="324">
        <v>0</v>
      </c>
      <c r="Z389" s="324">
        <v>0</v>
      </c>
    </row>
    <row r="390" spans="1:26" s="324" customFormat="1" ht="0.65" hidden="1" customHeight="1">
      <c r="A390" s="324">
        <v>5016</v>
      </c>
      <c r="B390" s="324" t="s">
        <v>495</v>
      </c>
      <c r="C390" s="324">
        <v>300000</v>
      </c>
      <c r="E390" s="324">
        <v>16</v>
      </c>
      <c r="F390" s="324" t="s">
        <v>304</v>
      </c>
      <c r="N390" s="324">
        <v>7500</v>
      </c>
      <c r="O390" s="324" t="s">
        <v>55</v>
      </c>
      <c r="Q390" s="324" t="s">
        <v>800</v>
      </c>
      <c r="V390" s="324">
        <v>2023</v>
      </c>
      <c r="W390" s="324">
        <v>100000</v>
      </c>
      <c r="X390" s="324">
        <v>37500</v>
      </c>
      <c r="Y390" s="324">
        <v>62500</v>
      </c>
      <c r="Z390" s="324">
        <v>62500</v>
      </c>
    </row>
    <row r="391" spans="1:26" s="324" customFormat="1" ht="0.65" hidden="1" customHeight="1">
      <c r="A391" s="324">
        <v>5017</v>
      </c>
      <c r="B391" s="324" t="s">
        <v>6</v>
      </c>
      <c r="C391" s="324">
        <v>2</v>
      </c>
      <c r="E391" s="324">
        <v>17</v>
      </c>
      <c r="F391" s="324" t="s">
        <v>305</v>
      </c>
      <c r="N391" s="324">
        <v>0</v>
      </c>
      <c r="O391" s="324" t="s">
        <v>55</v>
      </c>
      <c r="Q391" s="324" t="s">
        <v>800</v>
      </c>
      <c r="V391" s="324">
        <v>2024</v>
      </c>
      <c r="W391" s="324">
        <v>100000</v>
      </c>
      <c r="X391" s="324">
        <v>37500</v>
      </c>
      <c r="Y391" s="324">
        <v>62500</v>
      </c>
      <c r="Z391" s="324">
        <v>0</v>
      </c>
    </row>
    <row r="392" spans="1:26" s="324" customFormat="1" ht="0.65" hidden="1" customHeight="1">
      <c r="A392" s="324">
        <v>5018</v>
      </c>
      <c r="B392" s="324" t="s">
        <v>489</v>
      </c>
      <c r="C392" s="324">
        <v>30000</v>
      </c>
      <c r="E392" s="324">
        <v>18</v>
      </c>
      <c r="F392" s="324" t="s">
        <v>306</v>
      </c>
      <c r="N392" s="324">
        <v>22500</v>
      </c>
      <c r="O392" s="324" t="s">
        <v>55</v>
      </c>
      <c r="Q392" s="324" t="s">
        <v>800</v>
      </c>
      <c r="V392" s="324">
        <v>2025</v>
      </c>
      <c r="W392" s="324">
        <v>100000</v>
      </c>
      <c r="X392" s="324">
        <v>37500</v>
      </c>
      <c r="Y392" s="324">
        <v>62500</v>
      </c>
      <c r="Z392" s="324">
        <v>0</v>
      </c>
    </row>
    <row r="393" spans="1:26" s="324" customFormat="1" ht="0.65" hidden="1" customHeight="1">
      <c r="A393" s="324">
        <v>5019</v>
      </c>
      <c r="E393" s="324">
        <v>19</v>
      </c>
      <c r="F393" s="324" t="s">
        <v>307</v>
      </c>
      <c r="N393" s="324">
        <v>214871.76349783709</v>
      </c>
      <c r="O393" s="324" t="s">
        <v>55</v>
      </c>
      <c r="Q393" s="324" t="s">
        <v>800</v>
      </c>
    </row>
    <row r="394" spans="1:26" s="324" customFormat="1" ht="0.65" hidden="1" customHeight="1">
      <c r="A394" s="324">
        <v>5020</v>
      </c>
      <c r="B394" s="324" t="s">
        <v>4</v>
      </c>
      <c r="C394" s="324">
        <v>0.25</v>
      </c>
      <c r="E394" s="324">
        <v>20</v>
      </c>
      <c r="F394" s="324" t="s">
        <v>308</v>
      </c>
      <c r="N394" s="324">
        <v>62500</v>
      </c>
      <c r="O394" s="324" t="s">
        <v>55</v>
      </c>
      <c r="P394" s="324" t="s">
        <v>55</v>
      </c>
      <c r="Q394" s="324" t="s">
        <v>800</v>
      </c>
      <c r="V394" s="324" t="s">
        <v>23</v>
      </c>
    </row>
    <row r="395" spans="1:26" s="324" customFormat="1" ht="0.65" hidden="1" customHeight="1">
      <c r="A395" s="324">
        <v>5021</v>
      </c>
      <c r="C395" s="324" t="s">
        <v>9</v>
      </c>
      <c r="E395" s="324">
        <v>21</v>
      </c>
      <c r="F395" s="324" t="s">
        <v>309</v>
      </c>
      <c r="N395" s="324">
        <v>48394.541328341686</v>
      </c>
      <c r="O395" s="324" t="s">
        <v>55</v>
      </c>
      <c r="Q395" s="324" t="s">
        <v>800</v>
      </c>
    </row>
    <row r="396" spans="1:26" s="324" customFormat="1" ht="0.65" hidden="1" customHeight="1">
      <c r="A396" s="324">
        <v>5022</v>
      </c>
      <c r="E396" s="324">
        <v>22</v>
      </c>
      <c r="F396" s="324" t="s">
        <v>317</v>
      </c>
      <c r="N396" s="324">
        <v>104229.14909514097</v>
      </c>
      <c r="O396" s="324" t="s">
        <v>55</v>
      </c>
      <c r="Q396" s="324" t="s">
        <v>800</v>
      </c>
      <c r="V396" s="324" t="s">
        <v>491</v>
      </c>
      <c r="W396" s="324">
        <v>277500</v>
      </c>
    </row>
    <row r="397" spans="1:26" s="324" customFormat="1" ht="0.65" hidden="1" customHeight="1">
      <c r="A397" s="324">
        <v>5023</v>
      </c>
      <c r="B397" s="324" t="s">
        <v>10</v>
      </c>
      <c r="C397" s="324">
        <v>360000</v>
      </c>
      <c r="E397" s="324">
        <v>23</v>
      </c>
      <c r="F397" s="324" t="s">
        <v>310</v>
      </c>
      <c r="N397" s="324">
        <v>204912.32166331759</v>
      </c>
      <c r="O397" s="324" t="s">
        <v>55</v>
      </c>
      <c r="Q397" s="324" t="s">
        <v>800</v>
      </c>
      <c r="V397" s="324" t="s">
        <v>493</v>
      </c>
      <c r="W397" s="324">
        <v>62500</v>
      </c>
    </row>
    <row r="398" spans="1:26" s="324" customFormat="1" ht="0.65" hidden="1" customHeight="1">
      <c r="A398" s="324">
        <v>5024</v>
      </c>
      <c r="B398" s="324" t="s">
        <v>11</v>
      </c>
      <c r="C398" s="324">
        <v>1920000</v>
      </c>
      <c r="E398" s="324">
        <v>24</v>
      </c>
      <c r="F398" s="324" t="s">
        <v>315</v>
      </c>
      <c r="N398" s="324">
        <v>14396.098429290578</v>
      </c>
      <c r="O398" s="324" t="s">
        <v>55</v>
      </c>
      <c r="Q398" s="324" t="s">
        <v>800</v>
      </c>
      <c r="V398" s="324" t="s">
        <v>494</v>
      </c>
      <c r="W398" s="324">
        <v>340000</v>
      </c>
    </row>
    <row r="399" spans="1:26" s="324" customFormat="1" ht="0.65" hidden="1" customHeight="1">
      <c r="A399" s="324">
        <v>5025</v>
      </c>
      <c r="B399" s="324" t="s">
        <v>12</v>
      </c>
      <c r="C399" s="324">
        <v>0.02</v>
      </c>
      <c r="E399" s="324">
        <v>25</v>
      </c>
      <c r="F399" s="324" t="s">
        <v>316</v>
      </c>
      <c r="N399" s="324">
        <v>-5398.5369109839703</v>
      </c>
      <c r="O399" s="324" t="s">
        <v>55</v>
      </c>
      <c r="Q399" s="324" t="s">
        <v>800</v>
      </c>
    </row>
    <row r="400" spans="1:26" s="324" customFormat="1" ht="0.65" hidden="1" customHeight="1">
      <c r="A400" s="324">
        <v>5026</v>
      </c>
      <c r="B400" s="324" t="s">
        <v>2</v>
      </c>
      <c r="C400" s="324">
        <v>6000000</v>
      </c>
      <c r="E400" s="324">
        <v>26</v>
      </c>
      <c r="F400" s="324" t="s">
        <v>312</v>
      </c>
      <c r="N400" s="324">
        <v>-22568.733874653291</v>
      </c>
      <c r="O400" s="324" t="s">
        <v>55</v>
      </c>
      <c r="Q400" s="324" t="s">
        <v>800</v>
      </c>
      <c r="V400" s="324" t="s">
        <v>26</v>
      </c>
    </row>
    <row r="401" spans="1:29" s="324" customFormat="1" ht="0.65" hidden="1" customHeight="1">
      <c r="A401" s="324">
        <v>5027</v>
      </c>
      <c r="B401" s="324" t="s">
        <v>3</v>
      </c>
      <c r="C401" s="324">
        <v>24000000</v>
      </c>
      <c r="Z401" s="324" t="s">
        <v>81</v>
      </c>
    </row>
    <row r="402" spans="1:29" s="324" customFormat="1" ht="0.65" hidden="1" customHeight="1">
      <c r="A402" s="324">
        <v>5028</v>
      </c>
      <c r="J402" s="324">
        <v>0</v>
      </c>
      <c r="M402" s="324" t="s">
        <v>319</v>
      </c>
      <c r="N402" s="324" t="s">
        <v>36</v>
      </c>
      <c r="O402" s="324" t="s">
        <v>55</v>
      </c>
      <c r="V402" s="324" t="s">
        <v>0</v>
      </c>
      <c r="W402" s="324" t="s">
        <v>75</v>
      </c>
      <c r="X402" s="324" t="s">
        <v>79</v>
      </c>
      <c r="Y402" s="324" t="s">
        <v>80</v>
      </c>
      <c r="Z402" s="324" t="s">
        <v>1</v>
      </c>
      <c r="AB402" s="324" t="s">
        <v>31</v>
      </c>
    </row>
    <row r="403" spans="1:29" s="324" customFormat="1" ht="0.65" hidden="1" customHeight="1">
      <c r="A403" s="324">
        <v>5029</v>
      </c>
      <c r="B403" s="324" t="s">
        <v>14</v>
      </c>
      <c r="C403" s="324" t="s">
        <v>16</v>
      </c>
      <c r="H403" s="324" t="s">
        <v>55</v>
      </c>
      <c r="N403" s="324" t="s">
        <v>424</v>
      </c>
      <c r="V403" s="324">
        <v>2022</v>
      </c>
      <c r="W403" s="324">
        <v>0</v>
      </c>
      <c r="X403" s="324">
        <v>0</v>
      </c>
      <c r="Y403" s="324">
        <v>0</v>
      </c>
      <c r="Z403" s="324">
        <v>-967500</v>
      </c>
      <c r="AB403" s="324">
        <v>-967500</v>
      </c>
    </row>
    <row r="404" spans="1:29" s="324" customFormat="1" ht="0.65" hidden="1" customHeight="1">
      <c r="A404" s="324">
        <v>5030</v>
      </c>
      <c r="F404" s="324" t="s">
        <v>326</v>
      </c>
      <c r="H404" s="324">
        <v>3</v>
      </c>
      <c r="I404" s="324" t="s">
        <v>1726</v>
      </c>
      <c r="J404" s="324" t="s">
        <v>1727</v>
      </c>
      <c r="V404" s="324">
        <v>2023</v>
      </c>
      <c r="W404" s="324">
        <v>330000</v>
      </c>
      <c r="X404" s="324">
        <v>62500</v>
      </c>
      <c r="Y404" s="324">
        <v>267500</v>
      </c>
      <c r="Z404" s="324">
        <v>267500</v>
      </c>
      <c r="AB404" s="324">
        <v>-700000</v>
      </c>
      <c r="AC404" s="324" t="s">
        <v>55</v>
      </c>
    </row>
    <row r="405" spans="1:29" s="324" customFormat="1" ht="0.65" hidden="1" customHeight="1">
      <c r="A405" s="324">
        <v>5031</v>
      </c>
      <c r="V405" s="324">
        <v>2024</v>
      </c>
      <c r="W405" s="324">
        <v>330000</v>
      </c>
      <c r="X405" s="324">
        <v>0</v>
      </c>
      <c r="Y405" s="324">
        <v>330000</v>
      </c>
      <c r="Z405" s="324">
        <v>330000</v>
      </c>
      <c r="AB405" s="324">
        <v>-370000</v>
      </c>
      <c r="AC405" s="324" t="s">
        <v>55</v>
      </c>
    </row>
    <row r="406" spans="1:29" s="324" customFormat="1" ht="0.65" hidden="1" customHeight="1">
      <c r="A406" s="324">
        <v>5032</v>
      </c>
    </row>
    <row r="407" spans="1:29" s="324" customFormat="1" ht="0.65" hidden="1" customHeight="1">
      <c r="A407" s="324">
        <v>5033</v>
      </c>
    </row>
    <row r="408" spans="1:29" s="324" customFormat="1" ht="0.65" hidden="1" customHeight="1">
      <c r="A408" s="324">
        <v>5034</v>
      </c>
    </row>
    <row r="409" spans="1:29" s="324" customFormat="1" ht="0.65" hidden="1" customHeight="1">
      <c r="A409" s="324">
        <v>5035</v>
      </c>
    </row>
    <row r="410" spans="1:29" s="324" customFormat="1" ht="0.65" hidden="1" customHeight="1">
      <c r="A410" s="324">
        <v>5036</v>
      </c>
    </row>
    <row r="411" spans="1:29" s="324" customFormat="1" ht="0.65" hidden="1" customHeight="1">
      <c r="A411" s="324">
        <v>5037</v>
      </c>
    </row>
    <row r="412" spans="1:29" s="324" customFormat="1" ht="0.65" hidden="1" customHeight="1">
      <c r="A412" s="324">
        <v>5038</v>
      </c>
    </row>
    <row r="413" spans="1:29" s="324" customFormat="1" ht="0.65" hidden="1" customHeight="1">
      <c r="A413" s="324">
        <v>5039</v>
      </c>
    </row>
    <row r="414" spans="1:29" s="324" customFormat="1" ht="0.65" hidden="1" customHeight="1">
      <c r="A414" s="324">
        <v>5040</v>
      </c>
      <c r="E414" s="324" t="s">
        <v>55</v>
      </c>
      <c r="F414" s="324" t="s">
        <v>318</v>
      </c>
      <c r="H414" s="324" t="s">
        <v>185</v>
      </c>
      <c r="V414" s="324">
        <v>2025</v>
      </c>
      <c r="W414" s="324">
        <v>367500</v>
      </c>
      <c r="X414" s="324">
        <v>0</v>
      </c>
      <c r="Y414" s="324">
        <v>367500</v>
      </c>
      <c r="Z414" s="324">
        <v>707500</v>
      </c>
      <c r="AB414" s="324">
        <v>337500</v>
      </c>
      <c r="AC414" s="324">
        <v>2025</v>
      </c>
    </row>
    <row r="415" spans="1:29" s="324" customFormat="1" ht="0.65" hidden="1" customHeight="1">
      <c r="A415" s="324">
        <v>5041</v>
      </c>
      <c r="E415" s="324" t="s">
        <v>55</v>
      </c>
    </row>
    <row r="416" spans="1:29" s="324" customFormat="1" ht="0.65" hidden="1" customHeight="1">
      <c r="A416" s="324">
        <v>5042</v>
      </c>
      <c r="B416" s="324">
        <v>1200000</v>
      </c>
      <c r="C416" s="324">
        <v>1200000</v>
      </c>
      <c r="D416" s="324">
        <v>1</v>
      </c>
      <c r="E416" s="324">
        <v>1</v>
      </c>
      <c r="F416" s="324">
        <v>1200000</v>
      </c>
      <c r="H416" s="324" t="s">
        <v>321</v>
      </c>
      <c r="V416" s="324" t="s">
        <v>25</v>
      </c>
    </row>
    <row r="417" spans="1:24" s="324" customFormat="1" ht="0.65" hidden="1" customHeight="1">
      <c r="A417" s="324">
        <v>5043</v>
      </c>
      <c r="B417" s="324">
        <v>10</v>
      </c>
      <c r="C417" s="324">
        <v>10</v>
      </c>
      <c r="D417" s="324">
        <v>1</v>
      </c>
      <c r="E417" s="324">
        <v>2</v>
      </c>
      <c r="F417" s="324">
        <v>210000</v>
      </c>
      <c r="H417" s="324" t="s">
        <v>322</v>
      </c>
    </row>
    <row r="418" spans="1:24" s="324" customFormat="1" ht="0.65" hidden="1" customHeight="1">
      <c r="A418" s="324">
        <v>5044</v>
      </c>
      <c r="B418" s="324">
        <v>120000</v>
      </c>
      <c r="C418" s="324">
        <v>120000</v>
      </c>
      <c r="D418" s="324">
        <v>1</v>
      </c>
      <c r="E418" s="324">
        <v>3</v>
      </c>
      <c r="F418" s="324">
        <v>232500</v>
      </c>
      <c r="H418" s="324" t="s">
        <v>1727</v>
      </c>
      <c r="V418" s="324" t="s">
        <v>124</v>
      </c>
      <c r="W418" s="324">
        <v>4.4999999999999998E-2</v>
      </c>
    </row>
    <row r="419" spans="1:24" s="324" customFormat="1" ht="0.65" hidden="1" customHeight="1">
      <c r="A419" s="324">
        <v>5045</v>
      </c>
      <c r="E419" s="324">
        <v>4</v>
      </c>
      <c r="F419" s="324">
        <v>4.4999999999999998E-2</v>
      </c>
      <c r="H419" s="324" t="s">
        <v>1728</v>
      </c>
      <c r="V419" s="324" t="s">
        <v>125</v>
      </c>
      <c r="W419" s="324">
        <v>0.1</v>
      </c>
    </row>
    <row r="420" spans="1:24" s="324" customFormat="1" ht="0.65" hidden="1" customHeight="1">
      <c r="A420" s="324">
        <v>5046</v>
      </c>
      <c r="B420" s="324">
        <v>600000</v>
      </c>
      <c r="C420" s="324">
        <v>600000</v>
      </c>
      <c r="D420" s="324">
        <v>1</v>
      </c>
      <c r="E420" s="324">
        <v>5</v>
      </c>
      <c r="F420" s="324">
        <v>0.1</v>
      </c>
      <c r="H420" s="324" t="s">
        <v>1729</v>
      </c>
      <c r="V420" s="324" t="s">
        <v>126</v>
      </c>
      <c r="W420" s="324">
        <v>8.8999999999999996E-2</v>
      </c>
    </row>
    <row r="421" spans="1:24" s="324" customFormat="1" ht="0.65" hidden="1" customHeight="1">
      <c r="A421" s="324">
        <v>5047</v>
      </c>
      <c r="B421" s="324">
        <v>150000</v>
      </c>
      <c r="C421" s="324">
        <v>150000</v>
      </c>
      <c r="D421" s="324">
        <v>1</v>
      </c>
      <c r="E421" s="324">
        <v>6</v>
      </c>
      <c r="F421" s="324">
        <v>8.8999999999999996E-2</v>
      </c>
      <c r="H421" s="324" t="s">
        <v>1730</v>
      </c>
    </row>
    <row r="422" spans="1:24" s="324" customFormat="1" ht="0.65" hidden="1" customHeight="1">
      <c r="A422" s="324">
        <v>5048</v>
      </c>
      <c r="E422" s="324">
        <v>7</v>
      </c>
      <c r="F422" s="324">
        <v>1141115.7577071893</v>
      </c>
      <c r="H422" s="324" t="s">
        <v>1731</v>
      </c>
      <c r="V422" s="324" t="s">
        <v>27</v>
      </c>
    </row>
    <row r="423" spans="1:24" s="324" customFormat="1" ht="0.65" hidden="1" customHeight="1">
      <c r="A423" s="324">
        <v>5049</v>
      </c>
      <c r="B423" s="324">
        <v>60</v>
      </c>
      <c r="C423" s="324">
        <v>60</v>
      </c>
      <c r="D423" s="324">
        <v>1</v>
      </c>
      <c r="E423" s="324">
        <v>8</v>
      </c>
      <c r="F423" s="324">
        <v>285278.93942679733</v>
      </c>
      <c r="H423" s="324" t="s">
        <v>1732</v>
      </c>
    </row>
    <row r="424" spans="1:24" s="324" customFormat="1" ht="0.65" hidden="1" customHeight="1">
      <c r="A424" s="324">
        <v>5050</v>
      </c>
      <c r="B424" s="324">
        <v>90</v>
      </c>
      <c r="C424" s="324">
        <v>90</v>
      </c>
      <c r="D424" s="324">
        <v>1</v>
      </c>
      <c r="E424" s="324">
        <v>9</v>
      </c>
      <c r="F424" s="324">
        <v>10018.128835218522</v>
      </c>
      <c r="H424" s="324" t="s">
        <v>1733</v>
      </c>
      <c r="V424" s="324" t="s">
        <v>13</v>
      </c>
      <c r="W424" s="324">
        <v>104229.1490951411</v>
      </c>
      <c r="X424" s="324" t="s">
        <v>1020</v>
      </c>
    </row>
    <row r="425" spans="1:24" s="324" customFormat="1" ht="0.65" hidden="1" customHeight="1">
      <c r="A425" s="324">
        <v>5051</v>
      </c>
      <c r="E425" s="324">
        <v>10</v>
      </c>
      <c r="F425" s="324">
        <v>57392.102846648304</v>
      </c>
      <c r="H425" s="324" t="s">
        <v>1734</v>
      </c>
      <c r="V425" s="324" t="s">
        <v>28</v>
      </c>
      <c r="W425" s="324">
        <v>0.13927532491339289</v>
      </c>
      <c r="X425" s="324" t="s">
        <v>1021</v>
      </c>
    </row>
    <row r="426" spans="1:24" s="324" customFormat="1" ht="0.65" hidden="1" customHeight="1">
      <c r="A426" s="324">
        <v>5052</v>
      </c>
      <c r="E426" s="324">
        <v>11</v>
      </c>
      <c r="F426" s="324">
        <v>120000</v>
      </c>
      <c r="H426" s="324" t="s">
        <v>323</v>
      </c>
      <c r="V426" s="324" t="s">
        <v>29</v>
      </c>
      <c r="W426" s="324">
        <v>0.10773038666164454</v>
      </c>
      <c r="X426" s="324" t="s">
        <v>1022</v>
      </c>
    </row>
    <row r="427" spans="1:24" s="324" customFormat="1" ht="0.65" hidden="1" customHeight="1">
      <c r="A427" s="324">
        <v>5053</v>
      </c>
      <c r="B427" s="324">
        <v>210000</v>
      </c>
      <c r="C427" s="324">
        <v>210000</v>
      </c>
      <c r="D427" s="324">
        <v>1</v>
      </c>
      <c r="E427" s="324">
        <v>12</v>
      </c>
      <c r="F427" s="324">
        <v>30000</v>
      </c>
      <c r="H427" s="324" t="s">
        <v>1735</v>
      </c>
      <c r="V427" s="324" t="s">
        <v>30</v>
      </c>
      <c r="W427" s="324">
        <v>3</v>
      </c>
      <c r="X427" s="324" t="s">
        <v>1023</v>
      </c>
    </row>
    <row r="428" spans="1:24" s="324" customFormat="1" ht="0.65" hidden="1" customHeight="1">
      <c r="A428" s="324">
        <v>5054</v>
      </c>
      <c r="B428" s="324">
        <v>300000</v>
      </c>
      <c r="C428" s="324">
        <v>300000</v>
      </c>
      <c r="D428" s="324">
        <v>1</v>
      </c>
      <c r="E428" s="324">
        <v>13</v>
      </c>
      <c r="F428" s="324">
        <v>210000</v>
      </c>
      <c r="H428" s="324" t="s">
        <v>1736</v>
      </c>
    </row>
    <row r="429" spans="1:24" s="324" customFormat="1" ht="0.65" hidden="1" customHeight="1">
      <c r="A429" s="324">
        <v>5055</v>
      </c>
      <c r="B429" s="324">
        <v>2</v>
      </c>
      <c r="C429" s="324">
        <v>2</v>
      </c>
      <c r="D429" s="324">
        <v>1</v>
      </c>
      <c r="E429" s="324">
        <v>14</v>
      </c>
      <c r="F429" s="324">
        <v>300000</v>
      </c>
      <c r="H429" s="324" t="s">
        <v>1737</v>
      </c>
    </row>
    <row r="430" spans="1:24" s="324" customFormat="1" ht="0.65" hidden="1" customHeight="1">
      <c r="A430" s="324">
        <v>5056</v>
      </c>
      <c r="B430" s="324">
        <v>30000</v>
      </c>
      <c r="C430" s="324">
        <v>30000</v>
      </c>
      <c r="D430" s="324">
        <v>1</v>
      </c>
      <c r="E430" s="324">
        <v>15</v>
      </c>
      <c r="F430" s="324">
        <v>30000</v>
      </c>
      <c r="H430" s="324" t="s">
        <v>324</v>
      </c>
    </row>
    <row r="431" spans="1:24" s="324" customFormat="1" ht="0.65" hidden="1" customHeight="1">
      <c r="A431" s="324">
        <v>5057</v>
      </c>
      <c r="E431" s="324">
        <v>16</v>
      </c>
      <c r="F431" s="324">
        <v>7500</v>
      </c>
      <c r="H431" s="324" t="s">
        <v>1738</v>
      </c>
    </row>
    <row r="432" spans="1:24" s="324" customFormat="1" ht="0.65" hidden="1" customHeight="1">
      <c r="A432" s="324">
        <v>5058</v>
      </c>
      <c r="B432" s="324">
        <v>0.25</v>
      </c>
      <c r="C432" s="324">
        <v>0.25</v>
      </c>
      <c r="D432" s="324">
        <v>1</v>
      </c>
      <c r="E432" s="324">
        <v>17</v>
      </c>
      <c r="F432" s="324">
        <v>0</v>
      </c>
      <c r="H432" s="324" t="s">
        <v>814</v>
      </c>
    </row>
    <row r="433" spans="1:23" s="324" customFormat="1" ht="0.65" hidden="1" customHeight="1">
      <c r="A433" s="324">
        <v>5059</v>
      </c>
      <c r="E433" s="324">
        <v>18</v>
      </c>
      <c r="F433" s="324">
        <v>22500</v>
      </c>
      <c r="H433" s="324" t="s">
        <v>1739</v>
      </c>
    </row>
    <row r="434" spans="1:23" s="324" customFormat="1" ht="0.65" hidden="1" customHeight="1">
      <c r="A434" s="324">
        <v>5060</v>
      </c>
      <c r="E434" s="324">
        <v>19</v>
      </c>
      <c r="F434" s="324">
        <v>214871.76349783709</v>
      </c>
      <c r="H434" s="324" t="s">
        <v>1740</v>
      </c>
    </row>
    <row r="435" spans="1:23" s="324" customFormat="1" ht="0.65" hidden="1" customHeight="1">
      <c r="A435" s="324">
        <v>5061</v>
      </c>
      <c r="B435" s="324">
        <v>360000</v>
      </c>
      <c r="C435" s="324">
        <v>360000</v>
      </c>
      <c r="D435" s="324">
        <v>1</v>
      </c>
      <c r="E435" s="324">
        <v>20</v>
      </c>
      <c r="F435" s="324">
        <v>62500</v>
      </c>
      <c r="H435" s="324" t="s">
        <v>1741</v>
      </c>
    </row>
    <row r="436" spans="1:23" s="324" customFormat="1" ht="0.65" hidden="1" customHeight="1">
      <c r="A436" s="324">
        <v>5062</v>
      </c>
      <c r="B436" s="324">
        <v>1920000</v>
      </c>
      <c r="C436" s="324">
        <v>1920000</v>
      </c>
      <c r="D436" s="324">
        <v>1</v>
      </c>
      <c r="E436" s="324">
        <v>21</v>
      </c>
      <c r="F436" s="324">
        <v>48394.541328341686</v>
      </c>
      <c r="H436" s="324" t="s">
        <v>1742</v>
      </c>
    </row>
    <row r="437" spans="1:23" s="324" customFormat="1" ht="0.65" hidden="1" customHeight="1">
      <c r="A437" s="324">
        <v>5063</v>
      </c>
      <c r="B437" s="324">
        <v>0.02</v>
      </c>
      <c r="C437" s="324">
        <v>0.02</v>
      </c>
      <c r="D437" s="324">
        <v>1</v>
      </c>
      <c r="E437" s="324">
        <v>22</v>
      </c>
      <c r="F437" s="324">
        <v>104229.14909514097</v>
      </c>
      <c r="H437" s="324" t="s">
        <v>1743</v>
      </c>
    </row>
    <row r="438" spans="1:23" s="324" customFormat="1" ht="0.65" hidden="1" customHeight="1">
      <c r="A438" s="324">
        <v>5064</v>
      </c>
      <c r="B438" s="324">
        <v>6000000</v>
      </c>
      <c r="C438" s="324">
        <v>6000000</v>
      </c>
      <c r="D438" s="324">
        <v>1</v>
      </c>
      <c r="E438" s="324">
        <v>23</v>
      </c>
      <c r="F438" s="324">
        <v>204912.32166331774</v>
      </c>
      <c r="H438" s="324" t="s">
        <v>1744</v>
      </c>
    </row>
    <row r="439" spans="1:23" s="324" customFormat="1" ht="0.65" hidden="1" customHeight="1">
      <c r="A439" s="324">
        <v>5065</v>
      </c>
      <c r="B439" s="324">
        <v>24000000</v>
      </c>
      <c r="C439" s="324">
        <v>24000000</v>
      </c>
      <c r="D439" s="324">
        <v>1</v>
      </c>
      <c r="E439" s="324">
        <v>24</v>
      </c>
      <c r="F439" s="324">
        <v>14396.098429290578</v>
      </c>
      <c r="H439" s="324" t="s">
        <v>1745</v>
      </c>
    </row>
    <row r="440" spans="1:23" s="324" customFormat="1" ht="0.65" hidden="1" customHeight="1">
      <c r="A440" s="324">
        <v>5066</v>
      </c>
      <c r="C440" s="324" t="s">
        <v>422</v>
      </c>
      <c r="D440" s="324">
        <v>17</v>
      </c>
      <c r="E440" s="324">
        <v>25</v>
      </c>
      <c r="F440" s="324">
        <v>-5398.5369109839703</v>
      </c>
      <c r="H440" s="324" t="s">
        <v>1746</v>
      </c>
    </row>
    <row r="441" spans="1:23" s="324" customFormat="1" ht="0.65" hidden="1" customHeight="1">
      <c r="A441" s="324">
        <v>5067</v>
      </c>
      <c r="C441" s="324" t="s">
        <v>423</v>
      </c>
      <c r="D441" s="324" t="s">
        <v>520</v>
      </c>
      <c r="E441" s="324">
        <v>26</v>
      </c>
      <c r="F441" s="324">
        <v>-22568.733874653291</v>
      </c>
      <c r="H441" s="324" t="s">
        <v>1747</v>
      </c>
    </row>
    <row r="442" spans="1:23" s="324" customFormat="1" ht="0.65" hidden="1" customHeight="1">
      <c r="A442" s="324">
        <v>5068</v>
      </c>
      <c r="F442" s="324">
        <v>9.1999999999999998E-2</v>
      </c>
    </row>
    <row r="443" spans="1:23" s="324" customFormat="1" ht="0.65" hidden="1" customHeight="1"/>
    <row r="444" spans="1:23" s="324" customFormat="1" ht="0.65" hidden="1" customHeight="1"/>
    <row r="445" spans="1:23" s="324" customFormat="1" ht="0.65" hidden="1" customHeight="1"/>
    <row r="446" spans="1:23" s="324" customFormat="1" ht="0.65" hidden="1" customHeight="1">
      <c r="A446" s="324" t="s">
        <v>19</v>
      </c>
      <c r="C446" s="324" t="s">
        <v>336</v>
      </c>
      <c r="D446" s="324">
        <v>6</v>
      </c>
      <c r="E446" s="324" t="s">
        <v>187</v>
      </c>
      <c r="F446" s="324" t="s">
        <v>327</v>
      </c>
      <c r="N446" s="324" t="s">
        <v>320</v>
      </c>
      <c r="Q446" s="324" t="s">
        <v>325</v>
      </c>
      <c r="V446" s="324" t="s">
        <v>24</v>
      </c>
    </row>
    <row r="447" spans="1:23" s="324" customFormat="1" ht="0.65" hidden="1" customHeight="1">
      <c r="C447" s="324" t="s">
        <v>336</v>
      </c>
      <c r="D447" s="324" t="s">
        <v>486</v>
      </c>
      <c r="F447" s="324" t="s">
        <v>3951</v>
      </c>
    </row>
    <row r="448" spans="1:23" s="324" customFormat="1" ht="0.65" hidden="1" customHeight="1">
      <c r="A448" s="324">
        <v>6001</v>
      </c>
      <c r="B448" s="324" t="s">
        <v>5</v>
      </c>
      <c r="C448" s="324">
        <v>2022</v>
      </c>
      <c r="E448" s="324">
        <v>1</v>
      </c>
      <c r="F448" s="324" t="s">
        <v>292</v>
      </c>
      <c r="N448" s="324">
        <v>750000</v>
      </c>
      <c r="O448" s="324" t="s">
        <v>55</v>
      </c>
      <c r="Q448" s="324" t="s">
        <v>800</v>
      </c>
      <c r="V448" s="324" t="s">
        <v>490</v>
      </c>
      <c r="W448" s="324">
        <v>534375</v>
      </c>
    </row>
    <row r="449" spans="1:29" s="324" customFormat="1" ht="0.65" hidden="1" customHeight="1">
      <c r="A449" s="324">
        <v>6002</v>
      </c>
      <c r="E449" s="324">
        <v>2</v>
      </c>
      <c r="F449" s="324" t="s">
        <v>313</v>
      </c>
      <c r="N449" s="324">
        <v>225000</v>
      </c>
      <c r="O449" s="324" t="s">
        <v>55</v>
      </c>
      <c r="Q449" s="324" t="s">
        <v>800</v>
      </c>
    </row>
    <row r="450" spans="1:29" s="324" customFormat="1" ht="0.65" hidden="1" customHeight="1">
      <c r="A450" s="324">
        <v>6003</v>
      </c>
      <c r="B450" s="324" t="s">
        <v>32</v>
      </c>
      <c r="E450" s="324">
        <v>3</v>
      </c>
      <c r="F450" s="324" t="s">
        <v>314</v>
      </c>
      <c r="N450" s="324">
        <v>215625</v>
      </c>
      <c r="O450" s="324" t="s">
        <v>55</v>
      </c>
      <c r="P450" s="324" t="s">
        <v>55</v>
      </c>
      <c r="Q450" s="324" t="s">
        <v>800</v>
      </c>
      <c r="V450" s="324" t="s">
        <v>21</v>
      </c>
    </row>
    <row r="451" spans="1:29" s="324" customFormat="1" ht="0.65" hidden="1" customHeight="1">
      <c r="A451" s="324">
        <v>6004</v>
      </c>
      <c r="B451" s="324" t="s">
        <v>488</v>
      </c>
      <c r="C451" s="324">
        <v>750000</v>
      </c>
      <c r="E451" s="324">
        <v>4</v>
      </c>
      <c r="F451" s="324" t="s">
        <v>293</v>
      </c>
      <c r="N451" s="324">
        <v>5.2500000000000012E-2</v>
      </c>
      <c r="O451" s="324" t="s">
        <v>55</v>
      </c>
      <c r="Q451" s="324" t="s">
        <v>800</v>
      </c>
    </row>
    <row r="452" spans="1:29" s="324" customFormat="1" ht="0.65" hidden="1" customHeight="1">
      <c r="A452" s="324">
        <v>6005</v>
      </c>
      <c r="B452" s="324" t="s">
        <v>6</v>
      </c>
      <c r="C452" s="324">
        <v>10</v>
      </c>
      <c r="E452" s="324">
        <v>5</v>
      </c>
      <c r="F452" s="324" t="s">
        <v>294</v>
      </c>
      <c r="N452" s="324">
        <v>0.12000000000000001</v>
      </c>
      <c r="O452" s="324" t="s">
        <v>55</v>
      </c>
      <c r="Q452" s="324" t="s">
        <v>800</v>
      </c>
    </row>
    <row r="453" spans="1:29" s="324" customFormat="1" ht="0.65" hidden="1" customHeight="1">
      <c r="A453" s="324">
        <v>6006</v>
      </c>
      <c r="B453" s="324" t="s">
        <v>489</v>
      </c>
      <c r="C453" s="324">
        <v>75000</v>
      </c>
      <c r="E453" s="324">
        <v>6</v>
      </c>
      <c r="F453" s="324" t="s">
        <v>295</v>
      </c>
      <c r="N453" s="324">
        <v>0.10312499999999999</v>
      </c>
      <c r="O453" s="324" t="s">
        <v>55</v>
      </c>
      <c r="Q453" s="324" t="s">
        <v>800</v>
      </c>
      <c r="V453" s="324" t="s">
        <v>0</v>
      </c>
      <c r="W453" s="324" t="s">
        <v>69</v>
      </c>
      <c r="X453" s="324" t="s">
        <v>70</v>
      </c>
      <c r="Y453" s="324" t="s">
        <v>71</v>
      </c>
      <c r="Z453" s="324" t="s">
        <v>72</v>
      </c>
      <c r="AA453" s="324" t="s">
        <v>73</v>
      </c>
      <c r="AB453" s="324" t="s">
        <v>74</v>
      </c>
      <c r="AC453" s="324" t="s">
        <v>75</v>
      </c>
    </row>
    <row r="454" spans="1:29" s="324" customFormat="1" ht="0.65" hidden="1" customHeight="1">
      <c r="A454" s="324">
        <v>6007</v>
      </c>
      <c r="E454" s="324">
        <v>7</v>
      </c>
      <c r="F454" s="324" t="s">
        <v>311</v>
      </c>
      <c r="N454" s="324">
        <v>680139.30577679863</v>
      </c>
      <c r="O454" s="324" t="s">
        <v>55</v>
      </c>
      <c r="Q454" s="324" t="s">
        <v>800</v>
      </c>
      <c r="V454" s="324">
        <v>2023</v>
      </c>
      <c r="W454" s="324">
        <v>250000</v>
      </c>
      <c r="X454" s="324">
        <v>-25000</v>
      </c>
      <c r="Y454" s="324">
        <v>28125</v>
      </c>
      <c r="Z454" s="324">
        <v>246875</v>
      </c>
      <c r="AA454" s="324">
        <v>61718.75</v>
      </c>
      <c r="AB454" s="324">
        <v>185156.25</v>
      </c>
      <c r="AC454" s="324">
        <v>213281.25</v>
      </c>
    </row>
    <row r="455" spans="1:29" s="324" customFormat="1" ht="0.65" hidden="1" customHeight="1">
      <c r="A455" s="324">
        <v>6008</v>
      </c>
      <c r="B455" s="324" t="s">
        <v>34</v>
      </c>
      <c r="C455" s="324">
        <v>250000</v>
      </c>
      <c r="E455" s="324">
        <v>8</v>
      </c>
      <c r="F455" s="324" t="s">
        <v>296</v>
      </c>
      <c r="N455" s="324">
        <v>170034.82644419966</v>
      </c>
      <c r="O455" s="324" t="s">
        <v>55</v>
      </c>
      <c r="Q455" s="324" t="s">
        <v>800</v>
      </c>
      <c r="V455" s="324">
        <v>2024</v>
      </c>
      <c r="W455" s="324">
        <v>250000</v>
      </c>
      <c r="X455" s="324">
        <v>-25000</v>
      </c>
      <c r="Y455" s="324">
        <v>28125</v>
      </c>
      <c r="Z455" s="324">
        <v>246875</v>
      </c>
      <c r="AA455" s="324">
        <v>61718.75</v>
      </c>
      <c r="AB455" s="324">
        <v>185156.25</v>
      </c>
      <c r="AC455" s="324">
        <v>213281.25</v>
      </c>
    </row>
    <row r="456" spans="1:29" s="324" customFormat="1" ht="0.65" hidden="1" customHeight="1">
      <c r="A456" s="324">
        <v>6009</v>
      </c>
      <c r="B456" s="324" t="s">
        <v>35</v>
      </c>
      <c r="C456" s="324">
        <v>-25000</v>
      </c>
      <c r="E456" s="324">
        <v>9</v>
      </c>
      <c r="F456" s="324" t="s">
        <v>298</v>
      </c>
      <c r="N456" s="324">
        <v>17389.925431793145</v>
      </c>
      <c r="O456" s="324" t="s">
        <v>55</v>
      </c>
      <c r="Q456" s="324" t="s">
        <v>800</v>
      </c>
      <c r="V456" s="324">
        <v>2025</v>
      </c>
      <c r="W456" s="324">
        <v>250000</v>
      </c>
      <c r="X456" s="324">
        <v>-25000</v>
      </c>
      <c r="Y456" s="324">
        <v>28125</v>
      </c>
      <c r="Z456" s="324">
        <v>246875</v>
      </c>
      <c r="AA456" s="324">
        <v>61718.75</v>
      </c>
      <c r="AB456" s="324">
        <v>185156.25</v>
      </c>
      <c r="AC456" s="324">
        <v>213281.25</v>
      </c>
    </row>
    <row r="457" spans="1:29" s="324" customFormat="1" ht="0.65" hidden="1" customHeight="1">
      <c r="A457" s="324">
        <v>6010</v>
      </c>
      <c r="E457" s="324">
        <v>10</v>
      </c>
      <c r="F457" s="324" t="s">
        <v>297</v>
      </c>
      <c r="N457" s="324">
        <v>62322.9461756374</v>
      </c>
      <c r="O457" s="324" t="s">
        <v>55</v>
      </c>
      <c r="Q457" s="324" t="s">
        <v>800</v>
      </c>
    </row>
    <row r="458" spans="1:29" s="324" customFormat="1" ht="0.65" hidden="1" customHeight="1">
      <c r="A458" s="324">
        <v>6011</v>
      </c>
      <c r="B458" s="324" t="s">
        <v>7</v>
      </c>
      <c r="C458" s="324">
        <v>90</v>
      </c>
      <c r="E458" s="324">
        <v>11</v>
      </c>
      <c r="F458" s="324" t="s">
        <v>299</v>
      </c>
      <c r="N458" s="324">
        <v>75000</v>
      </c>
      <c r="O458" s="324" t="s">
        <v>55</v>
      </c>
      <c r="Q458" s="324" t="s">
        <v>800</v>
      </c>
      <c r="V458" s="324" t="s">
        <v>22</v>
      </c>
    </row>
    <row r="459" spans="1:29" s="324" customFormat="1" ht="0.65" hidden="1" customHeight="1">
      <c r="A459" s="324">
        <v>6012</v>
      </c>
      <c r="B459" s="324" t="s">
        <v>8</v>
      </c>
      <c r="C459" s="324">
        <v>90</v>
      </c>
      <c r="E459" s="324">
        <v>12</v>
      </c>
      <c r="F459" s="324" t="s">
        <v>300</v>
      </c>
      <c r="N459" s="324">
        <v>18750</v>
      </c>
      <c r="O459" s="324" t="s">
        <v>55</v>
      </c>
      <c r="Q459" s="324" t="s">
        <v>800</v>
      </c>
    </row>
    <row r="460" spans="1:29" s="324" customFormat="1" ht="0.65" hidden="1" customHeight="1">
      <c r="A460" s="324">
        <v>6013</v>
      </c>
      <c r="E460" s="324">
        <v>13</v>
      </c>
      <c r="F460" s="324" t="s">
        <v>301</v>
      </c>
      <c r="N460" s="324">
        <v>131250</v>
      </c>
      <c r="O460" s="324" t="s">
        <v>55</v>
      </c>
      <c r="Q460" s="324" t="s">
        <v>800</v>
      </c>
    </row>
    <row r="461" spans="1:29" s="324" customFormat="1" ht="0.65" hidden="1" customHeight="1">
      <c r="A461" s="324">
        <v>6014</v>
      </c>
      <c r="B461" s="324" t="s">
        <v>33</v>
      </c>
      <c r="E461" s="324">
        <v>14</v>
      </c>
      <c r="F461" s="324" t="s">
        <v>302</v>
      </c>
      <c r="N461" s="324">
        <v>187500</v>
      </c>
      <c r="O461" s="324" t="s">
        <v>55</v>
      </c>
      <c r="Q461" s="324" t="s">
        <v>800</v>
      </c>
      <c r="V461" s="324" t="s">
        <v>0</v>
      </c>
      <c r="W461" s="324" t="s">
        <v>76</v>
      </c>
      <c r="X461" s="324" t="s">
        <v>77</v>
      </c>
      <c r="Y461" s="324" t="s">
        <v>78</v>
      </c>
      <c r="Z461" s="324" t="s">
        <v>79</v>
      </c>
    </row>
    <row r="462" spans="1:29" s="324" customFormat="1" ht="0.65" hidden="1" customHeight="1">
      <c r="A462" s="324">
        <v>6015</v>
      </c>
      <c r="B462" s="324" t="s">
        <v>492</v>
      </c>
      <c r="C462" s="324">
        <v>225000</v>
      </c>
      <c r="E462" s="324">
        <v>15</v>
      </c>
      <c r="F462" s="324" t="s">
        <v>303</v>
      </c>
      <c r="N462" s="324">
        <v>45000</v>
      </c>
      <c r="O462" s="324" t="s">
        <v>55</v>
      </c>
      <c r="Q462" s="324" t="s">
        <v>800</v>
      </c>
      <c r="V462" s="324">
        <v>2022</v>
      </c>
      <c r="W462" s="324">
        <v>0</v>
      </c>
      <c r="X462" s="324">
        <v>0</v>
      </c>
      <c r="Y462" s="324">
        <v>0</v>
      </c>
      <c r="Z462" s="324">
        <v>0</v>
      </c>
    </row>
    <row r="463" spans="1:29" s="324" customFormat="1" ht="0.65" hidden="1" customHeight="1">
      <c r="A463" s="324">
        <v>6016</v>
      </c>
      <c r="B463" s="324" t="s">
        <v>495</v>
      </c>
      <c r="C463" s="324">
        <v>187500</v>
      </c>
      <c r="E463" s="324">
        <v>16</v>
      </c>
      <c r="F463" s="324" t="s">
        <v>304</v>
      </c>
      <c r="N463" s="324">
        <v>11250</v>
      </c>
      <c r="O463" s="324" t="s">
        <v>55</v>
      </c>
      <c r="Q463" s="324" t="s">
        <v>800</v>
      </c>
      <c r="V463" s="324">
        <v>2023</v>
      </c>
      <c r="W463" s="324">
        <v>62500</v>
      </c>
      <c r="X463" s="324">
        <v>-6250</v>
      </c>
      <c r="Y463" s="324">
        <v>68750</v>
      </c>
      <c r="Z463" s="324">
        <v>68750</v>
      </c>
    </row>
    <row r="464" spans="1:29" s="324" customFormat="1" ht="0.65" hidden="1" customHeight="1">
      <c r="A464" s="324">
        <v>6017</v>
      </c>
      <c r="B464" s="324" t="s">
        <v>6</v>
      </c>
      <c r="C464" s="324">
        <v>4</v>
      </c>
      <c r="E464" s="324">
        <v>17</v>
      </c>
      <c r="F464" s="324" t="s">
        <v>305</v>
      </c>
      <c r="N464" s="324">
        <v>11718.75</v>
      </c>
      <c r="O464" s="324" t="s">
        <v>55</v>
      </c>
      <c r="Q464" s="324" t="s">
        <v>800</v>
      </c>
      <c r="V464" s="324">
        <v>2024</v>
      </c>
      <c r="W464" s="324">
        <v>62500</v>
      </c>
      <c r="X464" s="324">
        <v>-6250</v>
      </c>
      <c r="Y464" s="324">
        <v>68750</v>
      </c>
      <c r="Z464" s="324">
        <v>0</v>
      </c>
    </row>
    <row r="465" spans="1:29" s="324" customFormat="1" ht="0.65" hidden="1" customHeight="1">
      <c r="A465" s="324">
        <v>6018</v>
      </c>
      <c r="B465" s="324" t="s">
        <v>489</v>
      </c>
      <c r="C465" s="324">
        <v>45000</v>
      </c>
      <c r="E465" s="324">
        <v>18</v>
      </c>
      <c r="F465" s="324" t="s">
        <v>306</v>
      </c>
      <c r="N465" s="324">
        <v>45468.75</v>
      </c>
      <c r="O465" s="324" t="s">
        <v>55</v>
      </c>
      <c r="Q465" s="324" t="s">
        <v>800</v>
      </c>
      <c r="V465" s="324">
        <v>2025</v>
      </c>
      <c r="W465" s="324">
        <v>62500</v>
      </c>
      <c r="X465" s="324">
        <v>-6250</v>
      </c>
      <c r="Y465" s="324">
        <v>68750</v>
      </c>
      <c r="Z465" s="324">
        <v>0</v>
      </c>
    </row>
    <row r="466" spans="1:29" s="324" customFormat="1" ht="0.65" hidden="1" customHeight="1">
      <c r="A466" s="324">
        <v>6019</v>
      </c>
      <c r="E466" s="324">
        <v>19</v>
      </c>
      <c r="F466" s="324" t="s">
        <v>307</v>
      </c>
      <c r="N466" s="324">
        <v>105805.86158489595</v>
      </c>
      <c r="O466" s="324" t="s">
        <v>55</v>
      </c>
      <c r="Q466" s="324" t="s">
        <v>800</v>
      </c>
    </row>
    <row r="467" spans="1:29" s="324" customFormat="1" ht="0.65" hidden="1" customHeight="1">
      <c r="A467" s="324">
        <v>6020</v>
      </c>
      <c r="B467" s="324" t="s">
        <v>4</v>
      </c>
      <c r="C467" s="324">
        <v>0.25</v>
      </c>
      <c r="E467" s="324">
        <v>20</v>
      </c>
      <c r="F467" s="324" t="s">
        <v>308</v>
      </c>
      <c r="N467" s="324">
        <v>68750</v>
      </c>
      <c r="O467" s="324" t="s">
        <v>55</v>
      </c>
      <c r="P467" s="324" t="s">
        <v>55</v>
      </c>
      <c r="Q467" s="324" t="s">
        <v>800</v>
      </c>
      <c r="V467" s="324" t="s">
        <v>23</v>
      </c>
    </row>
    <row r="468" spans="1:29" s="324" customFormat="1" ht="0.65" hidden="1" customHeight="1">
      <c r="A468" s="324">
        <v>6021</v>
      </c>
      <c r="C468" s="324" t="s">
        <v>9</v>
      </c>
      <c r="E468" s="324">
        <v>21</v>
      </c>
      <c r="F468" s="324" t="s">
        <v>309</v>
      </c>
      <c r="N468" s="324">
        <v>51215.158522941936</v>
      </c>
      <c r="O468" s="324" t="s">
        <v>55</v>
      </c>
      <c r="Q468" s="324" t="s">
        <v>800</v>
      </c>
    </row>
    <row r="469" spans="1:29" s="324" customFormat="1" ht="0.65" hidden="1" customHeight="1">
      <c r="A469" s="324">
        <v>6022</v>
      </c>
      <c r="E469" s="324">
        <v>22</v>
      </c>
      <c r="F469" s="324" t="s">
        <v>317</v>
      </c>
      <c r="N469" s="324">
        <v>87817.478696592589</v>
      </c>
      <c r="O469" s="324" t="s">
        <v>55</v>
      </c>
      <c r="Q469" s="324" t="s">
        <v>800</v>
      </c>
      <c r="V469" s="324" t="s">
        <v>491</v>
      </c>
      <c r="W469" s="324">
        <v>142031.25</v>
      </c>
    </row>
    <row r="470" spans="1:29" s="324" customFormat="1" ht="0.65" hidden="1" customHeight="1">
      <c r="A470" s="324">
        <v>6023</v>
      </c>
      <c r="B470" s="324" t="s">
        <v>10</v>
      </c>
      <c r="C470" s="324">
        <v>420000.00000000006</v>
      </c>
      <c r="E470" s="324">
        <v>23</v>
      </c>
      <c r="F470" s="324" t="s">
        <v>310</v>
      </c>
      <c r="N470" s="324">
        <v>160572.84535112936</v>
      </c>
      <c r="O470" s="324" t="s">
        <v>55</v>
      </c>
      <c r="Q470" s="324" t="s">
        <v>800</v>
      </c>
      <c r="V470" s="324" t="s">
        <v>493</v>
      </c>
      <c r="W470" s="324">
        <v>68750</v>
      </c>
    </row>
    <row r="471" spans="1:29" s="324" customFormat="1" ht="0.65" hidden="1" customHeight="1">
      <c r="A471" s="324">
        <v>6024</v>
      </c>
      <c r="B471" s="324" t="s">
        <v>11</v>
      </c>
      <c r="C471" s="324">
        <v>1800000</v>
      </c>
      <c r="E471" s="324">
        <v>24</v>
      </c>
      <c r="F471" s="324" t="s">
        <v>315</v>
      </c>
      <c r="N471" s="324">
        <v>10097.988775177699</v>
      </c>
      <c r="O471" s="324" t="s">
        <v>55</v>
      </c>
      <c r="Q471" s="324" t="s">
        <v>800</v>
      </c>
      <c r="V471" s="324" t="s">
        <v>494</v>
      </c>
      <c r="W471" s="324">
        <v>210781.25</v>
      </c>
    </row>
    <row r="472" spans="1:29" s="324" customFormat="1" ht="0.65" hidden="1" customHeight="1">
      <c r="A472" s="324">
        <v>6025</v>
      </c>
      <c r="B472" s="324" t="s">
        <v>12</v>
      </c>
      <c r="C472" s="324">
        <v>0.02</v>
      </c>
      <c r="E472" s="324">
        <v>25</v>
      </c>
      <c r="F472" s="324" t="s">
        <v>316</v>
      </c>
      <c r="N472" s="324">
        <v>1009.7988775177691</v>
      </c>
      <c r="O472" s="324" t="s">
        <v>55</v>
      </c>
      <c r="Q472" s="324" t="s">
        <v>800</v>
      </c>
    </row>
    <row r="473" spans="1:29" s="324" customFormat="1" ht="0.65" hidden="1" customHeight="1">
      <c r="A473" s="324">
        <v>6026</v>
      </c>
      <c r="B473" s="324" t="s">
        <v>2</v>
      </c>
      <c r="C473" s="324">
        <v>6000000</v>
      </c>
      <c r="E473" s="324">
        <v>26</v>
      </c>
      <c r="F473" s="324" t="s">
        <v>312</v>
      </c>
      <c r="N473" s="324">
        <v>-25505.223966629914</v>
      </c>
      <c r="O473" s="324" t="s">
        <v>55</v>
      </c>
      <c r="Q473" s="324" t="s">
        <v>800</v>
      </c>
      <c r="V473" s="324" t="s">
        <v>26</v>
      </c>
    </row>
    <row r="474" spans="1:29" s="324" customFormat="1" ht="0.65" hidden="1" customHeight="1">
      <c r="A474" s="324">
        <v>6027</v>
      </c>
      <c r="B474" s="324" t="s">
        <v>3</v>
      </c>
      <c r="C474" s="324">
        <v>18000000</v>
      </c>
      <c r="Z474" s="324" t="s">
        <v>81</v>
      </c>
    </row>
    <row r="475" spans="1:29" s="324" customFormat="1" ht="0.65" hidden="1" customHeight="1">
      <c r="A475" s="324">
        <v>6028</v>
      </c>
      <c r="J475" s="324">
        <v>0</v>
      </c>
      <c r="M475" s="324" t="s">
        <v>319</v>
      </c>
      <c r="N475" s="324" t="s">
        <v>36</v>
      </c>
      <c r="O475" s="324" t="s">
        <v>55</v>
      </c>
      <c r="V475" s="324" t="s">
        <v>0</v>
      </c>
      <c r="W475" s="324" t="s">
        <v>75</v>
      </c>
      <c r="X475" s="324" t="s">
        <v>79</v>
      </c>
      <c r="Y475" s="324" t="s">
        <v>80</v>
      </c>
      <c r="Z475" s="324" t="s">
        <v>1</v>
      </c>
      <c r="AB475" s="324" t="s">
        <v>31</v>
      </c>
    </row>
    <row r="476" spans="1:29" s="324" customFormat="1" ht="0.65" hidden="1" customHeight="1">
      <c r="A476" s="324">
        <v>6029</v>
      </c>
      <c r="B476" s="324" t="s">
        <v>14</v>
      </c>
      <c r="C476" s="324" t="s">
        <v>16</v>
      </c>
      <c r="H476" s="324" t="s">
        <v>55</v>
      </c>
      <c r="N476" s="324" t="s">
        <v>424</v>
      </c>
      <c r="V476" s="324">
        <v>2022</v>
      </c>
      <c r="W476" s="324">
        <v>0</v>
      </c>
      <c r="X476" s="324">
        <v>0</v>
      </c>
      <c r="Y476" s="324">
        <v>0</v>
      </c>
      <c r="Z476" s="324">
        <v>-534375</v>
      </c>
      <c r="AB476" s="324">
        <v>-534375</v>
      </c>
    </row>
    <row r="477" spans="1:29" s="324" customFormat="1" ht="0.65" hidden="1" customHeight="1">
      <c r="A477" s="324">
        <v>6030</v>
      </c>
      <c r="F477" s="324" t="s">
        <v>326</v>
      </c>
      <c r="H477" s="324">
        <v>3</v>
      </c>
      <c r="I477" s="324" t="s">
        <v>1943</v>
      </c>
      <c r="J477" s="324" t="s">
        <v>1944</v>
      </c>
      <c r="V477" s="324">
        <v>2023</v>
      </c>
      <c r="W477" s="324">
        <v>213281.25</v>
      </c>
      <c r="X477" s="324">
        <v>68750</v>
      </c>
      <c r="Y477" s="324">
        <v>144531.25</v>
      </c>
      <c r="Z477" s="324">
        <v>144531.25</v>
      </c>
      <c r="AB477" s="324">
        <v>-389843.75</v>
      </c>
      <c r="AC477" s="324" t="s">
        <v>55</v>
      </c>
    </row>
    <row r="478" spans="1:29" s="324" customFormat="1" ht="0.65" hidden="1" customHeight="1">
      <c r="A478" s="324">
        <v>6031</v>
      </c>
      <c r="V478" s="324">
        <v>2024</v>
      </c>
      <c r="W478" s="324">
        <v>213281.25</v>
      </c>
      <c r="X478" s="324">
        <v>0</v>
      </c>
      <c r="Y478" s="324">
        <v>213281.25</v>
      </c>
      <c r="Z478" s="324">
        <v>213281.25</v>
      </c>
      <c r="AB478" s="324">
        <v>-176562.5</v>
      </c>
      <c r="AC478" s="324" t="s">
        <v>55</v>
      </c>
    </row>
    <row r="479" spans="1:29" s="324" customFormat="1" ht="0.65" hidden="1" customHeight="1">
      <c r="A479" s="324">
        <v>6032</v>
      </c>
    </row>
    <row r="480" spans="1:29" s="324" customFormat="1" ht="0.65" hidden="1" customHeight="1">
      <c r="A480" s="324">
        <v>6033</v>
      </c>
    </row>
    <row r="481" spans="1:29" s="324" customFormat="1" ht="0.65" hidden="1" customHeight="1">
      <c r="A481" s="324">
        <v>6034</v>
      </c>
    </row>
    <row r="482" spans="1:29" s="324" customFormat="1" ht="0.65" hidden="1" customHeight="1">
      <c r="A482" s="324">
        <v>6035</v>
      </c>
    </row>
    <row r="483" spans="1:29" s="324" customFormat="1" ht="0.65" hidden="1" customHeight="1">
      <c r="A483" s="324">
        <v>6036</v>
      </c>
    </row>
    <row r="484" spans="1:29" s="324" customFormat="1" ht="0.65" hidden="1" customHeight="1">
      <c r="A484" s="324">
        <v>6037</v>
      </c>
    </row>
    <row r="485" spans="1:29" s="324" customFormat="1" ht="0.65" hidden="1" customHeight="1">
      <c r="A485" s="324">
        <v>6038</v>
      </c>
    </row>
    <row r="486" spans="1:29" s="324" customFormat="1" ht="0.65" hidden="1" customHeight="1">
      <c r="A486" s="324">
        <v>6039</v>
      </c>
    </row>
    <row r="487" spans="1:29" s="324" customFormat="1" ht="0.65" hidden="1" customHeight="1">
      <c r="A487" s="324">
        <v>6040</v>
      </c>
      <c r="E487" s="324" t="s">
        <v>55</v>
      </c>
      <c r="F487" s="324" t="s">
        <v>318</v>
      </c>
      <c r="H487" s="324" t="s">
        <v>185</v>
      </c>
      <c r="V487" s="324">
        <v>2025</v>
      </c>
      <c r="W487" s="324">
        <v>213281.25</v>
      </c>
      <c r="X487" s="324">
        <v>0</v>
      </c>
      <c r="Y487" s="324">
        <v>213281.25</v>
      </c>
      <c r="Z487" s="324">
        <v>424062.5</v>
      </c>
      <c r="AB487" s="324">
        <v>247500</v>
      </c>
      <c r="AC487" s="324">
        <v>2025</v>
      </c>
    </row>
    <row r="488" spans="1:29" s="324" customFormat="1" ht="0.65" hidden="1" customHeight="1">
      <c r="A488" s="324">
        <v>6041</v>
      </c>
      <c r="E488" s="324" t="s">
        <v>55</v>
      </c>
    </row>
    <row r="489" spans="1:29" s="324" customFormat="1" ht="0.65" hidden="1" customHeight="1">
      <c r="A489" s="324">
        <v>6042</v>
      </c>
      <c r="B489" s="324">
        <v>750000</v>
      </c>
      <c r="C489" s="324">
        <v>750000</v>
      </c>
      <c r="D489" s="324">
        <v>1</v>
      </c>
      <c r="E489" s="324">
        <v>1</v>
      </c>
      <c r="F489" s="324">
        <v>750000</v>
      </c>
      <c r="H489" s="324" t="s">
        <v>321</v>
      </c>
      <c r="V489" s="324" t="s">
        <v>25</v>
      </c>
    </row>
    <row r="490" spans="1:29" s="324" customFormat="1" ht="0.65" hidden="1" customHeight="1">
      <c r="A490" s="324">
        <v>6043</v>
      </c>
      <c r="B490" s="324">
        <v>10</v>
      </c>
      <c r="C490" s="324">
        <v>10</v>
      </c>
      <c r="D490" s="324">
        <v>1</v>
      </c>
      <c r="E490" s="324">
        <v>2</v>
      </c>
      <c r="F490" s="324">
        <v>225000</v>
      </c>
      <c r="H490" s="324" t="s">
        <v>322</v>
      </c>
    </row>
    <row r="491" spans="1:29" s="324" customFormat="1" ht="0.65" hidden="1" customHeight="1">
      <c r="A491" s="324">
        <v>6044</v>
      </c>
      <c r="B491" s="324">
        <v>75000</v>
      </c>
      <c r="C491" s="324">
        <v>75000</v>
      </c>
      <c r="D491" s="324">
        <v>1</v>
      </c>
      <c r="E491" s="324">
        <v>3</v>
      </c>
      <c r="F491" s="324">
        <v>215625</v>
      </c>
      <c r="H491" s="324" t="s">
        <v>1944</v>
      </c>
      <c r="V491" s="324" t="s">
        <v>124</v>
      </c>
      <c r="W491" s="324">
        <v>5.2500000000000012E-2</v>
      </c>
    </row>
    <row r="492" spans="1:29" s="324" customFormat="1" ht="0.65" hidden="1" customHeight="1">
      <c r="A492" s="324">
        <v>6045</v>
      </c>
      <c r="E492" s="324">
        <v>4</v>
      </c>
      <c r="F492" s="324">
        <v>5.2500000000000012E-2</v>
      </c>
      <c r="H492" s="324" t="s">
        <v>1945</v>
      </c>
      <c r="V492" s="324" t="s">
        <v>125</v>
      </c>
      <c r="W492" s="324">
        <v>0.12000000000000001</v>
      </c>
    </row>
    <row r="493" spans="1:29" s="324" customFormat="1" ht="0.65" hidden="1" customHeight="1">
      <c r="A493" s="324">
        <v>6046</v>
      </c>
      <c r="B493" s="324">
        <v>250000</v>
      </c>
      <c r="C493" s="324">
        <v>250000</v>
      </c>
      <c r="D493" s="324">
        <v>1</v>
      </c>
      <c r="E493" s="324">
        <v>5</v>
      </c>
      <c r="F493" s="324">
        <v>0.12000000000000001</v>
      </c>
      <c r="H493" s="324" t="s">
        <v>1946</v>
      </c>
      <c r="V493" s="324" t="s">
        <v>126</v>
      </c>
      <c r="W493" s="324">
        <v>0.10312499999999999</v>
      </c>
    </row>
    <row r="494" spans="1:29" s="324" customFormat="1" ht="0.65" hidden="1" customHeight="1">
      <c r="A494" s="324">
        <v>6047</v>
      </c>
      <c r="B494" s="324">
        <v>-25000</v>
      </c>
      <c r="C494" s="324">
        <v>-25000</v>
      </c>
      <c r="D494" s="324">
        <v>1</v>
      </c>
      <c r="E494" s="324">
        <v>6</v>
      </c>
      <c r="F494" s="324">
        <v>0.10312499999999999</v>
      </c>
      <c r="H494" s="324" t="s">
        <v>1947</v>
      </c>
    </row>
    <row r="495" spans="1:29" s="324" customFormat="1" ht="0.65" hidden="1" customHeight="1">
      <c r="A495" s="324">
        <v>6048</v>
      </c>
      <c r="E495" s="324">
        <v>7</v>
      </c>
      <c r="F495" s="324">
        <v>680139.30577679863</v>
      </c>
      <c r="H495" s="324" t="s">
        <v>1948</v>
      </c>
      <c r="V495" s="324" t="s">
        <v>27</v>
      </c>
    </row>
    <row r="496" spans="1:29" s="324" customFormat="1" ht="0.65" hidden="1" customHeight="1">
      <c r="A496" s="324">
        <v>6049</v>
      </c>
      <c r="B496" s="324">
        <v>90</v>
      </c>
      <c r="C496" s="324">
        <v>90</v>
      </c>
      <c r="D496" s="324">
        <v>1</v>
      </c>
      <c r="E496" s="324">
        <v>8</v>
      </c>
      <c r="F496" s="324">
        <v>170034.82644419966</v>
      </c>
      <c r="H496" s="324" t="s">
        <v>1949</v>
      </c>
    </row>
    <row r="497" spans="1:24" s="324" customFormat="1" ht="0.65" hidden="1" customHeight="1">
      <c r="A497" s="324">
        <v>6050</v>
      </c>
      <c r="B497" s="324">
        <v>90</v>
      </c>
      <c r="C497" s="324">
        <v>90</v>
      </c>
      <c r="D497" s="324">
        <v>1</v>
      </c>
      <c r="E497" s="324">
        <v>9</v>
      </c>
      <c r="F497" s="324">
        <v>17389.925431793145</v>
      </c>
      <c r="H497" s="324" t="s">
        <v>1950</v>
      </c>
      <c r="V497" s="324" t="s">
        <v>13</v>
      </c>
      <c r="W497" s="324">
        <v>87817.478696592501</v>
      </c>
      <c r="X497" s="324" t="s">
        <v>1020</v>
      </c>
    </row>
    <row r="498" spans="1:24" s="324" customFormat="1" ht="0.65" hidden="1" customHeight="1">
      <c r="A498" s="324">
        <v>6051</v>
      </c>
      <c r="E498" s="324">
        <v>10</v>
      </c>
      <c r="F498" s="324">
        <v>62322.9461756374</v>
      </c>
      <c r="H498" s="324" t="s">
        <v>1951</v>
      </c>
      <c r="V498" s="324" t="s">
        <v>28</v>
      </c>
      <c r="W498" s="324">
        <v>0.17939434472028948</v>
      </c>
      <c r="X498" s="324" t="s">
        <v>1021</v>
      </c>
    </row>
    <row r="499" spans="1:24" s="324" customFormat="1" ht="0.65" hidden="1" customHeight="1">
      <c r="A499" s="324">
        <v>6052</v>
      </c>
      <c r="E499" s="324">
        <v>11</v>
      </c>
      <c r="F499" s="324">
        <v>75000</v>
      </c>
      <c r="H499" s="324" t="s">
        <v>323</v>
      </c>
      <c r="V499" s="324" t="s">
        <v>29</v>
      </c>
      <c r="W499" s="324">
        <v>0.16433680223923744</v>
      </c>
      <c r="X499" s="324" t="s">
        <v>1022</v>
      </c>
    </row>
    <row r="500" spans="1:24" s="324" customFormat="1" ht="0.65" hidden="1" customHeight="1">
      <c r="A500" s="324">
        <v>6053</v>
      </c>
      <c r="B500" s="324">
        <v>225000</v>
      </c>
      <c r="C500" s="324">
        <v>225000</v>
      </c>
      <c r="D500" s="324">
        <v>1</v>
      </c>
      <c r="E500" s="324">
        <v>12</v>
      </c>
      <c r="F500" s="324">
        <v>18750</v>
      </c>
      <c r="H500" s="324" t="s">
        <v>1952</v>
      </c>
      <c r="V500" s="324" t="s">
        <v>30</v>
      </c>
      <c r="W500" s="324">
        <v>3</v>
      </c>
      <c r="X500" s="324" t="s">
        <v>1023</v>
      </c>
    </row>
    <row r="501" spans="1:24" s="324" customFormat="1" ht="0.65" hidden="1" customHeight="1">
      <c r="A501" s="324">
        <v>6054</v>
      </c>
      <c r="B501" s="324">
        <v>187500</v>
      </c>
      <c r="C501" s="324">
        <v>187500</v>
      </c>
      <c r="D501" s="324">
        <v>1</v>
      </c>
      <c r="E501" s="324">
        <v>13</v>
      </c>
      <c r="F501" s="324">
        <v>131250</v>
      </c>
      <c r="H501" s="324" t="s">
        <v>1953</v>
      </c>
    </row>
    <row r="502" spans="1:24" s="324" customFormat="1" ht="0.65" hidden="1" customHeight="1">
      <c r="A502" s="324">
        <v>6055</v>
      </c>
      <c r="B502" s="324">
        <v>4</v>
      </c>
      <c r="C502" s="324">
        <v>4</v>
      </c>
      <c r="D502" s="324">
        <v>1</v>
      </c>
      <c r="E502" s="324">
        <v>14</v>
      </c>
      <c r="F502" s="324">
        <v>187500</v>
      </c>
      <c r="H502" s="324" t="s">
        <v>1954</v>
      </c>
    </row>
    <row r="503" spans="1:24" s="324" customFormat="1" ht="0.65" hidden="1" customHeight="1">
      <c r="A503" s="324">
        <v>6056</v>
      </c>
      <c r="B503" s="324">
        <v>45000</v>
      </c>
      <c r="C503" s="324">
        <v>45000</v>
      </c>
      <c r="D503" s="324">
        <v>1</v>
      </c>
      <c r="E503" s="324">
        <v>15</v>
      </c>
      <c r="F503" s="324">
        <v>45000</v>
      </c>
      <c r="H503" s="324" t="s">
        <v>324</v>
      </c>
    </row>
    <row r="504" spans="1:24" s="324" customFormat="1" ht="0.65" hidden="1" customHeight="1">
      <c r="A504" s="324">
        <v>6057</v>
      </c>
      <c r="E504" s="324">
        <v>16</v>
      </c>
      <c r="F504" s="324">
        <v>11250</v>
      </c>
      <c r="H504" s="324" t="s">
        <v>1955</v>
      </c>
    </row>
    <row r="505" spans="1:24" s="324" customFormat="1" ht="0.65" hidden="1" customHeight="1">
      <c r="A505" s="324">
        <v>6058</v>
      </c>
      <c r="B505" s="324">
        <v>0.25</v>
      </c>
      <c r="C505" s="324">
        <v>0.25</v>
      </c>
      <c r="D505" s="324">
        <v>1</v>
      </c>
      <c r="E505" s="324">
        <v>17</v>
      </c>
      <c r="F505" s="324">
        <v>11718.75</v>
      </c>
      <c r="H505" s="324" t="s">
        <v>1956</v>
      </c>
    </row>
    <row r="506" spans="1:24" s="324" customFormat="1" ht="0.65" hidden="1" customHeight="1">
      <c r="A506" s="324">
        <v>6059</v>
      </c>
      <c r="E506" s="324">
        <v>18</v>
      </c>
      <c r="F506" s="324">
        <v>45468.75</v>
      </c>
      <c r="H506" s="324" t="s">
        <v>1957</v>
      </c>
    </row>
    <row r="507" spans="1:24" s="324" customFormat="1" ht="0.65" hidden="1" customHeight="1">
      <c r="A507" s="324">
        <v>6060</v>
      </c>
      <c r="E507" s="324">
        <v>19</v>
      </c>
      <c r="F507" s="324">
        <v>105805.86158489595</v>
      </c>
      <c r="H507" s="324" t="s">
        <v>1958</v>
      </c>
    </row>
    <row r="508" spans="1:24" s="324" customFormat="1" ht="0.65" hidden="1" customHeight="1">
      <c r="A508" s="324">
        <v>6061</v>
      </c>
      <c r="B508" s="324">
        <v>420000.00000000006</v>
      </c>
      <c r="C508" s="324">
        <v>420000.00000000006</v>
      </c>
      <c r="D508" s="324">
        <v>1</v>
      </c>
      <c r="E508" s="324">
        <v>20</v>
      </c>
      <c r="F508" s="324">
        <v>68750</v>
      </c>
      <c r="H508" s="324" t="s">
        <v>1959</v>
      </c>
    </row>
    <row r="509" spans="1:24" s="324" customFormat="1" ht="0.65" hidden="1" customHeight="1">
      <c r="A509" s="324">
        <v>6062</v>
      </c>
      <c r="B509" s="324">
        <v>1800000</v>
      </c>
      <c r="C509" s="324">
        <v>1800000</v>
      </c>
      <c r="D509" s="324">
        <v>1</v>
      </c>
      <c r="E509" s="324">
        <v>21</v>
      </c>
      <c r="F509" s="324">
        <v>51215.158522941936</v>
      </c>
      <c r="H509" s="324" t="s">
        <v>1960</v>
      </c>
    </row>
    <row r="510" spans="1:24" s="324" customFormat="1" ht="0.65" hidden="1" customHeight="1">
      <c r="A510" s="324">
        <v>6063</v>
      </c>
      <c r="B510" s="324">
        <v>0.02</v>
      </c>
      <c r="C510" s="324">
        <v>0.02</v>
      </c>
      <c r="D510" s="324">
        <v>1</v>
      </c>
      <c r="E510" s="324">
        <v>22</v>
      </c>
      <c r="F510" s="324">
        <v>87817.478696592589</v>
      </c>
      <c r="H510" s="324" t="s">
        <v>1961</v>
      </c>
    </row>
    <row r="511" spans="1:24" s="324" customFormat="1" ht="0.65" hidden="1" customHeight="1">
      <c r="A511" s="324">
        <v>6064</v>
      </c>
      <c r="B511" s="324">
        <v>6000000</v>
      </c>
      <c r="C511" s="324">
        <v>6000000</v>
      </c>
      <c r="D511" s="324">
        <v>1</v>
      </c>
      <c r="E511" s="324">
        <v>23</v>
      </c>
      <c r="F511" s="324">
        <v>160572.84535112939</v>
      </c>
      <c r="H511" s="324" t="s">
        <v>1962</v>
      </c>
    </row>
    <row r="512" spans="1:24" s="324" customFormat="1" ht="0.65" hidden="1" customHeight="1">
      <c r="A512" s="324">
        <v>6065</v>
      </c>
      <c r="B512" s="324">
        <v>18000000</v>
      </c>
      <c r="C512" s="324">
        <v>18000000</v>
      </c>
      <c r="D512" s="324">
        <v>1</v>
      </c>
      <c r="E512" s="324">
        <v>24</v>
      </c>
      <c r="F512" s="324">
        <v>10097.988775177699</v>
      </c>
      <c r="H512" s="324" t="s">
        <v>1963</v>
      </c>
    </row>
    <row r="513" spans="1:8" s="324" customFormat="1" ht="0.65" hidden="1" customHeight="1">
      <c r="A513" s="324">
        <v>6066</v>
      </c>
      <c r="C513" s="324" t="s">
        <v>422</v>
      </c>
      <c r="D513" s="324">
        <v>17</v>
      </c>
      <c r="E513" s="324">
        <v>25</v>
      </c>
      <c r="F513" s="324">
        <v>1009.7988775177691</v>
      </c>
      <c r="H513" s="324" t="s">
        <v>1964</v>
      </c>
    </row>
    <row r="514" spans="1:8" s="324" customFormat="1" ht="0.65" hidden="1" customHeight="1">
      <c r="A514" s="324">
        <v>6067</v>
      </c>
      <c r="C514" s="324" t="s">
        <v>423</v>
      </c>
      <c r="D514" s="324" t="s">
        <v>520</v>
      </c>
      <c r="E514" s="324">
        <v>26</v>
      </c>
      <c r="F514" s="324">
        <v>-25505.223966629914</v>
      </c>
      <c r="H514" s="324" t="s">
        <v>1965</v>
      </c>
    </row>
    <row r="515" spans="1:8" s="324" customFormat="1" ht="0.65" hidden="1" customHeight="1">
      <c r="A515" s="324">
        <v>6068</v>
      </c>
      <c r="F515" s="324">
        <v>0.1075</v>
      </c>
    </row>
    <row r="516" spans="1:8" hidden="1"/>
  </sheetData>
  <sheetProtection algorithmName="SHA-512" hashValue="6FPfe3KjGXDrZ1Te/+ZGMxV1F7hamlDuxf9i5/dv7Yptmcq/GwwgaYJ6E5tk7y/UyOqx/T3GNmCYQk0pCZxc8A==" saltValue="9Hvz4tc6Ca9EEGA/p6HAIA==" spinCount="100000" sheet="1" selectLockedCells="1"/>
  <mergeCells count="31">
    <mergeCell ref="J32:Q35"/>
    <mergeCell ref="F22:M22"/>
    <mergeCell ref="P22:P28"/>
    <mergeCell ref="F23:M23"/>
    <mergeCell ref="F24:M24"/>
    <mergeCell ref="F25:M25"/>
    <mergeCell ref="F26:M26"/>
    <mergeCell ref="F27:M27"/>
    <mergeCell ref="F28:M28"/>
    <mergeCell ref="F21:M21"/>
    <mergeCell ref="F10:M10"/>
    <mergeCell ref="F11:M11"/>
    <mergeCell ref="F12:M12"/>
    <mergeCell ref="F13:M13"/>
    <mergeCell ref="F14:M14"/>
    <mergeCell ref="F15:M15"/>
    <mergeCell ref="F16:M16"/>
    <mergeCell ref="F17:M17"/>
    <mergeCell ref="F18:M18"/>
    <mergeCell ref="F19:M19"/>
    <mergeCell ref="F20:M20"/>
    <mergeCell ref="A1:B1"/>
    <mergeCell ref="F1:M1"/>
    <mergeCell ref="F3:M3"/>
    <mergeCell ref="F4:M4"/>
    <mergeCell ref="F5:M5"/>
    <mergeCell ref="P5:P11"/>
    <mergeCell ref="F6:M6"/>
    <mergeCell ref="F7:M7"/>
    <mergeCell ref="F8:M8"/>
    <mergeCell ref="F9:M9"/>
  </mergeCells>
  <conditionalFormatting sqref="A3:A41 C1:D2 U1:AF55 J30 A42:XFD515">
    <cfRule type="expression" dxfId="215" priority="5" stopIfTrue="1">
      <formula>NOT($N$31="javi")</formula>
    </cfRule>
  </conditionalFormatting>
  <conditionalFormatting sqref="Q3:Q28">
    <cfRule type="expression" dxfId="214" priority="6" stopIfTrue="1">
      <formula>AND($N$30="x",$J$30=0,Q3="CORRECTO")</formula>
    </cfRule>
    <cfRule type="expression" dxfId="213" priority="7" stopIfTrue="1">
      <formula>AND($N$30="x",$J$30=0,NOT(Q3="CORRECTO"))</formula>
    </cfRule>
  </conditionalFormatting>
  <conditionalFormatting sqref="Q1 E32:J32">
    <cfRule type="expression" dxfId="212" priority="8" stopIfTrue="1">
      <formula>OR(NOT($N$30="x"),NOT($J$30=0))</formula>
    </cfRule>
  </conditionalFormatting>
  <conditionalFormatting sqref="I32:Q35">
    <cfRule type="expression" dxfId="211" priority="4" stopIfTrue="1">
      <formula>OR($H$32="",NOT($H$31=""))</formula>
    </cfRule>
  </conditionalFormatting>
  <conditionalFormatting sqref="A1:XFD1048576">
    <cfRule type="expression" dxfId="210" priority="2" stopIfTrue="1">
      <formula>OR($D$1="",$D$1="",NOT($D$2="SI"),$D$69="SI")</formula>
    </cfRule>
  </conditionalFormatting>
  <conditionalFormatting sqref="P5:P11 P22:P28">
    <cfRule type="expression" dxfId="209" priority="1" stopIfTrue="1">
      <formula>NOT($P$5="")</formula>
    </cfRule>
  </conditionalFormatting>
  <conditionalFormatting sqref="F30:Q35 Q1:Q28">
    <cfRule type="expression" dxfId="208" priority="3" stopIfTrue="1">
      <formula>NOT($C$1=$C$2)</formula>
    </cfRule>
  </conditionalFormatting>
  <pageMargins left="0.70866141732283472" right="0.70866141732283472" top="0.74803149606299213" bottom="0.74803149606299213" header="0.31496062992125984" footer="0.31496062992125984"/>
  <pageSetup paperSize="9" scale="60" pageOrder="overThenDown" orientation="landscape" verticalDpi="1200" r:id="rId1"/>
  <headerFooter>
    <oddHeader>&amp;CCaso práctico de inversión en condiciones de certeza sin inflación: Sustitución de maquinaria con inversiones en fondo de maniobra - Preguntas cortas</oddHeader>
    <oddFooter>&amp;CPágina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DB84C-7000-4FCC-8A51-E977A4D941F8}">
  <dimension ref="A1:AE1541"/>
  <sheetViews>
    <sheetView showGridLines="0" topLeftCell="B1" workbookViewId="0">
      <selection activeCell="U1" sqref="U1"/>
    </sheetView>
  </sheetViews>
  <sheetFormatPr baseColWidth="10" defaultColWidth="11.453125" defaultRowHeight="14.5"/>
  <cols>
    <col min="1" max="1" width="0" style="59" hidden="1" customWidth="1"/>
    <col min="2" max="2" width="3.54296875" style="66" customWidth="1"/>
    <col min="3" max="17" width="3.54296875" style="59" customWidth="1"/>
    <col min="18" max="25" width="11.453125" style="59"/>
    <col min="26" max="26" width="11.453125" style="61"/>
    <col min="27" max="27" width="0" style="368" hidden="1" customWidth="1"/>
    <col min="28" max="28" width="121.81640625" style="61" hidden="1" customWidth="1"/>
    <col min="29" max="31" width="11.453125" style="61"/>
    <col min="32" max="16384" width="11.453125" style="59"/>
  </cols>
  <sheetData>
    <row r="1" spans="1:31" ht="15" thickBot="1">
      <c r="A1" s="61"/>
      <c r="B1" s="322" t="str">
        <f>'Instrucciones de uso'!$I$33</f>
        <v/>
      </c>
      <c r="C1" s="360" t="s">
        <v>89</v>
      </c>
      <c r="T1" s="50" t="s">
        <v>421</v>
      </c>
      <c r="U1" s="144"/>
      <c r="V1" s="86" t="str">
        <f>IF(AND(NOT(U1=""),NOT(U1="x")),"ERROR: DEBE SER 'x'","")</f>
        <v/>
      </c>
      <c r="Z1" s="368" t="str">
        <f>'Instrucciones de uso'!$H$15</f>
        <v>contraseña</v>
      </c>
      <c r="AA1" s="368" t="str">
        <f>IF(OR('Enunciado (sin infla)'!$G$2="",NOT('Enunciado (sin infla)'!$H$2="")),"",'Enunciado (sin infla)'!$G$2)</f>
        <v/>
      </c>
    </row>
    <row r="2" spans="1:31" ht="15" thickBot="1">
      <c r="A2" s="61"/>
      <c r="C2" s="212" t="s">
        <v>37</v>
      </c>
      <c r="D2" s="213"/>
      <c r="E2" s="213"/>
      <c r="F2" s="213"/>
      <c r="G2" s="213"/>
      <c r="H2" s="213"/>
      <c r="I2" s="214"/>
      <c r="T2" s="50" t="str">
        <f>IF(U1="x","Marque con una 'x' si desea corregir de una en una ","")</f>
        <v/>
      </c>
      <c r="U2" s="211"/>
      <c r="V2" s="86" t="str">
        <f>IF(AND(NOT(U2=""),NOT(U2="x")),"ERROR: DEBE SER 'x'","")</f>
        <v/>
      </c>
      <c r="Y2" s="289" t="s">
        <v>3951</v>
      </c>
      <c r="Z2" s="368" t="str">
        <f>'Instrucciones de uso'!$J$15</f>
        <v>contraseña</v>
      </c>
    </row>
    <row r="3" spans="1:31">
      <c r="A3" s="61"/>
      <c r="C3" s="67"/>
      <c r="D3" s="68"/>
      <c r="E3" s="68"/>
      <c r="F3" s="68"/>
      <c r="G3" s="68"/>
      <c r="H3" s="68"/>
      <c r="I3" s="68"/>
      <c r="J3" s="68"/>
      <c r="K3" s="68"/>
      <c r="L3" s="68"/>
      <c r="M3" s="68"/>
      <c r="N3" s="68"/>
      <c r="O3" s="68"/>
      <c r="P3" s="68"/>
      <c r="Q3" s="68"/>
      <c r="R3" s="68"/>
      <c r="S3" s="68"/>
      <c r="T3" s="68"/>
      <c r="U3" s="138"/>
      <c r="V3" s="68"/>
      <c r="W3" s="68"/>
      <c r="X3" s="68"/>
      <c r="Y3" s="69"/>
    </row>
    <row r="4" spans="1:31">
      <c r="A4" s="61"/>
      <c r="C4" s="70" t="str">
        <f>CONCATENATE("  A continuación, se le van a plantear veinte preguntas de tipo test relacionadas con el caso práctico sobre '",C1,"'.")</f>
        <v xml:space="preserve">  A continuación, se le van a plantear veinte preguntas de tipo test relacionadas con el caso práctico sobre 'Inversión de sustitución en certeza con FM'.</v>
      </c>
      <c r="D4" s="71"/>
      <c r="E4" s="71"/>
      <c r="F4" s="71"/>
      <c r="G4" s="71"/>
      <c r="H4" s="71"/>
      <c r="I4" s="71"/>
      <c r="J4" s="71"/>
      <c r="K4" s="71"/>
      <c r="L4" s="71"/>
      <c r="M4" s="71"/>
      <c r="N4" s="71"/>
      <c r="O4" s="71"/>
      <c r="P4" s="71"/>
      <c r="Q4" s="71"/>
      <c r="R4" s="71"/>
      <c r="S4" s="71"/>
      <c r="T4" s="71"/>
      <c r="U4" s="71"/>
      <c r="V4" s="71"/>
      <c r="W4" s="71"/>
      <c r="X4" s="71"/>
      <c r="Y4" s="72"/>
    </row>
    <row r="5" spans="1:31">
      <c r="A5" s="61"/>
      <c r="C5" s="73"/>
      <c r="D5" s="71"/>
      <c r="E5" s="71"/>
      <c r="F5" s="71"/>
      <c r="G5" s="71"/>
      <c r="H5" s="71"/>
      <c r="I5" s="71"/>
      <c r="J5" s="71"/>
      <c r="K5" s="71"/>
      <c r="L5" s="71"/>
      <c r="M5" s="71"/>
      <c r="N5" s="71"/>
      <c r="O5" s="71"/>
      <c r="P5" s="71"/>
      <c r="Q5" s="71"/>
      <c r="R5" s="71"/>
      <c r="S5" s="71"/>
      <c r="T5" s="71"/>
      <c r="U5" s="71"/>
      <c r="V5" s="71"/>
      <c r="W5" s="71"/>
      <c r="X5" s="71"/>
      <c r="Y5" s="72"/>
    </row>
    <row r="6" spans="1:31">
      <c r="A6" s="61"/>
      <c r="C6" s="70"/>
      <c r="D6" s="74" t="s">
        <v>56</v>
      </c>
      <c r="E6" s="75"/>
      <c r="F6" s="71"/>
      <c r="G6" s="71"/>
      <c r="H6" s="71"/>
      <c r="I6" s="71"/>
      <c r="J6" s="71"/>
      <c r="K6" s="71"/>
      <c r="L6" s="71"/>
      <c r="M6" s="71"/>
      <c r="N6" s="71"/>
      <c r="O6" s="71"/>
      <c r="P6" s="71"/>
      <c r="Q6" s="71"/>
      <c r="R6" s="71"/>
      <c r="S6" s="71"/>
      <c r="T6" s="71"/>
      <c r="U6" s="71"/>
      <c r="V6" s="71"/>
      <c r="W6" s="71"/>
      <c r="X6" s="71"/>
      <c r="Y6" s="72"/>
    </row>
    <row r="7" spans="1:31">
      <c r="A7" s="61"/>
      <c r="C7" s="76"/>
      <c r="D7" s="71"/>
      <c r="E7" s="75"/>
      <c r="F7" s="71"/>
      <c r="G7" s="71"/>
      <c r="H7" s="71"/>
      <c r="I7" s="71"/>
      <c r="J7" s="71"/>
      <c r="K7" s="71"/>
      <c r="L7" s="71"/>
      <c r="M7" s="71"/>
      <c r="N7" s="71"/>
      <c r="O7" s="71"/>
      <c r="P7" s="71"/>
      <c r="Q7" s="71"/>
      <c r="R7" s="71"/>
      <c r="S7" s="71"/>
      <c r="T7" s="71"/>
      <c r="U7" s="71"/>
      <c r="V7" s="71"/>
      <c r="W7" s="71"/>
      <c r="X7" s="71"/>
      <c r="Y7" s="72"/>
    </row>
    <row r="8" spans="1:31">
      <c r="A8" s="61"/>
      <c r="C8" s="77"/>
      <c r="D8" s="78" t="s">
        <v>82</v>
      </c>
      <c r="E8" s="75"/>
      <c r="F8" s="71"/>
      <c r="G8" s="71"/>
      <c r="H8" s="71"/>
      <c r="I8" s="71"/>
      <c r="J8" s="71"/>
      <c r="K8" s="71"/>
      <c r="L8" s="71"/>
      <c r="M8" s="71"/>
      <c r="N8" s="71"/>
      <c r="O8" s="71"/>
      <c r="P8" s="71"/>
      <c r="Q8" s="71"/>
      <c r="R8" s="71"/>
      <c r="S8" s="71"/>
      <c r="T8" s="71"/>
      <c r="U8" s="71"/>
      <c r="V8" s="71"/>
      <c r="W8" s="71"/>
      <c r="X8" s="71"/>
      <c r="Y8" s="72"/>
    </row>
    <row r="9" spans="1:31">
      <c r="A9" s="61"/>
      <c r="C9" s="76"/>
      <c r="D9" s="71"/>
      <c r="E9" s="75"/>
      <c r="F9" s="71"/>
      <c r="G9" s="71"/>
      <c r="H9" s="71"/>
      <c r="I9" s="71"/>
      <c r="J9" s="71"/>
      <c r="K9" s="71"/>
      <c r="L9" s="71"/>
      <c r="M9" s="71"/>
      <c r="N9" s="71"/>
      <c r="O9" s="71"/>
      <c r="P9" s="71"/>
      <c r="Q9" s="71"/>
      <c r="R9" s="71"/>
      <c r="S9" s="71"/>
      <c r="T9" s="71"/>
      <c r="U9" s="71"/>
      <c r="V9" s="71"/>
      <c r="W9" s="71"/>
      <c r="X9" s="71"/>
      <c r="Y9" s="72"/>
    </row>
    <row r="10" spans="1:31">
      <c r="A10" s="61"/>
      <c r="C10" s="79"/>
      <c r="D10" s="80" t="s">
        <v>83</v>
      </c>
      <c r="E10" s="71"/>
      <c r="F10" s="71"/>
      <c r="G10" s="71"/>
      <c r="H10" s="71"/>
      <c r="I10" s="71"/>
      <c r="J10" s="71"/>
      <c r="K10" s="71"/>
      <c r="L10" s="71"/>
      <c r="M10" s="71"/>
      <c r="N10" s="71"/>
      <c r="O10" s="71"/>
      <c r="P10" s="71"/>
      <c r="Q10" s="71"/>
      <c r="R10" s="71"/>
      <c r="S10" s="71"/>
      <c r="T10" s="71"/>
      <c r="U10" s="71"/>
      <c r="V10" s="71"/>
      <c r="W10" s="71"/>
      <c r="X10" s="71"/>
      <c r="Y10" s="72"/>
    </row>
    <row r="11" spans="1:31">
      <c r="A11" s="61"/>
      <c r="C11" s="79"/>
      <c r="D11" s="80"/>
      <c r="E11" s="80" t="s">
        <v>84</v>
      </c>
      <c r="F11" s="71"/>
      <c r="G11" s="71"/>
      <c r="H11" s="71"/>
      <c r="I11" s="71"/>
      <c r="J11" s="71"/>
      <c r="K11" s="71"/>
      <c r="L11" s="71"/>
      <c r="M11" s="71"/>
      <c r="N11" s="71"/>
      <c r="O11" s="71"/>
      <c r="P11" s="71"/>
      <c r="Q11" s="71"/>
      <c r="R11" s="71"/>
      <c r="S11" s="71"/>
      <c r="T11" s="71"/>
      <c r="U11" s="71"/>
      <c r="V11" s="71"/>
      <c r="W11" s="71"/>
      <c r="X11" s="71"/>
      <c r="Y11" s="72"/>
    </row>
    <row r="12" spans="1:31" ht="15" thickBot="1">
      <c r="A12" s="61"/>
      <c r="C12" s="81"/>
      <c r="D12" s="82"/>
      <c r="E12" s="83"/>
      <c r="F12" s="83"/>
      <c r="G12" s="83"/>
      <c r="H12" s="83"/>
      <c r="I12" s="83"/>
      <c r="J12" s="83"/>
      <c r="K12" s="83"/>
      <c r="L12" s="83"/>
      <c r="M12" s="83"/>
      <c r="N12" s="83"/>
      <c r="O12" s="83"/>
      <c r="P12" s="83"/>
      <c r="Q12" s="83"/>
      <c r="R12" s="83"/>
      <c r="S12" s="83"/>
      <c r="T12" s="83"/>
      <c r="U12" s="83"/>
      <c r="V12" s="83"/>
      <c r="W12" s="83"/>
      <c r="X12" s="83"/>
      <c r="Y12" s="84"/>
    </row>
    <row r="13" spans="1:31" s="60" customFormat="1">
      <c r="A13" s="65"/>
      <c r="B13" s="374"/>
      <c r="C13" s="65"/>
      <c r="D13" s="65"/>
      <c r="E13" s="65"/>
      <c r="F13" s="65"/>
      <c r="G13" s="85"/>
      <c r="Z13" s="65"/>
      <c r="AA13" s="14"/>
      <c r="AB13" s="65"/>
      <c r="AC13" s="65"/>
      <c r="AD13" s="65"/>
      <c r="AE13" s="65"/>
    </row>
    <row r="14" spans="1:31" s="140" customFormat="1">
      <c r="A14" s="61" t="e">
        <f>$AA$1*1000+1</f>
        <v>#VALUE!</v>
      </c>
      <c r="B14" s="362"/>
      <c r="D14" s="46" t="e">
        <f>VLOOKUP($A14,$A$236:$AB$1540,D$229,FALSE)</f>
        <v>#VALUE!</v>
      </c>
      <c r="E14" s="46" t="e">
        <f>VLOOKUP($A14,$A$236:$AB$1540,E$229,FALSE)</f>
        <v>#VALUE!</v>
      </c>
      <c r="F14" s="47"/>
      <c r="G14" s="47"/>
      <c r="H14" s="47"/>
      <c r="I14" s="47"/>
      <c r="J14" s="47"/>
      <c r="K14" s="47"/>
      <c r="L14" s="47"/>
      <c r="M14" s="47"/>
      <c r="N14" s="47"/>
      <c r="O14" s="47"/>
      <c r="P14" s="47"/>
      <c r="Q14" s="47"/>
      <c r="R14" s="47"/>
      <c r="S14" s="47"/>
      <c r="T14" s="47"/>
      <c r="U14" s="47"/>
      <c r="V14" s="47"/>
      <c r="W14" s="47"/>
      <c r="X14" s="47"/>
      <c r="Y14" s="47"/>
      <c r="Z14" s="369" t="str">
        <f>IF(AND(COUNTIF(E16:E19,"")=3,COUNTIF(E16:E19,"x")=1),VLOOKUP("x",E16:Z19,22,FALSE),"")</f>
        <v/>
      </c>
      <c r="AA14" s="368"/>
      <c r="AB14" s="61"/>
      <c r="AC14" s="61"/>
      <c r="AD14" s="61"/>
      <c r="AE14" s="61"/>
    </row>
    <row r="15" spans="1:31" s="140" customFormat="1">
      <c r="A15" s="61" t="e">
        <f>1+A14</f>
        <v>#VALUE!</v>
      </c>
      <c r="B15" s="375"/>
      <c r="D15" s="29" t="e">
        <f>VLOOKUP(D14,$D$156:$E$175,2,FALSE)</f>
        <v>#VALUE!</v>
      </c>
      <c r="F15" s="43" t="str">
        <f>IF(OR(J15="",J15="ERROR"),"",IF(AND(COUNTIF(E16:E19,"")=3,COUNTIF(E16:E19,"x")=1,VLOOKUP(D14,$D$156:$E$175,2,FALSE)=Z14),"CORRECTO","INCORRECTO"))</f>
        <v/>
      </c>
      <c r="J15" s="48" t="str">
        <f>IF(OR(D16="ERROR",COUNTIF(E16:E19,"")=4,AND(NOT($U$2="x"),OR(NOT($V$168="x"),COUNTIF($N$156:$N$175,"")&gt;0))),"",IF(AND(COUNTIF(E16:E19,"")=3,COUNTIF(E16:E19,"x")=1),IF(COUNTIF(B16:B19,"+")=0,VLOOKUP("x",E16:AB19,24,FALSE),VLOOKUP(D15,Z16:AB19,3,FALSE)),"ERROR"))</f>
        <v/>
      </c>
      <c r="Z15" s="369"/>
      <c r="AA15" s="368"/>
      <c r="AB15" s="61"/>
      <c r="AC15" s="61"/>
      <c r="AD15" s="61"/>
      <c r="AE15" s="61"/>
    </row>
    <row r="16" spans="1:31" s="140" customFormat="1">
      <c r="A16" s="61" t="e">
        <f t="shared" ref="A16:A79" si="0">1+A15</f>
        <v>#VALUE!</v>
      </c>
      <c r="B16" s="375"/>
      <c r="C16" s="275" t="s">
        <v>39</v>
      </c>
      <c r="D16" s="137" t="str">
        <f>IF(OR(COUNTIF(E16:E19,"x")&gt;1,NOT(4-COUNTIF(E16:E19,"")=COUNTIF(E16:E19,"x"))),"ERROR","")</f>
        <v/>
      </c>
      <c r="E16" s="141"/>
      <c r="F16" s="49" t="e">
        <f t="shared" ref="F16:F19" si="1">VLOOKUP($A16,$A$236:$AB$1540,F$229,FALSE)</f>
        <v>#VALUE!</v>
      </c>
      <c r="Z16" s="368" t="s">
        <v>38</v>
      </c>
      <c r="AA16" s="371" t="e">
        <f t="shared" ref="AA16:AB19" si="2">VLOOKUP($A16,$A$236:$AB$1540,AA$229,FALSE)</f>
        <v>#VALUE!</v>
      </c>
      <c r="AB16" s="318" t="e">
        <f t="shared" si="2"/>
        <v>#VALUE!</v>
      </c>
      <c r="AC16" s="61"/>
      <c r="AD16" s="61"/>
      <c r="AE16" s="61"/>
    </row>
    <row r="17" spans="1:31" s="140" customFormat="1">
      <c r="A17" s="61" t="e">
        <f t="shared" si="0"/>
        <v>#VALUE!</v>
      </c>
      <c r="B17" s="375"/>
      <c r="C17" s="275" t="s">
        <v>41</v>
      </c>
      <c r="D17" s="140" t="s">
        <v>55</v>
      </c>
      <c r="E17" s="141"/>
      <c r="F17" s="49" t="e">
        <f t="shared" si="1"/>
        <v>#VALUE!</v>
      </c>
      <c r="Z17" s="368" t="s">
        <v>40</v>
      </c>
      <c r="AA17" s="371" t="e">
        <f t="shared" si="2"/>
        <v>#VALUE!</v>
      </c>
      <c r="AB17" s="318" t="e">
        <f t="shared" si="2"/>
        <v>#VALUE!</v>
      </c>
      <c r="AC17" s="61"/>
      <c r="AD17" s="61"/>
      <c r="AE17" s="61"/>
    </row>
    <row r="18" spans="1:31" s="140" customFormat="1">
      <c r="A18" s="61" t="e">
        <f t="shared" si="0"/>
        <v>#VALUE!</v>
      </c>
      <c r="B18" s="375"/>
      <c r="C18" s="275" t="s">
        <v>43</v>
      </c>
      <c r="D18" s="140" t="s">
        <v>55</v>
      </c>
      <c r="E18" s="141"/>
      <c r="F18" s="49" t="e">
        <f t="shared" si="1"/>
        <v>#VALUE!</v>
      </c>
      <c r="Z18" s="368" t="s">
        <v>42</v>
      </c>
      <c r="AA18" s="371" t="e">
        <f t="shared" si="2"/>
        <v>#VALUE!</v>
      </c>
      <c r="AB18" s="318" t="e">
        <f t="shared" si="2"/>
        <v>#VALUE!</v>
      </c>
      <c r="AC18" s="61"/>
      <c r="AD18" s="61"/>
      <c r="AE18" s="61"/>
    </row>
    <row r="19" spans="1:31" s="140" customFormat="1">
      <c r="A19" s="61" t="e">
        <f t="shared" si="0"/>
        <v>#VALUE!</v>
      </c>
      <c r="B19" s="375"/>
      <c r="C19" s="275" t="s">
        <v>45</v>
      </c>
      <c r="D19" s="140" t="s">
        <v>55</v>
      </c>
      <c r="E19" s="141"/>
      <c r="F19" s="49" t="e">
        <f t="shared" si="1"/>
        <v>#VALUE!</v>
      </c>
      <c r="Z19" s="368" t="s">
        <v>44</v>
      </c>
      <c r="AA19" s="371" t="e">
        <f t="shared" si="2"/>
        <v>#VALUE!</v>
      </c>
      <c r="AB19" s="318" t="e">
        <f t="shared" si="2"/>
        <v>#VALUE!</v>
      </c>
      <c r="AC19" s="61"/>
      <c r="AD19" s="61"/>
      <c r="AE19" s="61"/>
    </row>
    <row r="20" spans="1:31" s="140" customFormat="1">
      <c r="A20" s="61" t="e">
        <f t="shared" si="0"/>
        <v>#VALUE!</v>
      </c>
      <c r="B20" s="375"/>
      <c r="C20" s="275"/>
      <c r="Z20" s="368"/>
      <c r="AA20" s="371"/>
      <c r="AB20" s="318"/>
      <c r="AC20" s="61"/>
      <c r="AD20" s="61"/>
      <c r="AE20" s="61"/>
    </row>
    <row r="21" spans="1:31" s="140" customFormat="1">
      <c r="A21" s="61" t="e">
        <f t="shared" si="0"/>
        <v>#VALUE!</v>
      </c>
      <c r="B21" s="375"/>
      <c r="C21" s="275"/>
      <c r="D21" s="46">
        <v>2</v>
      </c>
      <c r="E21" s="46" t="e">
        <f>VLOOKUP($A21,$A$236:$AB$1540,E$229,FALSE)</f>
        <v>#VALUE!</v>
      </c>
      <c r="F21" s="47"/>
      <c r="G21" s="47"/>
      <c r="H21" s="47"/>
      <c r="I21" s="47"/>
      <c r="J21" s="47"/>
      <c r="K21" s="47"/>
      <c r="L21" s="47"/>
      <c r="M21" s="47"/>
      <c r="N21" s="47"/>
      <c r="O21" s="47"/>
      <c r="P21" s="47"/>
      <c r="Q21" s="47"/>
      <c r="R21" s="47"/>
      <c r="S21" s="47"/>
      <c r="T21" s="47"/>
      <c r="U21" s="47"/>
      <c r="V21" s="47"/>
      <c r="W21" s="47"/>
      <c r="X21" s="47"/>
      <c r="Y21" s="47"/>
      <c r="Z21" s="369" t="str">
        <f>IF(AND(COUNTIF(E23:E26,"")=3,COUNTIF(E23:E26,"x")=1),VLOOKUP("x",E23:Z26,22,FALSE),"")</f>
        <v/>
      </c>
      <c r="AA21" s="371"/>
      <c r="AB21" s="318"/>
      <c r="AC21" s="61"/>
      <c r="AD21" s="61"/>
      <c r="AE21" s="61"/>
    </row>
    <row r="22" spans="1:31" s="140" customFormat="1">
      <c r="A22" s="61" t="e">
        <f t="shared" si="0"/>
        <v>#VALUE!</v>
      </c>
      <c r="B22" s="375"/>
      <c r="C22" s="275"/>
      <c r="D22" s="29" t="e">
        <f>VLOOKUP(D21,$D$156:$E$175,2,FALSE)</f>
        <v>#VALUE!</v>
      </c>
      <c r="F22" s="43" t="str">
        <f>IF(OR(J22="",J22="ERROR"),"",IF(AND(COUNTIF(E23:E26,"")=3,COUNTIF(E23:E26,"x")=1,VLOOKUP(D21,$D$156:$E$175,2,FALSE)=Z21),"CORRECTO","INCORRECTO"))</f>
        <v/>
      </c>
      <c r="J22" s="48" t="str">
        <f>IF(OR(D23="ERROR",COUNTIF(E23:E26,"")=4,AND(NOT($U$2="x"),OR(NOT($V$168="x"),COUNTIF($N$156:$N$175,"")&gt;0))),"",IF(AND(COUNTIF(E23:E26,"")=3,COUNTIF(E23:E26,"x")=1),IF(COUNTIF(B23:B26,"+")=0,VLOOKUP("x",E23:AB26,24,FALSE),VLOOKUP(D22,Z23:AB26,3,FALSE)),"ERROR"))</f>
        <v/>
      </c>
      <c r="Z22" s="369"/>
      <c r="AA22" s="371"/>
      <c r="AB22" s="318"/>
      <c r="AC22" s="61"/>
      <c r="AD22" s="61"/>
      <c r="AE22" s="61"/>
    </row>
    <row r="23" spans="1:31" s="140" customFormat="1">
      <c r="A23" s="61" t="e">
        <f t="shared" si="0"/>
        <v>#VALUE!</v>
      </c>
      <c r="B23" s="375"/>
      <c r="C23" s="275" t="s">
        <v>39</v>
      </c>
      <c r="D23" s="137" t="str">
        <f>IF(OR(COUNTIF(E23:E26,"x")&gt;1,NOT(4-COUNTIF(E23:E26,"")=COUNTIF(E23:E26,"x"))),"ERROR","")</f>
        <v/>
      </c>
      <c r="E23" s="141"/>
      <c r="F23" s="42" t="e">
        <f t="shared" ref="F23:F26" si="3">VLOOKUP($A23,$A$236:$AB$1540,F$229,FALSE)</f>
        <v>#VALUE!</v>
      </c>
      <c r="Z23" s="368" t="s">
        <v>38</v>
      </c>
      <c r="AA23" s="371" t="e">
        <f t="shared" ref="AA23:AB26" si="4">VLOOKUP($A23,$A$236:$AB$1540,AA$229,FALSE)</f>
        <v>#VALUE!</v>
      </c>
      <c r="AB23" s="318" t="e">
        <f t="shared" si="4"/>
        <v>#VALUE!</v>
      </c>
      <c r="AC23" s="61"/>
      <c r="AD23" s="61"/>
      <c r="AE23" s="61"/>
    </row>
    <row r="24" spans="1:31" s="140" customFormat="1">
      <c r="A24" s="61" t="e">
        <f t="shared" si="0"/>
        <v>#VALUE!</v>
      </c>
      <c r="B24" s="375"/>
      <c r="C24" s="275" t="s">
        <v>41</v>
      </c>
      <c r="D24" s="140" t="s">
        <v>55</v>
      </c>
      <c r="E24" s="141"/>
      <c r="F24" s="42" t="e">
        <f t="shared" si="3"/>
        <v>#VALUE!</v>
      </c>
      <c r="Z24" s="368" t="s">
        <v>40</v>
      </c>
      <c r="AA24" s="371" t="e">
        <f t="shared" si="4"/>
        <v>#VALUE!</v>
      </c>
      <c r="AB24" s="318" t="e">
        <f t="shared" si="4"/>
        <v>#VALUE!</v>
      </c>
      <c r="AC24" s="61"/>
      <c r="AD24" s="61"/>
      <c r="AE24" s="61"/>
    </row>
    <row r="25" spans="1:31" s="140" customFormat="1">
      <c r="A25" s="61" t="e">
        <f t="shared" si="0"/>
        <v>#VALUE!</v>
      </c>
      <c r="B25" s="375"/>
      <c r="C25" s="275" t="s">
        <v>43</v>
      </c>
      <c r="D25" s="140" t="s">
        <v>55</v>
      </c>
      <c r="E25" s="141"/>
      <c r="F25" s="140" t="e">
        <f t="shared" si="3"/>
        <v>#VALUE!</v>
      </c>
      <c r="Z25" s="368" t="s">
        <v>42</v>
      </c>
      <c r="AA25" s="371" t="e">
        <f t="shared" si="4"/>
        <v>#VALUE!</v>
      </c>
      <c r="AB25" s="318" t="e">
        <f t="shared" si="4"/>
        <v>#VALUE!</v>
      </c>
      <c r="AC25" s="61"/>
      <c r="AD25" s="61"/>
      <c r="AE25" s="61"/>
    </row>
    <row r="26" spans="1:31" s="140" customFormat="1">
      <c r="A26" s="61" t="e">
        <f t="shared" si="0"/>
        <v>#VALUE!</v>
      </c>
      <c r="B26" s="375"/>
      <c r="C26" s="275" t="s">
        <v>45</v>
      </c>
      <c r="D26" s="140" t="s">
        <v>55</v>
      </c>
      <c r="E26" s="141"/>
      <c r="F26" s="42" t="e">
        <f t="shared" si="3"/>
        <v>#VALUE!</v>
      </c>
      <c r="Z26" s="368" t="s">
        <v>44</v>
      </c>
      <c r="AA26" s="371"/>
      <c r="AB26" s="318" t="e">
        <f t="shared" si="4"/>
        <v>#VALUE!</v>
      </c>
      <c r="AC26" s="61"/>
      <c r="AD26" s="61"/>
      <c r="AE26" s="61"/>
    </row>
    <row r="27" spans="1:31" s="140" customFormat="1">
      <c r="A27" s="61" t="e">
        <f t="shared" si="0"/>
        <v>#VALUE!</v>
      </c>
      <c r="B27" s="375"/>
      <c r="C27" s="275"/>
      <c r="F27" s="42"/>
      <c r="Z27" s="368"/>
      <c r="AA27" s="371"/>
      <c r="AB27" s="318"/>
      <c r="AC27" s="61"/>
      <c r="AD27" s="61"/>
      <c r="AE27" s="61"/>
    </row>
    <row r="28" spans="1:31" s="140" customFormat="1">
      <c r="A28" s="61" t="e">
        <f t="shared" si="0"/>
        <v>#VALUE!</v>
      </c>
      <c r="B28" s="375"/>
      <c r="C28" s="275"/>
      <c r="D28" s="46">
        <v>3</v>
      </c>
      <c r="E28" s="46" t="e">
        <f>VLOOKUP($A28,$A$236:$AB$1540,E$229,FALSE)</f>
        <v>#VALUE!</v>
      </c>
      <c r="F28" s="47"/>
      <c r="G28" s="47"/>
      <c r="H28" s="47"/>
      <c r="I28" s="47"/>
      <c r="J28" s="47"/>
      <c r="K28" s="47"/>
      <c r="L28" s="47"/>
      <c r="M28" s="47"/>
      <c r="N28" s="47"/>
      <c r="O28" s="47"/>
      <c r="P28" s="47"/>
      <c r="Q28" s="47"/>
      <c r="R28" s="47"/>
      <c r="S28" s="47"/>
      <c r="T28" s="47"/>
      <c r="U28" s="47"/>
      <c r="V28" s="47"/>
      <c r="W28" s="47"/>
      <c r="X28" s="47"/>
      <c r="Y28" s="47"/>
      <c r="Z28" s="369" t="str">
        <f>IF(AND(COUNTIF(E30:E33,"")=3,COUNTIF(E30:E33,"x")=1),VLOOKUP("x",E30:Z33,22,FALSE),"")</f>
        <v/>
      </c>
      <c r="AA28" s="371"/>
      <c r="AB28" s="318"/>
      <c r="AC28" s="61"/>
      <c r="AD28" s="61"/>
      <c r="AE28" s="61"/>
    </row>
    <row r="29" spans="1:31" s="140" customFormat="1">
      <c r="A29" s="61" t="e">
        <f t="shared" si="0"/>
        <v>#VALUE!</v>
      </c>
      <c r="B29" s="375"/>
      <c r="C29" s="275"/>
      <c r="D29" s="29" t="e">
        <f>VLOOKUP(D28,$D$156:$E$175,2,FALSE)</f>
        <v>#VALUE!</v>
      </c>
      <c r="F29" s="43" t="str">
        <f>IF(OR(J29="",J29="ERROR"),"",IF(AND(COUNTIF(E30:E33,"")=3,COUNTIF(E30:E33,"x")=1,VLOOKUP(D28,$D$156:$E$175,2,FALSE)=Z28),"CORRECTO","INCORRECTO"))</f>
        <v/>
      </c>
      <c r="J29" s="48" t="str">
        <f>IF(OR(D30="ERROR",COUNTIF(E30:E33,"")=4,AND(NOT($U$2="x"),OR(NOT($V$168="x"),COUNTIF($N$156:$N$175,"")&gt;0))),"",IF(AND(COUNTIF(E30:E33,"")=3,COUNTIF(E30:E33,"x")=1),IF(COUNTIF(B30:B33,"+")=0,VLOOKUP("x",E30:AB33,24,FALSE),VLOOKUP(D29,Z30:AB33,3,FALSE)),"ERROR"))</f>
        <v/>
      </c>
      <c r="Z29" s="369"/>
      <c r="AA29" s="371"/>
      <c r="AB29" s="318"/>
      <c r="AC29" s="61"/>
      <c r="AD29" s="61"/>
      <c r="AE29" s="61"/>
    </row>
    <row r="30" spans="1:31" s="140" customFormat="1">
      <c r="A30" s="61" t="e">
        <f t="shared" si="0"/>
        <v>#VALUE!</v>
      </c>
      <c r="B30" s="375"/>
      <c r="C30" s="275" t="s">
        <v>39</v>
      </c>
      <c r="D30" s="137" t="str">
        <f>IF(OR(COUNTIF(E30:E33,"x")&gt;1,NOT(4-COUNTIF(E30:E33,"")=COUNTIF(E30:E33,"x"))),"ERROR","")</f>
        <v/>
      </c>
      <c r="E30" s="141"/>
      <c r="F30" s="140" t="e">
        <f t="shared" ref="F30:F33" si="5">VLOOKUP($A30,$A$236:$AB$1540,F$229,FALSE)</f>
        <v>#VALUE!</v>
      </c>
      <c r="Z30" s="368" t="s">
        <v>38</v>
      </c>
      <c r="AA30" s="371" t="e">
        <f t="shared" ref="AA30:AB33" si="6">VLOOKUP($A30,$A$236:$AB$1540,AA$229,FALSE)</f>
        <v>#VALUE!</v>
      </c>
      <c r="AB30" s="318" t="e">
        <f t="shared" si="6"/>
        <v>#VALUE!</v>
      </c>
      <c r="AC30" s="61"/>
      <c r="AD30" s="61"/>
      <c r="AE30" s="61"/>
    </row>
    <row r="31" spans="1:31" s="140" customFormat="1">
      <c r="A31" s="61" t="e">
        <f t="shared" si="0"/>
        <v>#VALUE!</v>
      </c>
      <c r="B31" s="375"/>
      <c r="C31" s="275" t="s">
        <v>41</v>
      </c>
      <c r="D31" s="140" t="s">
        <v>55</v>
      </c>
      <c r="E31" s="141"/>
      <c r="F31" s="140" t="e">
        <f t="shared" si="5"/>
        <v>#VALUE!</v>
      </c>
      <c r="Z31" s="368" t="s">
        <v>40</v>
      </c>
      <c r="AA31" s="371" t="e">
        <f t="shared" si="6"/>
        <v>#VALUE!</v>
      </c>
      <c r="AB31" s="318" t="e">
        <f t="shared" si="6"/>
        <v>#VALUE!</v>
      </c>
      <c r="AC31" s="61"/>
      <c r="AD31" s="61"/>
      <c r="AE31" s="61"/>
    </row>
    <row r="32" spans="1:31" s="140" customFormat="1">
      <c r="A32" s="61" t="e">
        <f t="shared" si="0"/>
        <v>#VALUE!</v>
      </c>
      <c r="B32" s="375"/>
      <c r="C32" s="275" t="s">
        <v>43</v>
      </c>
      <c r="D32" s="140" t="s">
        <v>55</v>
      </c>
      <c r="E32" s="141"/>
      <c r="F32" s="140" t="e">
        <f t="shared" si="5"/>
        <v>#VALUE!</v>
      </c>
      <c r="Z32" s="368" t="s">
        <v>42</v>
      </c>
      <c r="AA32" s="371" t="e">
        <f t="shared" si="6"/>
        <v>#VALUE!</v>
      </c>
      <c r="AB32" s="318" t="e">
        <f t="shared" si="6"/>
        <v>#VALUE!</v>
      </c>
      <c r="AC32" s="61"/>
      <c r="AD32" s="61"/>
      <c r="AE32" s="61"/>
    </row>
    <row r="33" spans="1:31" s="140" customFormat="1">
      <c r="A33" s="61" t="e">
        <f t="shared" si="0"/>
        <v>#VALUE!</v>
      </c>
      <c r="B33" s="375"/>
      <c r="C33" s="275" t="s">
        <v>45</v>
      </c>
      <c r="D33" s="140" t="s">
        <v>55</v>
      </c>
      <c r="E33" s="141"/>
      <c r="F33" s="42" t="e">
        <f t="shared" si="5"/>
        <v>#VALUE!</v>
      </c>
      <c r="Z33" s="368" t="s">
        <v>44</v>
      </c>
      <c r="AA33" s="371"/>
      <c r="AB33" s="318" t="e">
        <f t="shared" si="6"/>
        <v>#VALUE!</v>
      </c>
      <c r="AC33" s="61"/>
      <c r="AD33" s="61"/>
      <c r="AE33" s="61"/>
    </row>
    <row r="34" spans="1:31" s="140" customFormat="1">
      <c r="A34" s="61" t="e">
        <f t="shared" si="0"/>
        <v>#VALUE!</v>
      </c>
      <c r="B34" s="375"/>
      <c r="C34" s="275"/>
      <c r="F34" s="42"/>
      <c r="Z34" s="368"/>
      <c r="AA34" s="371"/>
      <c r="AB34" s="318"/>
      <c r="AC34" s="61"/>
      <c r="AD34" s="61"/>
      <c r="AE34" s="61"/>
    </row>
    <row r="35" spans="1:31" s="140" customFormat="1">
      <c r="A35" s="61" t="e">
        <f t="shared" si="0"/>
        <v>#VALUE!</v>
      </c>
      <c r="B35" s="375"/>
      <c r="C35" s="275"/>
      <c r="D35" s="46">
        <v>4</v>
      </c>
      <c r="E35" s="46" t="e">
        <f>VLOOKUP($A35,$A$236:$AB$1540,E$229,FALSE)</f>
        <v>#VALUE!</v>
      </c>
      <c r="F35" s="47"/>
      <c r="G35" s="47"/>
      <c r="H35" s="47"/>
      <c r="I35" s="47"/>
      <c r="J35" s="47"/>
      <c r="K35" s="47"/>
      <c r="L35" s="47"/>
      <c r="M35" s="47"/>
      <c r="N35" s="47"/>
      <c r="O35" s="47"/>
      <c r="P35" s="47"/>
      <c r="Q35" s="47"/>
      <c r="R35" s="47"/>
      <c r="S35" s="47"/>
      <c r="T35" s="47"/>
      <c r="U35" s="47"/>
      <c r="V35" s="47"/>
      <c r="W35" s="47"/>
      <c r="X35" s="47"/>
      <c r="Y35" s="47"/>
      <c r="Z35" s="369" t="str">
        <f>IF(AND(COUNTIF(E37:E40,"")=3,COUNTIF(E37:E40,"x")=1),VLOOKUP("x",E37:Z40,22,FALSE),"")</f>
        <v/>
      </c>
      <c r="AA35" s="371"/>
      <c r="AB35" s="318"/>
      <c r="AC35" s="61"/>
      <c r="AD35" s="61"/>
      <c r="AE35" s="61"/>
    </row>
    <row r="36" spans="1:31" s="140" customFormat="1">
      <c r="A36" s="61" t="e">
        <f t="shared" si="0"/>
        <v>#VALUE!</v>
      </c>
      <c r="B36" s="375"/>
      <c r="C36" s="275"/>
      <c r="D36" s="29" t="e">
        <f>VLOOKUP(D35,$D$156:$E$175,2,FALSE)</f>
        <v>#VALUE!</v>
      </c>
      <c r="F36" s="43" t="str">
        <f>IF(OR(J36="",J36="ERROR"),"",IF(AND(COUNTIF(E37:E40,"")=3,COUNTIF(E37:E40,"x")=1,VLOOKUP(D35,$D$156:$E$175,2,FALSE)=Z35),"CORRECTO","INCORRECTO"))</f>
        <v/>
      </c>
      <c r="J36" s="48" t="str">
        <f>IF(OR(D37="ERROR",COUNTIF(E37:E40,"")=4,AND(NOT($U$2="x"),OR(NOT($V$168="x"),COUNTIF($N$156:$N$175,"")&gt;0))),"",IF(AND(COUNTIF(E37:E40,"")=3,COUNTIF(E37:E40,"x")=1),IF(COUNTIF(B37:B40,"+")=0,VLOOKUP("x",E37:AB40,24,FALSE),VLOOKUP(D36,Z37:AB40,3,FALSE)),"ERROR"))</f>
        <v/>
      </c>
      <c r="K36" s="49"/>
      <c r="L36" s="49"/>
      <c r="M36" s="49"/>
      <c r="N36" s="49"/>
      <c r="O36" s="49"/>
      <c r="P36" s="49"/>
      <c r="Q36" s="49"/>
      <c r="R36" s="49"/>
      <c r="S36" s="49"/>
      <c r="T36" s="49"/>
      <c r="U36" s="49"/>
      <c r="V36" s="49"/>
      <c r="W36" s="49"/>
      <c r="X36" s="49"/>
      <c r="Y36" s="49"/>
      <c r="Z36" s="370"/>
      <c r="AA36" s="371"/>
      <c r="AB36" s="318"/>
      <c r="AC36" s="61"/>
      <c r="AD36" s="61"/>
      <c r="AE36" s="61"/>
    </row>
    <row r="37" spans="1:31" s="140" customFormat="1">
      <c r="A37" s="61" t="e">
        <f t="shared" si="0"/>
        <v>#VALUE!</v>
      </c>
      <c r="B37" s="375"/>
      <c r="C37" s="275" t="s">
        <v>39</v>
      </c>
      <c r="D37" s="137" t="str">
        <f>IF(OR(COUNTIF(E37:E40,"x")&gt;1,NOT(4-COUNTIF(E37:E40,"")=COUNTIF(E37:E40,"x"))),"ERROR","")</f>
        <v/>
      </c>
      <c r="E37" s="141"/>
      <c r="F37" s="140" t="e">
        <f t="shared" ref="F37:F40" si="7">VLOOKUP($A37,$A$236:$AB$1540,F$229,FALSE)</f>
        <v>#VALUE!</v>
      </c>
      <c r="Z37" s="368" t="s">
        <v>38</v>
      </c>
      <c r="AA37" s="371" t="e">
        <f t="shared" ref="AA37:AB40" si="8">VLOOKUP($A37,$A$236:$AB$1540,AA$229,FALSE)</f>
        <v>#VALUE!</v>
      </c>
      <c r="AB37" s="318" t="e">
        <f t="shared" si="8"/>
        <v>#VALUE!</v>
      </c>
      <c r="AC37" s="61"/>
      <c r="AD37" s="61"/>
      <c r="AE37" s="61"/>
    </row>
    <row r="38" spans="1:31" s="140" customFormat="1">
      <c r="A38" s="61" t="e">
        <f t="shared" si="0"/>
        <v>#VALUE!</v>
      </c>
      <c r="B38" s="375"/>
      <c r="C38" s="275" t="s">
        <v>41</v>
      </c>
      <c r="D38" s="140" t="s">
        <v>55</v>
      </c>
      <c r="E38" s="141"/>
      <c r="F38" s="140" t="e">
        <f t="shared" si="7"/>
        <v>#VALUE!</v>
      </c>
      <c r="Z38" s="368" t="s">
        <v>40</v>
      </c>
      <c r="AA38" s="371" t="e">
        <f t="shared" si="8"/>
        <v>#VALUE!</v>
      </c>
      <c r="AB38" s="318" t="e">
        <f t="shared" si="8"/>
        <v>#VALUE!</v>
      </c>
      <c r="AC38" s="61"/>
      <c r="AD38" s="61"/>
      <c r="AE38" s="61"/>
    </row>
    <row r="39" spans="1:31" s="140" customFormat="1">
      <c r="A39" s="61" t="e">
        <f t="shared" si="0"/>
        <v>#VALUE!</v>
      </c>
      <c r="B39" s="375"/>
      <c r="C39" s="275" t="s">
        <v>43</v>
      </c>
      <c r="D39" s="140" t="s">
        <v>55</v>
      </c>
      <c r="E39" s="141"/>
      <c r="F39" s="140" t="e">
        <f t="shared" si="7"/>
        <v>#VALUE!</v>
      </c>
      <c r="Z39" s="368" t="s">
        <v>42</v>
      </c>
      <c r="AA39" s="371" t="e">
        <f t="shared" si="8"/>
        <v>#VALUE!</v>
      </c>
      <c r="AB39" s="318" t="e">
        <f t="shared" si="8"/>
        <v>#VALUE!</v>
      </c>
      <c r="AC39" s="61"/>
      <c r="AD39" s="61"/>
      <c r="AE39" s="61"/>
    </row>
    <row r="40" spans="1:31" s="140" customFormat="1">
      <c r="A40" s="61" t="e">
        <f t="shared" si="0"/>
        <v>#VALUE!</v>
      </c>
      <c r="B40" s="375"/>
      <c r="C40" s="275" t="s">
        <v>45</v>
      </c>
      <c r="D40" s="140" t="s">
        <v>55</v>
      </c>
      <c r="E40" s="141"/>
      <c r="F40" s="42" t="e">
        <f t="shared" si="7"/>
        <v>#VALUE!</v>
      </c>
      <c r="Z40" s="368" t="s">
        <v>44</v>
      </c>
      <c r="AA40" s="371"/>
      <c r="AB40" s="318" t="e">
        <f t="shared" si="8"/>
        <v>#VALUE!</v>
      </c>
      <c r="AC40" s="61"/>
      <c r="AD40" s="61"/>
      <c r="AE40" s="61"/>
    </row>
    <row r="41" spans="1:31" s="140" customFormat="1">
      <c r="A41" s="61" t="e">
        <f t="shared" si="0"/>
        <v>#VALUE!</v>
      </c>
      <c r="B41" s="375"/>
      <c r="C41" s="275"/>
      <c r="Z41" s="368"/>
      <c r="AA41" s="371"/>
      <c r="AB41" s="318"/>
      <c r="AC41" s="61"/>
      <c r="AD41" s="61"/>
      <c r="AE41" s="61"/>
    </row>
    <row r="42" spans="1:31" s="140" customFormat="1">
      <c r="A42" s="61" t="e">
        <f t="shared" si="0"/>
        <v>#VALUE!</v>
      </c>
      <c r="B42" s="375"/>
      <c r="C42" s="275"/>
      <c r="D42" s="46">
        <v>5</v>
      </c>
      <c r="E42" s="46" t="e">
        <f>VLOOKUP($A42,$A$236:$AB$1540,E$229,FALSE)</f>
        <v>#VALUE!</v>
      </c>
      <c r="F42" s="47"/>
      <c r="G42" s="47"/>
      <c r="H42" s="47"/>
      <c r="I42" s="47"/>
      <c r="J42" s="47"/>
      <c r="K42" s="47"/>
      <c r="L42" s="47"/>
      <c r="M42" s="47"/>
      <c r="N42" s="47"/>
      <c r="O42" s="47"/>
      <c r="P42" s="47"/>
      <c r="Q42" s="47"/>
      <c r="R42" s="47"/>
      <c r="S42" s="47"/>
      <c r="T42" s="47"/>
      <c r="U42" s="47"/>
      <c r="V42" s="47"/>
      <c r="W42" s="47"/>
      <c r="X42" s="47"/>
      <c r="Y42" s="47"/>
      <c r="Z42" s="369" t="str">
        <f>IF(AND(COUNTIF(E44:E47,"")=3,COUNTIF(E44:E47,"x")=1),VLOOKUP("x",E44:Z47,22,FALSE),"")</f>
        <v/>
      </c>
      <c r="AA42" s="371"/>
      <c r="AB42" s="318"/>
      <c r="AC42" s="61"/>
      <c r="AD42" s="61"/>
      <c r="AE42" s="61"/>
    </row>
    <row r="43" spans="1:31" s="140" customFormat="1">
      <c r="A43" s="61" t="e">
        <f t="shared" si="0"/>
        <v>#VALUE!</v>
      </c>
      <c r="B43" s="375"/>
      <c r="C43" s="275"/>
      <c r="D43" s="29" t="e">
        <f>VLOOKUP(D42,$D$156:$E$175,2,FALSE)</f>
        <v>#VALUE!</v>
      </c>
      <c r="F43" s="43" t="str">
        <f>IF(OR(J43="",J43="ERROR"),"",IF(AND(COUNTIF(E44:E47,"")=3,COUNTIF(E44:E47,"x")=1,VLOOKUP(D42,$D$156:$E$175,2,FALSE)=Z42),"CORRECTO","INCORRECTO"))</f>
        <v/>
      </c>
      <c r="J43" s="48" t="str">
        <f>IF(OR(D44="ERROR",COUNTIF(E44:E47,"")=4,AND(NOT($U$2="x"),OR(NOT($V$168="x"),COUNTIF($N$156:$N$175,"")&gt;0))),"",IF(AND(COUNTIF(E44:E47,"")=3,COUNTIF(E44:E47,"x")=1),IF(COUNTIF(B44:B47,"+")=0,VLOOKUP("x",E44:AB47,24,FALSE),VLOOKUP(D43,Z44:AB47,3,FALSE)),"ERROR"))</f>
        <v/>
      </c>
      <c r="Z43" s="369"/>
      <c r="AA43" s="371"/>
      <c r="AB43" s="318"/>
      <c r="AC43" s="61"/>
      <c r="AD43" s="61"/>
      <c r="AE43" s="61"/>
    </row>
    <row r="44" spans="1:31" s="140" customFormat="1">
      <c r="A44" s="61" t="e">
        <f t="shared" si="0"/>
        <v>#VALUE!</v>
      </c>
      <c r="B44" s="375"/>
      <c r="C44" s="275" t="s">
        <v>39</v>
      </c>
      <c r="D44" s="137" t="str">
        <f>IF(OR(COUNTIF(E44:E47,"x")&gt;1,NOT(4-COUNTIF(E44:E47,"")=COUNTIF(E44:E47,"x"))),"ERROR","")</f>
        <v/>
      </c>
      <c r="E44" s="141"/>
      <c r="F44" s="140" t="e">
        <f t="shared" ref="F44:F47" si="9">VLOOKUP($A44,$A$236:$AB$1540,F$229,FALSE)</f>
        <v>#VALUE!</v>
      </c>
      <c r="Z44" s="368" t="s">
        <v>38</v>
      </c>
      <c r="AA44" s="371" t="e">
        <f t="shared" ref="AA44:AB47" si="10">VLOOKUP($A44,$A$236:$AB$1540,AA$229,FALSE)</f>
        <v>#VALUE!</v>
      </c>
      <c r="AB44" s="318" t="e">
        <f t="shared" si="10"/>
        <v>#VALUE!</v>
      </c>
      <c r="AC44" s="61"/>
      <c r="AD44" s="61"/>
      <c r="AE44" s="61"/>
    </row>
    <row r="45" spans="1:31" s="140" customFormat="1">
      <c r="A45" s="61" t="e">
        <f t="shared" si="0"/>
        <v>#VALUE!</v>
      </c>
      <c r="B45" s="375"/>
      <c r="C45" s="275" t="s">
        <v>41</v>
      </c>
      <c r="D45" s="140" t="s">
        <v>55</v>
      </c>
      <c r="E45" s="141"/>
      <c r="F45" s="140" t="e">
        <f t="shared" si="9"/>
        <v>#VALUE!</v>
      </c>
      <c r="Z45" s="368" t="s">
        <v>40</v>
      </c>
      <c r="AA45" s="371" t="e">
        <f t="shared" si="10"/>
        <v>#VALUE!</v>
      </c>
      <c r="AB45" s="318" t="e">
        <f t="shared" si="10"/>
        <v>#VALUE!</v>
      </c>
      <c r="AC45" s="61"/>
      <c r="AD45" s="61"/>
      <c r="AE45" s="61"/>
    </row>
    <row r="46" spans="1:31" s="140" customFormat="1">
      <c r="A46" s="61" t="e">
        <f t="shared" si="0"/>
        <v>#VALUE!</v>
      </c>
      <c r="B46" s="375"/>
      <c r="C46" s="275" t="s">
        <v>43</v>
      </c>
      <c r="D46" s="140" t="s">
        <v>55</v>
      </c>
      <c r="E46" s="141"/>
      <c r="F46" s="140" t="e">
        <f t="shared" si="9"/>
        <v>#VALUE!</v>
      </c>
      <c r="Z46" s="368" t="s">
        <v>42</v>
      </c>
      <c r="AA46" s="371" t="e">
        <f t="shared" si="10"/>
        <v>#VALUE!</v>
      </c>
      <c r="AB46" s="318" t="e">
        <f t="shared" si="10"/>
        <v>#VALUE!</v>
      </c>
      <c r="AC46" s="61"/>
      <c r="AD46" s="61"/>
      <c r="AE46" s="61"/>
    </row>
    <row r="47" spans="1:31" s="140" customFormat="1">
      <c r="A47" s="61" t="e">
        <f t="shared" si="0"/>
        <v>#VALUE!</v>
      </c>
      <c r="B47" s="375"/>
      <c r="C47" s="275" t="s">
        <v>45</v>
      </c>
      <c r="D47" s="140" t="s">
        <v>55</v>
      </c>
      <c r="E47" s="141"/>
      <c r="F47" s="42" t="e">
        <f t="shared" si="9"/>
        <v>#VALUE!</v>
      </c>
      <c r="Z47" s="368" t="s">
        <v>44</v>
      </c>
      <c r="AA47" s="371"/>
      <c r="AB47" s="318" t="e">
        <f t="shared" si="10"/>
        <v>#VALUE!</v>
      </c>
      <c r="AC47" s="61"/>
      <c r="AD47" s="61"/>
      <c r="AE47" s="61"/>
    </row>
    <row r="48" spans="1:31" s="140" customFormat="1">
      <c r="A48" s="61" t="e">
        <f t="shared" si="0"/>
        <v>#VALUE!</v>
      </c>
      <c r="B48" s="375"/>
      <c r="C48" s="275"/>
      <c r="Z48" s="368"/>
      <c r="AA48" s="371"/>
      <c r="AB48" s="318"/>
      <c r="AC48" s="61"/>
      <c r="AD48" s="61"/>
      <c r="AE48" s="61"/>
    </row>
    <row r="49" spans="1:31" s="140" customFormat="1">
      <c r="A49" s="61" t="e">
        <f t="shared" si="0"/>
        <v>#VALUE!</v>
      </c>
      <c r="B49" s="375"/>
      <c r="C49" s="275"/>
      <c r="D49" s="46">
        <v>6</v>
      </c>
      <c r="E49" s="46" t="e">
        <f>VLOOKUP($A49,$A$236:$AB$1540,E$229,FALSE)</f>
        <v>#VALUE!</v>
      </c>
      <c r="F49" s="47"/>
      <c r="G49" s="47"/>
      <c r="H49" s="47"/>
      <c r="I49" s="47"/>
      <c r="J49" s="47"/>
      <c r="K49" s="47"/>
      <c r="L49" s="47"/>
      <c r="M49" s="47"/>
      <c r="N49" s="47"/>
      <c r="O49" s="47"/>
      <c r="P49" s="47"/>
      <c r="Q49" s="47"/>
      <c r="R49" s="47"/>
      <c r="S49" s="47"/>
      <c r="T49" s="47"/>
      <c r="U49" s="47"/>
      <c r="V49" s="47"/>
      <c r="W49" s="47"/>
      <c r="X49" s="47"/>
      <c r="Y49" s="47"/>
      <c r="Z49" s="369" t="str">
        <f>IF(AND(COUNTIF(E51:E54,"")=3,COUNTIF(E51:E54,"x")=1),VLOOKUP("x",E51:Z54,22,FALSE),"")</f>
        <v/>
      </c>
      <c r="AA49" s="371"/>
      <c r="AB49" s="318"/>
      <c r="AC49" s="61"/>
      <c r="AD49" s="61"/>
      <c r="AE49" s="61"/>
    </row>
    <row r="50" spans="1:31" s="140" customFormat="1">
      <c r="A50" s="61" t="e">
        <f t="shared" si="0"/>
        <v>#VALUE!</v>
      </c>
      <c r="B50" s="375"/>
      <c r="C50" s="275"/>
      <c r="D50" s="29" t="e">
        <f>VLOOKUP(D49,$D$156:$E$175,2,FALSE)</f>
        <v>#VALUE!</v>
      </c>
      <c r="F50" s="43" t="str">
        <f>IF(OR(J50="",J50="ERROR"),"",IF(AND(COUNTIF(E51:E54,"")=3,COUNTIF(E51:E54,"x")=1,VLOOKUP(D49,$D$156:$E$175,2,FALSE)=Z49),"CORRECTO","INCORRECTO"))</f>
        <v/>
      </c>
      <c r="J50" s="48" t="str">
        <f>IF(OR(D51="ERROR",COUNTIF(E51:E54,"")=4,AND(NOT($U$2="x"),OR(NOT($V$168="x"),COUNTIF($N$156:$N$175,"")&gt;0))),"",IF(AND(COUNTIF(E51:E54,"")=3,COUNTIF(E51:E54,"x")=1),IF(COUNTIF(B51:B54,"+")=0,VLOOKUP("x",E51:AB54,24,FALSE),VLOOKUP(D50,Z51:AB54,3,FALSE)),"ERROR"))</f>
        <v/>
      </c>
      <c r="Z50" s="369"/>
      <c r="AA50" s="371"/>
      <c r="AB50" s="318"/>
      <c r="AC50" s="61"/>
      <c r="AD50" s="61"/>
      <c r="AE50" s="61"/>
    </row>
    <row r="51" spans="1:31" s="140" customFormat="1">
      <c r="A51" s="61" t="e">
        <f t="shared" si="0"/>
        <v>#VALUE!</v>
      </c>
      <c r="B51" s="375"/>
      <c r="C51" s="275" t="s">
        <v>39</v>
      </c>
      <c r="D51" s="137" t="str">
        <f>IF(OR(COUNTIF(E51:E54,"x")&gt;1,NOT(4-COUNTIF(E51:E54,"")=COUNTIF(E51:E54,"x"))),"ERROR","")</f>
        <v/>
      </c>
      <c r="E51" s="141"/>
      <c r="F51" s="140" t="e">
        <f t="shared" ref="F51:F54" si="11">VLOOKUP($A51,$A$236:$AB$1540,F$229,FALSE)</f>
        <v>#VALUE!</v>
      </c>
      <c r="Z51" s="368" t="s">
        <v>38</v>
      </c>
      <c r="AA51" s="371" t="e">
        <f t="shared" ref="AA51:AB54" si="12">VLOOKUP($A51,$A$236:$AB$1540,AA$229,FALSE)</f>
        <v>#VALUE!</v>
      </c>
      <c r="AB51" s="318" t="e">
        <f t="shared" si="12"/>
        <v>#VALUE!</v>
      </c>
      <c r="AC51" s="61"/>
      <c r="AD51" s="61"/>
      <c r="AE51" s="61"/>
    </row>
    <row r="52" spans="1:31" s="140" customFormat="1">
      <c r="A52" s="61" t="e">
        <f t="shared" si="0"/>
        <v>#VALUE!</v>
      </c>
      <c r="B52" s="375"/>
      <c r="C52" s="275" t="s">
        <v>41</v>
      </c>
      <c r="D52" s="140" t="s">
        <v>55</v>
      </c>
      <c r="E52" s="141"/>
      <c r="F52" s="140" t="e">
        <f t="shared" si="11"/>
        <v>#VALUE!</v>
      </c>
      <c r="Z52" s="368" t="s">
        <v>40</v>
      </c>
      <c r="AA52" s="371" t="e">
        <f t="shared" si="12"/>
        <v>#VALUE!</v>
      </c>
      <c r="AB52" s="318" t="e">
        <f t="shared" si="12"/>
        <v>#VALUE!</v>
      </c>
      <c r="AC52" s="61"/>
      <c r="AD52" s="61"/>
      <c r="AE52" s="61"/>
    </row>
    <row r="53" spans="1:31" s="140" customFormat="1">
      <c r="A53" s="61" t="e">
        <f t="shared" si="0"/>
        <v>#VALUE!</v>
      </c>
      <c r="B53" s="375"/>
      <c r="C53" s="275" t="s">
        <v>43</v>
      </c>
      <c r="D53" s="140" t="s">
        <v>55</v>
      </c>
      <c r="E53" s="141"/>
      <c r="F53" s="140" t="e">
        <f t="shared" si="11"/>
        <v>#VALUE!</v>
      </c>
      <c r="Z53" s="368" t="s">
        <v>42</v>
      </c>
      <c r="AA53" s="371" t="e">
        <f t="shared" si="12"/>
        <v>#VALUE!</v>
      </c>
      <c r="AB53" s="318" t="e">
        <f t="shared" si="12"/>
        <v>#VALUE!</v>
      </c>
      <c r="AC53" s="61"/>
      <c r="AD53" s="61"/>
      <c r="AE53" s="61"/>
    </row>
    <row r="54" spans="1:31" s="140" customFormat="1">
      <c r="A54" s="61" t="e">
        <f t="shared" si="0"/>
        <v>#VALUE!</v>
      </c>
      <c r="B54" s="375"/>
      <c r="C54" s="275" t="s">
        <v>45</v>
      </c>
      <c r="D54" s="140" t="s">
        <v>55</v>
      </c>
      <c r="E54" s="141"/>
      <c r="F54" s="140" t="e">
        <f t="shared" si="11"/>
        <v>#VALUE!</v>
      </c>
      <c r="Z54" s="368" t="s">
        <v>44</v>
      </c>
      <c r="AA54" s="371" t="e">
        <f t="shared" si="12"/>
        <v>#VALUE!</v>
      </c>
      <c r="AB54" s="318" t="e">
        <f t="shared" si="12"/>
        <v>#VALUE!</v>
      </c>
      <c r="AC54" s="61"/>
      <c r="AD54" s="61"/>
      <c r="AE54" s="61"/>
    </row>
    <row r="55" spans="1:31" s="140" customFormat="1">
      <c r="A55" s="61" t="e">
        <f t="shared" si="0"/>
        <v>#VALUE!</v>
      </c>
      <c r="B55" s="375"/>
      <c r="C55" s="275"/>
      <c r="Z55" s="368"/>
      <c r="AA55" s="371"/>
      <c r="AB55" s="318"/>
      <c r="AC55" s="61"/>
      <c r="AD55" s="61"/>
      <c r="AE55" s="61"/>
    </row>
    <row r="56" spans="1:31" s="140" customFormat="1">
      <c r="A56" s="61" t="e">
        <f t="shared" si="0"/>
        <v>#VALUE!</v>
      </c>
      <c r="B56" s="375"/>
      <c r="C56" s="275"/>
      <c r="D56" s="46">
        <v>7</v>
      </c>
      <c r="E56" s="46" t="e">
        <f>VLOOKUP($A56,$A$236:$AB$1540,E$229,FALSE)</f>
        <v>#VALUE!</v>
      </c>
      <c r="F56" s="47"/>
      <c r="G56" s="47"/>
      <c r="H56" s="47"/>
      <c r="I56" s="47"/>
      <c r="J56" s="47"/>
      <c r="K56" s="47"/>
      <c r="L56" s="47"/>
      <c r="M56" s="47"/>
      <c r="N56" s="47"/>
      <c r="O56" s="47"/>
      <c r="P56" s="47"/>
      <c r="Q56" s="47"/>
      <c r="R56" s="47"/>
      <c r="S56" s="47"/>
      <c r="T56" s="47"/>
      <c r="U56" s="47"/>
      <c r="V56" s="47"/>
      <c r="W56" s="47"/>
      <c r="X56" s="47"/>
      <c r="Y56" s="47"/>
      <c r="Z56" s="369" t="str">
        <f>IF(AND(COUNTIF(E58:E61,"")=3,COUNTIF(E58:E61,"x")=1),VLOOKUP("x",E58:Z61,22,FALSE),"")</f>
        <v/>
      </c>
      <c r="AA56" s="371"/>
      <c r="AB56" s="318"/>
      <c r="AC56" s="61"/>
      <c r="AD56" s="61"/>
      <c r="AE56" s="61"/>
    </row>
    <row r="57" spans="1:31" s="140" customFormat="1">
      <c r="A57" s="61" t="e">
        <f t="shared" si="0"/>
        <v>#VALUE!</v>
      </c>
      <c r="B57" s="375"/>
      <c r="C57" s="275"/>
      <c r="D57" s="29" t="e">
        <f>VLOOKUP(D56,$D$156:$E$175,2,FALSE)</f>
        <v>#VALUE!</v>
      </c>
      <c r="F57" s="43" t="str">
        <f>IF(OR(J57="",J57="ERROR"),"",IF(AND(COUNTIF(E58:E61,"")=3,COUNTIF(E58:E61,"x")=1,VLOOKUP(D56,$D$156:$E$175,2,FALSE)=Z56),"CORRECTO","INCORRECTO"))</f>
        <v/>
      </c>
      <c r="J57" s="48" t="str">
        <f>IF(OR(D58="ERROR",COUNTIF(E58:E61,"")=4,AND(NOT($U$2="x"),OR(NOT($V$168="x"),COUNTIF($N$156:$N$175,"")&gt;0))),"",IF(AND(COUNTIF(E58:E61,"")=3,COUNTIF(E58:E61,"x")=1),IF(COUNTIF(B58:B61,"+")=0,VLOOKUP("x",E58:AB61,24,FALSE),VLOOKUP(D57,Z58:AB61,3,FALSE)),"ERROR"))</f>
        <v/>
      </c>
      <c r="Z57" s="369"/>
      <c r="AA57" s="371"/>
      <c r="AB57" s="318"/>
      <c r="AC57" s="61"/>
      <c r="AD57" s="61"/>
      <c r="AE57" s="61"/>
    </row>
    <row r="58" spans="1:31" s="140" customFormat="1">
      <c r="A58" s="61" t="e">
        <f t="shared" si="0"/>
        <v>#VALUE!</v>
      </c>
      <c r="B58" s="375"/>
      <c r="C58" s="275" t="s">
        <v>39</v>
      </c>
      <c r="D58" s="137" t="str">
        <f>IF(OR(COUNTIF(E58:E61,"x")&gt;1,NOT(4-COUNTIF(E58:E61,"")=COUNTIF(E58:E61,"x"))),"ERROR","")</f>
        <v/>
      </c>
      <c r="E58" s="141"/>
      <c r="F58" s="140" t="e">
        <f t="shared" ref="F58:F61" si="13">VLOOKUP($A58,$A$236:$AB$1540,F$229,FALSE)</f>
        <v>#VALUE!</v>
      </c>
      <c r="Z58" s="368" t="s">
        <v>38</v>
      </c>
      <c r="AA58" s="371" t="e">
        <f t="shared" ref="AA58:AB61" si="14">VLOOKUP($A58,$A$236:$AB$1540,AA$229,FALSE)</f>
        <v>#VALUE!</v>
      </c>
      <c r="AB58" s="318" t="e">
        <f t="shared" si="14"/>
        <v>#VALUE!</v>
      </c>
      <c r="AC58" s="61"/>
      <c r="AD58" s="61"/>
      <c r="AE58" s="61"/>
    </row>
    <row r="59" spans="1:31" s="140" customFormat="1">
      <c r="A59" s="61" t="e">
        <f t="shared" si="0"/>
        <v>#VALUE!</v>
      </c>
      <c r="B59" s="375"/>
      <c r="C59" s="275" t="s">
        <v>41</v>
      </c>
      <c r="D59" s="140" t="s">
        <v>55</v>
      </c>
      <c r="E59" s="141"/>
      <c r="F59" s="140" t="e">
        <f t="shared" si="13"/>
        <v>#VALUE!</v>
      </c>
      <c r="Z59" s="368" t="s">
        <v>40</v>
      </c>
      <c r="AA59" s="371" t="e">
        <f t="shared" si="14"/>
        <v>#VALUE!</v>
      </c>
      <c r="AB59" s="318" t="e">
        <f t="shared" si="14"/>
        <v>#VALUE!</v>
      </c>
      <c r="AC59" s="61"/>
      <c r="AD59" s="61"/>
      <c r="AE59" s="61"/>
    </row>
    <row r="60" spans="1:31" s="140" customFormat="1">
      <c r="A60" s="61" t="e">
        <f t="shared" si="0"/>
        <v>#VALUE!</v>
      </c>
      <c r="B60" s="375"/>
      <c r="C60" s="275" t="s">
        <v>43</v>
      </c>
      <c r="D60" s="140" t="s">
        <v>55</v>
      </c>
      <c r="E60" s="141"/>
      <c r="F60" s="140" t="e">
        <f t="shared" si="13"/>
        <v>#VALUE!</v>
      </c>
      <c r="Z60" s="368" t="s">
        <v>42</v>
      </c>
      <c r="AA60" s="371" t="e">
        <f t="shared" si="14"/>
        <v>#VALUE!</v>
      </c>
      <c r="AB60" s="318" t="e">
        <f t="shared" si="14"/>
        <v>#VALUE!</v>
      </c>
      <c r="AC60" s="61"/>
      <c r="AD60" s="61"/>
      <c r="AE60" s="61"/>
    </row>
    <row r="61" spans="1:31" s="140" customFormat="1">
      <c r="A61" s="61" t="e">
        <f t="shared" si="0"/>
        <v>#VALUE!</v>
      </c>
      <c r="B61" s="375"/>
      <c r="C61" s="275" t="s">
        <v>45</v>
      </c>
      <c r="D61" s="140" t="s">
        <v>55</v>
      </c>
      <c r="E61" s="141"/>
      <c r="F61" s="140" t="e">
        <f t="shared" si="13"/>
        <v>#VALUE!</v>
      </c>
      <c r="Z61" s="368" t="s">
        <v>44</v>
      </c>
      <c r="AA61" s="371" t="e">
        <f t="shared" si="14"/>
        <v>#VALUE!</v>
      </c>
      <c r="AB61" s="318" t="e">
        <f t="shared" si="14"/>
        <v>#VALUE!</v>
      </c>
      <c r="AC61" s="61"/>
      <c r="AD61" s="61"/>
      <c r="AE61" s="61"/>
    </row>
    <row r="62" spans="1:31" s="140" customFormat="1">
      <c r="A62" s="61" t="e">
        <f t="shared" si="0"/>
        <v>#VALUE!</v>
      </c>
      <c r="B62" s="375"/>
      <c r="C62" s="275"/>
      <c r="Z62" s="368"/>
      <c r="AA62" s="371"/>
      <c r="AB62" s="318"/>
      <c r="AC62" s="61"/>
      <c r="AD62" s="61"/>
      <c r="AE62" s="61"/>
    </row>
    <row r="63" spans="1:31" s="140" customFormat="1">
      <c r="A63" s="61" t="e">
        <f t="shared" si="0"/>
        <v>#VALUE!</v>
      </c>
      <c r="B63" s="375"/>
      <c r="C63" s="275"/>
      <c r="D63" s="46">
        <v>8</v>
      </c>
      <c r="E63" s="46" t="e">
        <f>VLOOKUP($A63,$A$236:$AB$1540,E$229,FALSE)</f>
        <v>#VALUE!</v>
      </c>
      <c r="F63" s="47"/>
      <c r="G63" s="47"/>
      <c r="H63" s="47"/>
      <c r="I63" s="47"/>
      <c r="J63" s="47"/>
      <c r="K63" s="47"/>
      <c r="L63" s="47"/>
      <c r="M63" s="47"/>
      <c r="N63" s="47"/>
      <c r="O63" s="47"/>
      <c r="P63" s="47"/>
      <c r="Q63" s="47"/>
      <c r="R63" s="47"/>
      <c r="S63" s="47"/>
      <c r="T63" s="47"/>
      <c r="U63" s="47"/>
      <c r="V63" s="47"/>
      <c r="W63" s="47"/>
      <c r="X63" s="47"/>
      <c r="Y63" s="47"/>
      <c r="Z63" s="369" t="str">
        <f>IF(AND(COUNTIF(E65:E68,"")=3,COUNTIF(E65:E68,"x")=1),VLOOKUP("x",E65:Z68,22,FALSE),"")</f>
        <v/>
      </c>
      <c r="AA63" s="371"/>
      <c r="AB63" s="318"/>
      <c r="AC63" s="61"/>
      <c r="AD63" s="61"/>
      <c r="AE63" s="61"/>
    </row>
    <row r="64" spans="1:31" s="140" customFormat="1">
      <c r="A64" s="61" t="e">
        <f t="shared" si="0"/>
        <v>#VALUE!</v>
      </c>
      <c r="B64" s="375"/>
      <c r="C64" s="275"/>
      <c r="D64" s="29" t="e">
        <f>VLOOKUP(D63,$D$156:$E$175,2,FALSE)</f>
        <v>#VALUE!</v>
      </c>
      <c r="F64" s="43" t="str">
        <f>IF(OR(J64="",J64="ERROR"),"",IF(AND(COUNTIF(E65:E68,"")=3,COUNTIF(E65:E68,"x")=1,VLOOKUP(D63,$D$156:$E$175,2,FALSE)=Z63),"CORRECTO","INCORRECTO"))</f>
        <v/>
      </c>
      <c r="J64" s="48" t="str">
        <f>IF(OR(D65="ERROR",COUNTIF(E65:E68,"")=4,AND(NOT($U$2="x"),OR(NOT($V$168="x"),COUNTIF($N$156:$N$175,"")&gt;0))),"",IF(AND(COUNTIF(E65:E68,"")=3,COUNTIF(E65:E68,"x")=1),IF(COUNTIF(B65:B68,"+")=0,VLOOKUP("x",E65:AB68,24,FALSE),VLOOKUP(D64,Z65:AB68,3,FALSE)),"ERROR"))</f>
        <v/>
      </c>
      <c r="Z64" s="369"/>
      <c r="AA64" s="371"/>
      <c r="AB64" s="318"/>
      <c r="AC64" s="61"/>
      <c r="AD64" s="61"/>
      <c r="AE64" s="61"/>
    </row>
    <row r="65" spans="1:31" s="140" customFormat="1">
      <c r="A65" s="61" t="e">
        <f t="shared" si="0"/>
        <v>#VALUE!</v>
      </c>
      <c r="B65" s="375"/>
      <c r="C65" s="275" t="s">
        <v>39</v>
      </c>
      <c r="D65" s="137" t="str">
        <f>IF(OR(COUNTIF(E65:E68,"x")&gt;1,NOT(4-COUNTIF(E65:E68,"")=COUNTIF(E65:E68,"x"))),"ERROR","")</f>
        <v/>
      </c>
      <c r="E65" s="141"/>
      <c r="F65" s="140" t="e">
        <f t="shared" ref="F65:F68" si="15">VLOOKUP($A65,$A$236:$AB$1540,F$229,FALSE)</f>
        <v>#VALUE!</v>
      </c>
      <c r="Z65" s="368" t="s">
        <v>38</v>
      </c>
      <c r="AA65" s="371" t="e">
        <f t="shared" ref="AA65:AB68" si="16">VLOOKUP($A65,$A$236:$AB$1540,AA$229,FALSE)</f>
        <v>#VALUE!</v>
      </c>
      <c r="AB65" s="318" t="e">
        <f t="shared" si="16"/>
        <v>#VALUE!</v>
      </c>
      <c r="AC65" s="61"/>
      <c r="AD65" s="61"/>
      <c r="AE65" s="61"/>
    </row>
    <row r="66" spans="1:31" s="140" customFormat="1">
      <c r="A66" s="61" t="e">
        <f t="shared" si="0"/>
        <v>#VALUE!</v>
      </c>
      <c r="B66" s="375"/>
      <c r="C66" s="275" t="s">
        <v>41</v>
      </c>
      <c r="D66" s="140" t="s">
        <v>55</v>
      </c>
      <c r="E66" s="141"/>
      <c r="F66" s="140" t="e">
        <f t="shared" si="15"/>
        <v>#VALUE!</v>
      </c>
      <c r="Z66" s="368" t="s">
        <v>40</v>
      </c>
      <c r="AA66" s="371" t="e">
        <f t="shared" si="16"/>
        <v>#VALUE!</v>
      </c>
      <c r="AB66" s="318" t="e">
        <f t="shared" si="16"/>
        <v>#VALUE!</v>
      </c>
      <c r="AC66" s="61"/>
      <c r="AD66" s="61"/>
      <c r="AE66" s="61"/>
    </row>
    <row r="67" spans="1:31" s="140" customFormat="1">
      <c r="A67" s="61" t="e">
        <f t="shared" si="0"/>
        <v>#VALUE!</v>
      </c>
      <c r="B67" s="375"/>
      <c r="C67" s="275" t="s">
        <v>43</v>
      </c>
      <c r="D67" s="140" t="s">
        <v>55</v>
      </c>
      <c r="E67" s="141"/>
      <c r="F67" s="140" t="e">
        <f t="shared" si="15"/>
        <v>#VALUE!</v>
      </c>
      <c r="Z67" s="368" t="s">
        <v>42</v>
      </c>
      <c r="AA67" s="371" t="e">
        <f t="shared" si="16"/>
        <v>#VALUE!</v>
      </c>
      <c r="AB67" s="318" t="e">
        <f t="shared" si="16"/>
        <v>#VALUE!</v>
      </c>
      <c r="AC67" s="61"/>
      <c r="AD67" s="61"/>
      <c r="AE67" s="61"/>
    </row>
    <row r="68" spans="1:31" s="140" customFormat="1">
      <c r="A68" s="61" t="e">
        <f t="shared" si="0"/>
        <v>#VALUE!</v>
      </c>
      <c r="B68" s="375"/>
      <c r="C68" s="275" t="s">
        <v>45</v>
      </c>
      <c r="D68" s="140" t="s">
        <v>55</v>
      </c>
      <c r="E68" s="141"/>
      <c r="F68" s="140" t="e">
        <f t="shared" si="15"/>
        <v>#VALUE!</v>
      </c>
      <c r="Z68" s="368" t="s">
        <v>44</v>
      </c>
      <c r="AA68" s="371" t="e">
        <f t="shared" si="16"/>
        <v>#VALUE!</v>
      </c>
      <c r="AB68" s="318" t="e">
        <f t="shared" si="16"/>
        <v>#VALUE!</v>
      </c>
      <c r="AC68" s="61"/>
      <c r="AD68" s="61"/>
      <c r="AE68" s="61"/>
    </row>
    <row r="69" spans="1:31" s="140" customFormat="1">
      <c r="A69" s="61" t="e">
        <f t="shared" si="0"/>
        <v>#VALUE!</v>
      </c>
      <c r="B69" s="375"/>
      <c r="C69" s="275"/>
      <c r="Z69" s="368"/>
      <c r="AA69" s="371"/>
      <c r="AB69" s="318"/>
      <c r="AC69" s="61"/>
      <c r="AD69" s="61"/>
      <c r="AE69" s="61"/>
    </row>
    <row r="70" spans="1:31" s="140" customFormat="1">
      <c r="A70" s="61" t="e">
        <f t="shared" si="0"/>
        <v>#VALUE!</v>
      </c>
      <c r="B70" s="375"/>
      <c r="C70" s="275"/>
      <c r="D70" s="46">
        <v>9</v>
      </c>
      <c r="E70" s="46" t="e">
        <f>VLOOKUP($A70,$A$236:$AB$1540,E$229,FALSE)</f>
        <v>#VALUE!</v>
      </c>
      <c r="F70" s="47"/>
      <c r="G70" s="47"/>
      <c r="H70" s="47"/>
      <c r="I70" s="47"/>
      <c r="J70" s="47"/>
      <c r="K70" s="47"/>
      <c r="L70" s="47"/>
      <c r="M70" s="47"/>
      <c r="N70" s="47"/>
      <c r="O70" s="47"/>
      <c r="P70" s="47"/>
      <c r="Q70" s="47"/>
      <c r="R70" s="47"/>
      <c r="S70" s="47"/>
      <c r="T70" s="47"/>
      <c r="U70" s="47"/>
      <c r="V70" s="47"/>
      <c r="W70" s="47"/>
      <c r="X70" s="47"/>
      <c r="Y70" s="47"/>
      <c r="Z70" s="369" t="str">
        <f>IF(AND(COUNTIF(E72:E75,"")=3,COUNTIF(E72:E75,"x")=1),VLOOKUP("x",E72:Z75,22,FALSE),"")</f>
        <v/>
      </c>
      <c r="AA70" s="371"/>
      <c r="AB70" s="318"/>
      <c r="AC70" s="61"/>
      <c r="AD70" s="61"/>
      <c r="AE70" s="61"/>
    </row>
    <row r="71" spans="1:31" s="140" customFormat="1">
      <c r="A71" s="61" t="e">
        <f t="shared" si="0"/>
        <v>#VALUE!</v>
      </c>
      <c r="B71" s="375"/>
      <c r="C71" s="275"/>
      <c r="D71" s="29" t="e">
        <f>VLOOKUP(D70,$D$156:$E$175,2,FALSE)</f>
        <v>#VALUE!</v>
      </c>
      <c r="F71" s="43" t="str">
        <f>IF(OR(J71="",J71="ERROR"),"",IF(AND(COUNTIF(E72:E75,"")=3,COUNTIF(E72:E75,"x")=1,VLOOKUP(D70,$D$156:$E$175,2,FALSE)=Z70),"CORRECTO","INCORRECTO"))</f>
        <v/>
      </c>
      <c r="J71" s="48" t="str">
        <f>IF(OR(D72="ERROR",COUNTIF(E72:E75,"")=4,AND(NOT($U$2="x"),OR(NOT($V$168="x"),COUNTIF($N$156:$N$175,"")&gt;0))),"",IF(AND(COUNTIF(E72:E75,"")=3,COUNTIF(E72:E75,"x")=1),IF(COUNTIF(B72:B75,"+")=0,VLOOKUP("x",E72:AB75,24,FALSE),VLOOKUP(D71,Z72:AB75,3,FALSE)),"ERROR"))</f>
        <v/>
      </c>
      <c r="Z71" s="369"/>
      <c r="AA71" s="371"/>
      <c r="AB71" s="318"/>
      <c r="AC71" s="61"/>
      <c r="AD71" s="61"/>
      <c r="AE71" s="61"/>
    </row>
    <row r="72" spans="1:31" s="140" customFormat="1">
      <c r="A72" s="61" t="e">
        <f t="shared" si="0"/>
        <v>#VALUE!</v>
      </c>
      <c r="B72" s="375"/>
      <c r="C72" s="275" t="s">
        <v>39</v>
      </c>
      <c r="D72" s="137" t="str">
        <f>IF(OR(COUNTIF(E72:E75,"x")&gt;1,NOT(4-COUNTIF(E72:E75,"")=COUNTIF(E72:E75,"x"))),"ERROR","")</f>
        <v/>
      </c>
      <c r="E72" s="141"/>
      <c r="F72" s="140" t="e">
        <f t="shared" ref="F72:F75" si="17">VLOOKUP($A72,$A$236:$AB$1540,F$229,FALSE)</f>
        <v>#VALUE!</v>
      </c>
      <c r="Z72" s="368" t="s">
        <v>38</v>
      </c>
      <c r="AA72" s="371" t="e">
        <f t="shared" ref="AA72:AB75" si="18">VLOOKUP($A72,$A$236:$AB$1540,AA$229,FALSE)</f>
        <v>#VALUE!</v>
      </c>
      <c r="AB72" s="318" t="e">
        <f t="shared" si="18"/>
        <v>#VALUE!</v>
      </c>
      <c r="AC72" s="61"/>
      <c r="AD72" s="61"/>
      <c r="AE72" s="61"/>
    </row>
    <row r="73" spans="1:31" s="140" customFormat="1">
      <c r="A73" s="61" t="e">
        <f t="shared" si="0"/>
        <v>#VALUE!</v>
      </c>
      <c r="B73" s="375"/>
      <c r="C73" s="275" t="s">
        <v>41</v>
      </c>
      <c r="D73" s="140" t="s">
        <v>55</v>
      </c>
      <c r="E73" s="141"/>
      <c r="F73" s="140" t="e">
        <f t="shared" si="17"/>
        <v>#VALUE!</v>
      </c>
      <c r="Z73" s="368" t="s">
        <v>40</v>
      </c>
      <c r="AA73" s="371" t="e">
        <f t="shared" si="18"/>
        <v>#VALUE!</v>
      </c>
      <c r="AB73" s="318" t="e">
        <f t="shared" si="18"/>
        <v>#VALUE!</v>
      </c>
      <c r="AC73" s="61"/>
      <c r="AD73" s="61"/>
      <c r="AE73" s="61"/>
    </row>
    <row r="74" spans="1:31" s="140" customFormat="1">
      <c r="A74" s="61" t="e">
        <f t="shared" si="0"/>
        <v>#VALUE!</v>
      </c>
      <c r="B74" s="375"/>
      <c r="C74" s="275" t="s">
        <v>43</v>
      </c>
      <c r="D74" s="140" t="s">
        <v>55</v>
      </c>
      <c r="E74" s="141"/>
      <c r="F74" s="140" t="e">
        <f t="shared" si="17"/>
        <v>#VALUE!</v>
      </c>
      <c r="Z74" s="368" t="s">
        <v>42</v>
      </c>
      <c r="AA74" s="371" t="e">
        <f t="shared" si="18"/>
        <v>#VALUE!</v>
      </c>
      <c r="AB74" s="318" t="e">
        <f t="shared" si="18"/>
        <v>#VALUE!</v>
      </c>
      <c r="AC74" s="61"/>
      <c r="AD74" s="61"/>
      <c r="AE74" s="61"/>
    </row>
    <row r="75" spans="1:31" s="140" customFormat="1">
      <c r="A75" s="61" t="e">
        <f t="shared" si="0"/>
        <v>#VALUE!</v>
      </c>
      <c r="B75" s="375"/>
      <c r="C75" s="275" t="s">
        <v>45</v>
      </c>
      <c r="D75" s="140" t="s">
        <v>55</v>
      </c>
      <c r="E75" s="141"/>
      <c r="F75" s="140" t="e">
        <f t="shared" si="17"/>
        <v>#VALUE!</v>
      </c>
      <c r="Z75" s="368" t="s">
        <v>44</v>
      </c>
      <c r="AA75" s="371" t="e">
        <f t="shared" si="18"/>
        <v>#VALUE!</v>
      </c>
      <c r="AB75" s="318" t="e">
        <f t="shared" si="18"/>
        <v>#VALUE!</v>
      </c>
      <c r="AC75" s="61"/>
      <c r="AD75" s="61"/>
      <c r="AE75" s="61"/>
    </row>
    <row r="76" spans="1:31" s="140" customFormat="1">
      <c r="A76" s="61" t="e">
        <f t="shared" si="0"/>
        <v>#VALUE!</v>
      </c>
      <c r="B76" s="375"/>
      <c r="C76" s="275"/>
      <c r="Z76" s="368"/>
      <c r="AA76" s="371"/>
      <c r="AB76" s="318"/>
      <c r="AC76" s="61"/>
      <c r="AD76" s="61"/>
      <c r="AE76" s="61"/>
    </row>
    <row r="77" spans="1:31" s="140" customFormat="1">
      <c r="A77" s="61" t="e">
        <f t="shared" si="0"/>
        <v>#VALUE!</v>
      </c>
      <c r="B77" s="375"/>
      <c r="C77" s="275"/>
      <c r="D77" s="46">
        <v>10</v>
      </c>
      <c r="E77" s="46" t="e">
        <f>VLOOKUP($A77,$A$236:$AB$1540,E$229,FALSE)</f>
        <v>#VALUE!</v>
      </c>
      <c r="F77" s="47"/>
      <c r="G77" s="47"/>
      <c r="H77" s="47"/>
      <c r="I77" s="47"/>
      <c r="J77" s="47"/>
      <c r="K77" s="47"/>
      <c r="L77" s="47"/>
      <c r="M77" s="47"/>
      <c r="N77" s="47"/>
      <c r="O77" s="47"/>
      <c r="P77" s="47"/>
      <c r="Q77" s="47"/>
      <c r="R77" s="47"/>
      <c r="S77" s="47"/>
      <c r="T77" s="47"/>
      <c r="U77" s="47"/>
      <c r="V77" s="47"/>
      <c r="W77" s="47"/>
      <c r="X77" s="47"/>
      <c r="Y77" s="47"/>
      <c r="Z77" s="369" t="str">
        <f>IF(AND(COUNTIF(E79:E82,"")=3,COUNTIF(E79:E82,"x")=1),VLOOKUP("x",E79:Z82,22,FALSE),"")</f>
        <v/>
      </c>
      <c r="AA77" s="371"/>
      <c r="AB77" s="318"/>
      <c r="AC77" s="61"/>
      <c r="AD77" s="61"/>
      <c r="AE77" s="61"/>
    </row>
    <row r="78" spans="1:31" s="140" customFormat="1">
      <c r="A78" s="61" t="e">
        <f t="shared" si="0"/>
        <v>#VALUE!</v>
      </c>
      <c r="B78" s="375"/>
      <c r="C78" s="275"/>
      <c r="D78" s="29" t="e">
        <f>VLOOKUP(D77,$D$156:$E$175,2,FALSE)</f>
        <v>#VALUE!</v>
      </c>
      <c r="F78" s="43" t="str">
        <f>IF(OR(J78="",J78="ERROR"),"",IF(AND(COUNTIF(E79:E82,"")=3,COUNTIF(E79:E82,"x")=1,VLOOKUP(D77,$D$156:$E$175,2,FALSE)=Z77),"CORRECTO","INCORRECTO"))</f>
        <v/>
      </c>
      <c r="J78" s="48" t="str">
        <f>IF(OR(D79="ERROR",COUNTIF(E79:E82,"")=4,AND(NOT($U$2="x"),OR(NOT($V$168="x"),COUNTIF($N$156:$N$175,"")&gt;0))),"",IF(AND(COUNTIF(E79:E82,"")=3,COUNTIF(E79:E82,"x")=1),IF(COUNTIF(B79:B82,"+")=0,VLOOKUP("x",E79:AB82,24,FALSE),VLOOKUP(D78,Z79:AB82,3,FALSE)),"ERROR"))</f>
        <v/>
      </c>
      <c r="Z78" s="369"/>
      <c r="AA78" s="371"/>
      <c r="AB78" s="318"/>
      <c r="AC78" s="61"/>
      <c r="AD78" s="61"/>
      <c r="AE78" s="61"/>
    </row>
    <row r="79" spans="1:31" s="140" customFormat="1">
      <c r="A79" s="61" t="e">
        <f t="shared" si="0"/>
        <v>#VALUE!</v>
      </c>
      <c r="B79" s="375"/>
      <c r="C79" s="275" t="s">
        <v>39</v>
      </c>
      <c r="D79" s="137" t="str">
        <f>IF(OR(COUNTIF(E79:E82,"x")&gt;1,NOT(4-COUNTIF(E79:E82,"")=COUNTIF(E79:E82,"x"))),"ERROR","")</f>
        <v/>
      </c>
      <c r="E79" s="141"/>
      <c r="F79" s="140" t="e">
        <f t="shared" ref="F79:F82" si="19">VLOOKUP($A79,$A$236:$AB$1540,F$229,FALSE)</f>
        <v>#VALUE!</v>
      </c>
      <c r="Z79" s="368" t="s">
        <v>38</v>
      </c>
      <c r="AA79" s="371" t="e">
        <f t="shared" ref="AA79:AB82" si="20">VLOOKUP($A79,$A$236:$AB$1540,AA$229,FALSE)</f>
        <v>#VALUE!</v>
      </c>
      <c r="AB79" s="318" t="e">
        <f t="shared" si="20"/>
        <v>#VALUE!</v>
      </c>
      <c r="AC79" s="61"/>
      <c r="AD79" s="61"/>
      <c r="AE79" s="61"/>
    </row>
    <row r="80" spans="1:31" s="140" customFormat="1">
      <c r="A80" s="61" t="e">
        <f t="shared" ref="A80:A143" si="21">1+A79</f>
        <v>#VALUE!</v>
      </c>
      <c r="B80" s="375"/>
      <c r="C80" s="275" t="s">
        <v>41</v>
      </c>
      <c r="D80" s="140" t="s">
        <v>55</v>
      </c>
      <c r="E80" s="141"/>
      <c r="F80" s="140" t="e">
        <f t="shared" si="19"/>
        <v>#VALUE!</v>
      </c>
      <c r="Z80" s="368" t="s">
        <v>40</v>
      </c>
      <c r="AA80" s="371" t="e">
        <f t="shared" si="20"/>
        <v>#VALUE!</v>
      </c>
      <c r="AB80" s="318" t="e">
        <f t="shared" si="20"/>
        <v>#VALUE!</v>
      </c>
      <c r="AC80" s="61"/>
      <c r="AD80" s="61"/>
      <c r="AE80" s="61"/>
    </row>
    <row r="81" spans="1:31" s="140" customFormat="1">
      <c r="A81" s="61" t="e">
        <f t="shared" si="21"/>
        <v>#VALUE!</v>
      </c>
      <c r="B81" s="375"/>
      <c r="C81" s="275" t="s">
        <v>43</v>
      </c>
      <c r="D81" s="140" t="s">
        <v>55</v>
      </c>
      <c r="E81" s="141"/>
      <c r="F81" s="140" t="e">
        <f t="shared" si="19"/>
        <v>#VALUE!</v>
      </c>
      <c r="Z81" s="368" t="s">
        <v>42</v>
      </c>
      <c r="AA81" s="371" t="e">
        <f t="shared" si="20"/>
        <v>#VALUE!</v>
      </c>
      <c r="AB81" s="318" t="e">
        <f t="shared" si="20"/>
        <v>#VALUE!</v>
      </c>
      <c r="AC81" s="61"/>
      <c r="AD81" s="61"/>
      <c r="AE81" s="61"/>
    </row>
    <row r="82" spans="1:31" s="140" customFormat="1">
      <c r="A82" s="61" t="e">
        <f t="shared" si="21"/>
        <v>#VALUE!</v>
      </c>
      <c r="B82" s="375"/>
      <c r="C82" s="275" t="s">
        <v>45</v>
      </c>
      <c r="D82" s="140" t="s">
        <v>55</v>
      </c>
      <c r="E82" s="141"/>
      <c r="F82" s="140" t="e">
        <f t="shared" si="19"/>
        <v>#VALUE!</v>
      </c>
      <c r="Z82" s="368" t="s">
        <v>44</v>
      </c>
      <c r="AA82" s="371" t="e">
        <f t="shared" si="20"/>
        <v>#VALUE!</v>
      </c>
      <c r="AB82" s="318" t="e">
        <f t="shared" si="20"/>
        <v>#VALUE!</v>
      </c>
      <c r="AC82" s="61"/>
      <c r="AD82" s="61"/>
      <c r="AE82" s="61"/>
    </row>
    <row r="83" spans="1:31" s="140" customFormat="1">
      <c r="A83" s="61" t="e">
        <f t="shared" si="21"/>
        <v>#VALUE!</v>
      </c>
      <c r="B83" s="375"/>
      <c r="C83" s="275"/>
      <c r="Z83" s="368"/>
      <c r="AA83" s="371"/>
      <c r="AB83" s="318"/>
      <c r="AC83" s="61"/>
      <c r="AD83" s="61"/>
      <c r="AE83" s="61"/>
    </row>
    <row r="84" spans="1:31" s="140" customFormat="1">
      <c r="A84" s="61" t="e">
        <f t="shared" si="21"/>
        <v>#VALUE!</v>
      </c>
      <c r="B84" s="375"/>
      <c r="C84" s="275"/>
      <c r="D84" s="46">
        <v>11</v>
      </c>
      <c r="E84" s="46" t="e">
        <f>VLOOKUP($A84,$A$236:$AB$1540,E$229,FALSE)</f>
        <v>#VALUE!</v>
      </c>
      <c r="F84" s="47"/>
      <c r="G84" s="47"/>
      <c r="H84" s="47"/>
      <c r="I84" s="47"/>
      <c r="J84" s="47"/>
      <c r="K84" s="47"/>
      <c r="L84" s="47"/>
      <c r="M84" s="47"/>
      <c r="N84" s="47"/>
      <c r="O84" s="47"/>
      <c r="P84" s="47"/>
      <c r="Q84" s="47"/>
      <c r="R84" s="47"/>
      <c r="S84" s="47"/>
      <c r="T84" s="47"/>
      <c r="U84" s="47"/>
      <c r="V84" s="47"/>
      <c r="W84" s="47"/>
      <c r="X84" s="47"/>
      <c r="Y84" s="47"/>
      <c r="Z84" s="369" t="str">
        <f>IF(AND(COUNTIF(E86:E89,"")=3,COUNTIF(E86:E89,"x")=1),VLOOKUP("x",E86:Z89,22,FALSE),"")</f>
        <v/>
      </c>
      <c r="AA84" s="371"/>
      <c r="AB84" s="318"/>
      <c r="AC84" s="61"/>
      <c r="AD84" s="61"/>
      <c r="AE84" s="61"/>
    </row>
    <row r="85" spans="1:31" s="140" customFormat="1">
      <c r="A85" s="61" t="e">
        <f t="shared" si="21"/>
        <v>#VALUE!</v>
      </c>
      <c r="B85" s="375"/>
      <c r="C85" s="275"/>
      <c r="D85" s="29" t="e">
        <f>VLOOKUP(D84,$D$156:$E$175,2,FALSE)</f>
        <v>#VALUE!</v>
      </c>
      <c r="F85" s="43" t="str">
        <f>IF(OR(J85="",J85="ERROR"),"",IF(AND(COUNTIF(E86:E89,"")=3,COUNTIF(E86:E89,"x")=1,VLOOKUP(D84,$D$156:$E$175,2,FALSE)=Z84),"CORRECTO","INCORRECTO"))</f>
        <v/>
      </c>
      <c r="J85" s="48" t="str">
        <f>IF(OR(D86="ERROR",COUNTIF(E86:E89,"")=4,AND(NOT($U$2="x"),OR(NOT($V$168="x"),COUNTIF($N$156:$N$175,"")&gt;0))),"",IF(AND(COUNTIF(E86:E89,"")=3,COUNTIF(E86:E89,"x")=1),IF(COUNTIF(B86:B89,"+")=0,VLOOKUP("x",E86:AB89,24,FALSE),VLOOKUP(D85,Z86:AB89,3,FALSE)),"ERROR"))</f>
        <v/>
      </c>
      <c r="Z85" s="369"/>
      <c r="AA85" s="371"/>
      <c r="AB85" s="318"/>
      <c r="AC85" s="61"/>
      <c r="AD85" s="61"/>
      <c r="AE85" s="61"/>
    </row>
    <row r="86" spans="1:31" s="140" customFormat="1">
      <c r="A86" s="61" t="e">
        <f t="shared" si="21"/>
        <v>#VALUE!</v>
      </c>
      <c r="B86" s="375"/>
      <c r="C86" s="275" t="s">
        <v>39</v>
      </c>
      <c r="D86" s="137" t="str">
        <f>IF(OR(COUNTIF(E86:E89,"x")&gt;1,NOT(4-COUNTIF(E86:E89,"")=COUNTIF(E86:E89,"x"))),"ERROR","")</f>
        <v/>
      </c>
      <c r="E86" s="141"/>
      <c r="F86" s="140" t="e">
        <f t="shared" ref="F86:F89" si="22">VLOOKUP($A86,$A$236:$AB$1540,F$229,FALSE)</f>
        <v>#VALUE!</v>
      </c>
      <c r="Z86" s="368" t="s">
        <v>38</v>
      </c>
      <c r="AA86" s="371" t="e">
        <f t="shared" ref="AA86:AB89" si="23">VLOOKUP($A86,$A$236:$AB$1540,AA$229,FALSE)</f>
        <v>#VALUE!</v>
      </c>
      <c r="AB86" s="318" t="e">
        <f t="shared" si="23"/>
        <v>#VALUE!</v>
      </c>
      <c r="AC86" s="61"/>
      <c r="AD86" s="61"/>
      <c r="AE86" s="61"/>
    </row>
    <row r="87" spans="1:31" s="140" customFormat="1">
      <c r="A87" s="61" t="e">
        <f t="shared" si="21"/>
        <v>#VALUE!</v>
      </c>
      <c r="B87" s="375"/>
      <c r="C87" s="275" t="s">
        <v>41</v>
      </c>
      <c r="D87" s="140" t="s">
        <v>55</v>
      </c>
      <c r="E87" s="141"/>
      <c r="F87" s="140" t="e">
        <f t="shared" si="22"/>
        <v>#VALUE!</v>
      </c>
      <c r="Z87" s="368" t="s">
        <v>40</v>
      </c>
      <c r="AA87" s="371" t="e">
        <f t="shared" si="23"/>
        <v>#VALUE!</v>
      </c>
      <c r="AB87" s="318" t="e">
        <f t="shared" si="23"/>
        <v>#VALUE!</v>
      </c>
      <c r="AC87" s="61"/>
      <c r="AD87" s="61"/>
      <c r="AE87" s="61"/>
    </row>
    <row r="88" spans="1:31" s="140" customFormat="1">
      <c r="A88" s="61" t="e">
        <f t="shared" si="21"/>
        <v>#VALUE!</v>
      </c>
      <c r="B88" s="375"/>
      <c r="C88" s="275" t="s">
        <v>43</v>
      </c>
      <c r="D88" s="140" t="s">
        <v>55</v>
      </c>
      <c r="E88" s="141"/>
      <c r="F88" s="140" t="e">
        <f t="shared" si="22"/>
        <v>#VALUE!</v>
      </c>
      <c r="Z88" s="368" t="s">
        <v>42</v>
      </c>
      <c r="AA88" s="371" t="e">
        <f t="shared" si="23"/>
        <v>#VALUE!</v>
      </c>
      <c r="AB88" s="318" t="e">
        <f t="shared" si="23"/>
        <v>#VALUE!</v>
      </c>
      <c r="AC88" s="61"/>
      <c r="AD88" s="61"/>
      <c r="AE88" s="61"/>
    </row>
    <row r="89" spans="1:31" s="140" customFormat="1">
      <c r="A89" s="61" t="e">
        <f t="shared" si="21"/>
        <v>#VALUE!</v>
      </c>
      <c r="B89" s="375"/>
      <c r="C89" s="275" t="s">
        <v>45</v>
      </c>
      <c r="D89" s="140" t="s">
        <v>55</v>
      </c>
      <c r="E89" s="141"/>
      <c r="F89" s="140" t="e">
        <f t="shared" si="22"/>
        <v>#VALUE!</v>
      </c>
      <c r="Z89" s="368" t="s">
        <v>44</v>
      </c>
      <c r="AA89" s="371" t="e">
        <f t="shared" si="23"/>
        <v>#VALUE!</v>
      </c>
      <c r="AB89" s="318" t="e">
        <f t="shared" si="23"/>
        <v>#VALUE!</v>
      </c>
      <c r="AC89" s="61"/>
      <c r="AD89" s="61"/>
      <c r="AE89" s="61"/>
    </row>
    <row r="90" spans="1:31" s="140" customFormat="1">
      <c r="A90" s="61" t="e">
        <f t="shared" si="21"/>
        <v>#VALUE!</v>
      </c>
      <c r="B90" s="375"/>
      <c r="C90" s="275"/>
      <c r="Z90" s="368"/>
      <c r="AA90" s="371"/>
      <c r="AB90" s="318"/>
      <c r="AC90" s="61"/>
      <c r="AD90" s="61"/>
      <c r="AE90" s="61"/>
    </row>
    <row r="91" spans="1:31" s="140" customFormat="1">
      <c r="A91" s="61" t="e">
        <f t="shared" si="21"/>
        <v>#VALUE!</v>
      </c>
      <c r="B91" s="375"/>
      <c r="C91" s="275"/>
      <c r="D91" s="46">
        <v>12</v>
      </c>
      <c r="E91" s="46" t="e">
        <f>VLOOKUP($A91,$A$236:$AB$1540,E$229,FALSE)</f>
        <v>#VALUE!</v>
      </c>
      <c r="F91" s="47"/>
      <c r="G91" s="47"/>
      <c r="H91" s="47"/>
      <c r="I91" s="47"/>
      <c r="J91" s="47"/>
      <c r="K91" s="47"/>
      <c r="L91" s="47"/>
      <c r="M91" s="47"/>
      <c r="N91" s="47"/>
      <c r="O91" s="47"/>
      <c r="P91" s="47"/>
      <c r="Q91" s="47"/>
      <c r="R91" s="47"/>
      <c r="S91" s="47"/>
      <c r="T91" s="47"/>
      <c r="U91" s="47"/>
      <c r="V91" s="47"/>
      <c r="W91" s="47"/>
      <c r="X91" s="47"/>
      <c r="Y91" s="47"/>
      <c r="Z91" s="369" t="str">
        <f>IF(AND(COUNTIF(E93:E96,"")=3,COUNTIF(E93:E96,"x")=1),VLOOKUP("x",E93:Z96,22,FALSE),"")</f>
        <v/>
      </c>
      <c r="AA91" s="371"/>
      <c r="AB91" s="318"/>
      <c r="AC91" s="61"/>
      <c r="AD91" s="61"/>
      <c r="AE91" s="61"/>
    </row>
    <row r="92" spans="1:31" s="140" customFormat="1">
      <c r="A92" s="61" t="e">
        <f t="shared" si="21"/>
        <v>#VALUE!</v>
      </c>
      <c r="B92" s="375"/>
      <c r="C92" s="275"/>
      <c r="D92" s="29" t="e">
        <f>VLOOKUP(D91,$D$156:$E$175,2,FALSE)</f>
        <v>#VALUE!</v>
      </c>
      <c r="F92" s="43" t="str">
        <f>IF(OR(J92="",J92="ERROR"),"",IF(AND(COUNTIF(E93:E96,"")=3,COUNTIF(E93:E96,"x")=1,VLOOKUP(D91,$D$156:$E$175,2,FALSE)=Z91),"CORRECTO","INCORRECTO"))</f>
        <v/>
      </c>
      <c r="J92" s="48" t="str">
        <f>IF(OR(D93="ERROR",COUNTIF(E93:E96,"")=4,AND(NOT($U$2="x"),OR(NOT($V$168="x"),COUNTIF($N$156:$N$175,"")&gt;0))),"",IF(AND(COUNTIF(E93:E96,"")=3,COUNTIF(E93:E96,"x")=1),IF(COUNTIF(B93:B96,"+")=0,VLOOKUP("x",E93:AB96,24,FALSE),VLOOKUP(D92,Z93:AB96,3,FALSE)),"ERROR"))</f>
        <v/>
      </c>
      <c r="Z92" s="369"/>
      <c r="AA92" s="371"/>
      <c r="AB92" s="318"/>
      <c r="AC92" s="61"/>
      <c r="AD92" s="61"/>
      <c r="AE92" s="61"/>
    </row>
    <row r="93" spans="1:31" s="140" customFormat="1">
      <c r="A93" s="61" t="e">
        <f t="shared" si="21"/>
        <v>#VALUE!</v>
      </c>
      <c r="B93" s="375"/>
      <c r="C93" s="275" t="s">
        <v>39</v>
      </c>
      <c r="D93" s="137" t="str">
        <f>IF(OR(COUNTIF(E93:E96,"x")&gt;1,NOT(4-COUNTIF(E93:E96,"")=COUNTIF(E93:E96,"x"))),"ERROR","")</f>
        <v/>
      </c>
      <c r="E93" s="141"/>
      <c r="F93" s="140" t="e">
        <f t="shared" ref="F93:F96" si="24">VLOOKUP($A93,$A$236:$AB$1540,F$229,FALSE)</f>
        <v>#VALUE!</v>
      </c>
      <c r="Z93" s="368" t="s">
        <v>38</v>
      </c>
      <c r="AA93" s="371" t="e">
        <f t="shared" ref="AA93:AB96" si="25">VLOOKUP($A93,$A$236:$AB$1540,AA$229,FALSE)</f>
        <v>#VALUE!</v>
      </c>
      <c r="AB93" s="318" t="e">
        <f t="shared" si="25"/>
        <v>#VALUE!</v>
      </c>
      <c r="AC93" s="61"/>
      <c r="AD93" s="61"/>
      <c r="AE93" s="61"/>
    </row>
    <row r="94" spans="1:31" s="140" customFormat="1">
      <c r="A94" s="61" t="e">
        <f t="shared" si="21"/>
        <v>#VALUE!</v>
      </c>
      <c r="B94" s="375"/>
      <c r="C94" s="275" t="s">
        <v>41</v>
      </c>
      <c r="D94" s="140" t="s">
        <v>55</v>
      </c>
      <c r="E94" s="141"/>
      <c r="F94" s="140" t="e">
        <f t="shared" si="24"/>
        <v>#VALUE!</v>
      </c>
      <c r="Z94" s="368" t="s">
        <v>40</v>
      </c>
      <c r="AA94" s="371" t="e">
        <f t="shared" si="25"/>
        <v>#VALUE!</v>
      </c>
      <c r="AB94" s="318" t="e">
        <f t="shared" si="25"/>
        <v>#VALUE!</v>
      </c>
      <c r="AC94" s="61"/>
      <c r="AD94" s="61"/>
      <c r="AE94" s="61"/>
    </row>
    <row r="95" spans="1:31" s="140" customFormat="1">
      <c r="A95" s="61" t="e">
        <f t="shared" si="21"/>
        <v>#VALUE!</v>
      </c>
      <c r="B95" s="375"/>
      <c r="C95" s="275" t="s">
        <v>43</v>
      </c>
      <c r="D95" s="140" t="s">
        <v>55</v>
      </c>
      <c r="E95" s="141"/>
      <c r="F95" s="140" t="e">
        <f t="shared" si="24"/>
        <v>#VALUE!</v>
      </c>
      <c r="Z95" s="368" t="s">
        <v>42</v>
      </c>
      <c r="AA95" s="371" t="e">
        <f t="shared" si="25"/>
        <v>#VALUE!</v>
      </c>
      <c r="AB95" s="318" t="e">
        <f t="shared" si="25"/>
        <v>#VALUE!</v>
      </c>
      <c r="AC95" s="61"/>
      <c r="AD95" s="61"/>
      <c r="AE95" s="61"/>
    </row>
    <row r="96" spans="1:31" s="140" customFormat="1">
      <c r="A96" s="61" t="e">
        <f t="shared" si="21"/>
        <v>#VALUE!</v>
      </c>
      <c r="B96" s="375"/>
      <c r="C96" s="275" t="s">
        <v>45</v>
      </c>
      <c r="D96" s="140" t="s">
        <v>55</v>
      </c>
      <c r="E96" s="141"/>
      <c r="F96" s="140" t="e">
        <f t="shared" si="24"/>
        <v>#VALUE!</v>
      </c>
      <c r="Z96" s="368" t="s">
        <v>44</v>
      </c>
      <c r="AA96" s="371" t="e">
        <f t="shared" si="25"/>
        <v>#VALUE!</v>
      </c>
      <c r="AB96" s="318" t="e">
        <f t="shared" si="25"/>
        <v>#VALUE!</v>
      </c>
      <c r="AC96" s="61"/>
      <c r="AD96" s="61"/>
      <c r="AE96" s="61"/>
    </row>
    <row r="97" spans="1:31" s="140" customFormat="1">
      <c r="A97" s="61" t="e">
        <f t="shared" si="21"/>
        <v>#VALUE!</v>
      </c>
      <c r="B97" s="375"/>
      <c r="C97" s="275"/>
      <c r="Z97" s="368"/>
      <c r="AA97" s="371"/>
      <c r="AB97" s="318"/>
      <c r="AC97" s="61"/>
      <c r="AD97" s="61"/>
      <c r="AE97" s="61"/>
    </row>
    <row r="98" spans="1:31" s="140" customFormat="1">
      <c r="A98" s="61" t="e">
        <f t="shared" si="21"/>
        <v>#VALUE!</v>
      </c>
      <c r="B98" s="375"/>
      <c r="C98" s="275"/>
      <c r="D98" s="46">
        <v>13</v>
      </c>
      <c r="E98" s="46" t="e">
        <f>VLOOKUP($A98,$A$236:$AB$1540,E$229,FALSE)</f>
        <v>#VALUE!</v>
      </c>
      <c r="F98" s="47"/>
      <c r="G98" s="47"/>
      <c r="H98" s="47"/>
      <c r="I98" s="47"/>
      <c r="J98" s="47"/>
      <c r="K98" s="47"/>
      <c r="L98" s="47"/>
      <c r="M98" s="47"/>
      <c r="N98" s="47"/>
      <c r="O98" s="47"/>
      <c r="P98" s="47"/>
      <c r="Q98" s="47"/>
      <c r="R98" s="47"/>
      <c r="S98" s="47"/>
      <c r="T98" s="47"/>
      <c r="U98" s="47"/>
      <c r="V98" s="47"/>
      <c r="W98" s="47"/>
      <c r="X98" s="47"/>
      <c r="Y98" s="47"/>
      <c r="Z98" s="369" t="str">
        <f>IF(AND(COUNTIF(E100:E103,"")=3,COUNTIF(E100:E103,"x")=1),VLOOKUP("x",E100:Z103,22,FALSE),"")</f>
        <v/>
      </c>
      <c r="AA98" s="371"/>
      <c r="AB98" s="318"/>
      <c r="AC98" s="61"/>
      <c r="AD98" s="61"/>
      <c r="AE98" s="61"/>
    </row>
    <row r="99" spans="1:31" s="140" customFormat="1">
      <c r="A99" s="61" t="e">
        <f t="shared" si="21"/>
        <v>#VALUE!</v>
      </c>
      <c r="B99" s="375"/>
      <c r="C99" s="275"/>
      <c r="D99" s="29" t="e">
        <f>VLOOKUP(D98,$D$156:$E$175,2,FALSE)</f>
        <v>#VALUE!</v>
      </c>
      <c r="F99" s="43" t="str">
        <f>IF(OR(J99="",J99="ERROR"),"",IF(AND(COUNTIF(E100:E103,"")=3,COUNTIF(E100:E103,"x")=1,VLOOKUP(D98,$D$156:$E$175,2,FALSE)=Z98),"CORRECTO","INCORRECTO"))</f>
        <v/>
      </c>
      <c r="J99" s="48" t="str">
        <f>IF(OR(D100="ERROR",COUNTIF(E100:E103,"")=4,AND(NOT($U$2="x"),OR(NOT($V$168="x"),COUNTIF($N$156:$N$175,"")&gt;0))),"",IF(AND(COUNTIF(E100:E103,"")=3,COUNTIF(E100:E103,"x")=1),IF(COUNTIF(B100:B103,"+")=0,VLOOKUP("x",E100:AB103,24,FALSE),VLOOKUP(D99,Z100:AB103,3,FALSE)),"ERROR"))</f>
        <v/>
      </c>
      <c r="Z99" s="369"/>
      <c r="AA99" s="371"/>
      <c r="AB99" s="318"/>
      <c r="AC99" s="61"/>
      <c r="AD99" s="61"/>
      <c r="AE99" s="61"/>
    </row>
    <row r="100" spans="1:31" s="140" customFormat="1">
      <c r="A100" s="61" t="e">
        <f t="shared" si="21"/>
        <v>#VALUE!</v>
      </c>
      <c r="B100" s="375"/>
      <c r="C100" s="275" t="s">
        <v>39</v>
      </c>
      <c r="D100" s="137" t="str">
        <f>IF(OR(COUNTIF(E100:E103,"x")&gt;1,NOT(4-COUNTIF(E100:E103,"")=COUNTIF(E100:E103,"x"))),"ERROR","")</f>
        <v/>
      </c>
      <c r="E100" s="141"/>
      <c r="F100" s="140" t="e">
        <f t="shared" ref="F100:F103" si="26">VLOOKUP($A100,$A$236:$AB$1540,F$229,FALSE)</f>
        <v>#VALUE!</v>
      </c>
      <c r="Z100" s="368" t="s">
        <v>38</v>
      </c>
      <c r="AA100" s="371" t="e">
        <f t="shared" ref="AA100:AB103" si="27">VLOOKUP($A100,$A$236:$AB$1540,AA$229,FALSE)</f>
        <v>#VALUE!</v>
      </c>
      <c r="AB100" s="318" t="e">
        <f t="shared" si="27"/>
        <v>#VALUE!</v>
      </c>
      <c r="AC100" s="61"/>
      <c r="AD100" s="61"/>
      <c r="AE100" s="61"/>
    </row>
    <row r="101" spans="1:31" s="140" customFormat="1">
      <c r="A101" s="61" t="e">
        <f t="shared" si="21"/>
        <v>#VALUE!</v>
      </c>
      <c r="B101" s="375"/>
      <c r="C101" s="275" t="s">
        <v>41</v>
      </c>
      <c r="D101" s="140" t="s">
        <v>55</v>
      </c>
      <c r="E101" s="141"/>
      <c r="F101" s="140" t="e">
        <f t="shared" si="26"/>
        <v>#VALUE!</v>
      </c>
      <c r="Z101" s="368" t="s">
        <v>40</v>
      </c>
      <c r="AA101" s="371" t="e">
        <f t="shared" si="27"/>
        <v>#VALUE!</v>
      </c>
      <c r="AB101" s="318" t="e">
        <f t="shared" si="27"/>
        <v>#VALUE!</v>
      </c>
      <c r="AC101" s="61"/>
      <c r="AD101" s="61"/>
      <c r="AE101" s="61"/>
    </row>
    <row r="102" spans="1:31" s="140" customFormat="1">
      <c r="A102" s="61" t="e">
        <f t="shared" si="21"/>
        <v>#VALUE!</v>
      </c>
      <c r="B102" s="375"/>
      <c r="C102" s="275" t="s">
        <v>43</v>
      </c>
      <c r="D102" s="140" t="s">
        <v>55</v>
      </c>
      <c r="E102" s="141"/>
      <c r="F102" s="140" t="e">
        <f t="shared" si="26"/>
        <v>#VALUE!</v>
      </c>
      <c r="Z102" s="368" t="s">
        <v>42</v>
      </c>
      <c r="AA102" s="371" t="e">
        <f t="shared" si="27"/>
        <v>#VALUE!</v>
      </c>
      <c r="AB102" s="318" t="e">
        <f t="shared" si="27"/>
        <v>#VALUE!</v>
      </c>
      <c r="AC102" s="61"/>
      <c r="AD102" s="61"/>
      <c r="AE102" s="61"/>
    </row>
    <row r="103" spans="1:31" s="140" customFormat="1">
      <c r="A103" s="61" t="e">
        <f t="shared" si="21"/>
        <v>#VALUE!</v>
      </c>
      <c r="B103" s="375"/>
      <c r="C103" s="275" t="s">
        <v>45</v>
      </c>
      <c r="D103" s="140" t="s">
        <v>55</v>
      </c>
      <c r="E103" s="141"/>
      <c r="F103" s="140" t="e">
        <f t="shared" si="26"/>
        <v>#VALUE!</v>
      </c>
      <c r="Z103" s="368" t="s">
        <v>44</v>
      </c>
      <c r="AA103" s="371" t="e">
        <f t="shared" si="27"/>
        <v>#VALUE!</v>
      </c>
      <c r="AB103" s="318" t="e">
        <f t="shared" si="27"/>
        <v>#VALUE!</v>
      </c>
      <c r="AC103" s="61"/>
      <c r="AD103" s="61"/>
      <c r="AE103" s="61"/>
    </row>
    <row r="104" spans="1:31" s="140" customFormat="1">
      <c r="A104" s="61" t="e">
        <f t="shared" si="21"/>
        <v>#VALUE!</v>
      </c>
      <c r="B104" s="375"/>
      <c r="C104" s="275"/>
      <c r="Z104" s="368"/>
      <c r="AA104" s="371"/>
      <c r="AB104" s="318"/>
      <c r="AC104" s="61"/>
      <c r="AD104" s="61"/>
      <c r="AE104" s="61"/>
    </row>
    <row r="105" spans="1:31" s="140" customFormat="1">
      <c r="A105" s="61" t="e">
        <f t="shared" si="21"/>
        <v>#VALUE!</v>
      </c>
      <c r="B105" s="375"/>
      <c r="C105" s="275"/>
      <c r="D105" s="46">
        <v>14</v>
      </c>
      <c r="E105" s="46" t="e">
        <f>VLOOKUP($A105,$A$236:$AB$1540,E$229,FALSE)</f>
        <v>#VALUE!</v>
      </c>
      <c r="F105" s="47"/>
      <c r="G105" s="47"/>
      <c r="H105" s="47"/>
      <c r="I105" s="47"/>
      <c r="J105" s="47"/>
      <c r="K105" s="47"/>
      <c r="L105" s="47"/>
      <c r="M105" s="47"/>
      <c r="N105" s="47"/>
      <c r="O105" s="47"/>
      <c r="P105" s="47"/>
      <c r="Q105" s="47"/>
      <c r="R105" s="47"/>
      <c r="S105" s="47"/>
      <c r="T105" s="47"/>
      <c r="U105" s="47"/>
      <c r="V105" s="47"/>
      <c r="W105" s="47"/>
      <c r="X105" s="47"/>
      <c r="Y105" s="47"/>
      <c r="Z105" s="369" t="str">
        <f>IF(AND(COUNTIF(E107:E110,"")=3,COUNTIF(E107:E110,"x")=1),VLOOKUP("x",E107:Z110,22,FALSE),"")</f>
        <v/>
      </c>
      <c r="AA105" s="371"/>
      <c r="AB105" s="318"/>
      <c r="AC105" s="61"/>
      <c r="AD105" s="61"/>
      <c r="AE105" s="61"/>
    </row>
    <row r="106" spans="1:31" s="140" customFormat="1">
      <c r="A106" s="61" t="e">
        <f t="shared" si="21"/>
        <v>#VALUE!</v>
      </c>
      <c r="B106" s="375"/>
      <c r="C106" s="275"/>
      <c r="D106" s="29" t="e">
        <f>VLOOKUP(D105,$D$156:$E$175,2,FALSE)</f>
        <v>#VALUE!</v>
      </c>
      <c r="F106" s="43" t="str">
        <f>IF(OR(J106="",J106="ERROR"),"",IF(AND(COUNTIF(E107:E110,"")=3,COUNTIF(E107:E110,"x")=1,VLOOKUP(D105,$D$156:$E$175,2,FALSE)=Z105),"CORRECTO","INCORRECTO"))</f>
        <v/>
      </c>
      <c r="J106" s="48" t="str">
        <f>IF(OR(D107="ERROR",COUNTIF(E107:E110,"")=4,AND(NOT($U$2="x"),OR(NOT($V$168="x"),COUNTIF($N$156:$N$175,"")&gt;0))),"",IF(AND(COUNTIF(E107:E110,"")=3,COUNTIF(E107:E110,"x")=1),IF(COUNTIF(B107:B110,"+")=0,VLOOKUP("x",E107:AB110,24,FALSE),VLOOKUP(D106,Z107:AB110,3,FALSE)),"ERROR"))</f>
        <v/>
      </c>
      <c r="Z106" s="369"/>
      <c r="AA106" s="371"/>
      <c r="AB106" s="318"/>
      <c r="AC106" s="61"/>
      <c r="AD106" s="61"/>
      <c r="AE106" s="61"/>
    </row>
    <row r="107" spans="1:31" s="140" customFormat="1">
      <c r="A107" s="61" t="e">
        <f t="shared" si="21"/>
        <v>#VALUE!</v>
      </c>
      <c r="B107" s="375"/>
      <c r="C107" s="275" t="s">
        <v>39</v>
      </c>
      <c r="D107" s="137" t="str">
        <f>IF(OR(COUNTIF(E107:E110,"x")&gt;1,NOT(4-COUNTIF(E107:E110,"")=COUNTIF(E107:E110,"x"))),"ERROR","")</f>
        <v/>
      </c>
      <c r="E107" s="141"/>
      <c r="F107" s="140" t="e">
        <f t="shared" ref="F107:F110" si="28">VLOOKUP($A107,$A$236:$AB$1540,F$229,FALSE)</f>
        <v>#VALUE!</v>
      </c>
      <c r="Z107" s="368" t="s">
        <v>38</v>
      </c>
      <c r="AA107" s="371" t="e">
        <f t="shared" ref="AA107:AB110" si="29">VLOOKUP($A107,$A$236:$AB$1540,AA$229,FALSE)</f>
        <v>#VALUE!</v>
      </c>
      <c r="AB107" s="318" t="e">
        <f t="shared" si="29"/>
        <v>#VALUE!</v>
      </c>
      <c r="AC107" s="61"/>
      <c r="AD107" s="61"/>
      <c r="AE107" s="61"/>
    </row>
    <row r="108" spans="1:31" s="140" customFormat="1">
      <c r="A108" s="61" t="e">
        <f t="shared" si="21"/>
        <v>#VALUE!</v>
      </c>
      <c r="B108" s="375"/>
      <c r="C108" s="275" t="s">
        <v>41</v>
      </c>
      <c r="D108" s="140" t="s">
        <v>55</v>
      </c>
      <c r="E108" s="141"/>
      <c r="F108" s="140" t="e">
        <f t="shared" si="28"/>
        <v>#VALUE!</v>
      </c>
      <c r="Z108" s="368" t="s">
        <v>40</v>
      </c>
      <c r="AA108" s="371" t="e">
        <f t="shared" si="29"/>
        <v>#VALUE!</v>
      </c>
      <c r="AB108" s="318" t="e">
        <f t="shared" si="29"/>
        <v>#VALUE!</v>
      </c>
      <c r="AC108" s="61"/>
      <c r="AD108" s="61"/>
      <c r="AE108" s="61"/>
    </row>
    <row r="109" spans="1:31" s="140" customFormat="1">
      <c r="A109" s="61" t="e">
        <f t="shared" si="21"/>
        <v>#VALUE!</v>
      </c>
      <c r="B109" s="375"/>
      <c r="C109" s="275" t="s">
        <v>43</v>
      </c>
      <c r="D109" s="140" t="s">
        <v>55</v>
      </c>
      <c r="E109" s="141"/>
      <c r="F109" s="140" t="e">
        <f t="shared" si="28"/>
        <v>#VALUE!</v>
      </c>
      <c r="Z109" s="368" t="s">
        <v>42</v>
      </c>
      <c r="AA109" s="371" t="e">
        <f t="shared" si="29"/>
        <v>#VALUE!</v>
      </c>
      <c r="AB109" s="318" t="e">
        <f t="shared" si="29"/>
        <v>#VALUE!</v>
      </c>
      <c r="AC109" s="61"/>
      <c r="AD109" s="61"/>
      <c r="AE109" s="61"/>
    </row>
    <row r="110" spans="1:31" s="140" customFormat="1">
      <c r="A110" s="61" t="e">
        <f t="shared" si="21"/>
        <v>#VALUE!</v>
      </c>
      <c r="B110" s="375"/>
      <c r="C110" s="275" t="s">
        <v>45</v>
      </c>
      <c r="D110" s="140" t="s">
        <v>55</v>
      </c>
      <c r="E110" s="141"/>
      <c r="F110" s="140" t="e">
        <f t="shared" si="28"/>
        <v>#VALUE!</v>
      </c>
      <c r="Z110" s="368" t="s">
        <v>44</v>
      </c>
      <c r="AA110" s="371" t="e">
        <f t="shared" si="29"/>
        <v>#VALUE!</v>
      </c>
      <c r="AB110" s="318" t="e">
        <f t="shared" si="29"/>
        <v>#VALUE!</v>
      </c>
      <c r="AC110" s="61"/>
      <c r="AD110" s="61"/>
      <c r="AE110" s="61"/>
    </row>
    <row r="111" spans="1:31" s="140" customFormat="1">
      <c r="A111" s="61" t="e">
        <f t="shared" si="21"/>
        <v>#VALUE!</v>
      </c>
      <c r="B111" s="375"/>
      <c r="C111" s="275"/>
      <c r="Z111" s="368"/>
      <c r="AA111" s="371"/>
      <c r="AB111" s="318"/>
      <c r="AC111" s="61"/>
      <c r="AD111" s="61"/>
      <c r="AE111" s="61"/>
    </row>
    <row r="112" spans="1:31" s="140" customFormat="1">
      <c r="A112" s="61" t="e">
        <f t="shared" si="21"/>
        <v>#VALUE!</v>
      </c>
      <c r="B112" s="375"/>
      <c r="C112" s="275"/>
      <c r="D112" s="46">
        <v>15</v>
      </c>
      <c r="E112" s="46" t="e">
        <f>VLOOKUP($A112,$A$236:$AB$1540,E$229,FALSE)</f>
        <v>#VALUE!</v>
      </c>
      <c r="F112" s="47"/>
      <c r="G112" s="47"/>
      <c r="H112" s="47"/>
      <c r="I112" s="47"/>
      <c r="J112" s="47"/>
      <c r="K112" s="47"/>
      <c r="L112" s="47"/>
      <c r="M112" s="47"/>
      <c r="N112" s="47"/>
      <c r="O112" s="47"/>
      <c r="P112" s="47"/>
      <c r="Q112" s="47"/>
      <c r="R112" s="47"/>
      <c r="S112" s="47"/>
      <c r="T112" s="47"/>
      <c r="U112" s="47"/>
      <c r="V112" s="47"/>
      <c r="W112" s="47"/>
      <c r="X112" s="47"/>
      <c r="Y112" s="47"/>
      <c r="Z112" s="369" t="str">
        <f>IF(AND(COUNTIF(E114:E117,"")=3,COUNTIF(E114:E117,"x")=1),VLOOKUP("x",E114:Z117,22,FALSE),"")</f>
        <v/>
      </c>
      <c r="AA112" s="371"/>
      <c r="AB112" s="318"/>
      <c r="AC112" s="61"/>
      <c r="AD112" s="61"/>
      <c r="AE112" s="61"/>
    </row>
    <row r="113" spans="1:31" s="140" customFormat="1">
      <c r="A113" s="61" t="e">
        <f t="shared" si="21"/>
        <v>#VALUE!</v>
      </c>
      <c r="B113" s="375"/>
      <c r="C113" s="275"/>
      <c r="D113" s="29" t="e">
        <f>VLOOKUP(D112,$D$156:$E$175,2,FALSE)</f>
        <v>#VALUE!</v>
      </c>
      <c r="F113" s="43" t="str">
        <f>IF(OR(J113="",J113="ERROR"),"",IF(AND(COUNTIF(E114:E117,"")=3,COUNTIF(E114:E117,"x")=1,VLOOKUP(D112,$D$156:$E$175,2,FALSE)=Z112),"CORRECTO","INCORRECTO"))</f>
        <v/>
      </c>
      <c r="J113" s="48" t="str">
        <f>IF(OR(D114="ERROR",COUNTIF(E114:E117,"")=4,AND(NOT($U$2="x"),OR(NOT($V$168="x"),COUNTIF($N$156:$N$175,"")&gt;0))),"",IF(AND(COUNTIF(E114:E117,"")=3,COUNTIF(E114:E117,"x")=1),IF(COUNTIF(B114:B117,"+")=0,VLOOKUP("x",E114:AB117,24,FALSE),VLOOKUP(D113,Z114:AB117,3,FALSE)),"ERROR"))</f>
        <v/>
      </c>
      <c r="Z113" s="369"/>
      <c r="AA113" s="371"/>
      <c r="AB113" s="318"/>
      <c r="AC113" s="61"/>
      <c r="AD113" s="61"/>
      <c r="AE113" s="61"/>
    </row>
    <row r="114" spans="1:31" s="140" customFormat="1">
      <c r="A114" s="61" t="e">
        <f t="shared" si="21"/>
        <v>#VALUE!</v>
      </c>
      <c r="B114" s="375"/>
      <c r="C114" s="275" t="s">
        <v>39</v>
      </c>
      <c r="D114" s="137" t="str">
        <f>IF(OR(COUNTIF(E114:E117,"x")&gt;1,NOT(4-COUNTIF(E114:E117,"")=COUNTIF(E114:E117,"x"))),"ERROR","")</f>
        <v/>
      </c>
      <c r="E114" s="141"/>
      <c r="F114" s="140" t="e">
        <f t="shared" ref="F114:F117" si="30">VLOOKUP($A114,$A$236:$AB$1540,F$229,FALSE)</f>
        <v>#VALUE!</v>
      </c>
      <c r="Z114" s="368" t="s">
        <v>38</v>
      </c>
      <c r="AA114" s="372" t="e">
        <f t="shared" ref="AA114:AB117" si="31">VLOOKUP($A114,$A$236:$AB$1540,AA$229,FALSE)</f>
        <v>#VALUE!</v>
      </c>
      <c r="AB114" s="318" t="e">
        <f t="shared" si="31"/>
        <v>#VALUE!</v>
      </c>
      <c r="AC114" s="61"/>
      <c r="AD114" s="61"/>
      <c r="AE114" s="61"/>
    </row>
    <row r="115" spans="1:31" s="140" customFormat="1">
      <c r="A115" s="61" t="e">
        <f t="shared" si="21"/>
        <v>#VALUE!</v>
      </c>
      <c r="B115" s="375"/>
      <c r="C115" s="275" t="s">
        <v>41</v>
      </c>
      <c r="D115" s="140" t="s">
        <v>55</v>
      </c>
      <c r="E115" s="141"/>
      <c r="F115" s="140" t="e">
        <f t="shared" si="30"/>
        <v>#VALUE!</v>
      </c>
      <c r="Z115" s="368" t="s">
        <v>40</v>
      </c>
      <c r="AA115" s="372" t="e">
        <f t="shared" si="31"/>
        <v>#VALUE!</v>
      </c>
      <c r="AB115" s="318" t="e">
        <f t="shared" si="31"/>
        <v>#VALUE!</v>
      </c>
      <c r="AC115" s="61"/>
      <c r="AD115" s="61"/>
      <c r="AE115" s="61"/>
    </row>
    <row r="116" spans="1:31" s="140" customFormat="1">
      <c r="A116" s="61" t="e">
        <f t="shared" si="21"/>
        <v>#VALUE!</v>
      </c>
      <c r="B116" s="375"/>
      <c r="C116" s="275" t="s">
        <v>43</v>
      </c>
      <c r="D116" s="140" t="s">
        <v>55</v>
      </c>
      <c r="E116" s="141"/>
      <c r="F116" s="140" t="e">
        <f t="shared" si="30"/>
        <v>#VALUE!</v>
      </c>
      <c r="Z116" s="368" t="s">
        <v>42</v>
      </c>
      <c r="AA116" s="372" t="e">
        <f t="shared" si="31"/>
        <v>#VALUE!</v>
      </c>
      <c r="AB116" s="318" t="e">
        <f t="shared" si="31"/>
        <v>#VALUE!</v>
      </c>
      <c r="AC116" s="61"/>
      <c r="AD116" s="61"/>
      <c r="AE116" s="61"/>
    </row>
    <row r="117" spans="1:31" s="140" customFormat="1">
      <c r="A117" s="61" t="e">
        <f t="shared" si="21"/>
        <v>#VALUE!</v>
      </c>
      <c r="B117" s="375"/>
      <c r="C117" s="275" t="s">
        <v>45</v>
      </c>
      <c r="D117" s="140" t="s">
        <v>55</v>
      </c>
      <c r="E117" s="141"/>
      <c r="F117" s="140" t="e">
        <f t="shared" si="30"/>
        <v>#VALUE!</v>
      </c>
      <c r="Z117" s="368" t="s">
        <v>44</v>
      </c>
      <c r="AA117" s="372" t="e">
        <f t="shared" si="31"/>
        <v>#VALUE!</v>
      </c>
      <c r="AB117" s="318" t="e">
        <f t="shared" si="31"/>
        <v>#VALUE!</v>
      </c>
      <c r="AC117" s="61"/>
      <c r="AD117" s="61"/>
      <c r="AE117" s="61"/>
    </row>
    <row r="118" spans="1:31" s="140" customFormat="1">
      <c r="A118" s="61" t="e">
        <f t="shared" si="21"/>
        <v>#VALUE!</v>
      </c>
      <c r="B118" s="375"/>
      <c r="C118" s="275"/>
      <c r="Z118" s="368"/>
      <c r="AA118" s="372"/>
      <c r="AB118" s="318"/>
      <c r="AC118" s="61"/>
      <c r="AD118" s="61"/>
      <c r="AE118" s="61"/>
    </row>
    <row r="119" spans="1:31" s="140" customFormat="1">
      <c r="A119" s="61" t="e">
        <f t="shared" si="21"/>
        <v>#VALUE!</v>
      </c>
      <c r="B119" s="375"/>
      <c r="C119" s="275"/>
      <c r="D119" s="46">
        <v>16</v>
      </c>
      <c r="E119" s="46" t="e">
        <f>VLOOKUP($A119,$A$236:$AB$1540,E$229,FALSE)</f>
        <v>#VALUE!</v>
      </c>
      <c r="F119" s="47"/>
      <c r="G119" s="47"/>
      <c r="H119" s="47"/>
      <c r="I119" s="47"/>
      <c r="J119" s="47"/>
      <c r="K119" s="47"/>
      <c r="L119" s="47"/>
      <c r="M119" s="47"/>
      <c r="N119" s="47"/>
      <c r="O119" s="47"/>
      <c r="P119" s="47"/>
      <c r="Q119" s="47"/>
      <c r="R119" s="47"/>
      <c r="S119" s="47"/>
      <c r="T119" s="47"/>
      <c r="U119" s="47"/>
      <c r="V119" s="47"/>
      <c r="W119" s="47"/>
      <c r="X119" s="47"/>
      <c r="Y119" s="47"/>
      <c r="Z119" s="369" t="str">
        <f>IF(AND(COUNTIF(E121:E124,"")=3,COUNTIF(E121:E124,"x")=1),VLOOKUP("x",E121:Z124,22,FALSE),"")</f>
        <v/>
      </c>
      <c r="AA119" s="372"/>
      <c r="AB119" s="318"/>
      <c r="AC119" s="61"/>
      <c r="AD119" s="61"/>
      <c r="AE119" s="61"/>
    </row>
    <row r="120" spans="1:31" s="140" customFormat="1">
      <c r="A120" s="61" t="e">
        <f t="shared" si="21"/>
        <v>#VALUE!</v>
      </c>
      <c r="B120" s="375"/>
      <c r="C120" s="275"/>
      <c r="D120" s="29" t="e">
        <f>VLOOKUP(D119,$D$156:$E$175,2,FALSE)</f>
        <v>#VALUE!</v>
      </c>
      <c r="F120" s="43" t="str">
        <f>IF(OR(J120="",J120="ERROR"),"",IF(AND(COUNTIF(E121:E124,"")=3,COUNTIF(E121:E124,"x")=1,VLOOKUP(D119,$D$156:$E$175,2,FALSE)=Z119),"CORRECTO","INCORRECTO"))</f>
        <v/>
      </c>
      <c r="J120" s="48" t="str">
        <f>IF(OR(D121="ERROR",COUNTIF(E121:E124,"")=4,AND(NOT($U$2="x"),OR(NOT($V$168="x"),COUNTIF($N$156:$N$175,"")&gt;0))),"",IF(AND(COUNTIF(E121:E124,"")=3,COUNTIF(E121:E124,"x")=1),IF(COUNTIF(B121:B124,"+")=0,VLOOKUP("x",E121:AB124,24,FALSE),VLOOKUP(D120,Z121:AB124,3,FALSE)),"ERROR"))</f>
        <v/>
      </c>
      <c r="Z120" s="369"/>
      <c r="AA120" s="372"/>
      <c r="AB120" s="318"/>
      <c r="AC120" s="61"/>
      <c r="AD120" s="61"/>
      <c r="AE120" s="61"/>
    </row>
    <row r="121" spans="1:31" s="140" customFormat="1">
      <c r="A121" s="61" t="e">
        <f t="shared" si="21"/>
        <v>#VALUE!</v>
      </c>
      <c r="B121" s="375"/>
      <c r="C121" s="275" t="s">
        <v>39</v>
      </c>
      <c r="D121" s="137" t="str">
        <f>IF(OR(COUNTIF(E121:E124,"x")&gt;1,NOT(4-COUNTIF(E121:E124,"")=COUNTIF(E121:E124,"x"))),"ERROR","")</f>
        <v/>
      </c>
      <c r="E121" s="141"/>
      <c r="F121" s="140" t="e">
        <f t="shared" ref="F121:F124" si="32">VLOOKUP($A121,$A$236:$AB$1540,F$229,FALSE)</f>
        <v>#VALUE!</v>
      </c>
      <c r="Z121" s="368" t="s">
        <v>38</v>
      </c>
      <c r="AA121" s="372" t="e">
        <f t="shared" ref="AA121:AB124" si="33">VLOOKUP($A121,$A$236:$AB$1540,AA$229,FALSE)</f>
        <v>#VALUE!</v>
      </c>
      <c r="AB121" s="318" t="e">
        <f t="shared" si="33"/>
        <v>#VALUE!</v>
      </c>
      <c r="AC121" s="61"/>
      <c r="AD121" s="61"/>
      <c r="AE121" s="61"/>
    </row>
    <row r="122" spans="1:31" s="140" customFormat="1">
      <c r="A122" s="61" t="e">
        <f t="shared" si="21"/>
        <v>#VALUE!</v>
      </c>
      <c r="B122" s="375"/>
      <c r="C122" s="275" t="s">
        <v>41</v>
      </c>
      <c r="D122" s="140" t="s">
        <v>55</v>
      </c>
      <c r="E122" s="141"/>
      <c r="F122" s="140" t="e">
        <f t="shared" si="32"/>
        <v>#VALUE!</v>
      </c>
      <c r="Z122" s="368" t="s">
        <v>40</v>
      </c>
      <c r="AA122" s="372" t="e">
        <f t="shared" si="33"/>
        <v>#VALUE!</v>
      </c>
      <c r="AB122" s="318" t="e">
        <f t="shared" si="33"/>
        <v>#VALUE!</v>
      </c>
      <c r="AC122" s="61"/>
      <c r="AD122" s="61"/>
      <c r="AE122" s="61"/>
    </row>
    <row r="123" spans="1:31" s="140" customFormat="1">
      <c r="A123" s="61" t="e">
        <f t="shared" si="21"/>
        <v>#VALUE!</v>
      </c>
      <c r="B123" s="375"/>
      <c r="C123" s="275" t="s">
        <v>43</v>
      </c>
      <c r="D123" s="140" t="s">
        <v>55</v>
      </c>
      <c r="E123" s="141"/>
      <c r="F123" s="140" t="e">
        <f t="shared" si="32"/>
        <v>#VALUE!</v>
      </c>
      <c r="Z123" s="368" t="s">
        <v>42</v>
      </c>
      <c r="AA123" s="372" t="e">
        <f t="shared" si="33"/>
        <v>#VALUE!</v>
      </c>
      <c r="AB123" s="318" t="e">
        <f t="shared" si="33"/>
        <v>#VALUE!</v>
      </c>
      <c r="AC123" s="61"/>
      <c r="AD123" s="61"/>
      <c r="AE123" s="61"/>
    </row>
    <row r="124" spans="1:31" s="140" customFormat="1">
      <c r="A124" s="61" t="e">
        <f t="shared" si="21"/>
        <v>#VALUE!</v>
      </c>
      <c r="B124" s="375"/>
      <c r="C124" s="275" t="s">
        <v>45</v>
      </c>
      <c r="D124" s="140" t="s">
        <v>55</v>
      </c>
      <c r="E124" s="141"/>
      <c r="F124" s="42" t="e">
        <f t="shared" si="32"/>
        <v>#VALUE!</v>
      </c>
      <c r="Z124" s="368" t="s">
        <v>44</v>
      </c>
      <c r="AA124" s="372"/>
      <c r="AB124" s="318" t="e">
        <f t="shared" si="33"/>
        <v>#VALUE!</v>
      </c>
      <c r="AC124" s="61"/>
      <c r="AD124" s="61"/>
      <c r="AE124" s="61"/>
    </row>
    <row r="125" spans="1:31" s="140" customFormat="1">
      <c r="A125" s="61" t="e">
        <f t="shared" si="21"/>
        <v>#VALUE!</v>
      </c>
      <c r="B125" s="375"/>
      <c r="C125" s="275"/>
      <c r="Z125" s="368"/>
      <c r="AA125" s="372"/>
      <c r="AB125" s="318"/>
      <c r="AC125" s="61"/>
      <c r="AD125" s="61"/>
      <c r="AE125" s="61"/>
    </row>
    <row r="126" spans="1:31" s="140" customFormat="1">
      <c r="A126" s="61" t="e">
        <f t="shared" si="21"/>
        <v>#VALUE!</v>
      </c>
      <c r="B126" s="375"/>
      <c r="C126" s="275"/>
      <c r="D126" s="46">
        <v>17</v>
      </c>
      <c r="E126" s="46" t="e">
        <f>VLOOKUP($A126,$A$236:$AB$1540,E$229,FALSE)</f>
        <v>#VALUE!</v>
      </c>
      <c r="F126" s="47"/>
      <c r="G126" s="47"/>
      <c r="H126" s="47"/>
      <c r="I126" s="47"/>
      <c r="J126" s="47"/>
      <c r="K126" s="47"/>
      <c r="L126" s="47"/>
      <c r="M126" s="47"/>
      <c r="N126" s="47"/>
      <c r="O126" s="47"/>
      <c r="P126" s="47"/>
      <c r="Q126" s="47"/>
      <c r="R126" s="47"/>
      <c r="S126" s="47"/>
      <c r="T126" s="47"/>
      <c r="U126" s="47"/>
      <c r="V126" s="47"/>
      <c r="W126" s="47"/>
      <c r="X126" s="47"/>
      <c r="Y126" s="47"/>
      <c r="Z126" s="369" t="str">
        <f>IF(AND(COUNTIF(E128:E131,"")=3,COUNTIF(E128:E131,"x")=1),VLOOKUP("x",E128:Z131,22,FALSE),"")</f>
        <v/>
      </c>
      <c r="AA126" s="372"/>
      <c r="AB126" s="318"/>
      <c r="AC126" s="61"/>
      <c r="AD126" s="61"/>
      <c r="AE126" s="61"/>
    </row>
    <row r="127" spans="1:31" s="140" customFormat="1">
      <c r="A127" s="61" t="e">
        <f t="shared" si="21"/>
        <v>#VALUE!</v>
      </c>
      <c r="B127" s="375"/>
      <c r="C127" s="275"/>
      <c r="D127" s="29" t="e">
        <f>VLOOKUP(D126,$D$156:$E$175,2,FALSE)</f>
        <v>#VALUE!</v>
      </c>
      <c r="F127" s="43" t="str">
        <f>IF(OR(J127="",J127="ERROR"),"",IF(AND(COUNTIF(E128:E131,"")=3,COUNTIF(E128:E131,"x")=1,VLOOKUP(D126,$D$156:$E$175,2,FALSE)=Z126),"CORRECTO","INCORRECTO"))</f>
        <v/>
      </c>
      <c r="J127" s="48" t="str">
        <f>IF(OR(D128="ERROR",COUNTIF(E128:E131,"")=4,AND(NOT($U$2="x"),OR(NOT($V$168="x"),COUNTIF($N$156:$N$175,"")&gt;0))),"",IF(AND(COUNTIF(E128:E131,"")=3,COUNTIF(E128:E131,"x")=1),IF(COUNTIF(B128:B131,"+")=0,VLOOKUP("x",E128:AB131,24,FALSE),VLOOKUP(D127,Z128:AB131,3,FALSE)),"ERROR"))</f>
        <v/>
      </c>
      <c r="Z127" s="369"/>
      <c r="AA127" s="372"/>
      <c r="AB127" s="318"/>
      <c r="AC127" s="61"/>
      <c r="AD127" s="61"/>
      <c r="AE127" s="61"/>
    </row>
    <row r="128" spans="1:31" s="140" customFormat="1">
      <c r="A128" s="61" t="e">
        <f t="shared" si="21"/>
        <v>#VALUE!</v>
      </c>
      <c r="B128" s="375"/>
      <c r="C128" s="275" t="s">
        <v>39</v>
      </c>
      <c r="D128" s="137" t="str">
        <f>IF(OR(COUNTIF(E128:E131,"x")&gt;1,NOT(4-COUNTIF(E128:E131,"")=COUNTIF(E128:E131,"x"))),"ERROR","")</f>
        <v/>
      </c>
      <c r="E128" s="141"/>
      <c r="F128" s="140" t="e">
        <f t="shared" ref="F128:F131" si="34">VLOOKUP($A128,$A$236:$AB$1540,F$229,FALSE)</f>
        <v>#VALUE!</v>
      </c>
      <c r="Z128" s="368" t="s">
        <v>38</v>
      </c>
      <c r="AA128" s="372" t="e">
        <f t="shared" ref="AA128:AB131" si="35">VLOOKUP($A128,$A$236:$AB$1540,AA$229,FALSE)</f>
        <v>#VALUE!</v>
      </c>
      <c r="AB128" s="318" t="e">
        <f t="shared" si="35"/>
        <v>#VALUE!</v>
      </c>
      <c r="AC128" s="61"/>
      <c r="AD128" s="61"/>
      <c r="AE128" s="61"/>
    </row>
    <row r="129" spans="1:31" s="140" customFormat="1">
      <c r="A129" s="61" t="e">
        <f t="shared" si="21"/>
        <v>#VALUE!</v>
      </c>
      <c r="B129" s="375"/>
      <c r="C129" s="275" t="s">
        <v>41</v>
      </c>
      <c r="D129" s="140" t="s">
        <v>55</v>
      </c>
      <c r="E129" s="141"/>
      <c r="F129" s="140" t="e">
        <f t="shared" si="34"/>
        <v>#VALUE!</v>
      </c>
      <c r="Z129" s="368" t="s">
        <v>40</v>
      </c>
      <c r="AA129" s="372" t="e">
        <f t="shared" si="35"/>
        <v>#VALUE!</v>
      </c>
      <c r="AB129" s="318" t="e">
        <f t="shared" si="35"/>
        <v>#VALUE!</v>
      </c>
      <c r="AC129" s="61"/>
      <c r="AD129" s="61"/>
      <c r="AE129" s="61"/>
    </row>
    <row r="130" spans="1:31" s="140" customFormat="1">
      <c r="A130" s="61" t="e">
        <f t="shared" si="21"/>
        <v>#VALUE!</v>
      </c>
      <c r="B130" s="375"/>
      <c r="C130" s="275" t="s">
        <v>43</v>
      </c>
      <c r="D130" s="140" t="s">
        <v>55</v>
      </c>
      <c r="E130" s="141"/>
      <c r="F130" s="140" t="e">
        <f t="shared" si="34"/>
        <v>#VALUE!</v>
      </c>
      <c r="Z130" s="368" t="s">
        <v>42</v>
      </c>
      <c r="AA130" s="372" t="e">
        <f t="shared" si="35"/>
        <v>#VALUE!</v>
      </c>
      <c r="AB130" s="318" t="e">
        <f t="shared" si="35"/>
        <v>#VALUE!</v>
      </c>
      <c r="AC130" s="61"/>
      <c r="AD130" s="61"/>
      <c r="AE130" s="61"/>
    </row>
    <row r="131" spans="1:31" s="140" customFormat="1">
      <c r="A131" s="61" t="e">
        <f t="shared" si="21"/>
        <v>#VALUE!</v>
      </c>
      <c r="B131" s="375"/>
      <c r="C131" s="275" t="s">
        <v>45</v>
      </c>
      <c r="D131" s="140" t="s">
        <v>55</v>
      </c>
      <c r="E131" s="141"/>
      <c r="F131" s="140" t="e">
        <f t="shared" si="34"/>
        <v>#VALUE!</v>
      </c>
      <c r="Z131" s="368" t="s">
        <v>44</v>
      </c>
      <c r="AA131" s="372" t="e">
        <f t="shared" si="35"/>
        <v>#VALUE!</v>
      </c>
      <c r="AB131" s="318" t="e">
        <f t="shared" si="35"/>
        <v>#VALUE!</v>
      </c>
      <c r="AC131" s="61"/>
      <c r="AD131" s="61"/>
      <c r="AE131" s="61"/>
    </row>
    <row r="132" spans="1:31" s="140" customFormat="1">
      <c r="A132" s="61" t="e">
        <f t="shared" si="21"/>
        <v>#VALUE!</v>
      </c>
      <c r="B132" s="375"/>
      <c r="C132" s="275"/>
      <c r="Z132" s="368"/>
      <c r="AA132" s="371"/>
      <c r="AB132" s="318"/>
      <c r="AC132" s="61"/>
      <c r="AD132" s="61"/>
      <c r="AE132" s="61"/>
    </row>
    <row r="133" spans="1:31" s="140" customFormat="1">
      <c r="A133" s="61" t="e">
        <f t="shared" si="21"/>
        <v>#VALUE!</v>
      </c>
      <c r="B133" s="375"/>
      <c r="C133" s="275"/>
      <c r="D133" s="46">
        <v>18</v>
      </c>
      <c r="E133" s="46" t="e">
        <f>VLOOKUP($A133,$A$236:$AB$1540,E$229,FALSE)</f>
        <v>#VALUE!</v>
      </c>
      <c r="F133" s="47"/>
      <c r="G133" s="47"/>
      <c r="H133" s="47"/>
      <c r="I133" s="47"/>
      <c r="J133" s="47"/>
      <c r="K133" s="47"/>
      <c r="L133" s="47"/>
      <c r="M133" s="47"/>
      <c r="N133" s="47"/>
      <c r="O133" s="47"/>
      <c r="P133" s="47"/>
      <c r="Q133" s="47"/>
      <c r="R133" s="47"/>
      <c r="S133" s="47"/>
      <c r="T133" s="47"/>
      <c r="U133" s="47"/>
      <c r="V133" s="47"/>
      <c r="W133" s="47"/>
      <c r="X133" s="47"/>
      <c r="Y133" s="47"/>
      <c r="Z133" s="369" t="str">
        <f>IF(AND(COUNTIF(E135:E138,"")=3,COUNTIF(E135:E138,"x")=1),VLOOKUP("x",E135:Z138,22,FALSE),"")</f>
        <v/>
      </c>
      <c r="AA133" s="371"/>
      <c r="AB133" s="318"/>
      <c r="AC133" s="61"/>
      <c r="AD133" s="61"/>
      <c r="AE133" s="61"/>
    </row>
    <row r="134" spans="1:31" s="140" customFormat="1">
      <c r="A134" s="61" t="e">
        <f t="shared" si="21"/>
        <v>#VALUE!</v>
      </c>
      <c r="B134" s="375"/>
      <c r="C134" s="275"/>
      <c r="D134" s="29" t="e">
        <f>VLOOKUP(D133,$D$156:$E$175,2,FALSE)</f>
        <v>#VALUE!</v>
      </c>
      <c r="F134" s="43" t="str">
        <f>IF(OR(J134="",J134="ERROR"),"",IF(AND(COUNTIF(E135:E138,"")=3,COUNTIF(E135:E138,"x")=1,VLOOKUP(D133,$D$156:$E$175,2,FALSE)=Z133),"CORRECTO","INCORRECTO"))</f>
        <v/>
      </c>
      <c r="J134" s="48" t="str">
        <f>IF(OR(D135="ERROR",COUNTIF(E135:E138,"")=4,AND(NOT($U$2="x"),OR(NOT($V$168="x"),COUNTIF($N$156:$N$175,"")&gt;0))),"",IF(AND(COUNTIF(E135:E138,"")=3,COUNTIF(E135:E138,"x")=1),IF(COUNTIF(B135:B138,"+")=0,VLOOKUP("x",E135:AB138,24,FALSE),VLOOKUP(D134,Z135:AB138,3,FALSE)),"ERROR"))</f>
        <v/>
      </c>
      <c r="Z134" s="369"/>
      <c r="AA134" s="371"/>
      <c r="AB134" s="318"/>
      <c r="AC134" s="61"/>
      <c r="AD134" s="61"/>
      <c r="AE134" s="61"/>
    </row>
    <row r="135" spans="1:31" s="140" customFormat="1">
      <c r="A135" s="61" t="e">
        <f t="shared" si="21"/>
        <v>#VALUE!</v>
      </c>
      <c r="B135" s="375"/>
      <c r="C135" s="275" t="s">
        <v>39</v>
      </c>
      <c r="D135" s="137" t="str">
        <f>IF(OR(COUNTIF(E135:E138,"x")&gt;1,NOT(4-COUNTIF(E135:E138,"")=COUNTIF(E135:E138,"x"))),"ERROR","")</f>
        <v/>
      </c>
      <c r="E135" s="141"/>
      <c r="F135" s="42" t="e">
        <f t="shared" ref="F135:F138" si="36">VLOOKUP($A135,$A$236:$AB$1540,F$229,FALSE)</f>
        <v>#VALUE!</v>
      </c>
      <c r="Z135" s="368" t="s">
        <v>38</v>
      </c>
      <c r="AA135" s="371" t="e">
        <f t="shared" ref="AA135:AB138" si="37">VLOOKUP($A135,$A$236:$AB$1540,AA$229,FALSE)</f>
        <v>#VALUE!</v>
      </c>
      <c r="AB135" s="318" t="e">
        <f t="shared" si="37"/>
        <v>#VALUE!</v>
      </c>
      <c r="AC135" s="61"/>
      <c r="AD135" s="61"/>
      <c r="AE135" s="61"/>
    </row>
    <row r="136" spans="1:31" s="140" customFormat="1">
      <c r="A136" s="61" t="e">
        <f t="shared" si="21"/>
        <v>#VALUE!</v>
      </c>
      <c r="B136" s="375"/>
      <c r="C136" s="275" t="s">
        <v>41</v>
      </c>
      <c r="D136" s="140" t="s">
        <v>55</v>
      </c>
      <c r="E136" s="141"/>
      <c r="F136" s="42" t="e">
        <f t="shared" si="36"/>
        <v>#VALUE!</v>
      </c>
      <c r="Z136" s="368" t="s">
        <v>40</v>
      </c>
      <c r="AA136" s="371" t="e">
        <f t="shared" si="37"/>
        <v>#VALUE!</v>
      </c>
      <c r="AB136" s="318" t="e">
        <f t="shared" si="37"/>
        <v>#VALUE!</v>
      </c>
      <c r="AC136" s="61"/>
      <c r="AD136" s="61"/>
      <c r="AE136" s="61"/>
    </row>
    <row r="137" spans="1:31" s="140" customFormat="1">
      <c r="A137" s="61" t="e">
        <f t="shared" si="21"/>
        <v>#VALUE!</v>
      </c>
      <c r="B137" s="375"/>
      <c r="C137" s="275" t="s">
        <v>43</v>
      </c>
      <c r="D137" s="140" t="s">
        <v>55</v>
      </c>
      <c r="E137" s="141"/>
      <c r="F137" s="140" t="e">
        <f t="shared" si="36"/>
        <v>#VALUE!</v>
      </c>
      <c r="Z137" s="368" t="s">
        <v>42</v>
      </c>
      <c r="AA137" s="371" t="e">
        <f t="shared" si="37"/>
        <v>#VALUE!</v>
      </c>
      <c r="AB137" s="318" t="e">
        <f t="shared" si="37"/>
        <v>#VALUE!</v>
      </c>
      <c r="AC137" s="61"/>
      <c r="AD137" s="61"/>
      <c r="AE137" s="61"/>
    </row>
    <row r="138" spans="1:31" s="140" customFormat="1">
      <c r="A138" s="61" t="e">
        <f t="shared" si="21"/>
        <v>#VALUE!</v>
      </c>
      <c r="B138" s="375"/>
      <c r="C138" s="275" t="s">
        <v>45</v>
      </c>
      <c r="D138" s="140" t="s">
        <v>55</v>
      </c>
      <c r="E138" s="141"/>
      <c r="F138" s="42" t="e">
        <f t="shared" si="36"/>
        <v>#VALUE!</v>
      </c>
      <c r="Z138" s="368" t="s">
        <v>44</v>
      </c>
      <c r="AA138" s="371"/>
      <c r="AB138" s="318" t="e">
        <f t="shared" si="37"/>
        <v>#VALUE!</v>
      </c>
      <c r="AC138" s="61"/>
      <c r="AD138" s="61"/>
      <c r="AE138" s="61"/>
    </row>
    <row r="139" spans="1:31" s="140" customFormat="1">
      <c r="A139" s="61" t="e">
        <f t="shared" si="21"/>
        <v>#VALUE!</v>
      </c>
      <c r="B139" s="375"/>
      <c r="C139" s="275"/>
      <c r="F139" s="42"/>
      <c r="Z139" s="368"/>
      <c r="AA139" s="371"/>
      <c r="AB139" s="318"/>
      <c r="AC139" s="61"/>
      <c r="AD139" s="61"/>
      <c r="AE139" s="61"/>
    </row>
    <row r="140" spans="1:31" s="140" customFormat="1">
      <c r="A140" s="61" t="e">
        <f t="shared" si="21"/>
        <v>#VALUE!</v>
      </c>
      <c r="B140" s="375"/>
      <c r="C140" s="275"/>
      <c r="D140" s="46">
        <v>19</v>
      </c>
      <c r="E140" s="46" t="e">
        <f>VLOOKUP($A140,$A$236:$AB$1540,E$229,FALSE)</f>
        <v>#VALUE!</v>
      </c>
      <c r="F140" s="47"/>
      <c r="G140" s="47"/>
      <c r="H140" s="47"/>
      <c r="I140" s="47"/>
      <c r="J140" s="47"/>
      <c r="K140" s="47"/>
      <c r="L140" s="47"/>
      <c r="M140" s="47"/>
      <c r="N140" s="47"/>
      <c r="O140" s="47"/>
      <c r="P140" s="47"/>
      <c r="Q140" s="47"/>
      <c r="R140" s="47"/>
      <c r="S140" s="47"/>
      <c r="T140" s="47"/>
      <c r="U140" s="47"/>
      <c r="V140" s="47"/>
      <c r="W140" s="47"/>
      <c r="X140" s="47"/>
      <c r="Y140" s="47"/>
      <c r="Z140" s="369" t="str">
        <f>IF(AND(COUNTIF(E142:E145,"")=3,COUNTIF(E142:E145,"x")=1),VLOOKUP("x",E142:Z145,22,FALSE),"")</f>
        <v/>
      </c>
      <c r="AA140" s="371"/>
      <c r="AB140" s="318"/>
      <c r="AC140" s="61"/>
      <c r="AD140" s="61"/>
      <c r="AE140" s="61"/>
    </row>
    <row r="141" spans="1:31" s="140" customFormat="1">
      <c r="A141" s="61" t="e">
        <f t="shared" si="21"/>
        <v>#VALUE!</v>
      </c>
      <c r="B141" s="375"/>
      <c r="C141" s="275"/>
      <c r="D141" s="29" t="e">
        <f>VLOOKUP(D140,$D$156:$E$175,2,FALSE)</f>
        <v>#VALUE!</v>
      </c>
      <c r="F141" s="43" t="str">
        <f>IF(OR(J141="",J141="ERROR"),"",IF(AND(COUNTIF(E142:E145,"")=3,COUNTIF(E142:E145,"x")=1,VLOOKUP(D140,$D$156:$E$175,2,FALSE)=Z140),"CORRECTO","INCORRECTO"))</f>
        <v/>
      </c>
      <c r="J141" s="48" t="str">
        <f>IF(OR(D142="ERROR",COUNTIF(E142:E145,"")=4,AND(NOT($U$2="x"),OR(NOT($V$168="x"),COUNTIF($N$156:$N$175,"")&gt;0))),"",IF(AND(COUNTIF(E142:E145,"")=3,COUNTIF(E142:E145,"x")=1),IF(COUNTIF(B142:B145,"+")=0,VLOOKUP("x",E142:AB145,24,FALSE),VLOOKUP(D141,Z142:AB145,3,FALSE)),"ERROR"))</f>
        <v/>
      </c>
      <c r="Z141" s="369"/>
      <c r="AA141" s="371"/>
      <c r="AB141" s="318"/>
      <c r="AC141" s="61"/>
      <c r="AD141" s="61"/>
      <c r="AE141" s="61"/>
    </row>
    <row r="142" spans="1:31" s="140" customFormat="1">
      <c r="A142" s="61" t="e">
        <f t="shared" si="21"/>
        <v>#VALUE!</v>
      </c>
      <c r="B142" s="375"/>
      <c r="C142" s="275" t="s">
        <v>39</v>
      </c>
      <c r="D142" s="137" t="str">
        <f>IF(OR(COUNTIF(E142:E145,"x")&gt;1,NOT(4-COUNTIF(E142:E145,"")=COUNTIF(E142:E145,"x"))),"ERROR","")</f>
        <v/>
      </c>
      <c r="E142" s="141"/>
      <c r="F142" s="42" t="e">
        <f t="shared" ref="F142:F145" si="38">VLOOKUP($A142,$A$236:$AB$1540,F$229,FALSE)</f>
        <v>#VALUE!</v>
      </c>
      <c r="Z142" s="368" t="s">
        <v>38</v>
      </c>
      <c r="AA142" s="373" t="e">
        <f t="shared" ref="AA142:AB145" si="39">VLOOKUP($A142,$A$236:$AB$1540,AA$229,FALSE)</f>
        <v>#VALUE!</v>
      </c>
      <c r="AB142" s="318" t="e">
        <f t="shared" si="39"/>
        <v>#VALUE!</v>
      </c>
      <c r="AC142" s="61"/>
      <c r="AD142" s="61"/>
      <c r="AE142" s="61"/>
    </row>
    <row r="143" spans="1:31" s="140" customFormat="1">
      <c r="A143" s="61" t="e">
        <f t="shared" si="21"/>
        <v>#VALUE!</v>
      </c>
      <c r="B143" s="375"/>
      <c r="C143" s="275" t="s">
        <v>41</v>
      </c>
      <c r="D143" s="140" t="s">
        <v>55</v>
      </c>
      <c r="E143" s="141"/>
      <c r="F143" s="42" t="e">
        <f t="shared" si="38"/>
        <v>#VALUE!</v>
      </c>
      <c r="Z143" s="368" t="s">
        <v>40</v>
      </c>
      <c r="AA143" s="373" t="e">
        <f t="shared" si="39"/>
        <v>#VALUE!</v>
      </c>
      <c r="AB143" s="318" t="e">
        <f t="shared" si="39"/>
        <v>#VALUE!</v>
      </c>
      <c r="AC143" s="61"/>
      <c r="AD143" s="61"/>
      <c r="AE143" s="61"/>
    </row>
    <row r="144" spans="1:31" s="140" customFormat="1">
      <c r="A144" s="61" t="e">
        <f t="shared" ref="A144:A207" si="40">1+A143</f>
        <v>#VALUE!</v>
      </c>
      <c r="B144" s="375"/>
      <c r="C144" s="275" t="s">
        <v>43</v>
      </c>
      <c r="D144" s="140" t="s">
        <v>55</v>
      </c>
      <c r="E144" s="141"/>
      <c r="F144" s="140" t="e">
        <f t="shared" si="38"/>
        <v>#VALUE!</v>
      </c>
      <c r="Z144" s="368" t="s">
        <v>42</v>
      </c>
      <c r="AA144" s="373" t="e">
        <f t="shared" si="39"/>
        <v>#VALUE!</v>
      </c>
      <c r="AB144" s="318" t="e">
        <f t="shared" si="39"/>
        <v>#VALUE!</v>
      </c>
      <c r="AC144" s="61"/>
      <c r="AD144" s="61"/>
      <c r="AE144" s="61"/>
    </row>
    <row r="145" spans="1:31" s="140" customFormat="1">
      <c r="A145" s="61" t="e">
        <f t="shared" si="40"/>
        <v>#VALUE!</v>
      </c>
      <c r="B145" s="375"/>
      <c r="C145" s="275" t="s">
        <v>45</v>
      </c>
      <c r="D145" s="140" t="s">
        <v>55</v>
      </c>
      <c r="E145" s="141"/>
      <c r="F145" s="42" t="e">
        <f t="shared" si="38"/>
        <v>#VALUE!</v>
      </c>
      <c r="Z145" s="368" t="s">
        <v>44</v>
      </c>
      <c r="AA145" s="373"/>
      <c r="AB145" s="318" t="e">
        <f t="shared" si="39"/>
        <v>#VALUE!</v>
      </c>
      <c r="AC145" s="61"/>
      <c r="AD145" s="61"/>
      <c r="AE145" s="61"/>
    </row>
    <row r="146" spans="1:31" s="140" customFormat="1">
      <c r="A146" s="61" t="e">
        <f t="shared" si="40"/>
        <v>#VALUE!</v>
      </c>
      <c r="B146" s="375"/>
      <c r="C146" s="275"/>
      <c r="F146" s="42"/>
      <c r="Z146" s="368"/>
      <c r="AA146" s="371"/>
      <c r="AB146" s="318"/>
      <c r="AC146" s="61"/>
      <c r="AD146" s="61"/>
      <c r="AE146" s="61"/>
    </row>
    <row r="147" spans="1:31" s="140" customFormat="1">
      <c r="A147" s="61" t="e">
        <f t="shared" si="40"/>
        <v>#VALUE!</v>
      </c>
      <c r="B147" s="375"/>
      <c r="C147" s="275"/>
      <c r="D147" s="46">
        <v>20</v>
      </c>
      <c r="E147" s="46" t="e">
        <f>VLOOKUP($A147,$A$236:$AB$1540,E$229,FALSE)</f>
        <v>#VALUE!</v>
      </c>
      <c r="F147" s="47"/>
      <c r="G147" s="47"/>
      <c r="H147" s="47"/>
      <c r="I147" s="47"/>
      <c r="J147" s="47"/>
      <c r="K147" s="47"/>
      <c r="L147" s="47"/>
      <c r="M147" s="47"/>
      <c r="N147" s="47"/>
      <c r="O147" s="47"/>
      <c r="P147" s="47"/>
      <c r="Q147" s="47"/>
      <c r="R147" s="47"/>
      <c r="S147" s="47"/>
      <c r="T147" s="47"/>
      <c r="U147" s="47"/>
      <c r="V147" s="47"/>
      <c r="W147" s="47"/>
      <c r="X147" s="47"/>
      <c r="Y147" s="47"/>
      <c r="Z147" s="369" t="str">
        <f>IF(AND(COUNTIF(E149:E152,"")=3,COUNTIF(E149:E152,"x")=1),VLOOKUP("x",E149:Z152,22,FALSE),"")</f>
        <v/>
      </c>
      <c r="AA147" s="371"/>
      <c r="AB147" s="318"/>
      <c r="AC147" s="61"/>
      <c r="AD147" s="61"/>
      <c r="AE147" s="61"/>
    </row>
    <row r="148" spans="1:31" s="140" customFormat="1">
      <c r="A148" s="61" t="e">
        <f t="shared" si="40"/>
        <v>#VALUE!</v>
      </c>
      <c r="B148" s="375"/>
      <c r="C148" s="275"/>
      <c r="D148" s="29" t="e">
        <f>VLOOKUP(D147,$D$156:$E$175,2,FALSE)</f>
        <v>#VALUE!</v>
      </c>
      <c r="F148" s="43" t="str">
        <f>IF(OR(J148="",J148="ERROR"),"",IF(AND(COUNTIF(E149:E152,"")=3,COUNTIF(E149:E152,"x")=1,VLOOKUP(D147,$D$156:$E$175,2,FALSE)=Z147),"CORRECTO","INCORRECTO"))</f>
        <v/>
      </c>
      <c r="J148" s="48" t="str">
        <f>IF(OR(D149="ERROR",COUNTIF(E149:E152,"")=4,AND(NOT($U$2="x"),OR(NOT($V$168="x"),COUNTIF($N$156:$N$175,"")&gt;0))),"",IF(AND(COUNTIF(E149:E152,"")=3,COUNTIF(E149:E152,"x")=1),IF(COUNTIF(B149:B152,"+")=0,VLOOKUP("x",E149:AB152,24,FALSE),VLOOKUP(D148,Z149:AB152,3,FALSE)),"ERROR"))</f>
        <v/>
      </c>
      <c r="Z148" s="369"/>
      <c r="AA148" s="371"/>
      <c r="AB148" s="318"/>
      <c r="AC148" s="61"/>
      <c r="AD148" s="61"/>
      <c r="AE148" s="61"/>
    </row>
    <row r="149" spans="1:31" s="140" customFormat="1">
      <c r="A149" s="61" t="e">
        <f t="shared" si="40"/>
        <v>#VALUE!</v>
      </c>
      <c r="B149" s="375"/>
      <c r="C149" s="275" t="s">
        <v>39</v>
      </c>
      <c r="D149" s="137" t="str">
        <f>IF(OR(COUNTIF(E149:E152,"x")&gt;1,NOT(4-COUNTIF(E149:E152,"")=COUNTIF(E149:E152,"x"))),"ERROR","")</f>
        <v/>
      </c>
      <c r="E149" s="141"/>
      <c r="F149" s="140" t="e">
        <f t="shared" ref="F149:F152" si="41">VLOOKUP($A149,$A$236:$AB$1540,F$229,FALSE)</f>
        <v>#VALUE!</v>
      </c>
      <c r="Z149" s="368" t="s">
        <v>38</v>
      </c>
      <c r="AA149" s="371" t="e">
        <f t="shared" ref="AA149:AB152" si="42">VLOOKUP($A149,$A$236:$AB$1540,AA$229,FALSE)</f>
        <v>#VALUE!</v>
      </c>
      <c r="AB149" s="318" t="e">
        <f t="shared" si="42"/>
        <v>#VALUE!</v>
      </c>
      <c r="AC149" s="61"/>
      <c r="AD149" s="61"/>
      <c r="AE149" s="61"/>
    </row>
    <row r="150" spans="1:31" s="140" customFormat="1">
      <c r="A150" s="61" t="e">
        <f t="shared" si="40"/>
        <v>#VALUE!</v>
      </c>
      <c r="B150" s="375"/>
      <c r="C150" s="275" t="s">
        <v>41</v>
      </c>
      <c r="D150" s="140" t="s">
        <v>55</v>
      </c>
      <c r="E150" s="141"/>
      <c r="F150" s="140" t="e">
        <f t="shared" si="41"/>
        <v>#VALUE!</v>
      </c>
      <c r="Z150" s="368" t="s">
        <v>40</v>
      </c>
      <c r="AA150" s="371" t="e">
        <f t="shared" si="42"/>
        <v>#VALUE!</v>
      </c>
      <c r="AB150" s="318" t="e">
        <f t="shared" si="42"/>
        <v>#VALUE!</v>
      </c>
      <c r="AC150" s="61"/>
      <c r="AD150" s="61"/>
      <c r="AE150" s="61"/>
    </row>
    <row r="151" spans="1:31" s="140" customFormat="1">
      <c r="A151" s="61" t="e">
        <f t="shared" si="40"/>
        <v>#VALUE!</v>
      </c>
      <c r="B151" s="375"/>
      <c r="C151" s="275" t="s">
        <v>43</v>
      </c>
      <c r="D151" s="140" t="s">
        <v>55</v>
      </c>
      <c r="E151" s="141"/>
      <c r="F151" s="140" t="e">
        <f t="shared" si="41"/>
        <v>#VALUE!</v>
      </c>
      <c r="Z151" s="368" t="s">
        <v>42</v>
      </c>
      <c r="AA151" s="371" t="e">
        <f t="shared" si="42"/>
        <v>#VALUE!</v>
      </c>
      <c r="AB151" s="318" t="e">
        <f t="shared" si="42"/>
        <v>#VALUE!</v>
      </c>
      <c r="AC151" s="61"/>
      <c r="AD151" s="61"/>
      <c r="AE151" s="61"/>
    </row>
    <row r="152" spans="1:31" s="140" customFormat="1">
      <c r="A152" s="61" t="e">
        <f t="shared" si="40"/>
        <v>#VALUE!</v>
      </c>
      <c r="B152" s="375"/>
      <c r="C152" s="275" t="s">
        <v>45</v>
      </c>
      <c r="D152" s="140" t="s">
        <v>55</v>
      </c>
      <c r="E152" s="141"/>
      <c r="F152" s="42" t="e">
        <f t="shared" si="41"/>
        <v>#VALUE!</v>
      </c>
      <c r="Z152" s="368" t="s">
        <v>44</v>
      </c>
      <c r="AA152" s="371"/>
      <c r="AB152" s="318" t="e">
        <f t="shared" si="42"/>
        <v>#VALUE!</v>
      </c>
      <c r="AC152" s="61"/>
      <c r="AD152" s="61"/>
      <c r="AE152" s="61"/>
    </row>
    <row r="153" spans="1:31" s="140" customFormat="1">
      <c r="A153" s="61" t="e">
        <f t="shared" si="40"/>
        <v>#VALUE!</v>
      </c>
      <c r="B153" s="29"/>
      <c r="E153" s="273"/>
      <c r="Z153" s="61"/>
      <c r="AA153" s="368"/>
      <c r="AB153" s="61"/>
      <c r="AC153" s="61"/>
      <c r="AD153" s="61"/>
      <c r="AE153" s="61"/>
    </row>
    <row r="154" spans="1:31" s="140" customFormat="1">
      <c r="A154" s="61" t="e">
        <f t="shared" si="40"/>
        <v>#VALUE!</v>
      </c>
      <c r="B154" s="29"/>
      <c r="Z154" s="61"/>
      <c r="AA154" s="368"/>
      <c r="AB154" s="61"/>
      <c r="AC154" s="61"/>
      <c r="AD154" s="61"/>
      <c r="AE154" s="61"/>
    </row>
    <row r="155" spans="1:31" s="140" customFormat="1">
      <c r="A155" s="61" t="e">
        <f t="shared" si="40"/>
        <v>#VALUE!</v>
      </c>
      <c r="B155" s="29"/>
      <c r="D155" s="57" t="s">
        <v>50</v>
      </c>
      <c r="M155" s="51" t="s">
        <v>85</v>
      </c>
      <c r="Z155" s="61"/>
      <c r="AA155" s="368"/>
      <c r="AB155" s="61"/>
      <c r="AC155" s="61"/>
      <c r="AD155" s="61"/>
      <c r="AE155" s="61"/>
    </row>
    <row r="156" spans="1:31" s="140" customFormat="1">
      <c r="A156" s="61" t="e">
        <f t="shared" si="40"/>
        <v>#VALUE!</v>
      </c>
      <c r="B156" s="29"/>
      <c r="D156" s="58">
        <v>1</v>
      </c>
      <c r="E156" s="368" t="e">
        <f t="shared" ref="E156:F175" si="43">VLOOKUP($A156,$A$236:$AB$1540,E$229,FALSE)</f>
        <v>#VALUE!</v>
      </c>
      <c r="F156" s="311" t="e">
        <f t="shared" si="43"/>
        <v>#VALUE!</v>
      </c>
      <c r="M156" s="52">
        <v>1</v>
      </c>
      <c r="N156" s="368" t="e">
        <f t="shared" ref="N156:N175" si="44">IF(VLOOKUP(M156,$D$14:$Z$152,23,FALSE)="","",VLOOKUP(M156,$D$14:$Z$152,23,FALSE))</f>
        <v>#N/A</v>
      </c>
      <c r="O156" s="53" t="e">
        <f t="shared" ref="O156:O175" si="45">VLOOKUP(N156,$H$163:$I$166,2,FALSE)</f>
        <v>#N/A</v>
      </c>
      <c r="Q156" s="54" t="e">
        <f>IF(N156="","",IF(E156=N156,"BIEN","MAL"))</f>
        <v>#N/A</v>
      </c>
      <c r="U156" s="31" t="s">
        <v>46</v>
      </c>
      <c r="V156" s="31"/>
      <c r="W156" s="30"/>
      <c r="Z156" s="61"/>
      <c r="AA156" s="368"/>
      <c r="AB156" s="61"/>
      <c r="AC156" s="61"/>
      <c r="AD156" s="61"/>
      <c r="AE156" s="61"/>
    </row>
    <row r="157" spans="1:31" s="140" customFormat="1">
      <c r="A157" s="61" t="e">
        <f t="shared" si="40"/>
        <v>#VALUE!</v>
      </c>
      <c r="B157" s="29"/>
      <c r="D157" s="58">
        <v>2</v>
      </c>
      <c r="E157" s="368" t="e">
        <f t="shared" si="43"/>
        <v>#VALUE!</v>
      </c>
      <c r="F157" s="311" t="e">
        <f t="shared" si="43"/>
        <v>#VALUE!</v>
      </c>
      <c r="H157" s="368" t="s">
        <v>38</v>
      </c>
      <c r="I157" s="61">
        <f>COUNTIF($E$156:$E$175,H157)</f>
        <v>0</v>
      </c>
      <c r="M157" s="52">
        <v>2</v>
      </c>
      <c r="N157" s="368" t="str">
        <f t="shared" si="44"/>
        <v/>
      </c>
      <c r="O157" s="53" t="e">
        <f t="shared" si="45"/>
        <v>#N/A</v>
      </c>
      <c r="Q157" s="54" t="str">
        <f t="shared" ref="Q157:Q175" si="46">IF(N157="","",IF(E157=N157,"BIEN","MAL"))</f>
        <v/>
      </c>
      <c r="U157" s="30"/>
      <c r="V157" s="30"/>
      <c r="W157" s="30"/>
      <c r="Z157" s="61"/>
      <c r="AA157" s="368"/>
      <c r="AB157" s="61"/>
      <c r="AC157" s="61"/>
      <c r="AD157" s="61"/>
      <c r="AE157" s="61"/>
    </row>
    <row r="158" spans="1:31" s="140" customFormat="1">
      <c r="A158" s="61" t="e">
        <f t="shared" si="40"/>
        <v>#VALUE!</v>
      </c>
      <c r="B158" s="29"/>
      <c r="D158" s="58">
        <v>3</v>
      </c>
      <c r="E158" s="368" t="e">
        <f t="shared" si="43"/>
        <v>#VALUE!</v>
      </c>
      <c r="F158" s="311" t="e">
        <f t="shared" si="43"/>
        <v>#VALUE!</v>
      </c>
      <c r="H158" s="368" t="s">
        <v>40</v>
      </c>
      <c r="I158" s="61">
        <f>COUNTIF($E$156:$E$175,H158)</f>
        <v>0</v>
      </c>
      <c r="M158" s="52">
        <v>3</v>
      </c>
      <c r="N158" s="368" t="str">
        <f t="shared" si="44"/>
        <v/>
      </c>
      <c r="O158" s="53" t="e">
        <f t="shared" si="45"/>
        <v>#N/A</v>
      </c>
      <c r="Q158" s="54" t="str">
        <f t="shared" si="46"/>
        <v/>
      </c>
      <c r="U158" s="32" t="s">
        <v>47</v>
      </c>
      <c r="V158" s="33">
        <f>COUNTIF(Q156:Q175,"BIEN")</f>
        <v>0</v>
      </c>
      <c r="W158" s="34" t="e">
        <f>V158/SUM($V$158:$V$160)</f>
        <v>#DIV/0!</v>
      </c>
      <c r="Z158" s="61"/>
      <c r="AA158" s="368"/>
      <c r="AB158" s="61"/>
      <c r="AC158" s="61"/>
      <c r="AD158" s="61"/>
      <c r="AE158" s="61"/>
    </row>
    <row r="159" spans="1:31" s="140" customFormat="1">
      <c r="A159" s="61" t="e">
        <f t="shared" si="40"/>
        <v>#VALUE!</v>
      </c>
      <c r="B159" s="29"/>
      <c r="D159" s="58">
        <v>4</v>
      </c>
      <c r="E159" s="368" t="e">
        <f t="shared" si="43"/>
        <v>#VALUE!</v>
      </c>
      <c r="F159" s="311" t="e">
        <f t="shared" si="43"/>
        <v>#VALUE!</v>
      </c>
      <c r="H159" s="368" t="s">
        <v>42</v>
      </c>
      <c r="I159" s="61">
        <f>COUNTIF($E$156:$E$175,H159)</f>
        <v>0</v>
      </c>
      <c r="M159" s="52">
        <v>4</v>
      </c>
      <c r="N159" s="368" t="str">
        <f t="shared" si="44"/>
        <v/>
      </c>
      <c r="O159" s="53" t="e">
        <f t="shared" si="45"/>
        <v>#N/A</v>
      </c>
      <c r="Q159" s="54" t="str">
        <f t="shared" si="46"/>
        <v/>
      </c>
      <c r="U159" s="30"/>
      <c r="V159" s="30"/>
      <c r="W159" s="30"/>
      <c r="Z159" s="61"/>
      <c r="AA159" s="368"/>
      <c r="AB159" s="61"/>
      <c r="AC159" s="61"/>
      <c r="AD159" s="61"/>
      <c r="AE159" s="61"/>
    </row>
    <row r="160" spans="1:31" s="140" customFormat="1">
      <c r="A160" s="61" t="e">
        <f t="shared" si="40"/>
        <v>#VALUE!</v>
      </c>
      <c r="B160" s="29"/>
      <c r="D160" s="58">
        <v>5</v>
      </c>
      <c r="E160" s="368" t="e">
        <f t="shared" si="43"/>
        <v>#VALUE!</v>
      </c>
      <c r="F160" s="311" t="e">
        <f t="shared" si="43"/>
        <v>#VALUE!</v>
      </c>
      <c r="H160" s="368" t="s">
        <v>44</v>
      </c>
      <c r="I160" s="61">
        <f>COUNTIF($E$156:$E$175,H160)</f>
        <v>0</v>
      </c>
      <c r="M160" s="52">
        <v>5</v>
      </c>
      <c r="N160" s="368" t="str">
        <f t="shared" si="44"/>
        <v/>
      </c>
      <c r="O160" s="53" t="e">
        <f t="shared" si="45"/>
        <v>#N/A</v>
      </c>
      <c r="Q160" s="54" t="str">
        <f t="shared" si="46"/>
        <v/>
      </c>
      <c r="U160" s="35" t="s">
        <v>48</v>
      </c>
      <c r="V160" s="36">
        <f>COUNTIF(Q156:Q175,"MAL")</f>
        <v>0</v>
      </c>
      <c r="W160" s="37" t="e">
        <f>V160/SUM($V$158:$V$160)</f>
        <v>#DIV/0!</v>
      </c>
      <c r="Z160" s="61"/>
      <c r="AA160" s="368"/>
      <c r="AB160" s="61"/>
      <c r="AC160" s="61"/>
      <c r="AD160" s="61"/>
      <c r="AE160" s="61"/>
    </row>
    <row r="161" spans="1:31" s="140" customFormat="1">
      <c r="A161" s="61" t="e">
        <f t="shared" si="40"/>
        <v>#VALUE!</v>
      </c>
      <c r="B161" s="29"/>
      <c r="D161" s="58">
        <v>6</v>
      </c>
      <c r="E161" s="368" t="e">
        <f t="shared" si="43"/>
        <v>#VALUE!</v>
      </c>
      <c r="F161" s="311" t="e">
        <f t="shared" si="43"/>
        <v>#VALUE!</v>
      </c>
      <c r="H161" s="61"/>
      <c r="I161" s="61">
        <f>SUM(I157:I160)</f>
        <v>0</v>
      </c>
      <c r="M161" s="52">
        <v>6</v>
      </c>
      <c r="N161" s="368" t="str">
        <f t="shared" si="44"/>
        <v/>
      </c>
      <c r="O161" s="53" t="e">
        <f t="shared" si="45"/>
        <v>#N/A</v>
      </c>
      <c r="Q161" s="54" t="str">
        <f t="shared" si="46"/>
        <v/>
      </c>
      <c r="U161" s="30"/>
      <c r="V161" s="30"/>
      <c r="W161" s="30"/>
      <c r="Z161" s="61"/>
      <c r="AA161" s="368"/>
      <c r="AB161" s="61"/>
      <c r="AC161" s="61"/>
      <c r="AD161" s="61"/>
      <c r="AE161" s="61"/>
    </row>
    <row r="162" spans="1:31" s="140" customFormat="1">
      <c r="A162" s="61" t="e">
        <f t="shared" si="40"/>
        <v>#VALUE!</v>
      </c>
      <c r="B162" s="29"/>
      <c r="D162" s="58">
        <v>7</v>
      </c>
      <c r="E162" s="368" t="e">
        <f t="shared" si="43"/>
        <v>#VALUE!</v>
      </c>
      <c r="F162" s="311" t="e">
        <f t="shared" si="43"/>
        <v>#VALUE!</v>
      </c>
      <c r="H162" s="61"/>
      <c r="I162" s="61"/>
      <c r="M162" s="52">
        <v>7</v>
      </c>
      <c r="N162" s="368" t="str">
        <f t="shared" si="44"/>
        <v/>
      </c>
      <c r="O162" s="53" t="e">
        <f t="shared" si="45"/>
        <v>#N/A</v>
      </c>
      <c r="Q162" s="54" t="str">
        <f t="shared" si="46"/>
        <v/>
      </c>
      <c r="V162" s="38" t="s">
        <v>49</v>
      </c>
      <c r="W162" s="39">
        <f>(V158-V160/3)/2</f>
        <v>0</v>
      </c>
      <c r="Z162" s="61"/>
      <c r="AA162" s="368"/>
      <c r="AB162" s="61"/>
      <c r="AC162" s="61"/>
      <c r="AD162" s="61"/>
      <c r="AE162" s="61"/>
    </row>
    <row r="163" spans="1:31" s="140" customFormat="1">
      <c r="A163" s="61" t="e">
        <f t="shared" si="40"/>
        <v>#VALUE!</v>
      </c>
      <c r="B163" s="29"/>
      <c r="D163" s="58">
        <v>8</v>
      </c>
      <c r="E163" s="368" t="e">
        <f t="shared" si="43"/>
        <v>#VALUE!</v>
      </c>
      <c r="F163" s="311" t="e">
        <f t="shared" si="43"/>
        <v>#VALUE!</v>
      </c>
      <c r="H163" s="368" t="s">
        <v>38</v>
      </c>
      <c r="I163" s="368" t="s">
        <v>39</v>
      </c>
      <c r="M163" s="52">
        <v>8</v>
      </c>
      <c r="N163" s="368" t="str">
        <f t="shared" si="44"/>
        <v/>
      </c>
      <c r="O163" s="53" t="e">
        <f t="shared" si="45"/>
        <v>#N/A</v>
      </c>
      <c r="Q163" s="54" t="str">
        <f t="shared" si="46"/>
        <v/>
      </c>
      <c r="Z163" s="61"/>
      <c r="AA163" s="368"/>
      <c r="AB163" s="61"/>
      <c r="AC163" s="61"/>
      <c r="AD163" s="61"/>
      <c r="AE163" s="61"/>
    </row>
    <row r="164" spans="1:31" s="140" customFormat="1">
      <c r="A164" s="61" t="e">
        <f t="shared" si="40"/>
        <v>#VALUE!</v>
      </c>
      <c r="B164" s="29"/>
      <c r="D164" s="58">
        <v>9</v>
      </c>
      <c r="E164" s="368" t="e">
        <f t="shared" si="43"/>
        <v>#VALUE!</v>
      </c>
      <c r="F164" s="311" t="e">
        <f t="shared" si="43"/>
        <v>#VALUE!</v>
      </c>
      <c r="H164" s="368" t="s">
        <v>40</v>
      </c>
      <c r="I164" s="368" t="s">
        <v>41</v>
      </c>
      <c r="M164" s="52">
        <v>9</v>
      </c>
      <c r="N164" s="368" t="str">
        <f t="shared" si="44"/>
        <v/>
      </c>
      <c r="O164" s="53" t="e">
        <f t="shared" si="45"/>
        <v>#N/A</v>
      </c>
      <c r="Q164" s="54" t="str">
        <f t="shared" si="46"/>
        <v/>
      </c>
      <c r="T164" s="40" t="str">
        <f>IF(COUNTIF(N156:N175,"")=0,IF(W162&lt;5,"Pues estás suspendido, majo",IF(W162&lt;7,"Bueeeeno, tienes un aprobadillo",IF(W162&lt;9,"Esto ya es todo un notable","¡Enhorabuena, tienes un sobresaliente! Buen trabajo"))),"")</f>
        <v/>
      </c>
      <c r="U164" s="41"/>
      <c r="V164" s="41"/>
      <c r="W164" s="41"/>
      <c r="X164" s="41"/>
      <c r="Z164" s="61"/>
      <c r="AA164" s="368"/>
      <c r="AB164" s="61"/>
      <c r="AC164" s="61"/>
      <c r="AD164" s="61"/>
      <c r="AE164" s="61"/>
    </row>
    <row r="165" spans="1:31" s="140" customFormat="1">
      <c r="A165" s="61" t="e">
        <f t="shared" si="40"/>
        <v>#VALUE!</v>
      </c>
      <c r="B165" s="29"/>
      <c r="D165" s="58">
        <v>10</v>
      </c>
      <c r="E165" s="368" t="e">
        <f t="shared" si="43"/>
        <v>#VALUE!</v>
      </c>
      <c r="F165" s="311" t="e">
        <f t="shared" si="43"/>
        <v>#VALUE!</v>
      </c>
      <c r="H165" s="368" t="s">
        <v>42</v>
      </c>
      <c r="I165" s="368" t="s">
        <v>43</v>
      </c>
      <c r="M165" s="52">
        <v>10</v>
      </c>
      <c r="N165" s="368" t="str">
        <f t="shared" si="44"/>
        <v/>
      </c>
      <c r="O165" s="53" t="e">
        <f t="shared" si="45"/>
        <v>#N/A</v>
      </c>
      <c r="Q165" s="54" t="str">
        <f t="shared" si="46"/>
        <v/>
      </c>
      <c r="Z165" s="61"/>
      <c r="AA165" s="368"/>
      <c r="AB165" s="61"/>
      <c r="AC165" s="61"/>
      <c r="AD165" s="61"/>
      <c r="AE165" s="61"/>
    </row>
    <row r="166" spans="1:31" s="140" customFormat="1">
      <c r="A166" s="61" t="e">
        <f t="shared" si="40"/>
        <v>#VALUE!</v>
      </c>
      <c r="B166" s="29"/>
      <c r="D166" s="58">
        <v>11</v>
      </c>
      <c r="E166" s="368" t="e">
        <f t="shared" si="43"/>
        <v>#VALUE!</v>
      </c>
      <c r="F166" s="311" t="e">
        <f t="shared" si="43"/>
        <v>#VALUE!</v>
      </c>
      <c r="H166" s="368" t="s">
        <v>44</v>
      </c>
      <c r="I166" s="368" t="s">
        <v>45</v>
      </c>
      <c r="M166" s="52">
        <v>11</v>
      </c>
      <c r="N166" s="368" t="str">
        <f t="shared" si="44"/>
        <v/>
      </c>
      <c r="O166" s="53" t="e">
        <f t="shared" si="45"/>
        <v>#N/A</v>
      </c>
      <c r="Q166" s="54" t="str">
        <f t="shared" si="46"/>
        <v/>
      </c>
      <c r="T166" s="55" t="s">
        <v>86</v>
      </c>
      <c r="Z166" s="61"/>
      <c r="AA166" s="368"/>
      <c r="AB166" s="61"/>
      <c r="AC166" s="61"/>
      <c r="AD166" s="61"/>
      <c r="AE166" s="61"/>
    </row>
    <row r="167" spans="1:31" s="140" customFormat="1">
      <c r="A167" s="61" t="e">
        <f t="shared" si="40"/>
        <v>#VALUE!</v>
      </c>
      <c r="B167" s="29"/>
      <c r="D167" s="58">
        <v>12</v>
      </c>
      <c r="E167" s="368" t="e">
        <f t="shared" si="43"/>
        <v>#VALUE!</v>
      </c>
      <c r="F167" s="311" t="e">
        <f t="shared" si="43"/>
        <v>#VALUE!</v>
      </c>
      <c r="H167" s="61"/>
      <c r="I167" s="61"/>
      <c r="M167" s="52">
        <v>12</v>
      </c>
      <c r="N167" s="368" t="str">
        <f t="shared" si="44"/>
        <v/>
      </c>
      <c r="O167" s="53" t="e">
        <f t="shared" si="45"/>
        <v>#N/A</v>
      </c>
      <c r="Q167" s="54" t="str">
        <f t="shared" si="46"/>
        <v/>
      </c>
      <c r="T167" s="55" t="s">
        <v>87</v>
      </c>
      <c r="Z167" s="61"/>
      <c r="AA167" s="368"/>
      <c r="AB167" s="61"/>
      <c r="AC167" s="61"/>
      <c r="AD167" s="61"/>
      <c r="AE167" s="61"/>
    </row>
    <row r="168" spans="1:31" s="140" customFormat="1">
      <c r="A168" s="61" t="e">
        <f t="shared" si="40"/>
        <v>#VALUE!</v>
      </c>
      <c r="B168" s="29"/>
      <c r="D168" s="58">
        <v>13</v>
      </c>
      <c r="E168" s="368" t="e">
        <f t="shared" si="43"/>
        <v>#VALUE!</v>
      </c>
      <c r="F168" s="311" t="e">
        <f t="shared" si="43"/>
        <v>#VALUE!</v>
      </c>
      <c r="H168" s="61">
        <v>1.1000000000000001</v>
      </c>
      <c r="I168" s="61"/>
      <c r="M168" s="52">
        <v>13</v>
      </c>
      <c r="N168" s="368" t="str">
        <f t="shared" si="44"/>
        <v/>
      </c>
      <c r="O168" s="53" t="e">
        <f t="shared" si="45"/>
        <v>#N/A</v>
      </c>
      <c r="Q168" s="54" t="str">
        <f t="shared" si="46"/>
        <v/>
      </c>
      <c r="T168" s="55" t="s">
        <v>88</v>
      </c>
      <c r="V168" s="141"/>
      <c r="W168" s="56" t="str">
        <f>IF(OR(V168="",V168="x"),"","ERROR")</f>
        <v/>
      </c>
      <c r="Z168" s="61"/>
      <c r="AA168" s="368"/>
      <c r="AB168" s="61"/>
      <c r="AC168" s="61"/>
      <c r="AD168" s="61"/>
      <c r="AE168" s="61"/>
    </row>
    <row r="169" spans="1:31" s="140" customFormat="1">
      <c r="A169" s="61" t="e">
        <f t="shared" si="40"/>
        <v>#VALUE!</v>
      </c>
      <c r="B169" s="29"/>
      <c r="D169" s="58">
        <v>14</v>
      </c>
      <c r="E169" s="368" t="e">
        <f t="shared" si="43"/>
        <v>#VALUE!</v>
      </c>
      <c r="F169" s="311" t="e">
        <f t="shared" si="43"/>
        <v>#VALUE!</v>
      </c>
      <c r="H169" s="61">
        <v>1.2</v>
      </c>
      <c r="I169" s="61"/>
      <c r="M169" s="52">
        <v>14</v>
      </c>
      <c r="N169" s="368" t="str">
        <f t="shared" si="44"/>
        <v/>
      </c>
      <c r="O169" s="53" t="e">
        <f t="shared" si="45"/>
        <v>#N/A</v>
      </c>
      <c r="Q169" s="54" t="str">
        <f t="shared" si="46"/>
        <v/>
      </c>
      <c r="V169" s="273"/>
      <c r="Z169" s="61"/>
      <c r="AA169" s="368"/>
      <c r="AB169" s="61"/>
      <c r="AC169" s="61"/>
      <c r="AD169" s="61"/>
      <c r="AE169" s="61"/>
    </row>
    <row r="170" spans="1:31" s="140" customFormat="1">
      <c r="A170" s="61" t="e">
        <f t="shared" si="40"/>
        <v>#VALUE!</v>
      </c>
      <c r="B170" s="29"/>
      <c r="D170" s="58">
        <v>15</v>
      </c>
      <c r="E170" s="368" t="e">
        <f t="shared" si="43"/>
        <v>#VALUE!</v>
      </c>
      <c r="F170" s="311" t="e">
        <f t="shared" si="43"/>
        <v>#VALUE!</v>
      </c>
      <c r="H170" s="61">
        <v>1.3</v>
      </c>
      <c r="I170" s="61"/>
      <c r="M170" s="52">
        <v>15</v>
      </c>
      <c r="N170" s="368" t="str">
        <f t="shared" si="44"/>
        <v/>
      </c>
      <c r="O170" s="53" t="e">
        <f t="shared" si="45"/>
        <v>#N/A</v>
      </c>
      <c r="Q170" s="54" t="str">
        <f t="shared" si="46"/>
        <v/>
      </c>
      <c r="Z170" s="61"/>
      <c r="AA170" s="368"/>
      <c r="AB170" s="61"/>
      <c r="AC170" s="61"/>
      <c r="AD170" s="61"/>
      <c r="AE170" s="61"/>
    </row>
    <row r="171" spans="1:31" s="140" customFormat="1">
      <c r="A171" s="61" t="e">
        <f t="shared" si="40"/>
        <v>#VALUE!</v>
      </c>
      <c r="B171" s="29"/>
      <c r="D171" s="58">
        <v>16</v>
      </c>
      <c r="E171" s="368" t="e">
        <f t="shared" si="43"/>
        <v>#VALUE!</v>
      </c>
      <c r="F171" s="311" t="e">
        <f t="shared" si="43"/>
        <v>#VALUE!</v>
      </c>
      <c r="H171" s="61">
        <v>1.4</v>
      </c>
      <c r="I171" s="61"/>
      <c r="M171" s="52">
        <v>16</v>
      </c>
      <c r="N171" s="368" t="str">
        <f t="shared" si="44"/>
        <v/>
      </c>
      <c r="O171" s="53" t="e">
        <f t="shared" si="45"/>
        <v>#N/A</v>
      </c>
      <c r="Q171" s="54" t="str">
        <f t="shared" si="46"/>
        <v/>
      </c>
      <c r="Z171" s="61"/>
      <c r="AA171" s="368"/>
      <c r="AB171" s="61"/>
      <c r="AC171" s="61"/>
      <c r="AD171" s="61"/>
      <c r="AE171" s="61"/>
    </row>
    <row r="172" spans="1:31" s="140" customFormat="1">
      <c r="A172" s="61" t="e">
        <f t="shared" si="40"/>
        <v>#VALUE!</v>
      </c>
      <c r="B172" s="29"/>
      <c r="D172" s="58">
        <v>17</v>
      </c>
      <c r="E172" s="368" t="e">
        <f t="shared" si="43"/>
        <v>#VALUE!</v>
      </c>
      <c r="F172" s="311" t="e">
        <f t="shared" si="43"/>
        <v>#VALUE!</v>
      </c>
      <c r="M172" s="52">
        <v>17</v>
      </c>
      <c r="N172" s="368" t="str">
        <f t="shared" si="44"/>
        <v/>
      </c>
      <c r="O172" s="53" t="e">
        <f t="shared" si="45"/>
        <v>#N/A</v>
      </c>
      <c r="Q172" s="54" t="str">
        <f t="shared" si="46"/>
        <v/>
      </c>
      <c r="Z172" s="61"/>
      <c r="AA172" s="368"/>
      <c r="AB172" s="61"/>
      <c r="AC172" s="61"/>
      <c r="AD172" s="61"/>
      <c r="AE172" s="61"/>
    </row>
    <row r="173" spans="1:31" s="140" customFormat="1">
      <c r="A173" s="61" t="e">
        <f t="shared" si="40"/>
        <v>#VALUE!</v>
      </c>
      <c r="B173" s="29"/>
      <c r="D173" s="58">
        <v>18</v>
      </c>
      <c r="E173" s="368" t="e">
        <f t="shared" si="43"/>
        <v>#VALUE!</v>
      </c>
      <c r="F173" s="311" t="e">
        <f t="shared" si="43"/>
        <v>#VALUE!</v>
      </c>
      <c r="M173" s="52">
        <v>18</v>
      </c>
      <c r="N173" s="368" t="str">
        <f t="shared" si="44"/>
        <v/>
      </c>
      <c r="O173" s="53" t="e">
        <f t="shared" si="45"/>
        <v>#N/A</v>
      </c>
      <c r="Q173" s="54" t="str">
        <f t="shared" si="46"/>
        <v/>
      </c>
      <c r="Z173" s="61"/>
      <c r="AA173" s="368"/>
      <c r="AB173" s="61"/>
      <c r="AC173" s="61"/>
      <c r="AD173" s="61"/>
      <c r="AE173" s="61"/>
    </row>
    <row r="174" spans="1:31" s="140" customFormat="1">
      <c r="A174" s="61" t="e">
        <f t="shared" si="40"/>
        <v>#VALUE!</v>
      </c>
      <c r="B174" s="29"/>
      <c r="D174" s="58">
        <v>19</v>
      </c>
      <c r="E174" s="368" t="e">
        <f t="shared" si="43"/>
        <v>#VALUE!</v>
      </c>
      <c r="F174" s="311" t="e">
        <f t="shared" si="43"/>
        <v>#VALUE!</v>
      </c>
      <c r="M174" s="52">
        <v>19</v>
      </c>
      <c r="N174" s="368" t="str">
        <f t="shared" si="44"/>
        <v/>
      </c>
      <c r="O174" s="53" t="e">
        <f t="shared" si="45"/>
        <v>#N/A</v>
      </c>
      <c r="Q174" s="54" t="str">
        <f t="shared" si="46"/>
        <v/>
      </c>
      <c r="Z174" s="61"/>
      <c r="AA174" s="368"/>
      <c r="AB174" s="61"/>
      <c r="AC174" s="61"/>
      <c r="AD174" s="61"/>
      <c r="AE174" s="61"/>
    </row>
    <row r="175" spans="1:31" s="140" customFormat="1">
      <c r="A175" s="61" t="e">
        <f t="shared" si="40"/>
        <v>#VALUE!</v>
      </c>
      <c r="B175" s="29"/>
      <c r="D175" s="58">
        <v>20</v>
      </c>
      <c r="E175" s="368" t="e">
        <f t="shared" si="43"/>
        <v>#VALUE!</v>
      </c>
      <c r="F175" s="311" t="e">
        <f t="shared" si="43"/>
        <v>#VALUE!</v>
      </c>
      <c r="M175" s="52">
        <v>20</v>
      </c>
      <c r="N175" s="368" t="str">
        <f t="shared" si="44"/>
        <v/>
      </c>
      <c r="O175" s="53" t="e">
        <f t="shared" si="45"/>
        <v>#N/A</v>
      </c>
      <c r="Q175" s="54" t="str">
        <f t="shared" si="46"/>
        <v/>
      </c>
      <c r="Z175" s="61"/>
      <c r="AA175" s="368"/>
      <c r="AB175" s="61"/>
      <c r="AC175" s="61"/>
      <c r="AD175" s="61"/>
      <c r="AE175" s="61"/>
    </row>
    <row r="176" spans="1:31" s="65" customFormat="1" hidden="1">
      <c r="A176" s="65" t="e">
        <f t="shared" si="40"/>
        <v>#VALUE!</v>
      </c>
      <c r="B176" s="14"/>
      <c r="AA176" s="14"/>
    </row>
    <row r="177" spans="1:27" s="324" customFormat="1" ht="0.65" hidden="1" customHeight="1">
      <c r="A177" s="324" t="e">
        <f t="shared" si="40"/>
        <v>#VALUE!</v>
      </c>
      <c r="B177" s="326"/>
      <c r="R177" s="337" t="e">
        <f t="shared" ref="R177:S177" si="47">VLOOKUP($A177,$A$236:$AB$1540,R$229,FALSE)</f>
        <v>#VALUE!</v>
      </c>
      <c r="S177" s="336" t="e">
        <f t="shared" si="47"/>
        <v>#VALUE!</v>
      </c>
      <c r="AA177" s="326"/>
    </row>
    <row r="178" spans="1:27" s="324" customFormat="1" ht="0.65" hidden="1" customHeight="1">
      <c r="A178" s="324" t="e">
        <f t="shared" si="40"/>
        <v>#VALUE!</v>
      </c>
      <c r="B178" s="326"/>
      <c r="R178" s="337"/>
      <c r="S178" s="327"/>
      <c r="AA178" s="326"/>
    </row>
    <row r="179" spans="1:27" s="324" customFormat="1" ht="0.65" hidden="1" customHeight="1">
      <c r="A179" s="324" t="e">
        <f t="shared" si="40"/>
        <v>#VALUE!</v>
      </c>
      <c r="B179" s="326"/>
      <c r="R179" s="337" t="e">
        <f t="shared" ref="R179:S182" si="48">VLOOKUP($A179,$A$236:$AB$1540,R$229,FALSE)</f>
        <v>#VALUE!</v>
      </c>
      <c r="S179" s="327"/>
      <c r="AA179" s="326"/>
    </row>
    <row r="180" spans="1:27" s="324" customFormat="1" ht="0.65" hidden="1" customHeight="1">
      <c r="A180" s="324" t="e">
        <f t="shared" si="40"/>
        <v>#VALUE!</v>
      </c>
      <c r="B180" s="326"/>
      <c r="R180" s="337" t="e">
        <f t="shared" si="48"/>
        <v>#VALUE!</v>
      </c>
      <c r="S180" s="327" t="e">
        <f t="shared" si="48"/>
        <v>#VALUE!</v>
      </c>
      <c r="AA180" s="326"/>
    </row>
    <row r="181" spans="1:27" s="324" customFormat="1" ht="0.65" hidden="1" customHeight="1">
      <c r="A181" s="324" t="e">
        <f t="shared" si="40"/>
        <v>#VALUE!</v>
      </c>
      <c r="B181" s="326"/>
      <c r="R181" s="337" t="e">
        <f t="shared" si="48"/>
        <v>#VALUE!</v>
      </c>
      <c r="S181" s="327" t="e">
        <f t="shared" si="48"/>
        <v>#VALUE!</v>
      </c>
      <c r="AA181" s="326"/>
    </row>
    <row r="182" spans="1:27" s="324" customFormat="1" ht="0.65" hidden="1" customHeight="1">
      <c r="A182" s="324" t="e">
        <f t="shared" si="40"/>
        <v>#VALUE!</v>
      </c>
      <c r="B182" s="326"/>
      <c r="R182" s="337" t="e">
        <f t="shared" si="48"/>
        <v>#VALUE!</v>
      </c>
      <c r="S182" s="327" t="e">
        <f t="shared" si="48"/>
        <v>#VALUE!</v>
      </c>
      <c r="AA182" s="326"/>
    </row>
    <row r="183" spans="1:27" s="324" customFormat="1" ht="0.65" hidden="1" customHeight="1">
      <c r="A183" s="324" t="e">
        <f t="shared" si="40"/>
        <v>#VALUE!</v>
      </c>
      <c r="B183" s="326"/>
      <c r="R183" s="337"/>
      <c r="S183" s="327"/>
      <c r="AA183" s="326"/>
    </row>
    <row r="184" spans="1:27" s="324" customFormat="1" ht="0.65" hidden="1" customHeight="1">
      <c r="A184" s="324" t="e">
        <f t="shared" si="40"/>
        <v>#VALUE!</v>
      </c>
      <c r="B184" s="326"/>
      <c r="R184" s="337" t="e">
        <f t="shared" ref="R184:S185" si="49">VLOOKUP($A184,$A$236:$AB$1540,R$229,FALSE)</f>
        <v>#VALUE!</v>
      </c>
      <c r="S184" s="327" t="e">
        <f t="shared" si="49"/>
        <v>#VALUE!</v>
      </c>
      <c r="AA184" s="326"/>
    </row>
    <row r="185" spans="1:27" s="324" customFormat="1" ht="0.65" hidden="1" customHeight="1">
      <c r="A185" s="324" t="e">
        <f t="shared" si="40"/>
        <v>#VALUE!</v>
      </c>
      <c r="B185" s="326"/>
      <c r="R185" s="337" t="e">
        <f t="shared" si="49"/>
        <v>#VALUE!</v>
      </c>
      <c r="S185" s="327" t="e">
        <f t="shared" si="49"/>
        <v>#VALUE!</v>
      </c>
      <c r="AA185" s="326"/>
    </row>
    <row r="186" spans="1:27" s="324" customFormat="1" ht="0.65" hidden="1" customHeight="1">
      <c r="A186" s="324" t="e">
        <f t="shared" si="40"/>
        <v>#VALUE!</v>
      </c>
      <c r="B186" s="326"/>
      <c r="R186" s="337"/>
      <c r="S186" s="327"/>
      <c r="AA186" s="326"/>
    </row>
    <row r="187" spans="1:27" s="324" customFormat="1" ht="0.65" hidden="1" customHeight="1">
      <c r="A187" s="324" t="e">
        <f t="shared" si="40"/>
        <v>#VALUE!</v>
      </c>
      <c r="B187" s="326"/>
      <c r="R187" s="337" t="e">
        <f t="shared" ref="R187:S188" si="50">VLOOKUP($A187,$A$236:$AB$1540,R$229,FALSE)</f>
        <v>#VALUE!</v>
      </c>
      <c r="S187" s="327" t="e">
        <f t="shared" si="50"/>
        <v>#VALUE!</v>
      </c>
      <c r="AA187" s="326"/>
    </row>
    <row r="188" spans="1:27" s="324" customFormat="1" ht="0.65" hidden="1" customHeight="1">
      <c r="A188" s="324" t="e">
        <f t="shared" si="40"/>
        <v>#VALUE!</v>
      </c>
      <c r="B188" s="326"/>
      <c r="R188" s="337" t="e">
        <f t="shared" si="50"/>
        <v>#VALUE!</v>
      </c>
      <c r="S188" s="327" t="e">
        <f t="shared" si="50"/>
        <v>#VALUE!</v>
      </c>
      <c r="AA188" s="326"/>
    </row>
    <row r="189" spans="1:27" s="324" customFormat="1" ht="0.65" hidden="1" customHeight="1">
      <c r="A189" s="324" t="e">
        <f t="shared" si="40"/>
        <v>#VALUE!</v>
      </c>
      <c r="B189" s="326"/>
      <c r="R189" s="337"/>
      <c r="S189" s="327"/>
      <c r="AA189" s="326"/>
    </row>
    <row r="190" spans="1:27" s="324" customFormat="1" ht="0.65" hidden="1" customHeight="1">
      <c r="A190" s="324" t="e">
        <f t="shared" si="40"/>
        <v>#VALUE!</v>
      </c>
      <c r="B190" s="326"/>
      <c r="R190" s="337" t="e">
        <f t="shared" ref="R190:S194" si="51">VLOOKUP($A190,$A$236:$AB$1540,R$229,FALSE)</f>
        <v>#VALUE!</v>
      </c>
      <c r="S190" s="327"/>
      <c r="AA190" s="326"/>
    </row>
    <row r="191" spans="1:27" s="324" customFormat="1" ht="0.65" hidden="1" customHeight="1">
      <c r="A191" s="324" t="e">
        <f t="shared" si="40"/>
        <v>#VALUE!</v>
      </c>
      <c r="B191" s="326"/>
      <c r="R191" s="337" t="e">
        <f t="shared" si="51"/>
        <v>#VALUE!</v>
      </c>
      <c r="S191" s="327" t="e">
        <f t="shared" si="51"/>
        <v>#VALUE!</v>
      </c>
      <c r="AA191" s="326"/>
    </row>
    <row r="192" spans="1:27" s="324" customFormat="1" ht="0.65" hidden="1" customHeight="1">
      <c r="A192" s="324" t="e">
        <f t="shared" si="40"/>
        <v>#VALUE!</v>
      </c>
      <c r="B192" s="326"/>
      <c r="R192" s="337" t="e">
        <f t="shared" si="51"/>
        <v>#VALUE!</v>
      </c>
      <c r="S192" s="327" t="e">
        <f t="shared" si="51"/>
        <v>#VALUE!</v>
      </c>
      <c r="AA192" s="326"/>
    </row>
    <row r="193" spans="1:27" s="324" customFormat="1" ht="0.65" hidden="1" customHeight="1">
      <c r="A193" s="324" t="e">
        <f t="shared" si="40"/>
        <v>#VALUE!</v>
      </c>
      <c r="B193" s="326"/>
      <c r="R193" s="337" t="e">
        <f t="shared" si="51"/>
        <v>#VALUE!</v>
      </c>
      <c r="S193" s="327" t="e">
        <f t="shared" si="51"/>
        <v>#VALUE!</v>
      </c>
      <c r="AA193" s="326"/>
    </row>
    <row r="194" spans="1:27" s="324" customFormat="1" ht="0.65" hidden="1" customHeight="1">
      <c r="A194" s="324" t="e">
        <f t="shared" si="40"/>
        <v>#VALUE!</v>
      </c>
      <c r="B194" s="326"/>
      <c r="R194" s="337" t="e">
        <f t="shared" si="51"/>
        <v>#VALUE!</v>
      </c>
      <c r="S194" s="327" t="e">
        <f t="shared" si="51"/>
        <v>#VALUE!</v>
      </c>
      <c r="AA194" s="326"/>
    </row>
    <row r="195" spans="1:27" s="324" customFormat="1" ht="0.65" hidden="1" customHeight="1">
      <c r="A195" s="324" t="e">
        <f t="shared" si="40"/>
        <v>#VALUE!</v>
      </c>
      <c r="B195" s="326"/>
      <c r="R195" s="337"/>
      <c r="S195" s="327"/>
      <c r="AA195" s="326"/>
    </row>
    <row r="196" spans="1:27" s="324" customFormat="1" ht="0.65" hidden="1" customHeight="1">
      <c r="A196" s="324" t="e">
        <f t="shared" si="40"/>
        <v>#VALUE!</v>
      </c>
      <c r="B196" s="326"/>
      <c r="R196" s="337" t="e">
        <f t="shared" ref="R196:S197" si="52">VLOOKUP($A196,$A$236:$AB$1540,R$229,FALSE)</f>
        <v>#VALUE!</v>
      </c>
      <c r="S196" s="361" t="e">
        <f t="shared" si="52"/>
        <v>#VALUE!</v>
      </c>
      <c r="AA196" s="326"/>
    </row>
    <row r="197" spans="1:27" s="324" customFormat="1" ht="0.65" hidden="1" customHeight="1">
      <c r="A197" s="324" t="e">
        <f t="shared" si="40"/>
        <v>#VALUE!</v>
      </c>
      <c r="B197" s="326"/>
      <c r="R197" s="337"/>
      <c r="S197" s="327" t="e">
        <f t="shared" si="52"/>
        <v>#VALUE!</v>
      </c>
      <c r="AA197" s="326"/>
    </row>
    <row r="198" spans="1:27" s="324" customFormat="1" ht="0.65" hidden="1" customHeight="1">
      <c r="A198" s="324" t="e">
        <f t="shared" si="40"/>
        <v>#VALUE!</v>
      </c>
      <c r="B198" s="326"/>
      <c r="R198" s="337"/>
      <c r="S198" s="327"/>
      <c r="AA198" s="326"/>
    </row>
    <row r="199" spans="1:27" s="324" customFormat="1" ht="0.65" hidden="1" customHeight="1">
      <c r="A199" s="324" t="e">
        <f t="shared" si="40"/>
        <v>#VALUE!</v>
      </c>
      <c r="B199" s="326"/>
      <c r="R199" s="337" t="e">
        <f t="shared" ref="R199:S203" si="53">VLOOKUP($A199,$A$236:$AB$1540,R$229,FALSE)</f>
        <v>#VALUE!</v>
      </c>
      <c r="S199" s="327" t="e">
        <f t="shared" si="53"/>
        <v>#VALUE!</v>
      </c>
      <c r="AA199" s="326"/>
    </row>
    <row r="200" spans="1:27" s="324" customFormat="1" ht="0.65" hidden="1" customHeight="1">
      <c r="A200" s="324" t="e">
        <f t="shared" si="40"/>
        <v>#VALUE!</v>
      </c>
      <c r="B200" s="326"/>
      <c r="R200" s="337" t="e">
        <f t="shared" si="53"/>
        <v>#VALUE!</v>
      </c>
      <c r="S200" s="327" t="e">
        <f t="shared" si="53"/>
        <v>#VALUE!</v>
      </c>
      <c r="AA200" s="326"/>
    </row>
    <row r="201" spans="1:27" s="324" customFormat="1" ht="0.65" hidden="1" customHeight="1">
      <c r="A201" s="324" t="e">
        <f t="shared" si="40"/>
        <v>#VALUE!</v>
      </c>
      <c r="B201" s="326"/>
      <c r="R201" s="337" t="e">
        <f t="shared" si="53"/>
        <v>#VALUE!</v>
      </c>
      <c r="S201" s="361" t="e">
        <f t="shared" si="53"/>
        <v>#VALUE!</v>
      </c>
      <c r="AA201" s="326"/>
    </row>
    <row r="202" spans="1:27" s="324" customFormat="1" ht="0.65" hidden="1" customHeight="1">
      <c r="A202" s="324" t="e">
        <f t="shared" si="40"/>
        <v>#VALUE!</v>
      </c>
      <c r="B202" s="326"/>
      <c r="R202" s="337" t="e">
        <f t="shared" si="53"/>
        <v>#VALUE!</v>
      </c>
      <c r="S202" s="327" t="e">
        <f t="shared" si="53"/>
        <v>#VALUE!</v>
      </c>
      <c r="AA202" s="326"/>
    </row>
    <row r="203" spans="1:27" s="324" customFormat="1" ht="0.65" hidden="1" customHeight="1">
      <c r="A203" s="324" t="e">
        <f t="shared" si="40"/>
        <v>#VALUE!</v>
      </c>
      <c r="B203" s="326"/>
      <c r="R203" s="337" t="e">
        <f t="shared" si="53"/>
        <v>#VALUE!</v>
      </c>
      <c r="S203" s="327" t="e">
        <f t="shared" si="53"/>
        <v>#VALUE!</v>
      </c>
      <c r="AA203" s="326"/>
    </row>
    <row r="204" spans="1:27" s="324" customFormat="1" ht="0.65" hidden="1" customHeight="1">
      <c r="A204" s="324" t="e">
        <f t="shared" si="40"/>
        <v>#VALUE!</v>
      </c>
      <c r="B204" s="326"/>
      <c r="R204" s="337"/>
      <c r="S204" s="327"/>
      <c r="AA204" s="326"/>
    </row>
    <row r="205" spans="1:27" s="324" customFormat="1" ht="0.65" hidden="1" customHeight="1">
      <c r="A205" s="324" t="e">
        <f t="shared" si="40"/>
        <v>#VALUE!</v>
      </c>
      <c r="B205" s="326"/>
      <c r="R205" s="337" t="e">
        <f t="shared" ref="R205:S205" si="54">VLOOKUP($A205,$A$236:$AB$1540,R$229,FALSE)</f>
        <v>#VALUE!</v>
      </c>
      <c r="S205" s="327" t="e">
        <f t="shared" si="54"/>
        <v>#VALUE!</v>
      </c>
      <c r="AA205" s="326"/>
    </row>
    <row r="206" spans="1:27" s="324" customFormat="1" ht="0.65" hidden="1" customHeight="1">
      <c r="A206" s="324" t="e">
        <f t="shared" si="40"/>
        <v>#VALUE!</v>
      </c>
      <c r="B206" s="326"/>
      <c r="AA206" s="326"/>
    </row>
    <row r="207" spans="1:27" s="324" customFormat="1" ht="0.65" hidden="1" customHeight="1">
      <c r="A207" s="324" t="e">
        <f t="shared" si="40"/>
        <v>#VALUE!</v>
      </c>
      <c r="B207" s="326"/>
      <c r="R207" s="327" t="e">
        <f t="shared" ref="R207:Y210" si="55">VLOOKUP($A207,$A$236:$AB$1540,R$229,FALSE)</f>
        <v>#VALUE!</v>
      </c>
      <c r="S207" s="335" t="e">
        <f t="shared" si="55"/>
        <v>#VALUE!</v>
      </c>
      <c r="T207" s="335" t="e">
        <f t="shared" si="55"/>
        <v>#VALUE!</v>
      </c>
      <c r="U207" s="335" t="e">
        <f t="shared" si="55"/>
        <v>#VALUE!</v>
      </c>
      <c r="V207" s="335" t="e">
        <f t="shared" si="55"/>
        <v>#VALUE!</v>
      </c>
      <c r="W207" s="335" t="e">
        <f t="shared" si="55"/>
        <v>#VALUE!</v>
      </c>
      <c r="X207" s="335" t="e">
        <f t="shared" si="55"/>
        <v>#VALUE!</v>
      </c>
      <c r="Y207" s="335" t="e">
        <f t="shared" si="55"/>
        <v>#VALUE!</v>
      </c>
      <c r="AA207" s="326"/>
    </row>
    <row r="208" spans="1:27" s="324" customFormat="1" ht="0.65" hidden="1" customHeight="1">
      <c r="A208" s="324" t="e">
        <f t="shared" ref="A208:A228" si="56">1+A207</f>
        <v>#VALUE!</v>
      </c>
      <c r="B208" s="326"/>
      <c r="R208" s="336" t="e">
        <f t="shared" si="55"/>
        <v>#VALUE!</v>
      </c>
      <c r="S208" s="328" t="e">
        <f t="shared" si="55"/>
        <v>#VALUE!</v>
      </c>
      <c r="T208" s="328" t="e">
        <f t="shared" si="55"/>
        <v>#VALUE!</v>
      </c>
      <c r="U208" s="328" t="e">
        <f t="shared" si="55"/>
        <v>#VALUE!</v>
      </c>
      <c r="V208" s="328" t="e">
        <f t="shared" si="55"/>
        <v>#VALUE!</v>
      </c>
      <c r="W208" s="328" t="e">
        <f t="shared" si="55"/>
        <v>#VALUE!</v>
      </c>
      <c r="X208" s="328" t="e">
        <f t="shared" si="55"/>
        <v>#VALUE!</v>
      </c>
      <c r="Y208" s="328" t="e">
        <f t="shared" si="55"/>
        <v>#VALUE!</v>
      </c>
      <c r="AA208" s="326"/>
    </row>
    <row r="209" spans="1:27" s="324" customFormat="1" ht="0.65" hidden="1" customHeight="1">
      <c r="A209" s="324" t="e">
        <f t="shared" si="56"/>
        <v>#VALUE!</v>
      </c>
      <c r="B209" s="326"/>
      <c r="R209" s="336" t="e">
        <f t="shared" si="55"/>
        <v>#VALUE!</v>
      </c>
      <c r="S209" s="328" t="e">
        <f t="shared" si="55"/>
        <v>#VALUE!</v>
      </c>
      <c r="T209" s="328" t="e">
        <f t="shared" si="55"/>
        <v>#VALUE!</v>
      </c>
      <c r="U209" s="328" t="e">
        <f t="shared" si="55"/>
        <v>#VALUE!</v>
      </c>
      <c r="V209" s="328" t="e">
        <f t="shared" si="55"/>
        <v>#VALUE!</v>
      </c>
      <c r="W209" s="328" t="e">
        <f t="shared" si="55"/>
        <v>#VALUE!</v>
      </c>
      <c r="X209" s="328" t="e">
        <f t="shared" si="55"/>
        <v>#VALUE!</v>
      </c>
      <c r="Y209" s="328" t="e">
        <f t="shared" si="55"/>
        <v>#VALUE!</v>
      </c>
      <c r="AA209" s="326"/>
    </row>
    <row r="210" spans="1:27" s="324" customFormat="1" ht="0.65" hidden="1" customHeight="1">
      <c r="A210" s="324" t="e">
        <f t="shared" si="56"/>
        <v>#VALUE!</v>
      </c>
      <c r="B210" s="326"/>
      <c r="R210" s="336" t="e">
        <f t="shared" si="55"/>
        <v>#VALUE!</v>
      </c>
      <c r="S210" s="328" t="e">
        <f t="shared" si="55"/>
        <v>#VALUE!</v>
      </c>
      <c r="T210" s="328" t="e">
        <f t="shared" si="55"/>
        <v>#VALUE!</v>
      </c>
      <c r="U210" s="328" t="e">
        <f t="shared" si="55"/>
        <v>#VALUE!</v>
      </c>
      <c r="V210" s="328" t="e">
        <f t="shared" si="55"/>
        <v>#VALUE!</v>
      </c>
      <c r="W210" s="328" t="e">
        <f t="shared" si="55"/>
        <v>#VALUE!</v>
      </c>
      <c r="X210" s="328" t="e">
        <f t="shared" si="55"/>
        <v>#VALUE!</v>
      </c>
      <c r="Y210" s="328" t="e">
        <f t="shared" si="55"/>
        <v>#VALUE!</v>
      </c>
      <c r="AA210" s="326"/>
    </row>
    <row r="211" spans="1:27" s="324" customFormat="1" ht="0.65" hidden="1" customHeight="1">
      <c r="A211" s="324" t="e">
        <f t="shared" si="56"/>
        <v>#VALUE!</v>
      </c>
      <c r="B211" s="326"/>
      <c r="AA211" s="326"/>
    </row>
    <row r="212" spans="1:27" s="324" customFormat="1" ht="0.65" hidden="1" customHeight="1">
      <c r="A212" s="324" t="e">
        <f t="shared" si="56"/>
        <v>#VALUE!</v>
      </c>
      <c r="B212" s="326"/>
      <c r="R212" s="327" t="e">
        <f t="shared" ref="R212:V216" si="57">VLOOKUP($A212,$A$236:$AB$1540,R$229,FALSE)</f>
        <v>#VALUE!</v>
      </c>
      <c r="S212" s="335" t="e">
        <f t="shared" si="57"/>
        <v>#VALUE!</v>
      </c>
      <c r="T212" s="335" t="e">
        <f t="shared" si="57"/>
        <v>#VALUE!</v>
      </c>
      <c r="U212" s="335" t="e">
        <f t="shared" si="57"/>
        <v>#VALUE!</v>
      </c>
      <c r="V212" s="335" t="e">
        <f t="shared" si="57"/>
        <v>#VALUE!</v>
      </c>
      <c r="W212" s="328"/>
      <c r="X212" s="328"/>
      <c r="Y212" s="328"/>
      <c r="AA212" s="326"/>
    </row>
    <row r="213" spans="1:27" s="324" customFormat="1" ht="0.65" hidden="1" customHeight="1">
      <c r="A213" s="324" t="e">
        <f t="shared" si="56"/>
        <v>#VALUE!</v>
      </c>
      <c r="B213" s="326"/>
      <c r="R213" s="336" t="e">
        <f t="shared" si="57"/>
        <v>#VALUE!</v>
      </c>
      <c r="S213" s="328" t="e">
        <f t="shared" si="57"/>
        <v>#VALUE!</v>
      </c>
      <c r="T213" s="328" t="e">
        <f t="shared" si="57"/>
        <v>#VALUE!</v>
      </c>
      <c r="U213" s="328" t="e">
        <f t="shared" si="57"/>
        <v>#VALUE!</v>
      </c>
      <c r="V213" s="328" t="e">
        <f t="shared" si="57"/>
        <v>#VALUE!</v>
      </c>
      <c r="W213" s="328"/>
      <c r="X213" s="328"/>
      <c r="Y213" s="328"/>
      <c r="AA213" s="326"/>
    </row>
    <row r="214" spans="1:27" s="324" customFormat="1" ht="0.65" hidden="1" customHeight="1">
      <c r="A214" s="324" t="e">
        <f t="shared" si="56"/>
        <v>#VALUE!</v>
      </c>
      <c r="B214" s="326"/>
      <c r="R214" s="336" t="e">
        <f t="shared" si="57"/>
        <v>#VALUE!</v>
      </c>
      <c r="S214" s="328" t="e">
        <f t="shared" si="57"/>
        <v>#VALUE!</v>
      </c>
      <c r="T214" s="328" t="e">
        <f t="shared" si="57"/>
        <v>#VALUE!</v>
      </c>
      <c r="U214" s="328" t="e">
        <f t="shared" si="57"/>
        <v>#VALUE!</v>
      </c>
      <c r="V214" s="328" t="e">
        <f t="shared" si="57"/>
        <v>#VALUE!</v>
      </c>
      <c r="W214" s="328"/>
      <c r="X214" s="328"/>
      <c r="Y214" s="328"/>
      <c r="AA214" s="326"/>
    </row>
    <row r="215" spans="1:27" s="324" customFormat="1" ht="0.65" hidden="1" customHeight="1">
      <c r="A215" s="324" t="e">
        <f t="shared" si="56"/>
        <v>#VALUE!</v>
      </c>
      <c r="B215" s="326"/>
      <c r="R215" s="336" t="e">
        <f t="shared" si="57"/>
        <v>#VALUE!</v>
      </c>
      <c r="S215" s="328" t="e">
        <f t="shared" si="57"/>
        <v>#VALUE!</v>
      </c>
      <c r="T215" s="328" t="e">
        <f t="shared" si="57"/>
        <v>#VALUE!</v>
      </c>
      <c r="U215" s="328" t="e">
        <f t="shared" si="57"/>
        <v>#VALUE!</v>
      </c>
      <c r="V215" s="328" t="e">
        <f t="shared" si="57"/>
        <v>#VALUE!</v>
      </c>
      <c r="W215" s="328"/>
      <c r="X215" s="328"/>
      <c r="Y215" s="328"/>
      <c r="AA215" s="326"/>
    </row>
    <row r="216" spans="1:27" s="324" customFormat="1" ht="0.65" hidden="1" customHeight="1">
      <c r="A216" s="324" t="e">
        <f t="shared" si="56"/>
        <v>#VALUE!</v>
      </c>
      <c r="B216" s="326"/>
      <c r="R216" s="336" t="e">
        <f t="shared" si="57"/>
        <v>#VALUE!</v>
      </c>
      <c r="S216" s="328" t="e">
        <f t="shared" si="57"/>
        <v>#VALUE!</v>
      </c>
      <c r="T216" s="328" t="e">
        <f t="shared" si="57"/>
        <v>#VALUE!</v>
      </c>
      <c r="U216" s="328" t="e">
        <f t="shared" si="57"/>
        <v>#VALUE!</v>
      </c>
      <c r="V216" s="328" t="e">
        <f t="shared" si="57"/>
        <v>#VALUE!</v>
      </c>
      <c r="W216" s="328"/>
      <c r="X216" s="328"/>
      <c r="Y216" s="328"/>
      <c r="AA216" s="326"/>
    </row>
    <row r="217" spans="1:27" s="324" customFormat="1" ht="0.65" hidden="1" customHeight="1">
      <c r="A217" s="324" t="e">
        <f t="shared" si="56"/>
        <v>#VALUE!</v>
      </c>
      <c r="B217" s="326"/>
      <c r="W217" s="328"/>
      <c r="X217" s="328"/>
      <c r="Y217" s="328"/>
      <c r="AA217" s="326"/>
    </row>
    <row r="218" spans="1:27" s="324" customFormat="1" ht="0.65" hidden="1" customHeight="1">
      <c r="A218" s="324" t="e">
        <f t="shared" si="56"/>
        <v>#VALUE!</v>
      </c>
      <c r="B218" s="326"/>
      <c r="V218" s="359" t="e">
        <f t="shared" ref="V218" si="58">VLOOKUP($A218,$A$236:$AB$1540,V$229,FALSE)</f>
        <v>#VALUE!</v>
      </c>
      <c r="Y218" s="328"/>
      <c r="AA218" s="326"/>
    </row>
    <row r="219" spans="1:27" s="324" customFormat="1" ht="0.65" hidden="1" customHeight="1">
      <c r="A219" s="324" t="e">
        <f t="shared" si="56"/>
        <v>#VALUE!</v>
      </c>
      <c r="B219" s="326"/>
      <c r="R219" s="327" t="e">
        <f t="shared" ref="R219:V223" si="59">VLOOKUP($A219,$A$236:$AB$1540,R$229,FALSE)</f>
        <v>#VALUE!</v>
      </c>
      <c r="S219" s="335" t="e">
        <f t="shared" si="59"/>
        <v>#VALUE!</v>
      </c>
      <c r="T219" s="335" t="e">
        <f t="shared" si="59"/>
        <v>#VALUE!</v>
      </c>
      <c r="U219" s="335" t="e">
        <f t="shared" si="59"/>
        <v>#VALUE!</v>
      </c>
      <c r="V219" s="335" t="e">
        <f t="shared" si="59"/>
        <v>#VALUE!</v>
      </c>
      <c r="Y219" s="328"/>
      <c r="AA219" s="326"/>
    </row>
    <row r="220" spans="1:27" s="324" customFormat="1" ht="0.65" hidden="1" customHeight="1">
      <c r="A220" s="324" t="e">
        <f t="shared" si="56"/>
        <v>#VALUE!</v>
      </c>
      <c r="B220" s="326"/>
      <c r="R220" s="336" t="e">
        <f t="shared" si="59"/>
        <v>#VALUE!</v>
      </c>
      <c r="S220" s="337" t="e">
        <f t="shared" si="59"/>
        <v>#VALUE!</v>
      </c>
      <c r="T220" s="328" t="e">
        <f t="shared" si="59"/>
        <v>#VALUE!</v>
      </c>
      <c r="U220" s="328" t="e">
        <f t="shared" si="59"/>
        <v>#VALUE!</v>
      </c>
      <c r="V220" s="328" t="e">
        <f t="shared" si="59"/>
        <v>#VALUE!</v>
      </c>
      <c r="Y220" s="328"/>
      <c r="AA220" s="326"/>
    </row>
    <row r="221" spans="1:27" s="324" customFormat="1" ht="0.65" hidden="1" customHeight="1">
      <c r="A221" s="324" t="e">
        <f t="shared" si="56"/>
        <v>#VALUE!</v>
      </c>
      <c r="B221" s="326"/>
      <c r="R221" s="336" t="e">
        <f t="shared" si="59"/>
        <v>#VALUE!</v>
      </c>
      <c r="S221" s="328" t="e">
        <f t="shared" si="59"/>
        <v>#VALUE!</v>
      </c>
      <c r="T221" s="328" t="e">
        <f t="shared" si="59"/>
        <v>#VALUE!</v>
      </c>
      <c r="U221" s="328" t="e">
        <f t="shared" si="59"/>
        <v>#VALUE!</v>
      </c>
      <c r="V221" s="328" t="e">
        <f t="shared" si="59"/>
        <v>#VALUE!</v>
      </c>
      <c r="Y221" s="328"/>
      <c r="AA221" s="326"/>
    </row>
    <row r="222" spans="1:27" s="324" customFormat="1" ht="0.65" hidden="1" customHeight="1">
      <c r="A222" s="324" t="e">
        <f t="shared" si="56"/>
        <v>#VALUE!</v>
      </c>
      <c r="B222" s="326"/>
      <c r="R222" s="336" t="e">
        <f t="shared" si="59"/>
        <v>#VALUE!</v>
      </c>
      <c r="S222" s="328" t="e">
        <f t="shared" si="59"/>
        <v>#VALUE!</v>
      </c>
      <c r="T222" s="328" t="e">
        <f t="shared" si="59"/>
        <v>#VALUE!</v>
      </c>
      <c r="U222" s="328" t="e">
        <f t="shared" si="59"/>
        <v>#VALUE!</v>
      </c>
      <c r="V222" s="328" t="e">
        <f t="shared" si="59"/>
        <v>#VALUE!</v>
      </c>
      <c r="Y222" s="328"/>
      <c r="AA222" s="326"/>
    </row>
    <row r="223" spans="1:27" s="324" customFormat="1" ht="0.65" hidden="1" customHeight="1">
      <c r="A223" s="324" t="e">
        <f t="shared" si="56"/>
        <v>#VALUE!</v>
      </c>
      <c r="B223" s="326"/>
      <c r="R223" s="336" t="e">
        <f t="shared" si="59"/>
        <v>#VALUE!</v>
      </c>
      <c r="S223" s="328" t="e">
        <f t="shared" si="59"/>
        <v>#VALUE!</v>
      </c>
      <c r="T223" s="328" t="e">
        <f t="shared" si="59"/>
        <v>#VALUE!</v>
      </c>
      <c r="U223" s="328" t="e">
        <f t="shared" si="59"/>
        <v>#VALUE!</v>
      </c>
      <c r="V223" s="328" t="e">
        <f t="shared" si="59"/>
        <v>#VALUE!</v>
      </c>
      <c r="Y223" s="328"/>
      <c r="AA223" s="326"/>
    </row>
    <row r="224" spans="1:27" s="324" customFormat="1" ht="0.65" hidden="1" customHeight="1">
      <c r="A224" s="324" t="e">
        <f t="shared" si="56"/>
        <v>#VALUE!</v>
      </c>
      <c r="B224" s="326"/>
      <c r="R224" s="356"/>
      <c r="AA224" s="326"/>
    </row>
    <row r="225" spans="1:28" s="324" customFormat="1" ht="0.65" hidden="1" customHeight="1">
      <c r="A225" s="324" t="e">
        <f t="shared" si="56"/>
        <v>#VALUE!</v>
      </c>
      <c r="B225" s="326"/>
      <c r="R225" s="337" t="e">
        <f t="shared" ref="R225:S228" si="60">VLOOKUP($A225,$A$236:$AB$1540,R$229,FALSE)</f>
        <v>#VALUE!</v>
      </c>
      <c r="S225" s="328" t="e">
        <f t="shared" si="60"/>
        <v>#VALUE!</v>
      </c>
      <c r="U225" s="337" t="e">
        <f t="shared" ref="U225:V227" si="61">VLOOKUP($A225,$A$236:$AB$1540,U$229,FALSE)</f>
        <v>#VALUE!</v>
      </c>
      <c r="V225" s="340" t="e">
        <f t="shared" si="61"/>
        <v>#VALUE!</v>
      </c>
      <c r="X225" s="328" t="e">
        <f t="shared" ref="X225:Y228" si="62">VLOOKUP($A225,$A$236:$AB$1540,X$229,FALSE)</f>
        <v>#VALUE!</v>
      </c>
      <c r="Y225" s="327" t="e">
        <f t="shared" si="62"/>
        <v>#VALUE!</v>
      </c>
      <c r="AA225" s="326"/>
    </row>
    <row r="226" spans="1:28" s="324" customFormat="1" ht="0.65" hidden="1" customHeight="1">
      <c r="A226" s="324" t="e">
        <f t="shared" si="56"/>
        <v>#VALUE!</v>
      </c>
      <c r="B226" s="326"/>
      <c r="R226" s="337" t="e">
        <f t="shared" si="60"/>
        <v>#VALUE!</v>
      </c>
      <c r="S226" s="328" t="e">
        <f t="shared" si="60"/>
        <v>#VALUE!</v>
      </c>
      <c r="U226" s="337" t="e">
        <f t="shared" si="61"/>
        <v>#VALUE!</v>
      </c>
      <c r="V226" s="340" t="e">
        <f t="shared" si="61"/>
        <v>#VALUE!</v>
      </c>
      <c r="X226" s="324" t="e">
        <f t="shared" si="62"/>
        <v>#VALUE!</v>
      </c>
      <c r="Y226" s="340" t="e">
        <f t="shared" si="62"/>
        <v>#VALUE!</v>
      </c>
      <c r="AA226" s="326"/>
    </row>
    <row r="227" spans="1:28" s="324" customFormat="1" ht="0.65" hidden="1" customHeight="1">
      <c r="A227" s="324" t="e">
        <f t="shared" si="56"/>
        <v>#VALUE!</v>
      </c>
      <c r="B227" s="326"/>
      <c r="R227" s="337" t="e">
        <f t="shared" si="60"/>
        <v>#VALUE!</v>
      </c>
      <c r="S227" s="328" t="e">
        <f t="shared" si="60"/>
        <v>#VALUE!</v>
      </c>
      <c r="U227" s="337" t="e">
        <f t="shared" si="61"/>
        <v>#VALUE!</v>
      </c>
      <c r="V227" s="340" t="e">
        <f t="shared" si="61"/>
        <v>#VALUE!</v>
      </c>
      <c r="X227" s="324" t="e">
        <f t="shared" si="62"/>
        <v>#VALUE!</v>
      </c>
      <c r="Y227" s="341" t="e">
        <f t="shared" si="62"/>
        <v>#VALUE!</v>
      </c>
      <c r="AA227" s="326"/>
    </row>
    <row r="228" spans="1:28" s="324" customFormat="1" ht="0.65" hidden="1" customHeight="1">
      <c r="A228" s="324" t="e">
        <f t="shared" si="56"/>
        <v>#VALUE!</v>
      </c>
      <c r="B228" s="326"/>
      <c r="R228" s="337" t="e">
        <f t="shared" si="60"/>
        <v>#VALUE!</v>
      </c>
      <c r="S228" s="328" t="e">
        <f t="shared" si="60"/>
        <v>#VALUE!</v>
      </c>
      <c r="X228" s="324" t="e">
        <f t="shared" si="62"/>
        <v>#VALUE!</v>
      </c>
      <c r="Y228" s="326" t="e">
        <f t="shared" si="62"/>
        <v>#VALUE!</v>
      </c>
      <c r="AA228" s="326"/>
    </row>
    <row r="229" spans="1:28" s="324" customFormat="1" ht="0.65" hidden="1" customHeight="1">
      <c r="A229" s="326"/>
      <c r="B229" s="326">
        <v>2</v>
      </c>
      <c r="C229" s="326">
        <f>1+B229</f>
        <v>3</v>
      </c>
      <c r="D229" s="326">
        <f t="shared" ref="D229:AB229" si="63">1+C229</f>
        <v>4</v>
      </c>
      <c r="E229" s="326">
        <f t="shared" si="63"/>
        <v>5</v>
      </c>
      <c r="F229" s="326">
        <f t="shared" si="63"/>
        <v>6</v>
      </c>
      <c r="G229" s="326">
        <f t="shared" si="63"/>
        <v>7</v>
      </c>
      <c r="H229" s="326">
        <f t="shared" si="63"/>
        <v>8</v>
      </c>
      <c r="I229" s="326">
        <f t="shared" si="63"/>
        <v>9</v>
      </c>
      <c r="J229" s="326">
        <f t="shared" si="63"/>
        <v>10</v>
      </c>
      <c r="K229" s="326">
        <f t="shared" si="63"/>
        <v>11</v>
      </c>
      <c r="L229" s="326">
        <f t="shared" si="63"/>
        <v>12</v>
      </c>
      <c r="M229" s="326">
        <f t="shared" si="63"/>
        <v>13</v>
      </c>
      <c r="N229" s="326">
        <f t="shared" si="63"/>
        <v>14</v>
      </c>
      <c r="O229" s="326">
        <f t="shared" si="63"/>
        <v>15</v>
      </c>
      <c r="P229" s="326">
        <f t="shared" si="63"/>
        <v>16</v>
      </c>
      <c r="Q229" s="326">
        <f t="shared" si="63"/>
        <v>17</v>
      </c>
      <c r="R229" s="326">
        <f t="shared" si="63"/>
        <v>18</v>
      </c>
      <c r="S229" s="326">
        <f t="shared" si="63"/>
        <v>19</v>
      </c>
      <c r="T229" s="326">
        <f t="shared" si="63"/>
        <v>20</v>
      </c>
      <c r="U229" s="326">
        <f t="shared" si="63"/>
        <v>21</v>
      </c>
      <c r="V229" s="326">
        <f t="shared" si="63"/>
        <v>22</v>
      </c>
      <c r="W229" s="326">
        <f t="shared" si="63"/>
        <v>23</v>
      </c>
      <c r="X229" s="326">
        <f t="shared" si="63"/>
        <v>24</v>
      </c>
      <c r="Y229" s="326">
        <f t="shared" si="63"/>
        <v>25</v>
      </c>
      <c r="Z229" s="326">
        <f t="shared" si="63"/>
        <v>26</v>
      </c>
      <c r="AA229" s="326">
        <f t="shared" si="63"/>
        <v>27</v>
      </c>
      <c r="AB229" s="326">
        <f t="shared" si="63"/>
        <v>28</v>
      </c>
    </row>
    <row r="230" spans="1:28" s="324" customFormat="1" ht="0.65" hidden="1" customHeight="1">
      <c r="B230" s="326"/>
      <c r="AA230" s="326"/>
    </row>
    <row r="231" spans="1:28" s="324" customFormat="1" ht="0.65" hidden="1" customHeight="1">
      <c r="B231" s="326"/>
      <c r="AA231" s="326"/>
    </row>
    <row r="232" spans="1:28" s="324" customFormat="1" ht="0.65" hidden="1" customHeight="1">
      <c r="B232" s="326"/>
      <c r="AA232" s="326"/>
    </row>
    <row r="233" spans="1:28" s="324" customFormat="1" ht="0.65" hidden="1" customHeight="1">
      <c r="B233" s="326"/>
      <c r="AA233" s="326"/>
    </row>
    <row r="234" spans="1:28" s="324" customFormat="1" ht="0.65" hidden="1" customHeight="1">
      <c r="B234" s="326"/>
      <c r="AA234" s="326"/>
    </row>
    <row r="235" spans="1:28" s="324" customFormat="1" ht="0.65" hidden="1" customHeight="1">
      <c r="B235" s="326"/>
      <c r="AA235" s="326"/>
    </row>
    <row r="236" spans="1:28" s="324" customFormat="1" ht="0.65" hidden="1" customHeight="1">
      <c r="A236" s="324">
        <v>1001</v>
      </c>
      <c r="B236" s="326" t="s">
        <v>55</v>
      </c>
      <c r="D236" s="324">
        <v>1</v>
      </c>
      <c r="E236" s="324" t="s">
        <v>51</v>
      </c>
      <c r="Z236" s="324" t="s">
        <v>38</v>
      </c>
      <c r="AA236" s="326"/>
    </row>
    <row r="237" spans="1:28" s="324" customFormat="1" ht="0.65" hidden="1" customHeight="1">
      <c r="A237" s="324">
        <v>1002</v>
      </c>
      <c r="B237" s="326"/>
      <c r="D237" s="324" t="s">
        <v>38</v>
      </c>
      <c r="F237" s="324" t="s">
        <v>800</v>
      </c>
      <c r="J237" s="324" t="s">
        <v>824</v>
      </c>
      <c r="AA237" s="326"/>
    </row>
    <row r="238" spans="1:28" s="324" customFormat="1" ht="0.65" hidden="1" customHeight="1">
      <c r="A238" s="324">
        <v>1003</v>
      </c>
      <c r="B238" s="326" t="s">
        <v>55</v>
      </c>
      <c r="C238" s="324" t="s">
        <v>39</v>
      </c>
      <c r="D238" s="324" t="s">
        <v>55</v>
      </c>
      <c r="E238" s="324" t="s">
        <v>36</v>
      </c>
      <c r="F238" s="324" t="s">
        <v>825</v>
      </c>
      <c r="Z238" s="324" t="s">
        <v>38</v>
      </c>
      <c r="AA238" s="326">
        <v>825000</v>
      </c>
      <c r="AB238" s="324" t="s">
        <v>824</v>
      </c>
    </row>
    <row r="239" spans="1:28" s="320" customFormat="1" ht="0.65" hidden="1" customHeight="1">
      <c r="A239" s="320">
        <v>1004</v>
      </c>
      <c r="B239" s="362" t="s">
        <v>55</v>
      </c>
      <c r="C239" s="320" t="s">
        <v>41</v>
      </c>
      <c r="D239" s="320" t="s">
        <v>55</v>
      </c>
      <c r="F239" s="320" t="s">
        <v>826</v>
      </c>
      <c r="Z239" s="320" t="s">
        <v>40</v>
      </c>
      <c r="AA239" s="362">
        <v>1175000</v>
      </c>
      <c r="AB239" s="320" t="s">
        <v>58</v>
      </c>
    </row>
    <row r="240" spans="1:28" s="320" customFormat="1" ht="0.65" hidden="1" customHeight="1">
      <c r="A240" s="320">
        <v>1005</v>
      </c>
      <c r="B240" s="362" t="s">
        <v>55</v>
      </c>
      <c r="C240" s="320" t="s">
        <v>43</v>
      </c>
      <c r="D240" s="320" t="s">
        <v>55</v>
      </c>
      <c r="F240" s="320" t="s">
        <v>827</v>
      </c>
      <c r="Z240" s="320" t="s">
        <v>42</v>
      </c>
      <c r="AA240" s="362">
        <v>800000</v>
      </c>
      <c r="AB240" s="320" t="s">
        <v>57</v>
      </c>
    </row>
    <row r="241" spans="1:28" s="320" customFormat="1" ht="0.65" hidden="1" customHeight="1">
      <c r="A241" s="320">
        <v>1006</v>
      </c>
      <c r="B241" s="362" t="s">
        <v>55</v>
      </c>
      <c r="C241" s="320" t="s">
        <v>45</v>
      </c>
      <c r="D241" s="320" t="s">
        <v>55</v>
      </c>
      <c r="F241" s="320" t="s">
        <v>828</v>
      </c>
      <c r="Z241" s="320" t="s">
        <v>44</v>
      </c>
      <c r="AA241" s="362">
        <v>1200000</v>
      </c>
      <c r="AB241" s="320" t="s">
        <v>59</v>
      </c>
    </row>
    <row r="242" spans="1:28" s="320" customFormat="1" ht="0.65" hidden="1" customHeight="1">
      <c r="A242" s="320">
        <v>1007</v>
      </c>
      <c r="B242" s="362"/>
      <c r="AA242" s="362"/>
    </row>
    <row r="243" spans="1:28" s="320" customFormat="1" ht="0.65" hidden="1" customHeight="1">
      <c r="A243" s="320">
        <v>1008</v>
      </c>
      <c r="B243" s="362" t="s">
        <v>55</v>
      </c>
      <c r="D243" s="320">
        <v>2</v>
      </c>
      <c r="E243" s="320" t="s">
        <v>829</v>
      </c>
      <c r="Z243" s="320" t="s">
        <v>42</v>
      </c>
      <c r="AA243" s="362"/>
    </row>
    <row r="244" spans="1:28" s="320" customFormat="1" ht="0.65" hidden="1" customHeight="1">
      <c r="A244" s="320">
        <v>1009</v>
      </c>
      <c r="B244" s="362"/>
      <c r="D244" s="320" t="s">
        <v>42</v>
      </c>
      <c r="F244" s="320" t="s">
        <v>800</v>
      </c>
      <c r="J244" s="320" t="s">
        <v>830</v>
      </c>
      <c r="AA244" s="362"/>
    </row>
    <row r="245" spans="1:28" s="320" customFormat="1" ht="0.65" hidden="1" customHeight="1">
      <c r="A245" s="320">
        <v>1010</v>
      </c>
      <c r="B245" s="362" t="s">
        <v>55</v>
      </c>
      <c r="C245" s="320" t="s">
        <v>39</v>
      </c>
      <c r="D245" s="320" t="s">
        <v>55</v>
      </c>
      <c r="F245" s="320" t="s">
        <v>831</v>
      </c>
      <c r="Z245" s="320" t="s">
        <v>38</v>
      </c>
      <c r="AA245" s="362">
        <v>100000</v>
      </c>
      <c r="AB245" s="320" t="s">
        <v>60</v>
      </c>
    </row>
    <row r="246" spans="1:28" s="320" customFormat="1" ht="0.65" hidden="1" customHeight="1">
      <c r="A246" s="320">
        <v>1011</v>
      </c>
      <c r="B246" s="362" t="s">
        <v>55</v>
      </c>
      <c r="C246" s="320" t="s">
        <v>41</v>
      </c>
      <c r="D246" s="320" t="s">
        <v>55</v>
      </c>
      <c r="F246" s="320" t="s">
        <v>832</v>
      </c>
      <c r="Z246" s="320" t="s">
        <v>40</v>
      </c>
      <c r="AA246" s="362">
        <v>200000</v>
      </c>
      <c r="AB246" s="320" t="s">
        <v>61</v>
      </c>
    </row>
    <row r="247" spans="1:28" s="320" customFormat="1" ht="0.65" hidden="1" customHeight="1">
      <c r="A247" s="320">
        <v>1012</v>
      </c>
      <c r="B247" s="362" t="s">
        <v>55</v>
      </c>
      <c r="C247" s="320" t="s">
        <v>43</v>
      </c>
      <c r="D247" s="320" t="s">
        <v>55</v>
      </c>
      <c r="E247" s="320" t="s">
        <v>36</v>
      </c>
      <c r="F247" s="320" t="s">
        <v>833</v>
      </c>
      <c r="Z247" s="320" t="s">
        <v>42</v>
      </c>
      <c r="AA247" s="362">
        <v>175000</v>
      </c>
      <c r="AB247" s="320" t="s">
        <v>830</v>
      </c>
    </row>
    <row r="248" spans="1:28" s="320" customFormat="1" ht="0.65" hidden="1" customHeight="1">
      <c r="A248" s="320">
        <v>1013</v>
      </c>
      <c r="B248" s="362" t="s">
        <v>55</v>
      </c>
      <c r="C248" s="320" t="s">
        <v>45</v>
      </c>
      <c r="D248" s="320" t="s">
        <v>55</v>
      </c>
      <c r="F248" s="320" t="s">
        <v>834</v>
      </c>
      <c r="Z248" s="320" t="s">
        <v>44</v>
      </c>
      <c r="AA248" s="362"/>
      <c r="AB248" s="320" t="s">
        <v>830</v>
      </c>
    </row>
    <row r="249" spans="1:28" s="320" customFormat="1" ht="0.65" hidden="1" customHeight="1">
      <c r="A249" s="320">
        <v>1014</v>
      </c>
      <c r="B249" s="362"/>
      <c r="AA249" s="362"/>
    </row>
    <row r="250" spans="1:28" s="320" customFormat="1" ht="0.65" hidden="1" customHeight="1">
      <c r="A250" s="320">
        <v>1015</v>
      </c>
      <c r="B250" s="362" t="s">
        <v>55</v>
      </c>
      <c r="D250" s="320">
        <v>3</v>
      </c>
      <c r="E250" s="320" t="s">
        <v>835</v>
      </c>
      <c r="Z250" s="320" t="s">
        <v>42</v>
      </c>
      <c r="AA250" s="362"/>
    </row>
    <row r="251" spans="1:28" s="320" customFormat="1" ht="0.65" hidden="1" customHeight="1">
      <c r="A251" s="320">
        <v>1016</v>
      </c>
      <c r="B251" s="362"/>
      <c r="D251" s="320" t="s">
        <v>42</v>
      </c>
      <c r="F251" s="320" t="s">
        <v>800</v>
      </c>
      <c r="J251" s="320" t="s">
        <v>63</v>
      </c>
      <c r="AA251" s="362"/>
    </row>
    <row r="252" spans="1:28" s="320" customFormat="1" ht="0.65" hidden="1" customHeight="1">
      <c r="A252" s="320">
        <v>1017</v>
      </c>
      <c r="B252" s="362" t="s">
        <v>55</v>
      </c>
      <c r="C252" s="320" t="s">
        <v>39</v>
      </c>
      <c r="D252" s="320" t="s">
        <v>55</v>
      </c>
      <c r="F252" s="320" t="s">
        <v>836</v>
      </c>
      <c r="Z252" s="320" t="s">
        <v>38</v>
      </c>
      <c r="AA252" s="362">
        <v>1260000</v>
      </c>
      <c r="AB252" s="320" t="s">
        <v>62</v>
      </c>
    </row>
    <row r="253" spans="1:28" s="320" customFormat="1" ht="0.65" hidden="1" customHeight="1">
      <c r="A253" s="320">
        <v>1018</v>
      </c>
      <c r="B253" s="362" t="s">
        <v>55</v>
      </c>
      <c r="C253" s="320" t="s">
        <v>41</v>
      </c>
      <c r="D253" s="320" t="s">
        <v>55</v>
      </c>
      <c r="F253" s="320" t="s">
        <v>837</v>
      </c>
      <c r="Z253" s="320" t="s">
        <v>40</v>
      </c>
      <c r="AA253" s="362">
        <v>840000</v>
      </c>
      <c r="AB253" s="320" t="s">
        <v>62</v>
      </c>
    </row>
    <row r="254" spans="1:28" s="320" customFormat="1" ht="0.65" hidden="1" customHeight="1">
      <c r="A254" s="320">
        <v>1019</v>
      </c>
      <c r="B254" s="362" t="s">
        <v>55</v>
      </c>
      <c r="C254" s="320" t="s">
        <v>43</v>
      </c>
      <c r="D254" s="320" t="s">
        <v>55</v>
      </c>
      <c r="E254" s="320" t="s">
        <v>36</v>
      </c>
      <c r="F254" s="320" t="s">
        <v>838</v>
      </c>
      <c r="Z254" s="320" t="s">
        <v>42</v>
      </c>
      <c r="AA254" s="362">
        <v>420000</v>
      </c>
      <c r="AB254" s="320" t="s">
        <v>63</v>
      </c>
    </row>
    <row r="255" spans="1:28" s="320" customFormat="1" ht="0.65" hidden="1" customHeight="1">
      <c r="A255" s="320">
        <v>1020</v>
      </c>
      <c r="B255" s="362" t="s">
        <v>55</v>
      </c>
      <c r="C255" s="320" t="s">
        <v>45</v>
      </c>
      <c r="D255" s="320" t="s">
        <v>55</v>
      </c>
      <c r="F255" s="320" t="s">
        <v>834</v>
      </c>
      <c r="Z255" s="320" t="s">
        <v>44</v>
      </c>
      <c r="AA255" s="362"/>
      <c r="AB255" s="320" t="s">
        <v>63</v>
      </c>
    </row>
    <row r="256" spans="1:28" s="320" customFormat="1" ht="0.65" hidden="1" customHeight="1">
      <c r="A256" s="320">
        <v>1021</v>
      </c>
      <c r="B256" s="362"/>
      <c r="AA256" s="362"/>
    </row>
    <row r="257" spans="1:28" s="320" customFormat="1" ht="0.65" hidden="1" customHeight="1">
      <c r="A257" s="320">
        <v>1022</v>
      </c>
      <c r="B257" s="362" t="s">
        <v>55</v>
      </c>
      <c r="D257" s="320">
        <v>4</v>
      </c>
      <c r="E257" s="320" t="s">
        <v>839</v>
      </c>
      <c r="Z257" s="320" t="s">
        <v>40</v>
      </c>
      <c r="AA257" s="362"/>
    </row>
    <row r="258" spans="1:28" s="320" customFormat="1" ht="0.65" hidden="1" customHeight="1">
      <c r="A258" s="320">
        <v>1023</v>
      </c>
      <c r="B258" s="362"/>
      <c r="D258" s="320" t="s">
        <v>40</v>
      </c>
      <c r="F258" s="320" t="s">
        <v>800</v>
      </c>
      <c r="J258" s="320" t="s">
        <v>840</v>
      </c>
      <c r="AA258" s="362"/>
    </row>
    <row r="259" spans="1:28" s="320" customFormat="1" ht="0.65" hidden="1" customHeight="1">
      <c r="A259" s="320">
        <v>1024</v>
      </c>
      <c r="B259" s="362" t="s">
        <v>55</v>
      </c>
      <c r="C259" s="320" t="s">
        <v>39</v>
      </c>
      <c r="D259" s="320" t="s">
        <v>55</v>
      </c>
      <c r="F259" s="320" t="s">
        <v>841</v>
      </c>
      <c r="Z259" s="320" t="s">
        <v>38</v>
      </c>
      <c r="AA259" s="362">
        <v>150000</v>
      </c>
      <c r="AB259" s="320" t="s">
        <v>64</v>
      </c>
    </row>
    <row r="260" spans="1:28" s="320" customFormat="1" ht="0.65" hidden="1" customHeight="1">
      <c r="A260" s="320">
        <v>1025</v>
      </c>
      <c r="B260" s="362" t="s">
        <v>55</v>
      </c>
      <c r="C260" s="320" t="s">
        <v>41</v>
      </c>
      <c r="D260" s="320" t="s">
        <v>55</v>
      </c>
      <c r="E260" s="320" t="s">
        <v>36</v>
      </c>
      <c r="F260" s="320" t="s">
        <v>842</v>
      </c>
      <c r="Z260" s="320" t="s">
        <v>40</v>
      </c>
      <c r="AA260" s="362">
        <v>50000</v>
      </c>
      <c r="AB260" s="320" t="s">
        <v>840</v>
      </c>
    </row>
    <row r="261" spans="1:28" s="320" customFormat="1" ht="0.65" hidden="1" customHeight="1">
      <c r="A261" s="320">
        <v>1026</v>
      </c>
      <c r="B261" s="362" t="s">
        <v>55</v>
      </c>
      <c r="C261" s="320" t="s">
        <v>43</v>
      </c>
      <c r="D261" s="320" t="s">
        <v>55</v>
      </c>
      <c r="F261" s="320" t="s">
        <v>843</v>
      </c>
      <c r="Z261" s="320" t="s">
        <v>42</v>
      </c>
      <c r="AA261" s="362">
        <v>100000</v>
      </c>
      <c r="AB261" s="320" t="s">
        <v>65</v>
      </c>
    </row>
    <row r="262" spans="1:28" s="320" customFormat="1" ht="0.65" hidden="1" customHeight="1">
      <c r="A262" s="320">
        <v>1027</v>
      </c>
      <c r="B262" s="362" t="s">
        <v>55</v>
      </c>
      <c r="C262" s="320" t="s">
        <v>45</v>
      </c>
      <c r="D262" s="320" t="s">
        <v>55</v>
      </c>
      <c r="F262" s="320" t="s">
        <v>834</v>
      </c>
      <c r="Z262" s="320" t="s">
        <v>44</v>
      </c>
      <c r="AA262" s="362"/>
      <c r="AB262" s="320" t="s">
        <v>840</v>
      </c>
    </row>
    <row r="263" spans="1:28" s="320" customFormat="1" ht="0.65" hidden="1" customHeight="1">
      <c r="A263" s="320">
        <v>1028</v>
      </c>
      <c r="B263" s="362"/>
      <c r="AA263" s="362"/>
    </row>
    <row r="264" spans="1:28" s="320" customFormat="1" ht="0.65" hidden="1" customHeight="1">
      <c r="A264" s="320">
        <v>1029</v>
      </c>
      <c r="B264" s="362" t="s">
        <v>55</v>
      </c>
      <c r="D264" s="320">
        <v>5</v>
      </c>
      <c r="E264" s="320" t="s">
        <v>844</v>
      </c>
      <c r="Z264" s="320" t="s">
        <v>40</v>
      </c>
      <c r="AA264" s="362"/>
    </row>
    <row r="265" spans="1:28" s="320" customFormat="1" ht="0.65" hidden="1" customHeight="1">
      <c r="A265" s="320">
        <v>1030</v>
      </c>
      <c r="B265" s="362"/>
      <c r="D265" s="320" t="s">
        <v>40</v>
      </c>
      <c r="F265" s="320" t="s">
        <v>800</v>
      </c>
      <c r="J265" s="320" t="s">
        <v>845</v>
      </c>
      <c r="AA265" s="362"/>
    </row>
    <row r="266" spans="1:28" s="320" customFormat="1" ht="0.65" hidden="1" customHeight="1">
      <c r="A266" s="320">
        <v>1031</v>
      </c>
      <c r="B266" s="362" t="s">
        <v>55</v>
      </c>
      <c r="C266" s="320" t="s">
        <v>39</v>
      </c>
      <c r="D266" s="320" t="s">
        <v>55</v>
      </c>
      <c r="F266" s="320" t="s">
        <v>846</v>
      </c>
      <c r="Z266" s="320" t="s">
        <v>38</v>
      </c>
      <c r="AA266" s="362">
        <v>50000</v>
      </c>
      <c r="AB266" s="320" t="s">
        <v>847</v>
      </c>
    </row>
    <row r="267" spans="1:28" s="320" customFormat="1" ht="0.65" hidden="1" customHeight="1">
      <c r="A267" s="320">
        <v>1032</v>
      </c>
      <c r="B267" s="362" t="s">
        <v>55</v>
      </c>
      <c r="C267" s="320" t="s">
        <v>41</v>
      </c>
      <c r="D267" s="320" t="s">
        <v>55</v>
      </c>
      <c r="E267" s="320" t="s">
        <v>36</v>
      </c>
      <c r="F267" s="320" t="s">
        <v>848</v>
      </c>
      <c r="Z267" s="320" t="s">
        <v>40</v>
      </c>
      <c r="AA267" s="362">
        <v>100000</v>
      </c>
      <c r="AB267" s="320" t="s">
        <v>845</v>
      </c>
    </row>
    <row r="268" spans="1:28" s="320" customFormat="1" ht="0.65" hidden="1" customHeight="1">
      <c r="A268" s="320">
        <v>1033</v>
      </c>
      <c r="B268" s="362" t="s">
        <v>55</v>
      </c>
      <c r="C268" s="320" t="s">
        <v>43</v>
      </c>
      <c r="D268" s="320" t="s">
        <v>55</v>
      </c>
      <c r="F268" s="320" t="s">
        <v>849</v>
      </c>
      <c r="Z268" s="320" t="s">
        <v>42</v>
      </c>
      <c r="AA268" s="362">
        <v>150000</v>
      </c>
      <c r="AB268" s="320" t="s">
        <v>850</v>
      </c>
    </row>
    <row r="269" spans="1:28" s="320" customFormat="1" ht="0.65" hidden="1" customHeight="1">
      <c r="A269" s="320">
        <v>1034</v>
      </c>
      <c r="B269" s="362" t="s">
        <v>55</v>
      </c>
      <c r="C269" s="320" t="s">
        <v>45</v>
      </c>
      <c r="D269" s="320" t="s">
        <v>55</v>
      </c>
      <c r="F269" s="320" t="s">
        <v>834</v>
      </c>
      <c r="Z269" s="320" t="s">
        <v>44</v>
      </c>
      <c r="AA269" s="362"/>
      <c r="AB269" s="320" t="s">
        <v>845</v>
      </c>
    </row>
    <row r="270" spans="1:28" s="320" customFormat="1" ht="0.65" hidden="1" customHeight="1">
      <c r="A270" s="320">
        <v>1035</v>
      </c>
      <c r="B270" s="362"/>
      <c r="AA270" s="362"/>
    </row>
    <row r="271" spans="1:28" s="320" customFormat="1" ht="0.65" hidden="1" customHeight="1">
      <c r="A271" s="320">
        <v>1036</v>
      </c>
      <c r="B271" s="362" t="s">
        <v>55</v>
      </c>
      <c r="D271" s="320">
        <v>6</v>
      </c>
      <c r="E271" s="320" t="s">
        <v>851</v>
      </c>
      <c r="Z271" s="320" t="s">
        <v>44</v>
      </c>
      <c r="AA271" s="362"/>
    </row>
    <row r="272" spans="1:28" s="320" customFormat="1" ht="0.65" hidden="1" customHeight="1">
      <c r="A272" s="320">
        <v>1037</v>
      </c>
      <c r="B272" s="362"/>
      <c r="D272" s="320" t="s">
        <v>44</v>
      </c>
      <c r="F272" s="320" t="s">
        <v>800</v>
      </c>
      <c r="J272" s="320" t="s">
        <v>852</v>
      </c>
      <c r="AA272" s="362"/>
    </row>
    <row r="273" spans="1:28" s="320" customFormat="1" ht="0.65" hidden="1" customHeight="1">
      <c r="A273" s="320">
        <v>1038</v>
      </c>
      <c r="B273" s="362" t="s">
        <v>55</v>
      </c>
      <c r="C273" s="320" t="s">
        <v>39</v>
      </c>
      <c r="D273" s="320" t="s">
        <v>55</v>
      </c>
      <c r="F273" s="320" t="s">
        <v>853</v>
      </c>
      <c r="Z273" s="320" t="s">
        <v>38</v>
      </c>
      <c r="AA273" s="362">
        <v>5000</v>
      </c>
      <c r="AB273" s="320" t="s">
        <v>478</v>
      </c>
    </row>
    <row r="274" spans="1:28" s="320" customFormat="1" ht="0.65" hidden="1" customHeight="1">
      <c r="A274" s="320">
        <v>1039</v>
      </c>
      <c r="B274" s="362" t="s">
        <v>55</v>
      </c>
      <c r="C274" s="320" t="s">
        <v>41</v>
      </c>
      <c r="D274" s="320" t="s">
        <v>55</v>
      </c>
      <c r="F274" s="320" t="s">
        <v>854</v>
      </c>
      <c r="Z274" s="320" t="s">
        <v>40</v>
      </c>
      <c r="AA274" s="362">
        <v>167500</v>
      </c>
      <c r="AB274" s="320" t="s">
        <v>90</v>
      </c>
    </row>
    <row r="275" spans="1:28" s="320" customFormat="1" ht="0.65" hidden="1" customHeight="1">
      <c r="A275" s="320">
        <v>1040</v>
      </c>
      <c r="B275" s="362" t="s">
        <v>55</v>
      </c>
      <c r="C275" s="320" t="s">
        <v>43</v>
      </c>
      <c r="D275" s="320" t="s">
        <v>55</v>
      </c>
      <c r="F275" s="320" t="s">
        <v>855</v>
      </c>
      <c r="Z275" s="320" t="s">
        <v>42</v>
      </c>
      <c r="AA275" s="362">
        <v>30000</v>
      </c>
      <c r="AB275" s="320" t="s">
        <v>91</v>
      </c>
    </row>
    <row r="276" spans="1:28" s="320" customFormat="1" ht="0.65" hidden="1" customHeight="1">
      <c r="A276" s="320">
        <v>1041</v>
      </c>
      <c r="B276" s="362" t="s">
        <v>55</v>
      </c>
      <c r="C276" s="320" t="s">
        <v>45</v>
      </c>
      <c r="D276" s="320" t="s">
        <v>55</v>
      </c>
      <c r="E276" s="320" t="s">
        <v>36</v>
      </c>
      <c r="F276" s="320" t="s">
        <v>856</v>
      </c>
      <c r="Z276" s="320" t="s">
        <v>44</v>
      </c>
      <c r="AA276" s="362">
        <v>17500</v>
      </c>
      <c r="AB276" s="320" t="s">
        <v>852</v>
      </c>
    </row>
    <row r="277" spans="1:28" s="320" customFormat="1" ht="0.65" hidden="1" customHeight="1">
      <c r="A277" s="320">
        <v>1042</v>
      </c>
      <c r="B277" s="362"/>
      <c r="AA277" s="362"/>
    </row>
    <row r="278" spans="1:28" s="320" customFormat="1" ht="0.65" hidden="1" customHeight="1">
      <c r="A278" s="320">
        <v>1043</v>
      </c>
      <c r="B278" s="362" t="s">
        <v>55</v>
      </c>
      <c r="D278" s="320">
        <v>7</v>
      </c>
      <c r="E278" s="320" t="s">
        <v>857</v>
      </c>
      <c r="Z278" s="320" t="s">
        <v>44</v>
      </c>
      <c r="AA278" s="362"/>
    </row>
    <row r="279" spans="1:28" s="320" customFormat="1" ht="0.65" hidden="1" customHeight="1">
      <c r="A279" s="320">
        <v>1044</v>
      </c>
      <c r="B279" s="362"/>
      <c r="D279" s="320" t="s">
        <v>44</v>
      </c>
      <c r="F279" s="320" t="s">
        <v>800</v>
      </c>
      <c r="J279" s="320" t="s">
        <v>858</v>
      </c>
      <c r="AA279" s="362"/>
    </row>
    <row r="280" spans="1:28" s="320" customFormat="1" ht="0.65" hidden="1" customHeight="1">
      <c r="A280" s="320">
        <v>1045</v>
      </c>
      <c r="B280" s="362" t="s">
        <v>55</v>
      </c>
      <c r="C280" s="320" t="s">
        <v>39</v>
      </c>
      <c r="D280" s="320" t="s">
        <v>55</v>
      </c>
      <c r="F280" s="320" t="s">
        <v>859</v>
      </c>
      <c r="Z280" s="320" t="s">
        <v>38</v>
      </c>
      <c r="AA280" s="362">
        <v>52500</v>
      </c>
      <c r="AB280" s="320" t="s">
        <v>120</v>
      </c>
    </row>
    <row r="281" spans="1:28" s="320" customFormat="1" ht="0.65" hidden="1" customHeight="1">
      <c r="A281" s="320">
        <v>1046</v>
      </c>
      <c r="B281" s="362" t="s">
        <v>55</v>
      </c>
      <c r="C281" s="320" t="s">
        <v>41</v>
      </c>
      <c r="D281" s="320" t="s">
        <v>55</v>
      </c>
      <c r="F281" s="320" t="s">
        <v>860</v>
      </c>
      <c r="Z281" s="320" t="s">
        <v>40</v>
      </c>
      <c r="AA281" s="362">
        <v>2500</v>
      </c>
      <c r="AB281" s="320" t="s">
        <v>121</v>
      </c>
    </row>
    <row r="282" spans="1:28" s="320" customFormat="1" ht="0.65" hidden="1" customHeight="1">
      <c r="A282" s="320">
        <v>1047</v>
      </c>
      <c r="B282" s="362" t="s">
        <v>55</v>
      </c>
      <c r="C282" s="320" t="s">
        <v>43</v>
      </c>
      <c r="D282" s="320" t="s">
        <v>55</v>
      </c>
      <c r="F282" s="320" t="s">
        <v>861</v>
      </c>
      <c r="Z282" s="320" t="s">
        <v>42</v>
      </c>
      <c r="AA282" s="362">
        <v>15000</v>
      </c>
      <c r="AB282" s="320" t="s">
        <v>862</v>
      </c>
    </row>
    <row r="283" spans="1:28" s="320" customFormat="1" ht="0.65" hidden="1" customHeight="1">
      <c r="A283" s="320">
        <v>1048</v>
      </c>
      <c r="B283" s="362" t="s">
        <v>55</v>
      </c>
      <c r="C283" s="320" t="s">
        <v>45</v>
      </c>
      <c r="D283" s="320" t="s">
        <v>55</v>
      </c>
      <c r="E283" s="320" t="s">
        <v>36</v>
      </c>
      <c r="F283" s="320" t="s">
        <v>863</v>
      </c>
      <c r="Z283" s="320" t="s">
        <v>44</v>
      </c>
      <c r="AA283" s="362">
        <v>102500</v>
      </c>
      <c r="AB283" s="320" t="s">
        <v>858</v>
      </c>
    </row>
    <row r="284" spans="1:28" s="320" customFormat="1" ht="0.65" hidden="1" customHeight="1">
      <c r="A284" s="320">
        <v>1049</v>
      </c>
      <c r="B284" s="362"/>
      <c r="AA284" s="362"/>
    </row>
    <row r="285" spans="1:28" s="320" customFormat="1" ht="0.65" hidden="1" customHeight="1">
      <c r="A285" s="320">
        <v>1050</v>
      </c>
      <c r="B285" s="362" t="s">
        <v>55</v>
      </c>
      <c r="D285" s="320">
        <v>8</v>
      </c>
      <c r="E285" s="320" t="s">
        <v>864</v>
      </c>
      <c r="Z285" s="320" t="s">
        <v>44</v>
      </c>
      <c r="AA285" s="362"/>
    </row>
    <row r="286" spans="1:28" s="320" customFormat="1" ht="0.65" hidden="1" customHeight="1">
      <c r="A286" s="320">
        <v>1051</v>
      </c>
      <c r="B286" s="362"/>
      <c r="D286" s="320" t="s">
        <v>44</v>
      </c>
      <c r="F286" s="320" t="s">
        <v>800</v>
      </c>
      <c r="J286" s="320" t="s">
        <v>865</v>
      </c>
      <c r="AA286" s="362"/>
    </row>
    <row r="287" spans="1:28" s="320" customFormat="1" ht="0.65" hidden="1" customHeight="1">
      <c r="A287" s="320">
        <v>1052</v>
      </c>
      <c r="B287" s="362" t="s">
        <v>55</v>
      </c>
      <c r="C287" s="320" t="s">
        <v>39</v>
      </c>
      <c r="D287" s="320" t="s">
        <v>55</v>
      </c>
      <c r="F287" s="320" t="s">
        <v>866</v>
      </c>
      <c r="Z287" s="320" t="s">
        <v>38</v>
      </c>
      <c r="AA287" s="362">
        <v>210000</v>
      </c>
      <c r="AB287" s="320" t="s">
        <v>99</v>
      </c>
    </row>
    <row r="288" spans="1:28" s="320" customFormat="1" ht="0.65" hidden="1" customHeight="1">
      <c r="A288" s="320">
        <v>1053</v>
      </c>
      <c r="B288" s="362" t="s">
        <v>55</v>
      </c>
      <c r="C288" s="320" t="s">
        <v>41</v>
      </c>
      <c r="D288" s="320" t="s">
        <v>55</v>
      </c>
      <c r="F288" s="320" t="s">
        <v>867</v>
      </c>
      <c r="Z288" s="320" t="s">
        <v>40</v>
      </c>
      <c r="AA288" s="362">
        <v>315000</v>
      </c>
      <c r="AB288" s="320" t="s">
        <v>100</v>
      </c>
    </row>
    <row r="289" spans="1:28" s="320" customFormat="1" ht="0.65" hidden="1" customHeight="1">
      <c r="A289" s="320">
        <v>1054</v>
      </c>
      <c r="B289" s="362" t="s">
        <v>55</v>
      </c>
      <c r="C289" s="320" t="s">
        <v>43</v>
      </c>
      <c r="D289" s="320" t="s">
        <v>55</v>
      </c>
      <c r="F289" s="320" t="s">
        <v>868</v>
      </c>
      <c r="Z289" s="320" t="s">
        <v>42</v>
      </c>
      <c r="AA289" s="362">
        <v>420000</v>
      </c>
      <c r="AB289" s="320" t="s">
        <v>101</v>
      </c>
    </row>
    <row r="290" spans="1:28" s="320" customFormat="1" ht="0.65" hidden="1" customHeight="1">
      <c r="A290" s="320">
        <v>1055</v>
      </c>
      <c r="B290" s="362" t="s">
        <v>55</v>
      </c>
      <c r="C290" s="320" t="s">
        <v>45</v>
      </c>
      <c r="D290" s="320" t="s">
        <v>55</v>
      </c>
      <c r="E290" s="320" t="s">
        <v>36</v>
      </c>
      <c r="F290" s="320" t="s">
        <v>869</v>
      </c>
      <c r="Z290" s="320" t="s">
        <v>44</v>
      </c>
      <c r="AA290" s="362">
        <v>105000</v>
      </c>
      <c r="AB290" s="320" t="s">
        <v>865</v>
      </c>
    </row>
    <row r="291" spans="1:28" s="320" customFormat="1" ht="0.65" hidden="1" customHeight="1">
      <c r="A291" s="320">
        <v>1056</v>
      </c>
      <c r="B291" s="362"/>
      <c r="AA291" s="362"/>
    </row>
    <row r="292" spans="1:28" s="320" customFormat="1" ht="0.65" hidden="1" customHeight="1">
      <c r="A292" s="320">
        <v>1057</v>
      </c>
      <c r="B292" s="362" t="s">
        <v>55</v>
      </c>
      <c r="D292" s="320">
        <v>9</v>
      </c>
      <c r="E292" s="320" t="s">
        <v>870</v>
      </c>
      <c r="Z292" s="320" t="s">
        <v>44</v>
      </c>
      <c r="AA292" s="362"/>
    </row>
    <row r="293" spans="1:28" s="320" customFormat="1" ht="0.65" hidden="1" customHeight="1">
      <c r="A293" s="320">
        <v>1058</v>
      </c>
      <c r="B293" s="362"/>
      <c r="D293" s="320" t="s">
        <v>44</v>
      </c>
      <c r="F293" s="320" t="s">
        <v>800</v>
      </c>
      <c r="J293" s="320" t="s">
        <v>871</v>
      </c>
      <c r="AA293" s="362"/>
    </row>
    <row r="294" spans="1:28" s="320" customFormat="1" ht="0.65" hidden="1" customHeight="1">
      <c r="A294" s="320">
        <v>1059</v>
      </c>
      <c r="B294" s="362" t="s">
        <v>55</v>
      </c>
      <c r="C294" s="320" t="s">
        <v>39</v>
      </c>
      <c r="D294" s="320" t="s">
        <v>55</v>
      </c>
      <c r="F294" s="320" t="s">
        <v>872</v>
      </c>
      <c r="Z294" s="320" t="s">
        <v>38</v>
      </c>
      <c r="AA294" s="362">
        <v>75000</v>
      </c>
      <c r="AB294" s="320" t="s">
        <v>102</v>
      </c>
    </row>
    <row r="295" spans="1:28" s="320" customFormat="1" ht="0.65" hidden="1" customHeight="1">
      <c r="A295" s="320">
        <v>1060</v>
      </c>
      <c r="B295" s="362" t="s">
        <v>55</v>
      </c>
      <c r="C295" s="320" t="s">
        <v>41</v>
      </c>
      <c r="D295" s="320" t="s">
        <v>55</v>
      </c>
      <c r="F295" s="320" t="s">
        <v>873</v>
      </c>
      <c r="Z295" s="320" t="s">
        <v>40</v>
      </c>
      <c r="AA295" s="362">
        <v>250000</v>
      </c>
      <c r="AB295" s="320" t="s">
        <v>103</v>
      </c>
    </row>
    <row r="296" spans="1:28" s="320" customFormat="1" ht="0.65" hidden="1" customHeight="1">
      <c r="A296" s="320">
        <v>1061</v>
      </c>
      <c r="B296" s="362" t="s">
        <v>55</v>
      </c>
      <c r="C296" s="320" t="s">
        <v>43</v>
      </c>
      <c r="D296" s="320" t="s">
        <v>55</v>
      </c>
      <c r="F296" s="320" t="s">
        <v>874</v>
      </c>
      <c r="Z296" s="320" t="s">
        <v>42</v>
      </c>
      <c r="AA296" s="362">
        <v>150000</v>
      </c>
      <c r="AB296" s="320" t="s">
        <v>875</v>
      </c>
    </row>
    <row r="297" spans="1:28" s="320" customFormat="1" ht="0.65" hidden="1" customHeight="1">
      <c r="A297" s="320">
        <v>1062</v>
      </c>
      <c r="B297" s="362" t="s">
        <v>55</v>
      </c>
      <c r="C297" s="320" t="s">
        <v>45</v>
      </c>
      <c r="D297" s="320" t="s">
        <v>55</v>
      </c>
      <c r="E297" s="320" t="s">
        <v>36</v>
      </c>
      <c r="F297" s="320" t="s">
        <v>876</v>
      </c>
      <c r="Z297" s="320" t="s">
        <v>44</v>
      </c>
      <c r="AA297" s="362">
        <v>50000</v>
      </c>
      <c r="AB297" s="320" t="s">
        <v>871</v>
      </c>
    </row>
    <row r="298" spans="1:28" s="320" customFormat="1" ht="0.65" hidden="1" customHeight="1">
      <c r="A298" s="320">
        <v>1063</v>
      </c>
      <c r="B298" s="362"/>
      <c r="AA298" s="362"/>
    </row>
    <row r="299" spans="1:28" s="320" customFormat="1" ht="0.65" hidden="1" customHeight="1">
      <c r="A299" s="320">
        <v>1064</v>
      </c>
      <c r="B299" s="362" t="s">
        <v>55</v>
      </c>
      <c r="D299" s="320">
        <v>10</v>
      </c>
      <c r="E299" s="320" t="s">
        <v>877</v>
      </c>
      <c r="Z299" s="320" t="s">
        <v>40</v>
      </c>
      <c r="AA299" s="362"/>
    </row>
    <row r="300" spans="1:28" s="320" customFormat="1" ht="0.65" hidden="1" customHeight="1">
      <c r="A300" s="320">
        <v>1065</v>
      </c>
      <c r="B300" s="362"/>
      <c r="D300" s="320" t="s">
        <v>40</v>
      </c>
      <c r="F300" s="320" t="s">
        <v>800</v>
      </c>
      <c r="J300" s="320" t="s">
        <v>878</v>
      </c>
      <c r="AA300" s="362"/>
    </row>
    <row r="301" spans="1:28" s="320" customFormat="1" ht="0.65" hidden="1" customHeight="1">
      <c r="A301" s="320">
        <v>1066</v>
      </c>
      <c r="B301" s="362" t="s">
        <v>55</v>
      </c>
      <c r="C301" s="320" t="s">
        <v>39</v>
      </c>
      <c r="D301" s="320" t="s">
        <v>55</v>
      </c>
      <c r="F301" s="320" t="s">
        <v>879</v>
      </c>
      <c r="Z301" s="320" t="s">
        <v>38</v>
      </c>
      <c r="AA301" s="362">
        <v>120000</v>
      </c>
      <c r="AB301" s="320" t="s">
        <v>104</v>
      </c>
    </row>
    <row r="302" spans="1:28" s="320" customFormat="1" ht="0.65" hidden="1" customHeight="1">
      <c r="A302" s="320">
        <v>1067</v>
      </c>
      <c r="B302" s="362" t="s">
        <v>55</v>
      </c>
      <c r="C302" s="320" t="s">
        <v>41</v>
      </c>
      <c r="D302" s="320" t="s">
        <v>55</v>
      </c>
      <c r="E302" s="320" t="s">
        <v>36</v>
      </c>
      <c r="F302" s="320" t="s">
        <v>880</v>
      </c>
      <c r="Z302" s="320" t="s">
        <v>40</v>
      </c>
      <c r="AA302" s="362">
        <v>55000</v>
      </c>
      <c r="AB302" s="320" t="s">
        <v>878</v>
      </c>
    </row>
    <row r="303" spans="1:28" s="320" customFormat="1" ht="0.65" hidden="1" customHeight="1">
      <c r="A303" s="320">
        <v>1068</v>
      </c>
      <c r="B303" s="362" t="s">
        <v>55</v>
      </c>
      <c r="C303" s="320" t="s">
        <v>43</v>
      </c>
      <c r="D303" s="320" t="s">
        <v>55</v>
      </c>
      <c r="F303" s="320" t="s">
        <v>881</v>
      </c>
      <c r="Z303" s="320" t="s">
        <v>42</v>
      </c>
      <c r="AA303" s="362">
        <v>155000</v>
      </c>
      <c r="AB303" s="320" t="s">
        <v>105</v>
      </c>
    </row>
    <row r="304" spans="1:28" s="320" customFormat="1" ht="0.65" hidden="1" customHeight="1">
      <c r="A304" s="320">
        <v>1069</v>
      </c>
      <c r="B304" s="362" t="s">
        <v>55</v>
      </c>
      <c r="C304" s="320" t="s">
        <v>45</v>
      </c>
      <c r="D304" s="320" t="s">
        <v>55</v>
      </c>
      <c r="F304" s="320" t="s">
        <v>882</v>
      </c>
      <c r="Z304" s="320" t="s">
        <v>44</v>
      </c>
      <c r="AA304" s="362">
        <v>0</v>
      </c>
      <c r="AB304" s="320" t="s">
        <v>878</v>
      </c>
    </row>
    <row r="305" spans="1:28" s="320" customFormat="1" ht="0.65" hidden="1" customHeight="1">
      <c r="A305" s="320">
        <v>1070</v>
      </c>
      <c r="B305" s="362"/>
      <c r="AA305" s="362"/>
    </row>
    <row r="306" spans="1:28" s="320" customFormat="1" ht="0.65" hidden="1" customHeight="1">
      <c r="A306" s="320">
        <v>1071</v>
      </c>
      <c r="B306" s="362" t="s">
        <v>55</v>
      </c>
      <c r="D306" s="320">
        <v>11</v>
      </c>
      <c r="E306" s="320" t="s">
        <v>883</v>
      </c>
      <c r="Z306" s="320" t="s">
        <v>44</v>
      </c>
      <c r="AA306" s="362"/>
    </row>
    <row r="307" spans="1:28" s="320" customFormat="1" ht="0.65" hidden="1" customHeight="1">
      <c r="A307" s="320">
        <v>1072</v>
      </c>
      <c r="B307" s="362"/>
      <c r="D307" s="320" t="s">
        <v>44</v>
      </c>
      <c r="F307" s="320" t="s">
        <v>800</v>
      </c>
      <c r="J307" s="320" t="s">
        <v>119</v>
      </c>
      <c r="AA307" s="362"/>
    </row>
    <row r="308" spans="1:28" s="320" customFormat="1" ht="0.65" hidden="1" customHeight="1">
      <c r="A308" s="320">
        <v>1073</v>
      </c>
      <c r="B308" s="362" t="s">
        <v>55</v>
      </c>
      <c r="C308" s="320" t="s">
        <v>39</v>
      </c>
      <c r="D308" s="320" t="s">
        <v>55</v>
      </c>
      <c r="F308" s="320" t="s">
        <v>884</v>
      </c>
      <c r="Z308" s="320" t="s">
        <v>38</v>
      </c>
      <c r="AA308" s="362">
        <v>55000</v>
      </c>
      <c r="AB308" s="320" t="s">
        <v>106</v>
      </c>
    </row>
    <row r="309" spans="1:28" s="320" customFormat="1" ht="0.65" hidden="1" customHeight="1">
      <c r="A309" s="320">
        <v>1074</v>
      </c>
      <c r="B309" s="362" t="s">
        <v>55</v>
      </c>
      <c r="C309" s="320" t="s">
        <v>41</v>
      </c>
      <c r="D309" s="320" t="s">
        <v>55</v>
      </c>
      <c r="F309" s="320" t="s">
        <v>885</v>
      </c>
      <c r="Z309" s="320" t="s">
        <v>40</v>
      </c>
      <c r="AA309" s="362">
        <v>155000</v>
      </c>
      <c r="AB309" s="320" t="s">
        <v>107</v>
      </c>
    </row>
    <row r="310" spans="1:28" s="320" customFormat="1" ht="0.65" hidden="1" customHeight="1">
      <c r="A310" s="320">
        <v>1075</v>
      </c>
      <c r="B310" s="362" t="s">
        <v>55</v>
      </c>
      <c r="C310" s="320" t="s">
        <v>43</v>
      </c>
      <c r="D310" s="320" t="s">
        <v>55</v>
      </c>
      <c r="F310" s="320" t="s">
        <v>886</v>
      </c>
      <c r="Z310" s="320" t="s">
        <v>42</v>
      </c>
      <c r="AA310" s="362">
        <v>105000</v>
      </c>
      <c r="AB310" s="320" t="s">
        <v>118</v>
      </c>
    </row>
    <row r="311" spans="1:28" s="320" customFormat="1" ht="0.65" hidden="1" customHeight="1">
      <c r="A311" s="320">
        <v>1076</v>
      </c>
      <c r="B311" s="362" t="s">
        <v>55</v>
      </c>
      <c r="C311" s="320" t="s">
        <v>45</v>
      </c>
      <c r="D311" s="320" t="s">
        <v>55</v>
      </c>
      <c r="E311" s="320" t="s">
        <v>36</v>
      </c>
      <c r="F311" s="320" t="s">
        <v>887</v>
      </c>
      <c r="Z311" s="320" t="s">
        <v>44</v>
      </c>
      <c r="AA311" s="362">
        <v>0</v>
      </c>
      <c r="AB311" s="320" t="s">
        <v>119</v>
      </c>
    </row>
    <row r="312" spans="1:28" s="320" customFormat="1" ht="0.65" hidden="1" customHeight="1">
      <c r="A312" s="320">
        <v>1077</v>
      </c>
      <c r="B312" s="362"/>
      <c r="AA312" s="362"/>
    </row>
    <row r="313" spans="1:28" s="320" customFormat="1" ht="0.65" hidden="1" customHeight="1">
      <c r="A313" s="320">
        <v>1078</v>
      </c>
      <c r="B313" s="362" t="s">
        <v>55</v>
      </c>
      <c r="D313" s="320">
        <v>12</v>
      </c>
      <c r="E313" s="320" t="s">
        <v>888</v>
      </c>
      <c r="Z313" s="320" t="s">
        <v>44</v>
      </c>
      <c r="AA313" s="362"/>
    </row>
    <row r="314" spans="1:28" s="320" customFormat="1" ht="0.65" hidden="1" customHeight="1">
      <c r="A314" s="320">
        <v>1079</v>
      </c>
      <c r="B314" s="362"/>
      <c r="D314" s="320" t="s">
        <v>44</v>
      </c>
      <c r="F314" s="320" t="s">
        <v>800</v>
      </c>
      <c r="J314" s="320" t="s">
        <v>889</v>
      </c>
      <c r="AA314" s="362"/>
    </row>
    <row r="315" spans="1:28" s="320" customFormat="1" ht="0.65" hidden="1" customHeight="1">
      <c r="A315" s="320">
        <v>1080</v>
      </c>
      <c r="B315" s="362" t="s">
        <v>55</v>
      </c>
      <c r="C315" s="320" t="s">
        <v>39</v>
      </c>
      <c r="D315" s="320" t="s">
        <v>55</v>
      </c>
      <c r="F315" s="320" t="s">
        <v>890</v>
      </c>
      <c r="Z315" s="320" t="s">
        <v>38</v>
      </c>
      <c r="AA315" s="362">
        <v>102500</v>
      </c>
      <c r="AB315" s="320" t="s">
        <v>115</v>
      </c>
    </row>
    <row r="316" spans="1:28" s="320" customFormat="1" ht="0.65" hidden="1" customHeight="1">
      <c r="A316" s="320">
        <v>1081</v>
      </c>
      <c r="B316" s="362" t="s">
        <v>55</v>
      </c>
      <c r="C316" s="320" t="s">
        <v>41</v>
      </c>
      <c r="D316" s="320" t="s">
        <v>55</v>
      </c>
      <c r="F316" s="320" t="s">
        <v>891</v>
      </c>
      <c r="Z316" s="320" t="s">
        <v>40</v>
      </c>
      <c r="AA316" s="362">
        <v>52500</v>
      </c>
      <c r="AB316" s="320" t="s">
        <v>116</v>
      </c>
    </row>
    <row r="317" spans="1:28" s="320" customFormat="1" ht="0.65" hidden="1" customHeight="1">
      <c r="A317" s="320">
        <v>1082</v>
      </c>
      <c r="B317" s="362" t="s">
        <v>55</v>
      </c>
      <c r="C317" s="320" t="s">
        <v>43</v>
      </c>
      <c r="D317" s="320" t="s">
        <v>55</v>
      </c>
      <c r="F317" s="320" t="s">
        <v>892</v>
      </c>
      <c r="Z317" s="320" t="s">
        <v>42</v>
      </c>
      <c r="AA317" s="362">
        <v>-52500</v>
      </c>
      <c r="AB317" s="320" t="s">
        <v>117</v>
      </c>
    </row>
    <row r="318" spans="1:28" s="320" customFormat="1" ht="0.65" hidden="1" customHeight="1">
      <c r="A318" s="320">
        <v>1083</v>
      </c>
      <c r="B318" s="362" t="s">
        <v>55</v>
      </c>
      <c r="C318" s="320" t="s">
        <v>45</v>
      </c>
      <c r="D318" s="320" t="s">
        <v>55</v>
      </c>
      <c r="E318" s="320" t="s">
        <v>36</v>
      </c>
      <c r="F318" s="320" t="s">
        <v>893</v>
      </c>
      <c r="Z318" s="320" t="s">
        <v>44</v>
      </c>
      <c r="AA318" s="362">
        <v>47500</v>
      </c>
      <c r="AB318" s="320" t="s">
        <v>889</v>
      </c>
    </row>
    <row r="319" spans="1:28" s="320" customFormat="1" ht="0.65" hidden="1" customHeight="1">
      <c r="A319" s="320">
        <v>1084</v>
      </c>
      <c r="B319" s="362"/>
      <c r="AA319" s="362"/>
    </row>
    <row r="320" spans="1:28" s="320" customFormat="1" ht="0.65" hidden="1" customHeight="1">
      <c r="A320" s="320">
        <v>1085</v>
      </c>
      <c r="B320" s="362" t="s">
        <v>55</v>
      </c>
      <c r="D320" s="320">
        <v>13</v>
      </c>
      <c r="E320" s="320" t="s">
        <v>894</v>
      </c>
      <c r="Z320" s="320" t="s">
        <v>38</v>
      </c>
      <c r="AA320" s="362"/>
    </row>
    <row r="321" spans="1:28" s="320" customFormat="1" ht="0.65" hidden="1" customHeight="1">
      <c r="A321" s="320">
        <v>1086</v>
      </c>
      <c r="B321" s="362"/>
      <c r="D321" s="320" t="s">
        <v>38</v>
      </c>
      <c r="F321" s="320" t="s">
        <v>800</v>
      </c>
      <c r="J321" s="320" t="s">
        <v>895</v>
      </c>
      <c r="AA321" s="362"/>
    </row>
    <row r="322" spans="1:28" s="320" customFormat="1" ht="0.65" hidden="1" customHeight="1">
      <c r="A322" s="320">
        <v>1087</v>
      </c>
      <c r="B322" s="362" t="s">
        <v>55</v>
      </c>
      <c r="C322" s="320" t="s">
        <v>39</v>
      </c>
      <c r="D322" s="320" t="s">
        <v>55</v>
      </c>
      <c r="E322" s="320" t="s">
        <v>36</v>
      </c>
      <c r="F322" s="320" t="s">
        <v>896</v>
      </c>
      <c r="Z322" s="320" t="s">
        <v>38</v>
      </c>
      <c r="AA322" s="362">
        <v>400000</v>
      </c>
      <c r="AB322" s="320" t="s">
        <v>2073</v>
      </c>
    </row>
    <row r="323" spans="1:28" s="320" customFormat="1" ht="0.65" hidden="1" customHeight="1">
      <c r="A323" s="320">
        <v>1088</v>
      </c>
      <c r="B323" s="362" t="s">
        <v>55</v>
      </c>
      <c r="C323" s="320" t="s">
        <v>41</v>
      </c>
      <c r="D323" s="320" t="s">
        <v>55</v>
      </c>
      <c r="F323" s="320" t="s">
        <v>897</v>
      </c>
      <c r="Z323" s="320" t="s">
        <v>40</v>
      </c>
      <c r="AA323" s="362">
        <v>200000</v>
      </c>
      <c r="AB323" s="320" t="s">
        <v>92</v>
      </c>
    </row>
    <row r="324" spans="1:28" s="320" customFormat="1" ht="0.65" hidden="1" customHeight="1">
      <c r="A324" s="320">
        <v>1089</v>
      </c>
      <c r="B324" s="362" t="s">
        <v>55</v>
      </c>
      <c r="C324" s="320" t="s">
        <v>43</v>
      </c>
      <c r="D324" s="320" t="s">
        <v>55</v>
      </c>
      <c r="F324" s="320" t="s">
        <v>898</v>
      </c>
      <c r="Z324" s="320" t="s">
        <v>42</v>
      </c>
      <c r="AA324" s="362">
        <v>75000</v>
      </c>
      <c r="AB324" s="320" t="s">
        <v>94</v>
      </c>
    </row>
    <row r="325" spans="1:28" s="320" customFormat="1" ht="0.65" hidden="1" customHeight="1">
      <c r="A325" s="320">
        <v>1090</v>
      </c>
      <c r="B325" s="362" t="s">
        <v>55</v>
      </c>
      <c r="C325" s="320" t="s">
        <v>45</v>
      </c>
      <c r="D325" s="320" t="s">
        <v>55</v>
      </c>
      <c r="F325" s="320" t="s">
        <v>899</v>
      </c>
      <c r="Z325" s="320" t="s">
        <v>44</v>
      </c>
      <c r="AA325" s="362">
        <v>475000</v>
      </c>
      <c r="AB325" s="320" t="s">
        <v>93</v>
      </c>
    </row>
    <row r="326" spans="1:28" s="320" customFormat="1" ht="0.65" hidden="1" customHeight="1">
      <c r="A326" s="320">
        <v>1091</v>
      </c>
      <c r="B326" s="362"/>
      <c r="AA326" s="362"/>
    </row>
    <row r="327" spans="1:28" s="320" customFormat="1" ht="0.65" hidden="1" customHeight="1">
      <c r="A327" s="320">
        <v>1092</v>
      </c>
      <c r="B327" s="362" t="s">
        <v>55</v>
      </c>
      <c r="D327" s="320">
        <v>14</v>
      </c>
      <c r="E327" s="320" t="s">
        <v>900</v>
      </c>
      <c r="Z327" s="320" t="s">
        <v>40</v>
      </c>
      <c r="AA327" s="362"/>
    </row>
    <row r="328" spans="1:28" s="320" customFormat="1" ht="0.65" hidden="1" customHeight="1">
      <c r="A328" s="320">
        <v>1093</v>
      </c>
      <c r="B328" s="362"/>
      <c r="D328" s="320" t="s">
        <v>40</v>
      </c>
      <c r="F328" s="320" t="s">
        <v>800</v>
      </c>
      <c r="J328" s="320" t="s">
        <v>901</v>
      </c>
      <c r="AA328" s="362"/>
    </row>
    <row r="329" spans="1:28" s="320" customFormat="1" ht="0.65" hidden="1" customHeight="1">
      <c r="A329" s="320">
        <v>1094</v>
      </c>
      <c r="B329" s="362" t="s">
        <v>55</v>
      </c>
      <c r="C329" s="320" t="s">
        <v>39</v>
      </c>
      <c r="D329" s="320" t="s">
        <v>55</v>
      </c>
      <c r="F329" s="320" t="s">
        <v>902</v>
      </c>
      <c r="Z329" s="320" t="s">
        <v>38</v>
      </c>
      <c r="AA329" s="362">
        <v>155000</v>
      </c>
      <c r="AB329" s="320" t="s">
        <v>122</v>
      </c>
    </row>
    <row r="330" spans="1:28" s="320" customFormat="1" ht="0.65" hidden="1" customHeight="1">
      <c r="A330" s="320">
        <v>1095</v>
      </c>
      <c r="B330" s="362" t="s">
        <v>55</v>
      </c>
      <c r="C330" s="320" t="s">
        <v>41</v>
      </c>
      <c r="D330" s="320" t="s">
        <v>55</v>
      </c>
      <c r="E330" s="320" t="s">
        <v>36</v>
      </c>
      <c r="F330" s="320" t="s">
        <v>903</v>
      </c>
      <c r="Z330" s="320" t="s">
        <v>40</v>
      </c>
      <c r="AA330" s="362">
        <v>55000</v>
      </c>
      <c r="AB330" s="320" t="s">
        <v>901</v>
      </c>
    </row>
    <row r="331" spans="1:28" s="320" customFormat="1" ht="0.65" hidden="1" customHeight="1">
      <c r="A331" s="320">
        <v>1096</v>
      </c>
      <c r="B331" s="362" t="s">
        <v>55</v>
      </c>
      <c r="C331" s="320" t="s">
        <v>43</v>
      </c>
      <c r="D331" s="320" t="s">
        <v>55</v>
      </c>
      <c r="F331" s="320" t="s">
        <v>904</v>
      </c>
      <c r="Z331" s="320" t="s">
        <v>42</v>
      </c>
      <c r="AA331" s="362">
        <v>65000</v>
      </c>
      <c r="AB331" s="320" t="s">
        <v>901</v>
      </c>
    </row>
    <row r="332" spans="1:28" s="320" customFormat="1" ht="0.65" hidden="1" customHeight="1">
      <c r="A332" s="320">
        <v>1097</v>
      </c>
      <c r="B332" s="362" t="s">
        <v>55</v>
      </c>
      <c r="C332" s="320" t="s">
        <v>45</v>
      </c>
      <c r="D332" s="320" t="s">
        <v>55</v>
      </c>
      <c r="F332" s="320" t="s">
        <v>905</v>
      </c>
      <c r="Z332" s="320" t="s">
        <v>44</v>
      </c>
      <c r="AA332" s="362">
        <v>0</v>
      </c>
      <c r="AB332" s="320" t="s">
        <v>108</v>
      </c>
    </row>
    <row r="333" spans="1:28" s="320" customFormat="1" ht="0.65" hidden="1" customHeight="1">
      <c r="A333" s="320">
        <v>1098</v>
      </c>
      <c r="B333" s="362"/>
      <c r="AA333" s="362"/>
    </row>
    <row r="334" spans="1:28" s="320" customFormat="1" ht="0.65" hidden="1" customHeight="1">
      <c r="A334" s="320">
        <v>1099</v>
      </c>
      <c r="B334" s="362" t="s">
        <v>55</v>
      </c>
      <c r="D334" s="320">
        <v>15</v>
      </c>
      <c r="E334" s="320" t="s">
        <v>52</v>
      </c>
      <c r="Z334" s="320" t="s">
        <v>38</v>
      </c>
      <c r="AA334" s="362"/>
    </row>
    <row r="335" spans="1:28" s="320" customFormat="1" ht="0.65" hidden="1" customHeight="1">
      <c r="A335" s="320">
        <v>1100</v>
      </c>
      <c r="B335" s="362"/>
      <c r="D335" s="320" t="s">
        <v>38</v>
      </c>
      <c r="F335" s="320" t="s">
        <v>800</v>
      </c>
      <c r="J335" s="320" t="s">
        <v>906</v>
      </c>
      <c r="AA335" s="362"/>
    </row>
    <row r="336" spans="1:28" s="320" customFormat="1" ht="0.65" hidden="1" customHeight="1">
      <c r="A336" s="320">
        <v>1101</v>
      </c>
      <c r="B336" s="362" t="s">
        <v>55</v>
      </c>
      <c r="C336" s="320" t="s">
        <v>39</v>
      </c>
      <c r="D336" s="320" t="s">
        <v>55</v>
      </c>
      <c r="E336" s="320" t="s">
        <v>36</v>
      </c>
      <c r="F336" s="320" t="s">
        <v>907</v>
      </c>
      <c r="Z336" s="320" t="s">
        <v>38</v>
      </c>
      <c r="AA336" s="362">
        <v>3.75</v>
      </c>
      <c r="AB336" s="320" t="s">
        <v>906</v>
      </c>
    </row>
    <row r="337" spans="1:28" s="320" customFormat="1" ht="0.65" hidden="1" customHeight="1">
      <c r="A337" s="320">
        <v>1102</v>
      </c>
      <c r="B337" s="362" t="s">
        <v>55</v>
      </c>
      <c r="C337" s="320" t="s">
        <v>41</v>
      </c>
      <c r="D337" s="320" t="s">
        <v>55</v>
      </c>
      <c r="F337" s="320" t="s">
        <v>908</v>
      </c>
      <c r="Z337" s="320" t="s">
        <v>40</v>
      </c>
      <c r="AA337" s="362">
        <v>5</v>
      </c>
      <c r="AB337" s="320" t="s">
        <v>109</v>
      </c>
    </row>
    <row r="338" spans="1:28" s="320" customFormat="1" ht="0.65" hidden="1" customHeight="1">
      <c r="A338" s="320">
        <v>1103</v>
      </c>
      <c r="B338" s="362" t="s">
        <v>55</v>
      </c>
      <c r="C338" s="320" t="s">
        <v>43</v>
      </c>
      <c r="D338" s="320" t="s">
        <v>55</v>
      </c>
      <c r="F338" s="320" t="s">
        <v>909</v>
      </c>
      <c r="Z338" s="320" t="s">
        <v>42</v>
      </c>
      <c r="AA338" s="362">
        <v>6.25</v>
      </c>
      <c r="AB338" s="320" t="s">
        <v>110</v>
      </c>
    </row>
    <row r="339" spans="1:28" s="320" customFormat="1" ht="0.65" hidden="1" customHeight="1">
      <c r="A339" s="320">
        <v>1104</v>
      </c>
      <c r="B339" s="362" t="s">
        <v>55</v>
      </c>
      <c r="C339" s="320" t="s">
        <v>45</v>
      </c>
      <c r="D339" s="320" t="s">
        <v>55</v>
      </c>
      <c r="F339" s="320" t="s">
        <v>910</v>
      </c>
      <c r="Z339" s="320" t="s">
        <v>44</v>
      </c>
      <c r="AA339" s="362">
        <v>3.7499999999999999E-2</v>
      </c>
      <c r="AB339" s="320" t="s">
        <v>111</v>
      </c>
    </row>
    <row r="340" spans="1:28" s="320" customFormat="1" ht="0.65" hidden="1" customHeight="1">
      <c r="A340" s="320">
        <v>1105</v>
      </c>
      <c r="B340" s="362"/>
      <c r="AA340" s="362"/>
    </row>
    <row r="341" spans="1:28" s="320" customFormat="1" ht="0.65" hidden="1" customHeight="1">
      <c r="A341" s="320">
        <v>1106</v>
      </c>
      <c r="B341" s="362" t="s">
        <v>55</v>
      </c>
      <c r="D341" s="320">
        <v>16</v>
      </c>
      <c r="E341" s="320" t="s">
        <v>53</v>
      </c>
      <c r="Z341" s="320" t="s">
        <v>42</v>
      </c>
      <c r="AA341" s="362"/>
    </row>
    <row r="342" spans="1:28" s="320" customFormat="1" ht="0.65" hidden="1" customHeight="1">
      <c r="A342" s="320">
        <v>1107</v>
      </c>
      <c r="B342" s="362"/>
      <c r="D342" s="320" t="s">
        <v>42</v>
      </c>
      <c r="F342" s="320" t="s">
        <v>800</v>
      </c>
      <c r="J342" s="320" t="s">
        <v>911</v>
      </c>
      <c r="AA342" s="362"/>
    </row>
    <row r="343" spans="1:28" s="320" customFormat="1" ht="0.65" hidden="1" customHeight="1">
      <c r="A343" s="320">
        <v>1108</v>
      </c>
      <c r="B343" s="362" t="s">
        <v>55</v>
      </c>
      <c r="C343" s="320" t="s">
        <v>39</v>
      </c>
      <c r="D343" s="320" t="s">
        <v>55</v>
      </c>
      <c r="F343" s="320" t="s">
        <v>912</v>
      </c>
      <c r="Z343" s="320" t="s">
        <v>38</v>
      </c>
      <c r="AA343" s="362">
        <v>8.249999999999999E-2</v>
      </c>
      <c r="AB343" s="320" t="s">
        <v>111</v>
      </c>
    </row>
    <row r="344" spans="1:28" s="320" customFormat="1" ht="0.65" hidden="1" customHeight="1">
      <c r="A344" s="320">
        <v>1109</v>
      </c>
      <c r="B344" s="362" t="s">
        <v>55</v>
      </c>
      <c r="C344" s="320" t="s">
        <v>41</v>
      </c>
      <c r="D344" s="320" t="s">
        <v>55</v>
      </c>
      <c r="F344" s="320" t="s">
        <v>913</v>
      </c>
      <c r="Z344" s="320" t="s">
        <v>40</v>
      </c>
      <c r="AA344" s="362">
        <v>3.75</v>
      </c>
      <c r="AB344" s="320" t="s">
        <v>914</v>
      </c>
    </row>
    <row r="345" spans="1:28" s="320" customFormat="1" ht="0.65" hidden="1" customHeight="1">
      <c r="A345" s="320">
        <v>1110</v>
      </c>
      <c r="B345" s="362" t="s">
        <v>55</v>
      </c>
      <c r="C345" s="320" t="s">
        <v>43</v>
      </c>
      <c r="D345" s="320" t="s">
        <v>55</v>
      </c>
      <c r="E345" s="320" t="s">
        <v>36</v>
      </c>
      <c r="F345" s="320" t="s">
        <v>915</v>
      </c>
      <c r="Z345" s="320" t="s">
        <v>42</v>
      </c>
      <c r="AA345" s="362">
        <v>8.2499999999999982</v>
      </c>
      <c r="AB345" s="320" t="s">
        <v>911</v>
      </c>
    </row>
    <row r="346" spans="1:28" s="320" customFormat="1" ht="0.65" hidden="1" customHeight="1">
      <c r="A346" s="320">
        <v>1111</v>
      </c>
      <c r="B346" s="362" t="s">
        <v>55</v>
      </c>
      <c r="C346" s="320" t="s">
        <v>45</v>
      </c>
      <c r="D346" s="320" t="s">
        <v>55</v>
      </c>
      <c r="F346" s="320" t="s">
        <v>834</v>
      </c>
      <c r="Z346" s="320" t="s">
        <v>44</v>
      </c>
      <c r="AA346" s="362"/>
      <c r="AB346" s="320" t="s">
        <v>911</v>
      </c>
    </row>
    <row r="347" spans="1:28" s="320" customFormat="1" ht="0.65" hidden="1" customHeight="1">
      <c r="A347" s="320">
        <v>1112</v>
      </c>
      <c r="B347" s="362"/>
      <c r="AA347" s="362"/>
    </row>
    <row r="348" spans="1:28" s="320" customFormat="1" ht="0.65" hidden="1" customHeight="1">
      <c r="A348" s="320">
        <v>1113</v>
      </c>
      <c r="B348" s="362" t="s">
        <v>55</v>
      </c>
      <c r="D348" s="320">
        <v>17</v>
      </c>
      <c r="E348" s="320" t="s">
        <v>54</v>
      </c>
      <c r="Z348" s="320" t="s">
        <v>38</v>
      </c>
      <c r="AA348" s="362"/>
    </row>
    <row r="349" spans="1:28" s="320" customFormat="1" ht="0.65" hidden="1" customHeight="1">
      <c r="A349" s="320">
        <v>1114</v>
      </c>
      <c r="B349" s="362"/>
      <c r="D349" s="320" t="s">
        <v>38</v>
      </c>
      <c r="F349" s="320" t="s">
        <v>800</v>
      </c>
      <c r="J349" s="320" t="s">
        <v>916</v>
      </c>
      <c r="AA349" s="362"/>
    </row>
    <row r="350" spans="1:28" s="320" customFormat="1" ht="0.65" hidden="1" customHeight="1">
      <c r="A350" s="320">
        <v>1115</v>
      </c>
      <c r="B350" s="362" t="s">
        <v>55</v>
      </c>
      <c r="C350" s="320" t="s">
        <v>39</v>
      </c>
      <c r="D350" s="320" t="s">
        <v>55</v>
      </c>
      <c r="E350" s="320" t="s">
        <v>36</v>
      </c>
      <c r="F350" s="320" t="s">
        <v>917</v>
      </c>
      <c r="Z350" s="320" t="s">
        <v>38</v>
      </c>
      <c r="AA350" s="362">
        <v>6</v>
      </c>
      <c r="AB350" s="320" t="s">
        <v>916</v>
      </c>
    </row>
    <row r="351" spans="1:28" s="320" customFormat="1" ht="0.65" hidden="1" customHeight="1">
      <c r="A351" s="320">
        <v>1116</v>
      </c>
      <c r="B351" s="362" t="s">
        <v>55</v>
      </c>
      <c r="C351" s="320" t="s">
        <v>41</v>
      </c>
      <c r="D351" s="320" t="s">
        <v>55</v>
      </c>
      <c r="F351" s="320" t="s">
        <v>918</v>
      </c>
      <c r="Z351" s="320" t="s">
        <v>40</v>
      </c>
      <c r="AA351" s="362">
        <v>5.5E-2</v>
      </c>
      <c r="AB351" s="320" t="s">
        <v>113</v>
      </c>
    </row>
    <row r="352" spans="1:28" s="320" customFormat="1" ht="0.65" hidden="1" customHeight="1">
      <c r="A352" s="320">
        <v>1117</v>
      </c>
      <c r="B352" s="362" t="s">
        <v>55</v>
      </c>
      <c r="C352" s="320" t="s">
        <v>43</v>
      </c>
      <c r="D352" s="320" t="s">
        <v>55</v>
      </c>
      <c r="F352" s="320" t="s">
        <v>919</v>
      </c>
      <c r="Z352" s="320" t="s">
        <v>42</v>
      </c>
      <c r="AA352" s="362">
        <v>5.5</v>
      </c>
      <c r="AB352" s="320" t="s">
        <v>112</v>
      </c>
    </row>
    <row r="353" spans="1:28" s="320" customFormat="1" ht="0.65" hidden="1" customHeight="1">
      <c r="A353" s="320">
        <v>1118</v>
      </c>
      <c r="B353" s="362" t="s">
        <v>55</v>
      </c>
      <c r="C353" s="320" t="s">
        <v>45</v>
      </c>
      <c r="D353" s="320" t="s">
        <v>55</v>
      </c>
      <c r="F353" s="320" t="s">
        <v>920</v>
      </c>
      <c r="Z353" s="320" t="s">
        <v>44</v>
      </c>
      <c r="AA353" s="362">
        <v>4.875</v>
      </c>
      <c r="AB353" s="320" t="s">
        <v>114</v>
      </c>
    </row>
    <row r="354" spans="1:28" s="320" customFormat="1" ht="0.65" hidden="1" customHeight="1">
      <c r="A354" s="320">
        <v>1119</v>
      </c>
      <c r="B354" s="362"/>
      <c r="AA354" s="362"/>
    </row>
    <row r="355" spans="1:28" s="320" customFormat="1" ht="0.65" hidden="1" customHeight="1">
      <c r="A355" s="320">
        <v>1120</v>
      </c>
      <c r="B355" s="362" t="s">
        <v>55</v>
      </c>
      <c r="D355" s="320">
        <v>18</v>
      </c>
      <c r="E355" s="320" t="s">
        <v>921</v>
      </c>
      <c r="Z355" s="320" t="s">
        <v>42</v>
      </c>
      <c r="AA355" s="362"/>
    </row>
    <row r="356" spans="1:28" s="320" customFormat="1" ht="0.65" hidden="1" customHeight="1">
      <c r="A356" s="320">
        <v>1121</v>
      </c>
      <c r="B356" s="362"/>
      <c r="D356" s="320" t="s">
        <v>42</v>
      </c>
      <c r="F356" s="320" t="s">
        <v>800</v>
      </c>
      <c r="J356" s="320" t="s">
        <v>922</v>
      </c>
      <c r="AA356" s="362"/>
    </row>
    <row r="357" spans="1:28" s="320" customFormat="1" ht="0.65" hidden="1" customHeight="1">
      <c r="A357" s="320">
        <v>1122</v>
      </c>
      <c r="B357" s="362" t="s">
        <v>55</v>
      </c>
      <c r="C357" s="320" t="s">
        <v>39</v>
      </c>
      <c r="D357" s="320" t="s">
        <v>55</v>
      </c>
      <c r="F357" s="320" t="s">
        <v>923</v>
      </c>
      <c r="Z357" s="320" t="s">
        <v>38</v>
      </c>
      <c r="AA357" s="362">
        <v>-244291.67773685686</v>
      </c>
      <c r="AB357" s="320" t="s">
        <v>95</v>
      </c>
    </row>
    <row r="358" spans="1:28" s="320" customFormat="1" ht="0.65" hidden="1" customHeight="1">
      <c r="A358" s="320">
        <v>1123</v>
      </c>
      <c r="B358" s="362" t="s">
        <v>55</v>
      </c>
      <c r="C358" s="320" t="s">
        <v>41</v>
      </c>
      <c r="D358" s="320" t="s">
        <v>55</v>
      </c>
      <c r="F358" s="320" t="s">
        <v>924</v>
      </c>
      <c r="Z358" s="320" t="s">
        <v>40</v>
      </c>
      <c r="AA358" s="362">
        <v>-173592.745200573</v>
      </c>
      <c r="AB358" s="320" t="s">
        <v>96</v>
      </c>
    </row>
    <row r="359" spans="1:28" s="320" customFormat="1" ht="0.65" hidden="1" customHeight="1">
      <c r="A359" s="320">
        <v>1124</v>
      </c>
      <c r="B359" s="362" t="s">
        <v>55</v>
      </c>
      <c r="C359" s="320" t="s">
        <v>43</v>
      </c>
      <c r="D359" s="320" t="s">
        <v>55</v>
      </c>
      <c r="E359" s="320" t="s">
        <v>36</v>
      </c>
      <c r="F359" s="320" t="s">
        <v>925</v>
      </c>
      <c r="Z359" s="320" t="s">
        <v>42</v>
      </c>
      <c r="AA359" s="362">
        <v>-210381.05281541136</v>
      </c>
      <c r="AB359" s="320" t="s">
        <v>922</v>
      </c>
    </row>
    <row r="360" spans="1:28" s="320" customFormat="1" ht="0.65" hidden="1" customHeight="1">
      <c r="A360" s="320">
        <v>1125</v>
      </c>
      <c r="B360" s="362" t="s">
        <v>55</v>
      </c>
      <c r="C360" s="320" t="s">
        <v>45</v>
      </c>
      <c r="D360" s="320" t="s">
        <v>55</v>
      </c>
      <c r="F360" s="320" t="s">
        <v>834</v>
      </c>
      <c r="Z360" s="320" t="s">
        <v>44</v>
      </c>
      <c r="AA360" s="362"/>
      <c r="AB360" s="320" t="s">
        <v>922</v>
      </c>
    </row>
    <row r="361" spans="1:28" s="320" customFormat="1" ht="0.65" hidden="1" customHeight="1">
      <c r="A361" s="320">
        <v>1126</v>
      </c>
      <c r="B361" s="362"/>
      <c r="AA361" s="362"/>
    </row>
    <row r="362" spans="1:28" s="320" customFormat="1" ht="0.65" hidden="1" customHeight="1">
      <c r="A362" s="320">
        <v>1127</v>
      </c>
      <c r="B362" s="362" t="s">
        <v>55</v>
      </c>
      <c r="D362" s="320">
        <v>19</v>
      </c>
      <c r="E362" s="320" t="s">
        <v>921</v>
      </c>
      <c r="Z362" s="320" t="s">
        <v>42</v>
      </c>
      <c r="AA362" s="362"/>
    </row>
    <row r="363" spans="1:28" s="320" customFormat="1" ht="0.65" hidden="1" customHeight="1">
      <c r="A363" s="320">
        <v>1128</v>
      </c>
      <c r="B363" s="362"/>
      <c r="D363" s="320" t="s">
        <v>42</v>
      </c>
      <c r="F363" s="320" t="s">
        <v>800</v>
      </c>
      <c r="J363" s="320" t="s">
        <v>926</v>
      </c>
      <c r="AA363" s="362"/>
    </row>
    <row r="364" spans="1:28" s="320" customFormat="1" ht="0.65" hidden="1" customHeight="1">
      <c r="A364" s="320">
        <v>1129</v>
      </c>
      <c r="B364" s="362" t="s">
        <v>55</v>
      </c>
      <c r="C364" s="320" t="s">
        <v>39</v>
      </c>
      <c r="D364" s="320" t="s">
        <v>55</v>
      </c>
      <c r="F364" s="320" t="s">
        <v>927</v>
      </c>
      <c r="Z364" s="320" t="s">
        <v>38</v>
      </c>
      <c r="AA364" s="362">
        <v>3.75</v>
      </c>
      <c r="AB364" s="320" t="s">
        <v>97</v>
      </c>
    </row>
    <row r="365" spans="1:28" s="320" customFormat="1" ht="0.65" hidden="1" customHeight="1">
      <c r="A365" s="320">
        <v>1130</v>
      </c>
      <c r="B365" s="362" t="s">
        <v>55</v>
      </c>
      <c r="C365" s="320" t="s">
        <v>41</v>
      </c>
      <c r="D365" s="320" t="s">
        <v>55</v>
      </c>
      <c r="F365" s="320" t="s">
        <v>928</v>
      </c>
      <c r="Z365" s="320" t="s">
        <v>40</v>
      </c>
      <c r="AA365" s="362">
        <v>6.6249999999999991</v>
      </c>
      <c r="AB365" s="320" t="s">
        <v>98</v>
      </c>
    </row>
    <row r="366" spans="1:28" s="320" customFormat="1" ht="0.65" hidden="1" customHeight="1">
      <c r="A366" s="320">
        <v>1131</v>
      </c>
      <c r="B366" s="362" t="s">
        <v>55</v>
      </c>
      <c r="C366" s="320" t="s">
        <v>43</v>
      </c>
      <c r="D366" s="320" t="s">
        <v>55</v>
      </c>
      <c r="E366" s="320" t="s">
        <v>36</v>
      </c>
      <c r="F366" s="320" t="s">
        <v>929</v>
      </c>
      <c r="Z366" s="320" t="s">
        <v>42</v>
      </c>
      <c r="AA366" s="362">
        <v>6</v>
      </c>
      <c r="AB366" s="320" t="s">
        <v>926</v>
      </c>
    </row>
    <row r="367" spans="1:28" s="320" customFormat="1" ht="0.65" hidden="1" customHeight="1">
      <c r="A367" s="320">
        <v>1132</v>
      </c>
      <c r="B367" s="362" t="s">
        <v>55</v>
      </c>
      <c r="C367" s="320" t="s">
        <v>45</v>
      </c>
      <c r="D367" s="320" t="s">
        <v>55</v>
      </c>
      <c r="F367" s="320" t="s">
        <v>834</v>
      </c>
      <c r="Z367" s="320" t="s">
        <v>44</v>
      </c>
      <c r="AA367" s="362"/>
      <c r="AB367" s="320" t="s">
        <v>930</v>
      </c>
    </row>
    <row r="368" spans="1:28" s="320" customFormat="1" ht="0.65" hidden="1" customHeight="1">
      <c r="A368" s="320">
        <v>1133</v>
      </c>
      <c r="B368" s="362"/>
      <c r="AA368" s="362"/>
    </row>
    <row r="369" spans="1:28" s="320" customFormat="1" ht="0.65" hidden="1" customHeight="1">
      <c r="A369" s="320">
        <v>1134</v>
      </c>
      <c r="B369" s="362" t="s">
        <v>55</v>
      </c>
      <c r="D369" s="320">
        <v>20</v>
      </c>
      <c r="E369" s="320" t="s">
        <v>931</v>
      </c>
      <c r="Z369" s="320" t="s">
        <v>40</v>
      </c>
      <c r="AA369" s="362"/>
    </row>
    <row r="370" spans="1:28" s="320" customFormat="1" ht="0.65" hidden="1" customHeight="1">
      <c r="A370" s="320">
        <v>1135</v>
      </c>
      <c r="B370" s="362"/>
      <c r="D370" s="320" t="s">
        <v>40</v>
      </c>
      <c r="F370" s="320" t="s">
        <v>800</v>
      </c>
      <c r="J370" s="320" t="s">
        <v>932</v>
      </c>
      <c r="AA370" s="362"/>
    </row>
    <row r="371" spans="1:28" s="320" customFormat="1" ht="0.65" hidden="1" customHeight="1">
      <c r="A371" s="320">
        <v>1136</v>
      </c>
      <c r="B371" s="362" t="s">
        <v>55</v>
      </c>
      <c r="C371" s="320" t="s">
        <v>39</v>
      </c>
      <c r="D371" s="320" t="s">
        <v>55</v>
      </c>
      <c r="F371" s="320" t="s">
        <v>933</v>
      </c>
      <c r="Z371" s="320" t="s">
        <v>38</v>
      </c>
      <c r="AA371" s="362" t="s">
        <v>933</v>
      </c>
      <c r="AB371" s="320" t="s">
        <v>934</v>
      </c>
    </row>
    <row r="372" spans="1:28" s="320" customFormat="1" ht="0.65" hidden="1" customHeight="1">
      <c r="A372" s="320">
        <v>1137</v>
      </c>
      <c r="B372" s="362" t="s">
        <v>55</v>
      </c>
      <c r="C372" s="320" t="s">
        <v>41</v>
      </c>
      <c r="D372" s="320" t="s">
        <v>55</v>
      </c>
      <c r="E372" s="320" t="s">
        <v>36</v>
      </c>
      <c r="F372" s="320" t="s">
        <v>935</v>
      </c>
      <c r="Z372" s="320" t="s">
        <v>40</v>
      </c>
      <c r="AA372" s="362" t="s">
        <v>935</v>
      </c>
      <c r="AB372" s="320" t="s">
        <v>932</v>
      </c>
    </row>
    <row r="373" spans="1:28" s="320" customFormat="1" ht="0.65" hidden="1" customHeight="1">
      <c r="A373" s="320">
        <v>1138</v>
      </c>
      <c r="B373" s="362" t="s">
        <v>55</v>
      </c>
      <c r="C373" s="320" t="s">
        <v>43</v>
      </c>
      <c r="D373" s="320" t="s">
        <v>55</v>
      </c>
      <c r="F373" s="320" t="s">
        <v>936</v>
      </c>
      <c r="Z373" s="320" t="s">
        <v>42</v>
      </c>
      <c r="AA373" s="362" t="s">
        <v>936</v>
      </c>
      <c r="AB373" s="320" t="s">
        <v>934</v>
      </c>
    </row>
    <row r="374" spans="1:28" s="320" customFormat="1" ht="0.65" hidden="1" customHeight="1">
      <c r="A374" s="320">
        <v>1139</v>
      </c>
      <c r="B374" s="362" t="s">
        <v>55</v>
      </c>
      <c r="C374" s="320" t="s">
        <v>45</v>
      </c>
      <c r="D374" s="320" t="s">
        <v>55</v>
      </c>
      <c r="F374" s="320" t="s">
        <v>834</v>
      </c>
      <c r="Z374" s="320" t="s">
        <v>44</v>
      </c>
      <c r="AA374" s="362"/>
      <c r="AB374" s="320" t="s">
        <v>934</v>
      </c>
    </row>
    <row r="375" spans="1:28" s="320" customFormat="1" ht="0.65" hidden="1" customHeight="1">
      <c r="A375" s="320">
        <v>1140</v>
      </c>
      <c r="B375" s="362"/>
      <c r="AA375" s="362"/>
    </row>
    <row r="376" spans="1:28" s="320" customFormat="1" ht="0.65" hidden="1" customHeight="1">
      <c r="A376" s="320">
        <v>1141</v>
      </c>
      <c r="B376" s="362"/>
      <c r="AA376" s="362"/>
    </row>
    <row r="377" spans="1:28" s="320" customFormat="1" ht="0.65" hidden="1" customHeight="1">
      <c r="A377" s="320">
        <v>1142</v>
      </c>
      <c r="B377" s="362"/>
      <c r="D377" s="320" t="s">
        <v>50</v>
      </c>
      <c r="M377" s="320" t="s">
        <v>85</v>
      </c>
      <c r="AA377" s="362"/>
    </row>
    <row r="378" spans="1:28" s="320" customFormat="1" ht="0.65" hidden="1" customHeight="1">
      <c r="A378" s="320">
        <v>1143</v>
      </c>
      <c r="B378" s="362"/>
      <c r="D378" s="320">
        <v>1</v>
      </c>
      <c r="E378" s="320" t="s">
        <v>38</v>
      </c>
      <c r="F378" s="320" t="s">
        <v>39</v>
      </c>
      <c r="M378" s="320">
        <v>1</v>
      </c>
      <c r="N378" s="320" t="s">
        <v>38</v>
      </c>
      <c r="O378" s="320" t="s">
        <v>39</v>
      </c>
      <c r="Q378" s="320" t="s">
        <v>937</v>
      </c>
      <c r="U378" s="320" t="s">
        <v>46</v>
      </c>
      <c r="AA378" s="362"/>
    </row>
    <row r="379" spans="1:28" s="320" customFormat="1" ht="0.65" hidden="1" customHeight="1">
      <c r="A379" s="320">
        <v>1144</v>
      </c>
      <c r="B379" s="362"/>
      <c r="D379" s="320">
        <v>2</v>
      </c>
      <c r="E379" s="320" t="s">
        <v>42</v>
      </c>
      <c r="F379" s="320" t="s">
        <v>43</v>
      </c>
      <c r="H379" s="320" t="s">
        <v>38</v>
      </c>
      <c r="I379" s="320">
        <v>4</v>
      </c>
      <c r="M379" s="320">
        <v>2</v>
      </c>
      <c r="N379" s="320" t="s">
        <v>42</v>
      </c>
      <c r="O379" s="320" t="s">
        <v>43</v>
      </c>
      <c r="Q379" s="320" t="s">
        <v>937</v>
      </c>
      <c r="AA379" s="362"/>
    </row>
    <row r="380" spans="1:28" s="320" customFormat="1" ht="0.65" hidden="1" customHeight="1">
      <c r="A380" s="320">
        <v>1145</v>
      </c>
      <c r="B380" s="362"/>
      <c r="D380" s="320">
        <v>3</v>
      </c>
      <c r="E380" s="320" t="s">
        <v>42</v>
      </c>
      <c r="F380" s="320" t="s">
        <v>43</v>
      </c>
      <c r="H380" s="320" t="s">
        <v>40</v>
      </c>
      <c r="I380" s="320">
        <v>5</v>
      </c>
      <c r="M380" s="320">
        <v>3</v>
      </c>
      <c r="N380" s="320" t="s">
        <v>42</v>
      </c>
      <c r="O380" s="320" t="s">
        <v>43</v>
      </c>
      <c r="Q380" s="320" t="s">
        <v>937</v>
      </c>
      <c r="U380" s="320" t="s">
        <v>47</v>
      </c>
      <c r="V380" s="320">
        <v>20</v>
      </c>
      <c r="W380" s="320">
        <v>1</v>
      </c>
      <c r="AA380" s="362"/>
    </row>
    <row r="381" spans="1:28" s="320" customFormat="1" ht="0.65" hidden="1" customHeight="1">
      <c r="A381" s="320">
        <v>1146</v>
      </c>
      <c r="B381" s="362"/>
      <c r="D381" s="320">
        <v>4</v>
      </c>
      <c r="E381" s="320" t="s">
        <v>40</v>
      </c>
      <c r="F381" s="320" t="s">
        <v>41</v>
      </c>
      <c r="H381" s="320" t="s">
        <v>42</v>
      </c>
      <c r="I381" s="320">
        <v>5</v>
      </c>
      <c r="M381" s="320">
        <v>4</v>
      </c>
      <c r="N381" s="320" t="s">
        <v>40</v>
      </c>
      <c r="O381" s="320" t="s">
        <v>41</v>
      </c>
      <c r="Q381" s="320" t="s">
        <v>937</v>
      </c>
      <c r="AA381" s="362"/>
    </row>
    <row r="382" spans="1:28" s="320" customFormat="1" ht="0.65" hidden="1" customHeight="1">
      <c r="A382" s="320">
        <v>1147</v>
      </c>
      <c r="B382" s="362"/>
      <c r="D382" s="320">
        <v>5</v>
      </c>
      <c r="E382" s="320" t="s">
        <v>40</v>
      </c>
      <c r="F382" s="320" t="s">
        <v>41</v>
      </c>
      <c r="H382" s="320" t="s">
        <v>44</v>
      </c>
      <c r="I382" s="320">
        <v>6</v>
      </c>
      <c r="M382" s="320">
        <v>5</v>
      </c>
      <c r="N382" s="320" t="s">
        <v>40</v>
      </c>
      <c r="O382" s="320" t="s">
        <v>41</v>
      </c>
      <c r="Q382" s="320" t="s">
        <v>937</v>
      </c>
      <c r="U382" s="320" t="s">
        <v>48</v>
      </c>
      <c r="V382" s="320">
        <v>0</v>
      </c>
      <c r="W382" s="320">
        <v>0</v>
      </c>
      <c r="AA382" s="362"/>
    </row>
    <row r="383" spans="1:28" s="320" customFormat="1" ht="0.65" hidden="1" customHeight="1">
      <c r="A383" s="320">
        <v>1148</v>
      </c>
      <c r="B383" s="362"/>
      <c r="D383" s="320">
        <v>6</v>
      </c>
      <c r="E383" s="320" t="s">
        <v>44</v>
      </c>
      <c r="F383" s="320" t="s">
        <v>45</v>
      </c>
      <c r="I383" s="320">
        <v>20</v>
      </c>
      <c r="M383" s="320">
        <v>6</v>
      </c>
      <c r="N383" s="320" t="s">
        <v>44</v>
      </c>
      <c r="O383" s="320" t="s">
        <v>45</v>
      </c>
      <c r="Q383" s="320" t="s">
        <v>937</v>
      </c>
      <c r="AA383" s="362"/>
    </row>
    <row r="384" spans="1:28" s="320" customFormat="1" ht="0.65" hidden="1" customHeight="1">
      <c r="A384" s="320">
        <v>1149</v>
      </c>
      <c r="B384" s="362"/>
      <c r="D384" s="320">
        <v>7</v>
      </c>
      <c r="E384" s="320" t="s">
        <v>44</v>
      </c>
      <c r="F384" s="320" t="s">
        <v>45</v>
      </c>
      <c r="M384" s="320">
        <v>7</v>
      </c>
      <c r="N384" s="320" t="s">
        <v>44</v>
      </c>
      <c r="O384" s="320" t="s">
        <v>45</v>
      </c>
      <c r="Q384" s="320" t="s">
        <v>937</v>
      </c>
      <c r="V384" s="320" t="s">
        <v>49</v>
      </c>
      <c r="W384" s="320">
        <v>10</v>
      </c>
      <c r="AA384" s="362"/>
    </row>
    <row r="385" spans="1:27" s="320" customFormat="1" ht="0.65" hidden="1" customHeight="1">
      <c r="A385" s="320">
        <v>1150</v>
      </c>
      <c r="B385" s="362"/>
      <c r="D385" s="320">
        <v>8</v>
      </c>
      <c r="E385" s="320" t="s">
        <v>44</v>
      </c>
      <c r="F385" s="320" t="s">
        <v>45</v>
      </c>
      <c r="H385" s="320" t="s">
        <v>38</v>
      </c>
      <c r="I385" s="320" t="s">
        <v>39</v>
      </c>
      <c r="M385" s="320">
        <v>8</v>
      </c>
      <c r="N385" s="320" t="s">
        <v>44</v>
      </c>
      <c r="O385" s="320" t="s">
        <v>45</v>
      </c>
      <c r="Q385" s="320" t="s">
        <v>937</v>
      </c>
      <c r="AA385" s="362"/>
    </row>
    <row r="386" spans="1:27" s="320" customFormat="1" ht="0.65" hidden="1" customHeight="1">
      <c r="A386" s="320">
        <v>1151</v>
      </c>
      <c r="B386" s="362"/>
      <c r="D386" s="320">
        <v>9</v>
      </c>
      <c r="E386" s="320" t="s">
        <v>44</v>
      </c>
      <c r="F386" s="320" t="s">
        <v>45</v>
      </c>
      <c r="H386" s="320" t="s">
        <v>40</v>
      </c>
      <c r="I386" s="320" t="s">
        <v>41</v>
      </c>
      <c r="M386" s="320">
        <v>9</v>
      </c>
      <c r="N386" s="320" t="s">
        <v>44</v>
      </c>
      <c r="O386" s="320" t="s">
        <v>45</v>
      </c>
      <c r="Q386" s="320" t="s">
        <v>937</v>
      </c>
      <c r="T386" s="320" t="s">
        <v>938</v>
      </c>
      <c r="AA386" s="362"/>
    </row>
    <row r="387" spans="1:27" s="320" customFormat="1" ht="0.65" hidden="1" customHeight="1">
      <c r="A387" s="320">
        <v>1152</v>
      </c>
      <c r="B387" s="362"/>
      <c r="D387" s="320">
        <v>10</v>
      </c>
      <c r="E387" s="320" t="s">
        <v>40</v>
      </c>
      <c r="F387" s="320" t="s">
        <v>41</v>
      </c>
      <c r="H387" s="320" t="s">
        <v>42</v>
      </c>
      <c r="I387" s="320" t="s">
        <v>43</v>
      </c>
      <c r="M387" s="320">
        <v>10</v>
      </c>
      <c r="N387" s="320" t="s">
        <v>40</v>
      </c>
      <c r="O387" s="320" t="s">
        <v>41</v>
      </c>
      <c r="Q387" s="320" t="s">
        <v>937</v>
      </c>
      <c r="AA387" s="362"/>
    </row>
    <row r="388" spans="1:27" s="320" customFormat="1" ht="0.65" hidden="1" customHeight="1">
      <c r="A388" s="320">
        <v>1153</v>
      </c>
      <c r="B388" s="362"/>
      <c r="D388" s="320">
        <v>11</v>
      </c>
      <c r="E388" s="320" t="s">
        <v>44</v>
      </c>
      <c r="F388" s="320" t="s">
        <v>45</v>
      </c>
      <c r="H388" s="320" t="s">
        <v>44</v>
      </c>
      <c r="I388" s="320" t="s">
        <v>45</v>
      </c>
      <c r="M388" s="320">
        <v>11</v>
      </c>
      <c r="N388" s="320" t="s">
        <v>44</v>
      </c>
      <c r="O388" s="320" t="s">
        <v>45</v>
      </c>
      <c r="Q388" s="320" t="s">
        <v>937</v>
      </c>
      <c r="T388" s="320" t="s">
        <v>86</v>
      </c>
      <c r="AA388" s="362"/>
    </row>
    <row r="389" spans="1:27" s="320" customFormat="1" ht="0.65" hidden="1" customHeight="1">
      <c r="A389" s="320">
        <v>1154</v>
      </c>
      <c r="B389" s="362"/>
      <c r="D389" s="320">
        <v>12</v>
      </c>
      <c r="E389" s="320" t="s">
        <v>44</v>
      </c>
      <c r="F389" s="320" t="s">
        <v>45</v>
      </c>
      <c r="M389" s="320">
        <v>12</v>
      </c>
      <c r="N389" s="320" t="s">
        <v>44</v>
      </c>
      <c r="O389" s="320" t="s">
        <v>45</v>
      </c>
      <c r="Q389" s="320" t="s">
        <v>937</v>
      </c>
      <c r="T389" s="320" t="s">
        <v>87</v>
      </c>
      <c r="AA389" s="362"/>
    </row>
    <row r="390" spans="1:27" s="320" customFormat="1" ht="0.65" hidden="1" customHeight="1">
      <c r="A390" s="320">
        <v>1155</v>
      </c>
      <c r="B390" s="362"/>
      <c r="D390" s="320">
        <v>13</v>
      </c>
      <c r="E390" s="320" t="s">
        <v>38</v>
      </c>
      <c r="F390" s="320" t="s">
        <v>39</v>
      </c>
      <c r="H390" s="320">
        <v>1.1000000000000001</v>
      </c>
      <c r="M390" s="320">
        <v>13</v>
      </c>
      <c r="N390" s="320" t="s">
        <v>38</v>
      </c>
      <c r="O390" s="320" t="s">
        <v>39</v>
      </c>
      <c r="Q390" s="320" t="s">
        <v>937</v>
      </c>
      <c r="T390" s="320" t="s">
        <v>88</v>
      </c>
      <c r="V390" s="320" t="s">
        <v>36</v>
      </c>
      <c r="W390" s="320" t="s">
        <v>55</v>
      </c>
      <c r="AA390" s="362"/>
    </row>
    <row r="391" spans="1:27" s="320" customFormat="1" ht="0.65" hidden="1" customHeight="1">
      <c r="A391" s="320">
        <v>1156</v>
      </c>
      <c r="B391" s="362"/>
      <c r="D391" s="320">
        <v>14</v>
      </c>
      <c r="E391" s="320" t="s">
        <v>40</v>
      </c>
      <c r="F391" s="320" t="s">
        <v>41</v>
      </c>
      <c r="H391" s="320">
        <v>1.2</v>
      </c>
      <c r="M391" s="320">
        <v>14</v>
      </c>
      <c r="N391" s="320" t="s">
        <v>40</v>
      </c>
      <c r="O391" s="320" t="s">
        <v>41</v>
      </c>
      <c r="Q391" s="320" t="s">
        <v>937</v>
      </c>
      <c r="AA391" s="362"/>
    </row>
    <row r="392" spans="1:27" s="320" customFormat="1" ht="0.65" hidden="1" customHeight="1">
      <c r="A392" s="320">
        <v>1157</v>
      </c>
      <c r="B392" s="362"/>
      <c r="D392" s="320">
        <v>15</v>
      </c>
      <c r="E392" s="320" t="s">
        <v>38</v>
      </c>
      <c r="F392" s="320" t="s">
        <v>39</v>
      </c>
      <c r="H392" s="320">
        <v>1.3</v>
      </c>
      <c r="M392" s="320">
        <v>15</v>
      </c>
      <c r="N392" s="320" t="s">
        <v>38</v>
      </c>
      <c r="O392" s="320" t="s">
        <v>39</v>
      </c>
      <c r="Q392" s="320" t="s">
        <v>937</v>
      </c>
      <c r="AA392" s="362"/>
    </row>
    <row r="393" spans="1:27" s="320" customFormat="1" ht="0.65" hidden="1" customHeight="1">
      <c r="A393" s="320">
        <v>1158</v>
      </c>
      <c r="B393" s="362"/>
      <c r="D393" s="320">
        <v>16</v>
      </c>
      <c r="E393" s="320" t="s">
        <v>42</v>
      </c>
      <c r="F393" s="320" t="s">
        <v>43</v>
      </c>
      <c r="H393" s="320">
        <v>1.4</v>
      </c>
      <c r="M393" s="320">
        <v>16</v>
      </c>
      <c r="N393" s="320" t="s">
        <v>42</v>
      </c>
      <c r="O393" s="320" t="s">
        <v>43</v>
      </c>
      <c r="Q393" s="320" t="s">
        <v>937</v>
      </c>
      <c r="AA393" s="362"/>
    </row>
    <row r="394" spans="1:27" s="320" customFormat="1" ht="0.65" hidden="1" customHeight="1">
      <c r="A394" s="320">
        <v>1159</v>
      </c>
      <c r="B394" s="362"/>
      <c r="D394" s="320">
        <v>17</v>
      </c>
      <c r="E394" s="320" t="s">
        <v>38</v>
      </c>
      <c r="F394" s="320" t="s">
        <v>39</v>
      </c>
      <c r="M394" s="320">
        <v>17</v>
      </c>
      <c r="N394" s="320" t="s">
        <v>38</v>
      </c>
      <c r="O394" s="320" t="s">
        <v>39</v>
      </c>
      <c r="Q394" s="320" t="s">
        <v>937</v>
      </c>
      <c r="AA394" s="362"/>
    </row>
    <row r="395" spans="1:27" s="320" customFormat="1" ht="0.65" hidden="1" customHeight="1">
      <c r="A395" s="320">
        <v>1160</v>
      </c>
      <c r="B395" s="362"/>
      <c r="D395" s="320">
        <v>18</v>
      </c>
      <c r="E395" s="320" t="s">
        <v>42</v>
      </c>
      <c r="F395" s="320" t="s">
        <v>43</v>
      </c>
      <c r="M395" s="320">
        <v>18</v>
      </c>
      <c r="N395" s="320" t="s">
        <v>42</v>
      </c>
      <c r="O395" s="320" t="s">
        <v>43</v>
      </c>
      <c r="Q395" s="320" t="s">
        <v>937</v>
      </c>
      <c r="AA395" s="362"/>
    </row>
    <row r="396" spans="1:27" s="320" customFormat="1" ht="0.65" hidden="1" customHeight="1">
      <c r="A396" s="320">
        <v>1161</v>
      </c>
      <c r="B396" s="362"/>
      <c r="D396" s="320">
        <v>19</v>
      </c>
      <c r="E396" s="320" t="s">
        <v>42</v>
      </c>
      <c r="F396" s="320" t="s">
        <v>43</v>
      </c>
      <c r="M396" s="320">
        <v>19</v>
      </c>
      <c r="N396" s="320" t="s">
        <v>42</v>
      </c>
      <c r="O396" s="320" t="s">
        <v>43</v>
      </c>
      <c r="Q396" s="320" t="s">
        <v>937</v>
      </c>
      <c r="AA396" s="362"/>
    </row>
    <row r="397" spans="1:27" s="320" customFormat="1" ht="0.65" hidden="1" customHeight="1">
      <c r="A397" s="320">
        <v>1162</v>
      </c>
      <c r="B397" s="362"/>
      <c r="D397" s="320">
        <v>20</v>
      </c>
      <c r="E397" s="320" t="s">
        <v>40</v>
      </c>
      <c r="F397" s="320" t="s">
        <v>41</v>
      </c>
      <c r="M397" s="320">
        <v>20</v>
      </c>
      <c r="N397" s="320" t="s">
        <v>40</v>
      </c>
      <c r="O397" s="320" t="s">
        <v>41</v>
      </c>
      <c r="Q397" s="320" t="s">
        <v>937</v>
      </c>
      <c r="AA397" s="362"/>
    </row>
    <row r="398" spans="1:27" s="320" customFormat="1" ht="0.65" hidden="1" customHeight="1">
      <c r="A398" s="320">
        <v>1163</v>
      </c>
      <c r="B398" s="362"/>
      <c r="R398" s="320" t="s">
        <v>465</v>
      </c>
      <c r="AA398" s="362"/>
    </row>
    <row r="399" spans="1:27" s="320" customFormat="1" ht="0.65" hidden="1" customHeight="1">
      <c r="A399" s="320">
        <v>1164</v>
      </c>
      <c r="B399" s="362"/>
      <c r="R399" s="363" t="s">
        <v>5</v>
      </c>
      <c r="S399" s="364">
        <v>2022</v>
      </c>
      <c r="AA399" s="362"/>
    </row>
    <row r="400" spans="1:27" s="320" customFormat="1" ht="0.65" hidden="1" customHeight="1">
      <c r="A400" s="320">
        <v>1165</v>
      </c>
      <c r="B400" s="362"/>
      <c r="AA400" s="362"/>
    </row>
    <row r="401" spans="1:27" s="320" customFormat="1" ht="0.65" hidden="1" customHeight="1">
      <c r="A401" s="320">
        <v>1166</v>
      </c>
      <c r="B401" s="362"/>
      <c r="R401" s="363" t="s">
        <v>32</v>
      </c>
      <c r="AA401" s="362"/>
    </row>
    <row r="402" spans="1:27" s="320" customFormat="1" ht="0.65" hidden="1" customHeight="1">
      <c r="A402" s="320">
        <v>1167</v>
      </c>
      <c r="B402" s="362"/>
      <c r="R402" s="363" t="s">
        <v>488</v>
      </c>
      <c r="S402" s="363">
        <v>1000000</v>
      </c>
      <c r="AA402" s="362"/>
    </row>
    <row r="403" spans="1:27" s="320" customFormat="1" ht="0.65" hidden="1" customHeight="1">
      <c r="A403" s="320">
        <v>1168</v>
      </c>
      <c r="B403" s="362"/>
      <c r="R403" s="363" t="s">
        <v>6</v>
      </c>
      <c r="S403" s="363">
        <v>10</v>
      </c>
      <c r="AA403" s="362"/>
    </row>
    <row r="404" spans="1:27" s="320" customFormat="1" ht="0.65" hidden="1" customHeight="1">
      <c r="A404" s="320">
        <v>1169</v>
      </c>
      <c r="B404" s="362"/>
      <c r="R404" s="363" t="s">
        <v>489</v>
      </c>
      <c r="S404" s="363">
        <v>400000</v>
      </c>
      <c r="AA404" s="362"/>
    </row>
    <row r="405" spans="1:27" s="320" customFormat="1" ht="0.65" hidden="1" customHeight="1">
      <c r="A405" s="320">
        <v>1170</v>
      </c>
      <c r="B405" s="362"/>
      <c r="AA405" s="362"/>
    </row>
    <row r="406" spans="1:27" s="320" customFormat="1" ht="0.65" hidden="1" customHeight="1">
      <c r="A406" s="320">
        <v>1171</v>
      </c>
      <c r="B406" s="362"/>
      <c r="R406" s="363" t="s">
        <v>34</v>
      </c>
      <c r="S406" s="363">
        <v>420000</v>
      </c>
      <c r="AA406" s="362"/>
    </row>
    <row r="407" spans="1:27" s="320" customFormat="1" ht="0.65" hidden="1" customHeight="1">
      <c r="A407" s="320">
        <v>1172</v>
      </c>
      <c r="B407" s="362"/>
      <c r="R407" s="363" t="s">
        <v>35</v>
      </c>
      <c r="S407" s="363">
        <v>300000</v>
      </c>
      <c r="AA407" s="362"/>
    </row>
    <row r="408" spans="1:27" s="320" customFormat="1" ht="0.65" hidden="1" customHeight="1">
      <c r="A408" s="320">
        <v>1173</v>
      </c>
      <c r="B408" s="362"/>
      <c r="AA408" s="362"/>
    </row>
    <row r="409" spans="1:27" s="320" customFormat="1" ht="0.65" hidden="1" customHeight="1">
      <c r="A409" s="320">
        <v>1174</v>
      </c>
      <c r="B409" s="362"/>
      <c r="R409" s="363" t="s">
        <v>7</v>
      </c>
      <c r="S409" s="363">
        <v>90</v>
      </c>
      <c r="AA409" s="362"/>
    </row>
    <row r="410" spans="1:27" s="320" customFormat="1" ht="0.65" hidden="1" customHeight="1">
      <c r="A410" s="320">
        <v>1175</v>
      </c>
      <c r="B410" s="362"/>
      <c r="R410" s="363" t="s">
        <v>8</v>
      </c>
      <c r="S410" s="363">
        <v>60</v>
      </c>
      <c r="AA410" s="362"/>
    </row>
    <row r="411" spans="1:27" s="320" customFormat="1" ht="0.65" hidden="1" customHeight="1">
      <c r="A411" s="320">
        <v>1176</v>
      </c>
      <c r="B411" s="362"/>
      <c r="AA411" s="362"/>
    </row>
    <row r="412" spans="1:27" s="320" customFormat="1" ht="0.65" hidden="1" customHeight="1">
      <c r="A412" s="320">
        <v>1177</v>
      </c>
      <c r="B412" s="362"/>
      <c r="R412" s="363" t="s">
        <v>33</v>
      </c>
      <c r="AA412" s="362"/>
    </row>
    <row r="413" spans="1:27" s="320" customFormat="1" ht="0.65" hidden="1" customHeight="1">
      <c r="A413" s="320">
        <v>1178</v>
      </c>
      <c r="B413" s="362"/>
      <c r="R413" s="363" t="s">
        <v>492</v>
      </c>
      <c r="S413" s="363">
        <v>200000</v>
      </c>
      <c r="AA413" s="362"/>
    </row>
    <row r="414" spans="1:27" s="320" customFormat="1" ht="0.65" hidden="1" customHeight="1">
      <c r="A414" s="320">
        <v>1179</v>
      </c>
      <c r="B414" s="362"/>
      <c r="R414" s="363" t="s">
        <v>495</v>
      </c>
      <c r="S414" s="363">
        <v>100000</v>
      </c>
      <c r="AA414" s="362"/>
    </row>
    <row r="415" spans="1:27" s="320" customFormat="1" ht="0.65" hidden="1" customHeight="1">
      <c r="A415" s="320">
        <v>1180</v>
      </c>
      <c r="B415" s="362"/>
      <c r="R415" s="363" t="s">
        <v>6</v>
      </c>
      <c r="S415" s="363">
        <v>2</v>
      </c>
      <c r="AA415" s="362"/>
    </row>
    <row r="416" spans="1:27" s="320" customFormat="1" ht="0.65" hidden="1" customHeight="1">
      <c r="A416" s="320">
        <v>1181</v>
      </c>
      <c r="B416" s="362"/>
      <c r="R416" s="363" t="s">
        <v>489</v>
      </c>
      <c r="S416" s="363">
        <v>100000</v>
      </c>
      <c r="AA416" s="362"/>
    </row>
    <row r="417" spans="1:27" s="320" customFormat="1" ht="0.65" hidden="1" customHeight="1">
      <c r="A417" s="320">
        <v>1182</v>
      </c>
      <c r="B417" s="362"/>
      <c r="AA417" s="362"/>
    </row>
    <row r="418" spans="1:27" s="320" customFormat="1" ht="0.65" hidden="1" customHeight="1">
      <c r="A418" s="320">
        <v>1183</v>
      </c>
      <c r="B418" s="362"/>
      <c r="R418" s="363" t="s">
        <v>4</v>
      </c>
      <c r="S418" s="365">
        <v>0.25</v>
      </c>
      <c r="AA418" s="362"/>
    </row>
    <row r="419" spans="1:27" s="320" customFormat="1" ht="0.65" hidden="1" customHeight="1">
      <c r="A419" s="320">
        <v>1184</v>
      </c>
      <c r="B419" s="362"/>
      <c r="S419" s="363" t="s">
        <v>9</v>
      </c>
      <c r="AA419" s="362"/>
    </row>
    <row r="420" spans="1:27" s="320" customFormat="1" ht="0.65" hidden="1" customHeight="1">
      <c r="A420" s="320">
        <v>1185</v>
      </c>
      <c r="B420" s="362"/>
      <c r="AA420" s="362"/>
    </row>
    <row r="421" spans="1:27" s="320" customFormat="1" ht="0.65" hidden="1" customHeight="1">
      <c r="A421" s="320">
        <v>1186</v>
      </c>
      <c r="B421" s="362"/>
      <c r="R421" s="363" t="s">
        <v>10</v>
      </c>
      <c r="S421" s="363">
        <v>350000</v>
      </c>
      <c r="AA421" s="362"/>
    </row>
    <row r="422" spans="1:27" s="320" customFormat="1" ht="0.65" hidden="1" customHeight="1">
      <c r="A422" s="320">
        <v>1187</v>
      </c>
      <c r="B422" s="362"/>
      <c r="R422" s="363" t="s">
        <v>11</v>
      </c>
      <c r="S422" s="363">
        <v>420000</v>
      </c>
      <c r="AA422" s="362"/>
    </row>
    <row r="423" spans="1:27" s="320" customFormat="1" ht="0.65" hidden="1" customHeight="1">
      <c r="A423" s="320">
        <v>1188</v>
      </c>
      <c r="B423" s="362"/>
      <c r="R423" s="363" t="s">
        <v>12</v>
      </c>
      <c r="S423" s="366">
        <v>2.2499999999999999E-2</v>
      </c>
      <c r="AA423" s="362"/>
    </row>
    <row r="424" spans="1:27" s="320" customFormat="1" ht="0.65" hidden="1" customHeight="1">
      <c r="A424" s="320">
        <v>1189</v>
      </c>
      <c r="B424" s="362"/>
      <c r="R424" s="363" t="s">
        <v>2</v>
      </c>
      <c r="S424" s="363">
        <v>7000000</v>
      </c>
      <c r="AA424" s="362"/>
    </row>
    <row r="425" spans="1:27" s="320" customFormat="1" ht="0.65" hidden="1" customHeight="1">
      <c r="A425" s="320">
        <v>1190</v>
      </c>
      <c r="B425" s="362"/>
      <c r="R425" s="363" t="s">
        <v>3</v>
      </c>
      <c r="S425" s="363">
        <v>7000000</v>
      </c>
      <c r="AA425" s="362"/>
    </row>
    <row r="426" spans="1:27" s="320" customFormat="1" ht="0.65" hidden="1" customHeight="1">
      <c r="A426" s="320">
        <v>1191</v>
      </c>
      <c r="B426" s="362"/>
      <c r="AA426" s="362"/>
    </row>
    <row r="427" spans="1:27" s="320" customFormat="1" ht="0.65" hidden="1" customHeight="1">
      <c r="A427" s="320">
        <v>1192</v>
      </c>
      <c r="B427" s="362"/>
      <c r="R427" s="363" t="s">
        <v>14</v>
      </c>
      <c r="S427" s="363" t="s">
        <v>16</v>
      </c>
      <c r="AA427" s="362"/>
    </row>
    <row r="428" spans="1:27" s="320" customFormat="1" ht="0.65" hidden="1" customHeight="1">
      <c r="A428" s="320">
        <v>1193</v>
      </c>
      <c r="B428" s="362"/>
      <c r="AA428" s="362"/>
    </row>
    <row r="429" spans="1:27" s="320" customFormat="1" ht="0.65" hidden="1" customHeight="1">
      <c r="A429" s="320">
        <v>1194</v>
      </c>
      <c r="B429" s="362"/>
      <c r="R429" s="363" t="s">
        <v>0</v>
      </c>
      <c r="S429" s="363" t="s">
        <v>69</v>
      </c>
      <c r="T429" s="363" t="s">
        <v>70</v>
      </c>
      <c r="U429" s="363" t="s">
        <v>71</v>
      </c>
      <c r="V429" s="363" t="s">
        <v>72</v>
      </c>
      <c r="W429" s="363" t="s">
        <v>73</v>
      </c>
      <c r="X429" s="363" t="s">
        <v>74</v>
      </c>
      <c r="Y429" s="363" t="s">
        <v>75</v>
      </c>
      <c r="AA429" s="362"/>
    </row>
    <row r="430" spans="1:27" s="320" customFormat="1" ht="0.65" hidden="1" customHeight="1">
      <c r="A430" s="320">
        <v>1195</v>
      </c>
      <c r="B430" s="362"/>
      <c r="R430" s="364">
        <v>2023</v>
      </c>
      <c r="S430" s="363">
        <v>420000</v>
      </c>
      <c r="T430" s="363">
        <v>300000</v>
      </c>
      <c r="U430" s="363">
        <v>50000</v>
      </c>
      <c r="V430" s="363">
        <v>70000</v>
      </c>
      <c r="W430" s="363">
        <v>17500</v>
      </c>
      <c r="X430" s="363">
        <v>52500</v>
      </c>
      <c r="Y430" s="363">
        <v>102500</v>
      </c>
      <c r="AA430" s="362"/>
    </row>
    <row r="431" spans="1:27" s="320" customFormat="1" ht="0.65" hidden="1" customHeight="1">
      <c r="A431" s="320">
        <v>1196</v>
      </c>
      <c r="B431" s="362"/>
      <c r="R431" s="364">
        <v>2024</v>
      </c>
      <c r="S431" s="363">
        <v>420000</v>
      </c>
      <c r="T431" s="363">
        <v>300000</v>
      </c>
      <c r="U431" s="363">
        <v>50000</v>
      </c>
      <c r="V431" s="363">
        <v>70000</v>
      </c>
      <c r="W431" s="363">
        <v>17500</v>
      </c>
      <c r="X431" s="363">
        <v>52500</v>
      </c>
      <c r="Y431" s="363">
        <v>102500</v>
      </c>
      <c r="AA431" s="362"/>
    </row>
    <row r="432" spans="1:27" s="320" customFormat="1" ht="0.65" hidden="1" customHeight="1">
      <c r="A432" s="320">
        <v>1197</v>
      </c>
      <c r="B432" s="362"/>
      <c r="R432" s="364">
        <v>2025</v>
      </c>
      <c r="S432" s="363">
        <v>420000</v>
      </c>
      <c r="T432" s="363">
        <v>300000</v>
      </c>
      <c r="U432" s="363">
        <v>100000</v>
      </c>
      <c r="V432" s="363">
        <v>20000</v>
      </c>
      <c r="W432" s="363">
        <v>5000</v>
      </c>
      <c r="X432" s="363">
        <v>15000</v>
      </c>
      <c r="Y432" s="363">
        <v>115000</v>
      </c>
      <c r="AA432" s="362"/>
    </row>
    <row r="433" spans="1:27" s="320" customFormat="1" ht="0.65" hidden="1" customHeight="1">
      <c r="A433" s="320">
        <v>1198</v>
      </c>
      <c r="B433" s="362"/>
      <c r="AA433" s="362"/>
    </row>
    <row r="434" spans="1:27" s="320" customFormat="1" ht="0.65" hidden="1" customHeight="1">
      <c r="A434" s="320">
        <v>1199</v>
      </c>
      <c r="B434" s="362"/>
      <c r="R434" s="363" t="s">
        <v>0</v>
      </c>
      <c r="S434" s="363" t="s">
        <v>76</v>
      </c>
      <c r="T434" s="363" t="s">
        <v>77</v>
      </c>
      <c r="U434" s="363" t="s">
        <v>78</v>
      </c>
      <c r="V434" s="363" t="s">
        <v>79</v>
      </c>
      <c r="AA434" s="362"/>
    </row>
    <row r="435" spans="1:27" s="320" customFormat="1" ht="0.65" hidden="1" customHeight="1">
      <c r="A435" s="320">
        <v>1200</v>
      </c>
      <c r="B435" s="362"/>
      <c r="R435" s="364">
        <v>2022</v>
      </c>
      <c r="S435" s="363">
        <v>0</v>
      </c>
      <c r="T435" s="363">
        <v>0</v>
      </c>
      <c r="U435" s="363">
        <v>0</v>
      </c>
      <c r="V435" s="363">
        <v>0</v>
      </c>
      <c r="AA435" s="362"/>
    </row>
    <row r="436" spans="1:27" s="320" customFormat="1" ht="0.65" hidden="1" customHeight="1">
      <c r="A436" s="320">
        <v>1201</v>
      </c>
      <c r="B436" s="362"/>
      <c r="R436" s="364">
        <v>2023</v>
      </c>
      <c r="S436" s="363">
        <v>105000</v>
      </c>
      <c r="T436" s="363">
        <v>50000</v>
      </c>
      <c r="U436" s="363">
        <v>55000</v>
      </c>
      <c r="V436" s="363">
        <v>55000</v>
      </c>
      <c r="AA436" s="362"/>
    </row>
    <row r="437" spans="1:27" s="320" customFormat="1" ht="0.65" hidden="1" customHeight="1">
      <c r="A437" s="320">
        <v>1202</v>
      </c>
      <c r="B437" s="362"/>
      <c r="R437" s="364">
        <v>2024</v>
      </c>
      <c r="S437" s="363">
        <v>105000</v>
      </c>
      <c r="T437" s="363">
        <v>50000</v>
      </c>
      <c r="U437" s="363">
        <v>55000</v>
      </c>
      <c r="V437" s="363">
        <v>0</v>
      </c>
      <c r="AA437" s="362"/>
    </row>
    <row r="438" spans="1:27" s="320" customFormat="1" ht="0.65" hidden="1" customHeight="1">
      <c r="A438" s="320">
        <v>1203</v>
      </c>
      <c r="B438" s="362"/>
      <c r="R438" s="364">
        <v>2025</v>
      </c>
      <c r="S438" s="363">
        <v>105000</v>
      </c>
      <c r="T438" s="363">
        <v>50000</v>
      </c>
      <c r="U438" s="363">
        <v>55000</v>
      </c>
      <c r="V438" s="363">
        <v>0</v>
      </c>
      <c r="AA438" s="362"/>
    </row>
    <row r="439" spans="1:27" s="320" customFormat="1" ht="0.65" hidden="1" customHeight="1">
      <c r="A439" s="320">
        <v>1204</v>
      </c>
      <c r="B439" s="362"/>
      <c r="AA439" s="362"/>
    </row>
    <row r="440" spans="1:27" s="320" customFormat="1" ht="0.65" hidden="1" customHeight="1">
      <c r="A440" s="320">
        <v>1205</v>
      </c>
      <c r="B440" s="362"/>
      <c r="V440" s="363" t="s">
        <v>81</v>
      </c>
      <c r="AA440" s="362"/>
    </row>
    <row r="441" spans="1:27" s="320" customFormat="1" ht="0.65" hidden="1" customHeight="1">
      <c r="A441" s="320">
        <v>1206</v>
      </c>
      <c r="B441" s="362"/>
      <c r="R441" s="363" t="s">
        <v>0</v>
      </c>
      <c r="S441" s="363" t="s">
        <v>75</v>
      </c>
      <c r="T441" s="363" t="s">
        <v>79</v>
      </c>
      <c r="U441" s="363" t="s">
        <v>80</v>
      </c>
      <c r="V441" s="363" t="s">
        <v>1</v>
      </c>
      <c r="AA441" s="362"/>
    </row>
    <row r="442" spans="1:27" s="320" customFormat="1" ht="0.65" hidden="1" customHeight="1">
      <c r="A442" s="320">
        <v>1207</v>
      </c>
      <c r="B442" s="362"/>
      <c r="R442" s="364">
        <v>2022</v>
      </c>
      <c r="S442" s="363">
        <v>0</v>
      </c>
      <c r="T442" s="363">
        <v>0</v>
      </c>
      <c r="U442" s="363">
        <v>0</v>
      </c>
      <c r="V442" s="363">
        <v>-825000</v>
      </c>
      <c r="AA442" s="362"/>
    </row>
    <row r="443" spans="1:27" s="320" customFormat="1" ht="0.65" hidden="1" customHeight="1">
      <c r="A443" s="320">
        <v>1208</v>
      </c>
      <c r="B443" s="362"/>
      <c r="R443" s="364">
        <v>2023</v>
      </c>
      <c r="S443" s="363">
        <v>102500</v>
      </c>
      <c r="T443" s="363">
        <v>55000</v>
      </c>
      <c r="U443" s="363">
        <v>47500</v>
      </c>
      <c r="V443" s="363">
        <v>47500</v>
      </c>
      <c r="AA443" s="362"/>
    </row>
    <row r="444" spans="1:27" s="320" customFormat="1" ht="0.65" hidden="1" customHeight="1">
      <c r="A444" s="320">
        <v>1209</v>
      </c>
      <c r="B444" s="362"/>
      <c r="R444" s="364">
        <v>2024</v>
      </c>
      <c r="S444" s="363">
        <v>102500</v>
      </c>
      <c r="T444" s="363">
        <v>0</v>
      </c>
      <c r="U444" s="363">
        <v>102500</v>
      </c>
      <c r="V444" s="363">
        <v>102500</v>
      </c>
      <c r="AA444" s="362"/>
    </row>
    <row r="445" spans="1:27" s="320" customFormat="1" ht="0.65" hidden="1" customHeight="1">
      <c r="A445" s="320">
        <v>1210</v>
      </c>
      <c r="B445" s="362"/>
      <c r="R445" s="364">
        <v>2025</v>
      </c>
      <c r="S445" s="363">
        <v>115000</v>
      </c>
      <c r="T445" s="363">
        <v>0</v>
      </c>
      <c r="U445" s="363">
        <v>115000</v>
      </c>
      <c r="V445" s="363">
        <v>570000</v>
      </c>
      <c r="AA445" s="362"/>
    </row>
    <row r="446" spans="1:27" s="320" customFormat="1" ht="0.65" hidden="1" customHeight="1">
      <c r="A446" s="320">
        <v>1211</v>
      </c>
      <c r="B446" s="362"/>
      <c r="AA446" s="362"/>
    </row>
    <row r="447" spans="1:27" s="320" customFormat="1" ht="0.65" hidden="1" customHeight="1">
      <c r="A447" s="320">
        <v>1212</v>
      </c>
      <c r="B447" s="362"/>
      <c r="R447" s="363" t="s">
        <v>490</v>
      </c>
      <c r="S447" s="363">
        <v>825000</v>
      </c>
      <c r="U447" s="363" t="s">
        <v>124</v>
      </c>
      <c r="V447" s="366">
        <v>3.7499999999999999E-2</v>
      </c>
      <c r="X447" s="363" t="s">
        <v>13</v>
      </c>
      <c r="Y447" s="363">
        <v>-210381.05281541136</v>
      </c>
      <c r="AA447" s="362"/>
    </row>
    <row r="448" spans="1:27" s="320" customFormat="1" ht="0.65" hidden="1" customHeight="1">
      <c r="A448" s="320">
        <v>1213</v>
      </c>
      <c r="B448" s="362"/>
      <c r="R448" s="363" t="s">
        <v>491</v>
      </c>
      <c r="S448" s="363">
        <v>400000</v>
      </c>
      <c r="U448" s="363" t="s">
        <v>125</v>
      </c>
      <c r="V448" s="366">
        <v>8.249999999999999E-2</v>
      </c>
      <c r="X448" s="320" t="s">
        <v>28</v>
      </c>
      <c r="Y448" s="366">
        <v>-4.8576778446782765E-2</v>
      </c>
      <c r="AA448" s="362"/>
    </row>
    <row r="449" spans="1:28" s="320" customFormat="1" ht="0.65" hidden="1" customHeight="1">
      <c r="A449" s="320">
        <v>1214</v>
      </c>
      <c r="B449" s="362"/>
      <c r="R449" s="363" t="s">
        <v>493</v>
      </c>
      <c r="S449" s="363">
        <v>55000</v>
      </c>
      <c r="U449" s="363" t="s">
        <v>126</v>
      </c>
      <c r="V449" s="366">
        <v>0.06</v>
      </c>
      <c r="X449" s="320" t="s">
        <v>29</v>
      </c>
      <c r="Y449" s="367">
        <v>-0.25500733674595316</v>
      </c>
      <c r="AA449" s="362"/>
    </row>
    <row r="450" spans="1:28" s="320" customFormat="1" ht="0.65" hidden="1" customHeight="1">
      <c r="A450" s="320">
        <v>1215</v>
      </c>
      <c r="B450" s="362"/>
      <c r="R450" s="363" t="s">
        <v>494</v>
      </c>
      <c r="S450" s="363">
        <v>455000</v>
      </c>
      <c r="X450" s="320" t="s">
        <v>30</v>
      </c>
      <c r="Y450" s="320" t="s">
        <v>639</v>
      </c>
      <c r="AA450" s="362"/>
    </row>
    <row r="451" spans="1:28" s="320" customFormat="1" ht="0.65" hidden="1" customHeight="1">
      <c r="B451" s="362"/>
      <c r="AA451" s="362"/>
    </row>
    <row r="452" spans="1:28" s="320" customFormat="1" ht="0.65" hidden="1" customHeight="1">
      <c r="B452" s="362"/>
      <c r="AA452" s="362"/>
    </row>
    <row r="453" spans="1:28" s="320" customFormat="1" ht="0.65" hidden="1" customHeight="1">
      <c r="B453" s="362"/>
      <c r="AA453" s="362"/>
    </row>
    <row r="454" spans="1:28" s="320" customFormat="1" ht="0.65" hidden="1" customHeight="1">
      <c r="A454" s="320">
        <v>2001</v>
      </c>
      <c r="B454" s="362" t="s">
        <v>55</v>
      </c>
      <c r="D454" s="320">
        <v>1</v>
      </c>
      <c r="E454" s="320" t="s">
        <v>51</v>
      </c>
      <c r="Z454" s="320" t="s">
        <v>38</v>
      </c>
      <c r="AA454" s="362"/>
    </row>
    <row r="455" spans="1:28" s="320" customFormat="1" ht="0.65" hidden="1" customHeight="1">
      <c r="A455" s="320">
        <v>2002</v>
      </c>
      <c r="B455" s="362"/>
      <c r="D455" s="320" t="s">
        <v>38</v>
      </c>
      <c r="F455" s="320" t="s">
        <v>800</v>
      </c>
      <c r="J455" s="320" t="s">
        <v>1082</v>
      </c>
      <c r="AA455" s="362"/>
    </row>
    <row r="456" spans="1:28" s="320" customFormat="1" ht="0.65" hidden="1" customHeight="1">
      <c r="A456" s="320">
        <v>2003</v>
      </c>
      <c r="B456" s="362" t="s">
        <v>55</v>
      </c>
      <c r="C456" s="320" t="s">
        <v>39</v>
      </c>
      <c r="D456" s="320" t="s">
        <v>55</v>
      </c>
      <c r="E456" s="320" t="s">
        <v>36</v>
      </c>
      <c r="F456" s="320" t="s">
        <v>1083</v>
      </c>
      <c r="Z456" s="320" t="s">
        <v>38</v>
      </c>
      <c r="AA456" s="362">
        <v>543750</v>
      </c>
      <c r="AB456" s="320" t="s">
        <v>1082</v>
      </c>
    </row>
    <row r="457" spans="1:28" s="320" customFormat="1" ht="0.65" hidden="1" customHeight="1">
      <c r="A457" s="320">
        <v>2004</v>
      </c>
      <c r="B457" s="362" t="s">
        <v>55</v>
      </c>
      <c r="C457" s="320" t="s">
        <v>41</v>
      </c>
      <c r="D457" s="320" t="s">
        <v>55</v>
      </c>
      <c r="F457" s="320" t="s">
        <v>1084</v>
      </c>
      <c r="Z457" s="320" t="s">
        <v>40</v>
      </c>
      <c r="AA457" s="362">
        <v>656250</v>
      </c>
      <c r="AB457" s="320" t="s">
        <v>58</v>
      </c>
    </row>
    <row r="458" spans="1:28" s="320" customFormat="1" ht="0.65" hidden="1" customHeight="1">
      <c r="A458" s="320">
        <v>2005</v>
      </c>
      <c r="B458" s="362" t="s">
        <v>55</v>
      </c>
      <c r="C458" s="320" t="s">
        <v>43</v>
      </c>
      <c r="D458" s="320" t="s">
        <v>55</v>
      </c>
      <c r="F458" s="320" t="s">
        <v>1085</v>
      </c>
      <c r="Z458" s="320" t="s">
        <v>42</v>
      </c>
      <c r="AA458" s="362">
        <v>555000</v>
      </c>
      <c r="AB458" s="320" t="s">
        <v>57</v>
      </c>
    </row>
    <row r="459" spans="1:28" s="320" customFormat="1" ht="0.65" hidden="1" customHeight="1">
      <c r="A459" s="320">
        <v>2006</v>
      </c>
      <c r="B459" s="362" t="s">
        <v>55</v>
      </c>
      <c r="C459" s="320" t="s">
        <v>45</v>
      </c>
      <c r="D459" s="320" t="s">
        <v>55</v>
      </c>
      <c r="F459" s="320" t="s">
        <v>1086</v>
      </c>
      <c r="Z459" s="320" t="s">
        <v>44</v>
      </c>
      <c r="AA459" s="362">
        <v>645000</v>
      </c>
      <c r="AB459" s="320" t="s">
        <v>59</v>
      </c>
    </row>
    <row r="460" spans="1:28" s="320" customFormat="1" ht="0.65" hidden="1" customHeight="1">
      <c r="A460" s="320">
        <v>2007</v>
      </c>
      <c r="B460" s="362"/>
      <c r="AA460" s="362"/>
    </row>
    <row r="461" spans="1:28" s="320" customFormat="1" ht="0.65" hidden="1" customHeight="1">
      <c r="A461" s="320">
        <v>2008</v>
      </c>
      <c r="B461" s="362" t="s">
        <v>55</v>
      </c>
      <c r="D461" s="320">
        <v>2</v>
      </c>
      <c r="E461" s="320" t="s">
        <v>829</v>
      </c>
      <c r="Z461" s="320" t="s">
        <v>42</v>
      </c>
      <c r="AA461" s="362"/>
    </row>
    <row r="462" spans="1:28" s="320" customFormat="1" ht="0.65" hidden="1" customHeight="1">
      <c r="A462" s="320">
        <v>2009</v>
      </c>
      <c r="B462" s="362"/>
      <c r="D462" s="320" t="s">
        <v>42</v>
      </c>
      <c r="F462" s="320" t="s">
        <v>800</v>
      </c>
      <c r="J462" s="320" t="s">
        <v>1087</v>
      </c>
      <c r="AA462" s="362"/>
    </row>
    <row r="463" spans="1:28" s="320" customFormat="1" ht="0.65" hidden="1" customHeight="1">
      <c r="A463" s="320">
        <v>2010</v>
      </c>
      <c r="B463" s="362" t="s">
        <v>55</v>
      </c>
      <c r="C463" s="320" t="s">
        <v>39</v>
      </c>
      <c r="D463" s="320" t="s">
        <v>55</v>
      </c>
      <c r="F463" s="320" t="s">
        <v>1088</v>
      </c>
      <c r="Z463" s="320" t="s">
        <v>38</v>
      </c>
      <c r="AA463" s="362">
        <v>90000</v>
      </c>
      <c r="AB463" s="320" t="s">
        <v>60</v>
      </c>
    </row>
    <row r="464" spans="1:28" s="320" customFormat="1" ht="0.65" hidden="1" customHeight="1">
      <c r="A464" s="320">
        <v>2011</v>
      </c>
      <c r="B464" s="362" t="s">
        <v>55</v>
      </c>
      <c r="C464" s="320" t="s">
        <v>41</v>
      </c>
      <c r="D464" s="320" t="s">
        <v>55</v>
      </c>
      <c r="F464" s="320" t="s">
        <v>1089</v>
      </c>
      <c r="Z464" s="320" t="s">
        <v>40</v>
      </c>
      <c r="AA464" s="362">
        <v>45000</v>
      </c>
      <c r="AB464" s="320" t="s">
        <v>61</v>
      </c>
    </row>
    <row r="465" spans="1:28" s="320" customFormat="1" ht="0.65" hidden="1" customHeight="1">
      <c r="A465" s="320">
        <v>2012</v>
      </c>
      <c r="B465" s="362" t="s">
        <v>55</v>
      </c>
      <c r="C465" s="320" t="s">
        <v>43</v>
      </c>
      <c r="D465" s="320" t="s">
        <v>55</v>
      </c>
      <c r="E465" s="320" t="s">
        <v>36</v>
      </c>
      <c r="F465" s="320" t="s">
        <v>1090</v>
      </c>
      <c r="Z465" s="320" t="s">
        <v>42</v>
      </c>
      <c r="AA465" s="362">
        <v>56250</v>
      </c>
      <c r="AB465" s="320" t="s">
        <v>1087</v>
      </c>
    </row>
    <row r="466" spans="1:28" s="320" customFormat="1" ht="0.65" hidden="1" customHeight="1">
      <c r="A466" s="320">
        <v>2013</v>
      </c>
      <c r="B466" s="362" t="s">
        <v>55</v>
      </c>
      <c r="C466" s="320" t="s">
        <v>45</v>
      </c>
      <c r="D466" s="320" t="s">
        <v>55</v>
      </c>
      <c r="F466" s="320" t="s">
        <v>834</v>
      </c>
      <c r="Z466" s="320" t="s">
        <v>44</v>
      </c>
      <c r="AA466" s="362"/>
      <c r="AB466" s="320" t="s">
        <v>1087</v>
      </c>
    </row>
    <row r="467" spans="1:28" s="320" customFormat="1" ht="0.65" hidden="1" customHeight="1">
      <c r="A467" s="320">
        <v>2014</v>
      </c>
      <c r="B467" s="362"/>
      <c r="AA467" s="362"/>
    </row>
    <row r="468" spans="1:28" s="320" customFormat="1" ht="0.65" hidden="1" customHeight="1">
      <c r="A468" s="320">
        <v>2015</v>
      </c>
      <c r="B468" s="362" t="s">
        <v>55</v>
      </c>
      <c r="D468" s="320">
        <v>3</v>
      </c>
      <c r="E468" s="320" t="s">
        <v>835</v>
      </c>
      <c r="Z468" s="320" t="s">
        <v>42</v>
      </c>
      <c r="AA468" s="362"/>
    </row>
    <row r="469" spans="1:28" s="320" customFormat="1" ht="0.65" hidden="1" customHeight="1">
      <c r="A469" s="320">
        <v>2016</v>
      </c>
      <c r="B469" s="362"/>
      <c r="D469" s="320" t="s">
        <v>42</v>
      </c>
      <c r="F469" s="320" t="s">
        <v>800</v>
      </c>
      <c r="J469" s="320" t="s">
        <v>63</v>
      </c>
      <c r="AA469" s="362"/>
    </row>
    <row r="470" spans="1:28" s="320" customFormat="1" ht="0.65" hidden="1" customHeight="1">
      <c r="A470" s="320">
        <v>2017</v>
      </c>
      <c r="B470" s="362" t="s">
        <v>55</v>
      </c>
      <c r="C470" s="320" t="s">
        <v>39</v>
      </c>
      <c r="D470" s="320" t="s">
        <v>55</v>
      </c>
      <c r="F470" s="320" t="s">
        <v>1091</v>
      </c>
      <c r="Z470" s="320" t="s">
        <v>38</v>
      </c>
      <c r="AA470" s="362">
        <v>1080000</v>
      </c>
      <c r="AB470" s="320" t="s">
        <v>62</v>
      </c>
    </row>
    <row r="471" spans="1:28" s="320" customFormat="1" ht="0.65" hidden="1" customHeight="1">
      <c r="A471" s="320">
        <v>2018</v>
      </c>
      <c r="B471" s="362" t="s">
        <v>55</v>
      </c>
      <c r="C471" s="320" t="s">
        <v>41</v>
      </c>
      <c r="D471" s="320" t="s">
        <v>55</v>
      </c>
      <c r="F471" s="320" t="s">
        <v>1092</v>
      </c>
      <c r="Z471" s="320" t="s">
        <v>40</v>
      </c>
      <c r="AA471" s="362">
        <v>720000</v>
      </c>
      <c r="AB471" s="320" t="s">
        <v>62</v>
      </c>
    </row>
    <row r="472" spans="1:28" s="320" customFormat="1" ht="0.65" hidden="1" customHeight="1">
      <c r="A472" s="320">
        <v>2019</v>
      </c>
      <c r="B472" s="362" t="s">
        <v>55</v>
      </c>
      <c r="C472" s="320" t="s">
        <v>43</v>
      </c>
      <c r="D472" s="320" t="s">
        <v>55</v>
      </c>
      <c r="E472" s="320" t="s">
        <v>36</v>
      </c>
      <c r="F472" s="320" t="s">
        <v>1093</v>
      </c>
      <c r="Z472" s="320" t="s">
        <v>42</v>
      </c>
      <c r="AA472" s="362">
        <v>360000</v>
      </c>
      <c r="AB472" s="320" t="s">
        <v>63</v>
      </c>
    </row>
    <row r="473" spans="1:28" s="320" customFormat="1" ht="0.65" hidden="1" customHeight="1">
      <c r="A473" s="320">
        <v>2020</v>
      </c>
      <c r="B473" s="362" t="s">
        <v>55</v>
      </c>
      <c r="C473" s="320" t="s">
        <v>45</v>
      </c>
      <c r="D473" s="320" t="s">
        <v>55</v>
      </c>
      <c r="F473" s="320" t="s">
        <v>834</v>
      </c>
      <c r="Z473" s="320" t="s">
        <v>44</v>
      </c>
      <c r="AA473" s="362"/>
      <c r="AB473" s="320" t="s">
        <v>63</v>
      </c>
    </row>
    <row r="474" spans="1:28" s="320" customFormat="1" ht="0.65" hidden="1" customHeight="1">
      <c r="A474" s="320">
        <v>2021</v>
      </c>
      <c r="B474" s="362"/>
      <c r="AA474" s="362"/>
    </row>
    <row r="475" spans="1:28" s="320" customFormat="1" ht="0.65" hidden="1" customHeight="1">
      <c r="A475" s="320">
        <v>2022</v>
      </c>
      <c r="B475" s="362" t="s">
        <v>55</v>
      </c>
      <c r="D475" s="320">
        <v>4</v>
      </c>
      <c r="E475" s="320" t="s">
        <v>839</v>
      </c>
      <c r="Z475" s="320" t="s">
        <v>40</v>
      </c>
      <c r="AA475" s="362"/>
    </row>
    <row r="476" spans="1:28" s="320" customFormat="1" ht="0.65" hidden="1" customHeight="1">
      <c r="A476" s="320">
        <v>2023</v>
      </c>
      <c r="B476" s="362"/>
      <c r="D476" s="320" t="s">
        <v>40</v>
      </c>
      <c r="F476" s="320" t="s">
        <v>800</v>
      </c>
      <c r="J476" s="320" t="s">
        <v>1094</v>
      </c>
      <c r="AA476" s="362"/>
    </row>
    <row r="477" spans="1:28" s="320" customFormat="1" ht="0.65" hidden="1" customHeight="1">
      <c r="A477" s="320">
        <v>2024</v>
      </c>
      <c r="B477" s="362" t="s">
        <v>55</v>
      </c>
      <c r="C477" s="320" t="s">
        <v>39</v>
      </c>
      <c r="D477" s="320" t="s">
        <v>55</v>
      </c>
      <c r="F477" s="320" t="s">
        <v>1095</v>
      </c>
      <c r="Z477" s="320" t="s">
        <v>38</v>
      </c>
      <c r="AA477" s="362">
        <v>90000</v>
      </c>
      <c r="AB477" s="320" t="s">
        <v>64</v>
      </c>
    </row>
    <row r="478" spans="1:28" s="320" customFormat="1" ht="0.65" hidden="1" customHeight="1">
      <c r="A478" s="320">
        <v>2025</v>
      </c>
      <c r="B478" s="362" t="s">
        <v>55</v>
      </c>
      <c r="C478" s="320" t="s">
        <v>41</v>
      </c>
      <c r="D478" s="320" t="s">
        <v>55</v>
      </c>
      <c r="E478" s="320" t="s">
        <v>36</v>
      </c>
      <c r="F478" s="320" t="s">
        <v>1096</v>
      </c>
      <c r="Z478" s="320" t="s">
        <v>40</v>
      </c>
      <c r="AA478" s="362">
        <v>30000</v>
      </c>
      <c r="AB478" s="320" t="s">
        <v>1094</v>
      </c>
    </row>
    <row r="479" spans="1:28" s="320" customFormat="1" ht="0.65" hidden="1" customHeight="1">
      <c r="A479" s="320">
        <v>2026</v>
      </c>
      <c r="B479" s="362" t="s">
        <v>55</v>
      </c>
      <c r="C479" s="320" t="s">
        <v>43</v>
      </c>
      <c r="D479" s="320" t="s">
        <v>55</v>
      </c>
      <c r="F479" s="320" t="s">
        <v>1097</v>
      </c>
      <c r="Z479" s="320" t="s">
        <v>42</v>
      </c>
      <c r="AA479" s="362">
        <v>60000</v>
      </c>
      <c r="AB479" s="320" t="s">
        <v>65</v>
      </c>
    </row>
    <row r="480" spans="1:28" s="320" customFormat="1" ht="0.65" hidden="1" customHeight="1">
      <c r="A480" s="320">
        <v>2027</v>
      </c>
      <c r="B480" s="362" t="s">
        <v>55</v>
      </c>
      <c r="C480" s="320" t="s">
        <v>45</v>
      </c>
      <c r="D480" s="320" t="s">
        <v>55</v>
      </c>
      <c r="F480" s="320" t="s">
        <v>834</v>
      </c>
      <c r="Z480" s="320" t="s">
        <v>44</v>
      </c>
      <c r="AA480" s="362"/>
      <c r="AB480" s="320" t="s">
        <v>1094</v>
      </c>
    </row>
    <row r="481" spans="1:28" s="320" customFormat="1" ht="0.65" hidden="1" customHeight="1">
      <c r="A481" s="320">
        <v>2028</v>
      </c>
      <c r="B481" s="362"/>
      <c r="AA481" s="362"/>
    </row>
    <row r="482" spans="1:28" s="320" customFormat="1" ht="0.65" hidden="1" customHeight="1">
      <c r="A482" s="320">
        <v>2029</v>
      </c>
      <c r="B482" s="362" t="s">
        <v>55</v>
      </c>
      <c r="D482" s="320">
        <v>5</v>
      </c>
      <c r="E482" s="320" t="s">
        <v>844</v>
      </c>
      <c r="Z482" s="320" t="s">
        <v>40</v>
      </c>
      <c r="AA482" s="362"/>
    </row>
    <row r="483" spans="1:28" s="320" customFormat="1" ht="0.65" hidden="1" customHeight="1">
      <c r="A483" s="320">
        <v>2030</v>
      </c>
      <c r="B483" s="362"/>
      <c r="D483" s="320" t="s">
        <v>40</v>
      </c>
      <c r="F483" s="320" t="s">
        <v>800</v>
      </c>
      <c r="J483" s="320" t="s">
        <v>1094</v>
      </c>
      <c r="AA483" s="362"/>
    </row>
    <row r="484" spans="1:28" s="320" customFormat="1" ht="0.65" hidden="1" customHeight="1">
      <c r="A484" s="320">
        <v>2031</v>
      </c>
      <c r="B484" s="362" t="s">
        <v>55</v>
      </c>
      <c r="C484" s="320" t="s">
        <v>39</v>
      </c>
      <c r="D484" s="320" t="s">
        <v>55</v>
      </c>
      <c r="F484" s="320" t="s">
        <v>1098</v>
      </c>
      <c r="Z484" s="320" t="s">
        <v>38</v>
      </c>
      <c r="AA484" s="362">
        <v>30000</v>
      </c>
      <c r="AB484" s="320" t="s">
        <v>1099</v>
      </c>
    </row>
    <row r="485" spans="1:28" s="320" customFormat="1" ht="0.65" hidden="1" customHeight="1">
      <c r="A485" s="320">
        <v>2032</v>
      </c>
      <c r="B485" s="362" t="s">
        <v>55</v>
      </c>
      <c r="C485" s="320" t="s">
        <v>41</v>
      </c>
      <c r="D485" s="320" t="s">
        <v>55</v>
      </c>
      <c r="E485" s="320" t="s">
        <v>36</v>
      </c>
      <c r="F485" s="320" t="s">
        <v>1100</v>
      </c>
      <c r="Z485" s="320" t="s">
        <v>40</v>
      </c>
      <c r="AA485" s="362">
        <v>60000</v>
      </c>
      <c r="AB485" s="320" t="s">
        <v>1094</v>
      </c>
    </row>
    <row r="486" spans="1:28" s="320" customFormat="1" ht="0.65" hidden="1" customHeight="1">
      <c r="A486" s="320">
        <v>2033</v>
      </c>
      <c r="B486" s="362" t="s">
        <v>55</v>
      </c>
      <c r="C486" s="320" t="s">
        <v>43</v>
      </c>
      <c r="D486" s="320" t="s">
        <v>55</v>
      </c>
      <c r="F486" s="320" t="s">
        <v>1101</v>
      </c>
      <c r="Z486" s="320" t="s">
        <v>42</v>
      </c>
      <c r="AA486" s="362">
        <v>90000</v>
      </c>
      <c r="AB486" s="320" t="s">
        <v>1102</v>
      </c>
    </row>
    <row r="487" spans="1:28" s="320" customFormat="1" ht="0.65" hidden="1" customHeight="1">
      <c r="A487" s="320">
        <v>2034</v>
      </c>
      <c r="B487" s="362" t="s">
        <v>55</v>
      </c>
      <c r="C487" s="320" t="s">
        <v>45</v>
      </c>
      <c r="D487" s="320" t="s">
        <v>55</v>
      </c>
      <c r="F487" s="320" t="s">
        <v>834</v>
      </c>
      <c r="Z487" s="320" t="s">
        <v>44</v>
      </c>
      <c r="AA487" s="362"/>
      <c r="AB487" s="320" t="s">
        <v>1094</v>
      </c>
    </row>
    <row r="488" spans="1:28" s="320" customFormat="1" ht="0.65" hidden="1" customHeight="1">
      <c r="A488" s="320">
        <v>2035</v>
      </c>
      <c r="B488" s="362"/>
      <c r="AA488" s="362"/>
    </row>
    <row r="489" spans="1:28" s="320" customFormat="1" ht="0.65" hidden="1" customHeight="1">
      <c r="A489" s="320">
        <v>2036</v>
      </c>
      <c r="B489" s="362" t="s">
        <v>55</v>
      </c>
      <c r="D489" s="320">
        <v>6</v>
      </c>
      <c r="E489" s="320" t="s">
        <v>851</v>
      </c>
      <c r="Z489" s="320" t="s">
        <v>44</v>
      </c>
      <c r="AA489" s="362"/>
    </row>
    <row r="490" spans="1:28" s="320" customFormat="1" ht="0.65" hidden="1" customHeight="1">
      <c r="A490" s="320">
        <v>2037</v>
      </c>
      <c r="B490" s="362"/>
      <c r="D490" s="320" t="s">
        <v>44</v>
      </c>
      <c r="F490" s="320" t="s">
        <v>800</v>
      </c>
      <c r="J490" s="320" t="s">
        <v>1103</v>
      </c>
      <c r="AA490" s="362"/>
    </row>
    <row r="491" spans="1:28" s="320" customFormat="1" ht="0.65" hidden="1" customHeight="1">
      <c r="A491" s="320">
        <v>2038</v>
      </c>
      <c r="B491" s="362" t="s">
        <v>55</v>
      </c>
      <c r="C491" s="320" t="s">
        <v>39</v>
      </c>
      <c r="D491" s="320" t="s">
        <v>55</v>
      </c>
      <c r="F491" s="320" t="s">
        <v>1104</v>
      </c>
      <c r="Z491" s="320" t="s">
        <v>38</v>
      </c>
      <c r="AA491" s="362">
        <v>15000</v>
      </c>
      <c r="AB491" s="320" t="s">
        <v>478</v>
      </c>
    </row>
    <row r="492" spans="1:28" s="320" customFormat="1" ht="0.65" hidden="1" customHeight="1">
      <c r="A492" s="320">
        <v>2039</v>
      </c>
      <c r="B492" s="362" t="s">
        <v>55</v>
      </c>
      <c r="C492" s="320" t="s">
        <v>41</v>
      </c>
      <c r="D492" s="320" t="s">
        <v>55</v>
      </c>
      <c r="F492" s="320" t="s">
        <v>1105</v>
      </c>
      <c r="Z492" s="320" t="s">
        <v>40</v>
      </c>
      <c r="AA492" s="362">
        <v>142500</v>
      </c>
      <c r="AB492" s="320" t="s">
        <v>90</v>
      </c>
    </row>
    <row r="493" spans="1:28" s="320" customFormat="1" ht="0.65" hidden="1" customHeight="1">
      <c r="A493" s="320">
        <v>2040</v>
      </c>
      <c r="B493" s="362" t="s">
        <v>55</v>
      </c>
      <c r="C493" s="320" t="s">
        <v>43</v>
      </c>
      <c r="D493" s="320" t="s">
        <v>55</v>
      </c>
      <c r="F493" s="320" t="s">
        <v>855</v>
      </c>
      <c r="Z493" s="320" t="s">
        <v>42</v>
      </c>
      <c r="AA493" s="362">
        <v>30000</v>
      </c>
      <c r="AB493" s="320" t="s">
        <v>91</v>
      </c>
    </row>
    <row r="494" spans="1:28" s="320" customFormat="1" ht="0.65" hidden="1" customHeight="1">
      <c r="A494" s="320">
        <v>2041</v>
      </c>
      <c r="B494" s="362" t="s">
        <v>55</v>
      </c>
      <c r="C494" s="320" t="s">
        <v>45</v>
      </c>
      <c r="D494" s="320" t="s">
        <v>55</v>
      </c>
      <c r="E494" s="320" t="s">
        <v>36</v>
      </c>
      <c r="F494" s="320" t="s">
        <v>1106</v>
      </c>
      <c r="Z494" s="320" t="s">
        <v>44</v>
      </c>
      <c r="AA494" s="362">
        <v>22500</v>
      </c>
      <c r="AB494" s="320" t="s">
        <v>1103</v>
      </c>
    </row>
    <row r="495" spans="1:28" s="320" customFormat="1" ht="0.65" hidden="1" customHeight="1">
      <c r="A495" s="320">
        <v>2042</v>
      </c>
      <c r="B495" s="362"/>
      <c r="AA495" s="362"/>
    </row>
    <row r="496" spans="1:28" s="320" customFormat="1" ht="0.65" hidden="1" customHeight="1">
      <c r="A496" s="320">
        <v>2043</v>
      </c>
      <c r="B496" s="362" t="s">
        <v>55</v>
      </c>
      <c r="D496" s="320">
        <v>7</v>
      </c>
      <c r="E496" s="320" t="s">
        <v>857</v>
      </c>
      <c r="Z496" s="320" t="s">
        <v>44</v>
      </c>
      <c r="AA496" s="362"/>
    </row>
    <row r="497" spans="1:28" s="320" customFormat="1" ht="0.65" hidden="1" customHeight="1">
      <c r="A497" s="320">
        <v>2044</v>
      </c>
      <c r="B497" s="362"/>
      <c r="D497" s="320" t="s">
        <v>44</v>
      </c>
      <c r="F497" s="320" t="s">
        <v>800</v>
      </c>
      <c r="J497" s="320" t="s">
        <v>1107</v>
      </c>
      <c r="AA497" s="362"/>
    </row>
    <row r="498" spans="1:28" s="320" customFormat="1" ht="0.65" hidden="1" customHeight="1">
      <c r="A498" s="320">
        <v>2045</v>
      </c>
      <c r="B498" s="362" t="s">
        <v>1108</v>
      </c>
      <c r="C498" s="320" t="s">
        <v>39</v>
      </c>
      <c r="D498" s="320" t="s">
        <v>55</v>
      </c>
      <c r="F498" s="320" t="s">
        <v>1109</v>
      </c>
      <c r="Z498" s="320" t="s">
        <v>38</v>
      </c>
      <c r="AA498" s="362">
        <v>67500</v>
      </c>
      <c r="AB498" s="320" t="s">
        <v>120</v>
      </c>
    </row>
    <row r="499" spans="1:28" s="320" customFormat="1" ht="0.65" hidden="1" customHeight="1">
      <c r="A499" s="320">
        <v>2046</v>
      </c>
      <c r="B499" s="362" t="s">
        <v>55</v>
      </c>
      <c r="C499" s="320" t="s">
        <v>41</v>
      </c>
      <c r="D499" s="320" t="s">
        <v>55</v>
      </c>
      <c r="F499" s="320" t="s">
        <v>1110</v>
      </c>
      <c r="Z499" s="320" t="s">
        <v>40</v>
      </c>
      <c r="AA499" s="362">
        <v>37500</v>
      </c>
      <c r="AB499" s="320" t="s">
        <v>121</v>
      </c>
    </row>
    <row r="500" spans="1:28" s="320" customFormat="1" ht="0.65" hidden="1" customHeight="1">
      <c r="A500" s="320">
        <v>2047</v>
      </c>
      <c r="B500" s="362" t="s">
        <v>1108</v>
      </c>
      <c r="C500" s="320" t="s">
        <v>43</v>
      </c>
      <c r="D500" s="320" t="s">
        <v>55</v>
      </c>
      <c r="F500" s="320" t="s">
        <v>1111</v>
      </c>
      <c r="Z500" s="320" t="s">
        <v>42</v>
      </c>
      <c r="AA500" s="362">
        <v>67500</v>
      </c>
      <c r="AB500" s="320" t="s">
        <v>862</v>
      </c>
    </row>
    <row r="501" spans="1:28" s="320" customFormat="1" ht="0.65" hidden="1" customHeight="1">
      <c r="A501" s="320">
        <v>2048</v>
      </c>
      <c r="B501" s="362" t="s">
        <v>55</v>
      </c>
      <c r="C501" s="320" t="s">
        <v>45</v>
      </c>
      <c r="D501" s="320" t="s">
        <v>55</v>
      </c>
      <c r="E501" s="320" t="s">
        <v>36</v>
      </c>
      <c r="F501" s="320" t="s">
        <v>1112</v>
      </c>
      <c r="Z501" s="320" t="s">
        <v>44</v>
      </c>
      <c r="AA501" s="362">
        <v>97500</v>
      </c>
      <c r="AB501" s="320" t="s">
        <v>1107</v>
      </c>
    </row>
    <row r="502" spans="1:28" s="320" customFormat="1" ht="0.65" hidden="1" customHeight="1">
      <c r="A502" s="320">
        <v>2049</v>
      </c>
      <c r="B502" s="362"/>
      <c r="AA502" s="362"/>
    </row>
    <row r="503" spans="1:28" s="320" customFormat="1" ht="0.65" hidden="1" customHeight="1">
      <c r="A503" s="320">
        <v>2050</v>
      </c>
      <c r="B503" s="362" t="s">
        <v>55</v>
      </c>
      <c r="D503" s="320">
        <v>8</v>
      </c>
      <c r="E503" s="320" t="s">
        <v>864</v>
      </c>
      <c r="Z503" s="320" t="s">
        <v>44</v>
      </c>
      <c r="AA503" s="362"/>
    </row>
    <row r="504" spans="1:28" s="320" customFormat="1" ht="0.65" hidden="1" customHeight="1">
      <c r="A504" s="320">
        <v>2051</v>
      </c>
      <c r="B504" s="362"/>
      <c r="D504" s="320" t="s">
        <v>44</v>
      </c>
      <c r="F504" s="320" t="s">
        <v>800</v>
      </c>
      <c r="J504" s="320" t="s">
        <v>1113</v>
      </c>
      <c r="AA504" s="362"/>
    </row>
    <row r="505" spans="1:28" s="320" customFormat="1" ht="0.65" hidden="1" customHeight="1">
      <c r="A505" s="320">
        <v>2052</v>
      </c>
      <c r="B505" s="362" t="s">
        <v>55</v>
      </c>
      <c r="C505" s="320" t="s">
        <v>39</v>
      </c>
      <c r="D505" s="320" t="s">
        <v>55</v>
      </c>
      <c r="F505" s="320" t="s">
        <v>1114</v>
      </c>
      <c r="Z505" s="320" t="s">
        <v>38</v>
      </c>
      <c r="AA505" s="362">
        <v>60000</v>
      </c>
      <c r="AB505" s="320" t="s">
        <v>99</v>
      </c>
    </row>
    <row r="506" spans="1:28" s="320" customFormat="1" ht="0.65" hidden="1" customHeight="1">
      <c r="A506" s="320">
        <v>2053</v>
      </c>
      <c r="B506" s="362" t="s">
        <v>55</v>
      </c>
      <c r="C506" s="320" t="s">
        <v>41</v>
      </c>
      <c r="D506" s="320" t="s">
        <v>55</v>
      </c>
      <c r="F506" s="320" t="s">
        <v>1115</v>
      </c>
      <c r="Z506" s="320" t="s">
        <v>40</v>
      </c>
      <c r="AA506" s="362">
        <v>330000</v>
      </c>
      <c r="AB506" s="320" t="s">
        <v>100</v>
      </c>
    </row>
    <row r="507" spans="1:28" s="320" customFormat="1" ht="0.65" hidden="1" customHeight="1">
      <c r="A507" s="320">
        <v>2054</v>
      </c>
      <c r="B507" s="362" t="s">
        <v>55</v>
      </c>
      <c r="C507" s="320" t="s">
        <v>43</v>
      </c>
      <c r="D507" s="320" t="s">
        <v>55</v>
      </c>
      <c r="F507" s="320" t="s">
        <v>1116</v>
      </c>
      <c r="Z507" s="320" t="s">
        <v>42</v>
      </c>
      <c r="AA507" s="362">
        <v>360000</v>
      </c>
      <c r="AB507" s="320" t="s">
        <v>101</v>
      </c>
    </row>
    <row r="508" spans="1:28" s="320" customFormat="1" ht="0.65" hidden="1" customHeight="1">
      <c r="A508" s="320">
        <v>2055</v>
      </c>
      <c r="B508" s="362" t="s">
        <v>55</v>
      </c>
      <c r="C508" s="320" t="s">
        <v>45</v>
      </c>
      <c r="D508" s="320" t="s">
        <v>55</v>
      </c>
      <c r="E508" s="320" t="s">
        <v>36</v>
      </c>
      <c r="F508" s="320" t="s">
        <v>1117</v>
      </c>
      <c r="Z508" s="320" t="s">
        <v>44</v>
      </c>
      <c r="AA508" s="362">
        <v>30000</v>
      </c>
      <c r="AB508" s="320" t="s">
        <v>1113</v>
      </c>
    </row>
    <row r="509" spans="1:28" s="320" customFormat="1" ht="0.65" hidden="1" customHeight="1">
      <c r="A509" s="320">
        <v>2056</v>
      </c>
      <c r="B509" s="362"/>
      <c r="AA509" s="362"/>
    </row>
    <row r="510" spans="1:28" s="320" customFormat="1" ht="0.65" hidden="1" customHeight="1">
      <c r="A510" s="320">
        <v>2057</v>
      </c>
      <c r="B510" s="362" t="s">
        <v>55</v>
      </c>
      <c r="D510" s="320">
        <v>9</v>
      </c>
      <c r="E510" s="320" t="s">
        <v>870</v>
      </c>
      <c r="Z510" s="320" t="s">
        <v>44</v>
      </c>
      <c r="AA510" s="362"/>
    </row>
    <row r="511" spans="1:28" s="320" customFormat="1" ht="0.65" hidden="1" customHeight="1">
      <c r="A511" s="320">
        <v>2058</v>
      </c>
      <c r="B511" s="362"/>
      <c r="D511" s="320" t="s">
        <v>44</v>
      </c>
      <c r="F511" s="320" t="s">
        <v>800</v>
      </c>
      <c r="J511" s="320" t="s">
        <v>1118</v>
      </c>
      <c r="AA511" s="362"/>
    </row>
    <row r="512" spans="1:28" s="320" customFormat="1" ht="0.65" hidden="1" customHeight="1">
      <c r="A512" s="320">
        <v>2059</v>
      </c>
      <c r="B512" s="362" t="s">
        <v>55</v>
      </c>
      <c r="C512" s="320" t="s">
        <v>39</v>
      </c>
      <c r="D512" s="320" t="s">
        <v>55</v>
      </c>
      <c r="F512" s="320" t="s">
        <v>1119</v>
      </c>
      <c r="Z512" s="320" t="s">
        <v>38</v>
      </c>
      <c r="AA512" s="362">
        <v>20000</v>
      </c>
      <c r="AB512" s="320" t="s">
        <v>102</v>
      </c>
    </row>
    <row r="513" spans="1:28" s="320" customFormat="1" ht="0.65" hidden="1" customHeight="1">
      <c r="A513" s="320">
        <v>2060</v>
      </c>
      <c r="B513" s="362" t="s">
        <v>55</v>
      </c>
      <c r="C513" s="320" t="s">
        <v>41</v>
      </c>
      <c r="D513" s="320" t="s">
        <v>55</v>
      </c>
      <c r="F513" s="320" t="s">
        <v>1120</v>
      </c>
      <c r="Z513" s="320" t="s">
        <v>40</v>
      </c>
      <c r="AA513" s="362">
        <v>200000</v>
      </c>
      <c r="AB513" s="320" t="s">
        <v>103</v>
      </c>
    </row>
    <row r="514" spans="1:28" s="320" customFormat="1" ht="0.65" hidden="1" customHeight="1">
      <c r="A514" s="320">
        <v>2061</v>
      </c>
      <c r="B514" s="362" t="s">
        <v>55</v>
      </c>
      <c r="C514" s="320" t="s">
        <v>43</v>
      </c>
      <c r="D514" s="320" t="s">
        <v>55</v>
      </c>
      <c r="F514" s="320" t="s">
        <v>1121</v>
      </c>
      <c r="Z514" s="320" t="s">
        <v>42</v>
      </c>
      <c r="AA514" s="362">
        <v>120000</v>
      </c>
      <c r="AB514" s="320" t="s">
        <v>1122</v>
      </c>
    </row>
    <row r="515" spans="1:28" s="320" customFormat="1" ht="0.65" hidden="1" customHeight="1">
      <c r="A515" s="320">
        <v>2062</v>
      </c>
      <c r="B515" s="362" t="s">
        <v>55</v>
      </c>
      <c r="C515" s="320" t="s">
        <v>45</v>
      </c>
      <c r="D515" s="320" t="s">
        <v>55</v>
      </c>
      <c r="E515" s="320" t="s">
        <v>36</v>
      </c>
      <c r="F515" s="320" t="s">
        <v>1123</v>
      </c>
      <c r="Z515" s="320" t="s">
        <v>44</v>
      </c>
      <c r="AA515" s="362">
        <v>40000</v>
      </c>
      <c r="AB515" s="320" t="s">
        <v>1118</v>
      </c>
    </row>
    <row r="516" spans="1:28" s="320" customFormat="1" ht="0.65" hidden="1" customHeight="1">
      <c r="A516" s="320">
        <v>2063</v>
      </c>
      <c r="B516" s="362"/>
      <c r="AA516" s="362"/>
    </row>
    <row r="517" spans="1:28" s="320" customFormat="1" ht="0.65" hidden="1" customHeight="1">
      <c r="A517" s="320">
        <v>2064</v>
      </c>
      <c r="B517" s="362" t="s">
        <v>55</v>
      </c>
      <c r="D517" s="320">
        <v>10</v>
      </c>
      <c r="E517" s="320" t="s">
        <v>877</v>
      </c>
      <c r="Z517" s="320" t="s">
        <v>40</v>
      </c>
      <c r="AA517" s="362"/>
    </row>
    <row r="518" spans="1:28" s="320" customFormat="1" ht="0.65" hidden="1" customHeight="1">
      <c r="A518" s="320">
        <v>2065</v>
      </c>
      <c r="B518" s="362"/>
      <c r="D518" s="320" t="s">
        <v>40</v>
      </c>
      <c r="F518" s="320" t="s">
        <v>800</v>
      </c>
      <c r="J518" s="320" t="s">
        <v>1124</v>
      </c>
      <c r="AA518" s="362"/>
    </row>
    <row r="519" spans="1:28" s="320" customFormat="1" ht="0.65" hidden="1" customHeight="1">
      <c r="A519" s="320">
        <v>2066</v>
      </c>
      <c r="B519" s="362" t="s">
        <v>55</v>
      </c>
      <c r="C519" s="320" t="s">
        <v>39</v>
      </c>
      <c r="D519" s="320" t="s">
        <v>55</v>
      </c>
      <c r="F519" s="320" t="s">
        <v>879</v>
      </c>
      <c r="Z519" s="320" t="s">
        <v>38</v>
      </c>
      <c r="AA519" s="362">
        <v>120000</v>
      </c>
      <c r="AB519" s="320" t="s">
        <v>104</v>
      </c>
    </row>
    <row r="520" spans="1:28" s="320" customFormat="1" ht="0.65" hidden="1" customHeight="1">
      <c r="A520" s="320">
        <v>2067</v>
      </c>
      <c r="B520" s="362" t="s">
        <v>55</v>
      </c>
      <c r="C520" s="320" t="s">
        <v>41</v>
      </c>
      <c r="D520" s="320" t="s">
        <v>55</v>
      </c>
      <c r="E520" s="320" t="s">
        <v>36</v>
      </c>
      <c r="F520" s="320" t="s">
        <v>1125</v>
      </c>
      <c r="Z520" s="320" t="s">
        <v>40</v>
      </c>
      <c r="AA520" s="362">
        <v>-10000</v>
      </c>
      <c r="AB520" s="320" t="s">
        <v>1124</v>
      </c>
    </row>
    <row r="521" spans="1:28" s="320" customFormat="1" ht="0.65" hidden="1" customHeight="1">
      <c r="A521" s="320">
        <v>2068</v>
      </c>
      <c r="B521" s="362" t="s">
        <v>55</v>
      </c>
      <c r="C521" s="320" t="s">
        <v>43</v>
      </c>
      <c r="D521" s="320" t="s">
        <v>55</v>
      </c>
      <c r="F521" s="320" t="s">
        <v>1126</v>
      </c>
      <c r="Z521" s="320" t="s">
        <v>42</v>
      </c>
      <c r="AA521" s="362">
        <v>70000</v>
      </c>
      <c r="AB521" s="320" t="s">
        <v>105</v>
      </c>
    </row>
    <row r="522" spans="1:28" s="320" customFormat="1" ht="0.65" hidden="1" customHeight="1">
      <c r="A522" s="320">
        <v>2069</v>
      </c>
      <c r="B522" s="362" t="s">
        <v>55</v>
      </c>
      <c r="C522" s="320" t="s">
        <v>45</v>
      </c>
      <c r="D522" s="320" t="s">
        <v>55</v>
      </c>
      <c r="F522" s="320" t="s">
        <v>882</v>
      </c>
      <c r="Z522" s="320" t="s">
        <v>44</v>
      </c>
      <c r="AA522" s="362">
        <v>0</v>
      </c>
      <c r="AB522" s="320" t="s">
        <v>1124</v>
      </c>
    </row>
    <row r="523" spans="1:28" s="320" customFormat="1" ht="0.65" hidden="1" customHeight="1">
      <c r="A523" s="320">
        <v>2070</v>
      </c>
      <c r="B523" s="362"/>
      <c r="AA523" s="362"/>
    </row>
    <row r="524" spans="1:28" s="320" customFormat="1" ht="0.65" hidden="1" customHeight="1">
      <c r="A524" s="320">
        <v>2071</v>
      </c>
      <c r="B524" s="362" t="s">
        <v>55</v>
      </c>
      <c r="D524" s="320">
        <v>11</v>
      </c>
      <c r="E524" s="320" t="s">
        <v>883</v>
      </c>
      <c r="Z524" s="320" t="s">
        <v>44</v>
      </c>
      <c r="AA524" s="362"/>
    </row>
    <row r="525" spans="1:28" s="320" customFormat="1" ht="0.65" hidden="1" customHeight="1">
      <c r="A525" s="320">
        <v>2072</v>
      </c>
      <c r="B525" s="362"/>
      <c r="D525" s="320" t="s">
        <v>44</v>
      </c>
      <c r="F525" s="320" t="s">
        <v>800</v>
      </c>
      <c r="J525" s="320" t="s">
        <v>119</v>
      </c>
      <c r="AA525" s="362"/>
    </row>
    <row r="526" spans="1:28" s="320" customFormat="1" ht="0.65" hidden="1" customHeight="1">
      <c r="A526" s="320">
        <v>2073</v>
      </c>
      <c r="B526" s="362" t="s">
        <v>55</v>
      </c>
      <c r="C526" s="320" t="s">
        <v>39</v>
      </c>
      <c r="D526" s="320" t="s">
        <v>55</v>
      </c>
      <c r="F526" s="320" t="s">
        <v>1127</v>
      </c>
      <c r="Z526" s="320" t="s">
        <v>38</v>
      </c>
      <c r="AA526" s="362">
        <v>-10000</v>
      </c>
      <c r="AB526" s="320" t="s">
        <v>106</v>
      </c>
    </row>
    <row r="527" spans="1:28" s="320" customFormat="1" ht="0.65" hidden="1" customHeight="1">
      <c r="A527" s="320">
        <v>2074</v>
      </c>
      <c r="B527" s="362" t="s">
        <v>55</v>
      </c>
      <c r="C527" s="320" t="s">
        <v>41</v>
      </c>
      <c r="D527" s="320" t="s">
        <v>55</v>
      </c>
      <c r="F527" s="320" t="s">
        <v>1128</v>
      </c>
      <c r="Z527" s="320" t="s">
        <v>40</v>
      </c>
      <c r="AA527" s="362">
        <v>70000</v>
      </c>
      <c r="AB527" s="320" t="s">
        <v>107</v>
      </c>
    </row>
    <row r="528" spans="1:28" s="320" customFormat="1" ht="0.65" hidden="1" customHeight="1">
      <c r="A528" s="320">
        <v>2075</v>
      </c>
      <c r="B528" s="362" t="s">
        <v>55</v>
      </c>
      <c r="C528" s="320" t="s">
        <v>43</v>
      </c>
      <c r="D528" s="320" t="s">
        <v>55</v>
      </c>
      <c r="F528" s="320" t="s">
        <v>1129</v>
      </c>
      <c r="Z528" s="320" t="s">
        <v>42</v>
      </c>
      <c r="AA528" s="362">
        <v>30000</v>
      </c>
      <c r="AB528" s="320" t="s">
        <v>118</v>
      </c>
    </row>
    <row r="529" spans="1:28" s="320" customFormat="1" ht="0.65" hidden="1" customHeight="1">
      <c r="A529" s="320">
        <v>2076</v>
      </c>
      <c r="B529" s="362" t="s">
        <v>55</v>
      </c>
      <c r="C529" s="320" t="s">
        <v>45</v>
      </c>
      <c r="D529" s="320" t="s">
        <v>55</v>
      </c>
      <c r="E529" s="320" t="s">
        <v>36</v>
      </c>
      <c r="F529" s="320" t="s">
        <v>887</v>
      </c>
      <c r="Z529" s="320" t="s">
        <v>44</v>
      </c>
      <c r="AA529" s="362">
        <v>0</v>
      </c>
      <c r="AB529" s="320" t="s">
        <v>119</v>
      </c>
    </row>
    <row r="530" spans="1:28" s="320" customFormat="1" ht="0.65" hidden="1" customHeight="1">
      <c r="A530" s="320">
        <v>2077</v>
      </c>
      <c r="B530" s="362"/>
      <c r="AA530" s="362"/>
    </row>
    <row r="531" spans="1:28" s="320" customFormat="1" ht="0.65" hidden="1" customHeight="1">
      <c r="A531" s="320">
        <v>2078</v>
      </c>
      <c r="B531" s="362" t="s">
        <v>55</v>
      </c>
      <c r="D531" s="320">
        <v>12</v>
      </c>
      <c r="E531" s="320" t="s">
        <v>888</v>
      </c>
      <c r="Z531" s="320" t="s">
        <v>44</v>
      </c>
      <c r="AA531" s="362"/>
    </row>
    <row r="532" spans="1:28" s="320" customFormat="1" ht="0.65" hidden="1" customHeight="1">
      <c r="A532" s="320">
        <v>2079</v>
      </c>
      <c r="B532" s="362"/>
      <c r="D532" s="320" t="s">
        <v>44</v>
      </c>
      <c r="F532" s="320" t="s">
        <v>800</v>
      </c>
      <c r="J532" s="320" t="s">
        <v>1130</v>
      </c>
      <c r="AA532" s="362"/>
    </row>
    <row r="533" spans="1:28" s="320" customFormat="1" ht="0.65" hidden="1" customHeight="1">
      <c r="A533" s="320">
        <v>2080</v>
      </c>
      <c r="B533" s="362" t="s">
        <v>55</v>
      </c>
      <c r="C533" s="320" t="s">
        <v>39</v>
      </c>
      <c r="D533" s="320" t="s">
        <v>55</v>
      </c>
      <c r="F533" s="320" t="s">
        <v>1131</v>
      </c>
      <c r="Z533" s="320" t="s">
        <v>38</v>
      </c>
      <c r="AA533" s="362">
        <v>97500</v>
      </c>
      <c r="AB533" s="320" t="s">
        <v>115</v>
      </c>
    </row>
    <row r="534" spans="1:28" s="320" customFormat="1" ht="0.65" hidden="1" customHeight="1">
      <c r="A534" s="320">
        <v>2081</v>
      </c>
      <c r="B534" s="362" t="s">
        <v>55</v>
      </c>
      <c r="C534" s="320" t="s">
        <v>41</v>
      </c>
      <c r="D534" s="320" t="s">
        <v>55</v>
      </c>
      <c r="F534" s="320" t="s">
        <v>1132</v>
      </c>
      <c r="Z534" s="320" t="s">
        <v>40</v>
      </c>
      <c r="AA534" s="362">
        <v>67500</v>
      </c>
      <c r="AB534" s="320" t="s">
        <v>116</v>
      </c>
    </row>
    <row r="535" spans="1:28" s="320" customFormat="1" ht="0.65" hidden="1" customHeight="1">
      <c r="A535" s="320">
        <v>2082</v>
      </c>
      <c r="B535" s="362" t="s">
        <v>55</v>
      </c>
      <c r="C535" s="320" t="s">
        <v>43</v>
      </c>
      <c r="D535" s="320" t="s">
        <v>55</v>
      </c>
      <c r="F535" s="320" t="s">
        <v>893</v>
      </c>
      <c r="Z535" s="320" t="s">
        <v>42</v>
      </c>
      <c r="AA535" s="362">
        <v>47500</v>
      </c>
      <c r="AB535" s="320" t="s">
        <v>117</v>
      </c>
    </row>
    <row r="536" spans="1:28" s="320" customFormat="1" ht="0.65" hidden="1" customHeight="1">
      <c r="A536" s="320">
        <v>2083</v>
      </c>
      <c r="B536" s="362" t="s">
        <v>55</v>
      </c>
      <c r="C536" s="320" t="s">
        <v>45</v>
      </c>
      <c r="D536" s="320" t="s">
        <v>55</v>
      </c>
      <c r="E536" s="320" t="s">
        <v>36</v>
      </c>
      <c r="F536" s="320" t="s">
        <v>1133</v>
      </c>
      <c r="Z536" s="320" t="s">
        <v>44</v>
      </c>
      <c r="AA536" s="362">
        <v>107500</v>
      </c>
      <c r="AB536" s="320" t="s">
        <v>1130</v>
      </c>
    </row>
    <row r="537" spans="1:28" s="320" customFormat="1" ht="0.65" hidden="1" customHeight="1">
      <c r="A537" s="320">
        <v>2084</v>
      </c>
      <c r="B537" s="362"/>
      <c r="AA537" s="362"/>
    </row>
    <row r="538" spans="1:28" s="320" customFormat="1" ht="0.65" hidden="1" customHeight="1">
      <c r="A538" s="320">
        <v>2085</v>
      </c>
      <c r="B538" s="362" t="s">
        <v>55</v>
      </c>
      <c r="D538" s="320">
        <v>13</v>
      </c>
      <c r="E538" s="320" t="s">
        <v>894</v>
      </c>
      <c r="Z538" s="320" t="s">
        <v>38</v>
      </c>
      <c r="AA538" s="362"/>
    </row>
    <row r="539" spans="1:28" s="320" customFormat="1" ht="0.65" hidden="1" customHeight="1">
      <c r="A539" s="320">
        <v>2086</v>
      </c>
      <c r="B539" s="362"/>
      <c r="D539" s="320" t="s">
        <v>38</v>
      </c>
      <c r="F539" s="320" t="s">
        <v>800</v>
      </c>
      <c r="J539" s="320" t="s">
        <v>1134</v>
      </c>
      <c r="AA539" s="362"/>
    </row>
    <row r="540" spans="1:28" s="320" customFormat="1" ht="0.65" hidden="1" customHeight="1">
      <c r="A540" s="320">
        <v>2087</v>
      </c>
      <c r="B540" s="362" t="s">
        <v>55</v>
      </c>
      <c r="C540" s="320" t="s">
        <v>39</v>
      </c>
      <c r="D540" s="320" t="s">
        <v>55</v>
      </c>
      <c r="E540" s="320" t="s">
        <v>36</v>
      </c>
      <c r="F540" s="320" t="s">
        <v>1135</v>
      </c>
      <c r="Z540" s="320" t="s">
        <v>38</v>
      </c>
      <c r="AA540" s="362">
        <v>388125</v>
      </c>
      <c r="AB540" s="320" t="s">
        <v>2074</v>
      </c>
    </row>
    <row r="541" spans="1:28" s="320" customFormat="1" ht="0.65" hidden="1" customHeight="1">
      <c r="A541" s="320">
        <v>2088</v>
      </c>
      <c r="B541" s="362" t="s">
        <v>55</v>
      </c>
      <c r="C541" s="320" t="s">
        <v>41</v>
      </c>
      <c r="D541" s="320" t="s">
        <v>55</v>
      </c>
      <c r="F541" s="320" t="s">
        <v>1136</v>
      </c>
      <c r="Z541" s="320" t="s">
        <v>40</v>
      </c>
      <c r="AA541" s="362">
        <v>45000</v>
      </c>
      <c r="AB541" s="320" t="s">
        <v>92</v>
      </c>
    </row>
    <row r="542" spans="1:28" s="320" customFormat="1" ht="0.65" hidden="1" customHeight="1">
      <c r="A542" s="320">
        <v>2089</v>
      </c>
      <c r="B542" s="362" t="s">
        <v>55</v>
      </c>
      <c r="C542" s="320" t="s">
        <v>43</v>
      </c>
      <c r="D542" s="320" t="s">
        <v>55</v>
      </c>
      <c r="F542" s="320" t="s">
        <v>1137</v>
      </c>
      <c r="Z542" s="320" t="s">
        <v>42</v>
      </c>
      <c r="AA542" s="362">
        <v>16875</v>
      </c>
      <c r="AB542" s="320" t="s">
        <v>94</v>
      </c>
    </row>
    <row r="543" spans="1:28" s="320" customFormat="1" ht="0.65" hidden="1" customHeight="1">
      <c r="A543" s="320">
        <v>2090</v>
      </c>
      <c r="B543" s="362" t="s">
        <v>55</v>
      </c>
      <c r="C543" s="320" t="s">
        <v>45</v>
      </c>
      <c r="D543" s="320" t="s">
        <v>55</v>
      </c>
      <c r="F543" s="320" t="s">
        <v>1138</v>
      </c>
      <c r="Z543" s="320" t="s">
        <v>44</v>
      </c>
      <c r="AA543" s="362">
        <v>405000</v>
      </c>
      <c r="AB543" s="320" t="s">
        <v>93</v>
      </c>
    </row>
    <row r="544" spans="1:28" s="320" customFormat="1" ht="0.65" hidden="1" customHeight="1">
      <c r="A544" s="320">
        <v>2091</v>
      </c>
      <c r="B544" s="362"/>
      <c r="AA544" s="362"/>
    </row>
    <row r="545" spans="1:28" s="320" customFormat="1" ht="0.65" hidden="1" customHeight="1">
      <c r="A545" s="320">
        <v>2092</v>
      </c>
      <c r="B545" s="362" t="s">
        <v>55</v>
      </c>
      <c r="D545" s="320">
        <v>14</v>
      </c>
      <c r="E545" s="320" t="s">
        <v>900</v>
      </c>
      <c r="Z545" s="320" t="s">
        <v>40</v>
      </c>
      <c r="AA545" s="362"/>
    </row>
    <row r="546" spans="1:28" s="320" customFormat="1" ht="0.65" hidden="1" customHeight="1">
      <c r="A546" s="320">
        <v>2093</v>
      </c>
      <c r="B546" s="362"/>
      <c r="D546" s="320" t="s">
        <v>40</v>
      </c>
      <c r="F546" s="320" t="s">
        <v>800</v>
      </c>
      <c r="J546" s="320" t="s">
        <v>1139</v>
      </c>
      <c r="AA546" s="362"/>
    </row>
    <row r="547" spans="1:28" s="320" customFormat="1" ht="0.65" hidden="1" customHeight="1">
      <c r="A547" s="320">
        <v>2094</v>
      </c>
      <c r="B547" s="362" t="s">
        <v>55</v>
      </c>
      <c r="C547" s="320" t="s">
        <v>39</v>
      </c>
      <c r="D547" s="320" t="s">
        <v>55</v>
      </c>
      <c r="F547" s="320" t="s">
        <v>1140</v>
      </c>
      <c r="Z547" s="320" t="s">
        <v>38</v>
      </c>
      <c r="AA547" s="362">
        <v>70000</v>
      </c>
      <c r="AB547" s="320" t="s">
        <v>122</v>
      </c>
    </row>
    <row r="548" spans="1:28" s="320" customFormat="1" ht="0.65" hidden="1" customHeight="1">
      <c r="A548" s="320">
        <v>2095</v>
      </c>
      <c r="B548" s="362" t="s">
        <v>55</v>
      </c>
      <c r="C548" s="320" t="s">
        <v>41</v>
      </c>
      <c r="D548" s="320" t="s">
        <v>55</v>
      </c>
      <c r="E548" s="320" t="s">
        <v>36</v>
      </c>
      <c r="F548" s="320" t="s">
        <v>1141</v>
      </c>
      <c r="Z548" s="320" t="s">
        <v>40</v>
      </c>
      <c r="AA548" s="362">
        <v>-10000</v>
      </c>
      <c r="AB548" s="320" t="s">
        <v>1139</v>
      </c>
    </row>
    <row r="549" spans="1:28" s="320" customFormat="1" ht="0.65" hidden="1" customHeight="1">
      <c r="A549" s="320">
        <v>2096</v>
      </c>
      <c r="B549" s="362" t="s">
        <v>55</v>
      </c>
      <c r="C549" s="320" t="s">
        <v>43</v>
      </c>
      <c r="D549" s="320" t="s">
        <v>55</v>
      </c>
      <c r="F549" s="320" t="s">
        <v>1142</v>
      </c>
      <c r="Z549" s="320" t="s">
        <v>42</v>
      </c>
      <c r="AA549" s="362">
        <v>130000</v>
      </c>
      <c r="AB549" s="320" t="s">
        <v>1139</v>
      </c>
    </row>
    <row r="550" spans="1:28" s="320" customFormat="1" ht="0.65" hidden="1" customHeight="1">
      <c r="A550" s="320">
        <v>2097</v>
      </c>
      <c r="B550" s="362" t="s">
        <v>55</v>
      </c>
      <c r="C550" s="320" t="s">
        <v>45</v>
      </c>
      <c r="D550" s="320" t="s">
        <v>55</v>
      </c>
      <c r="F550" s="320" t="s">
        <v>905</v>
      </c>
      <c r="Z550" s="320" t="s">
        <v>44</v>
      </c>
      <c r="AA550" s="362">
        <v>0</v>
      </c>
      <c r="AB550" s="320" t="s">
        <v>108</v>
      </c>
    </row>
    <row r="551" spans="1:28" s="320" customFormat="1" ht="0.65" hidden="1" customHeight="1">
      <c r="A551" s="320">
        <v>2098</v>
      </c>
      <c r="B551" s="362"/>
      <c r="AA551" s="362"/>
    </row>
    <row r="552" spans="1:28" s="320" customFormat="1" ht="0.65" hidden="1" customHeight="1">
      <c r="A552" s="320">
        <v>2099</v>
      </c>
      <c r="B552" s="362" t="s">
        <v>55</v>
      </c>
      <c r="D552" s="320">
        <v>15</v>
      </c>
      <c r="E552" s="320" t="s">
        <v>52</v>
      </c>
      <c r="Z552" s="320" t="s">
        <v>38</v>
      </c>
      <c r="AA552" s="362"/>
    </row>
    <row r="553" spans="1:28" s="320" customFormat="1" ht="0.65" hidden="1" customHeight="1">
      <c r="A553" s="320">
        <v>2100</v>
      </c>
      <c r="B553" s="362"/>
      <c r="D553" s="320" t="s">
        <v>38</v>
      </c>
      <c r="F553" s="320" t="s">
        <v>800</v>
      </c>
      <c r="J553" s="320" t="s">
        <v>1143</v>
      </c>
      <c r="AA553" s="362"/>
    </row>
    <row r="554" spans="1:28" s="320" customFormat="1" ht="0.65" hidden="1" customHeight="1">
      <c r="A554" s="320">
        <v>2101</v>
      </c>
      <c r="B554" s="362" t="s">
        <v>55</v>
      </c>
      <c r="C554" s="320" t="s">
        <v>39</v>
      </c>
      <c r="D554" s="320" t="s">
        <v>55</v>
      </c>
      <c r="E554" s="320" t="s">
        <v>36</v>
      </c>
      <c r="F554" s="320" t="s">
        <v>1144</v>
      </c>
      <c r="Z554" s="320" t="s">
        <v>38</v>
      </c>
      <c r="AA554" s="362">
        <v>4.5</v>
      </c>
      <c r="AB554" s="320" t="s">
        <v>1143</v>
      </c>
    </row>
    <row r="555" spans="1:28" s="320" customFormat="1" ht="0.65" hidden="1" customHeight="1">
      <c r="A555" s="320">
        <v>2102</v>
      </c>
      <c r="B555" s="362" t="s">
        <v>55</v>
      </c>
      <c r="C555" s="320" t="s">
        <v>41</v>
      </c>
      <c r="D555" s="320" t="s">
        <v>55</v>
      </c>
      <c r="F555" s="320" t="s">
        <v>1145</v>
      </c>
      <c r="Z555" s="320" t="s">
        <v>40</v>
      </c>
      <c r="AA555" s="362">
        <v>6</v>
      </c>
      <c r="AB555" s="320" t="s">
        <v>109</v>
      </c>
    </row>
    <row r="556" spans="1:28" s="320" customFormat="1" ht="0.65" hidden="1" customHeight="1">
      <c r="A556" s="320">
        <v>2103</v>
      </c>
      <c r="B556" s="362" t="s">
        <v>55</v>
      </c>
      <c r="C556" s="320" t="s">
        <v>43</v>
      </c>
      <c r="D556" s="320" t="s">
        <v>55</v>
      </c>
      <c r="F556" s="320" t="s">
        <v>1146</v>
      </c>
      <c r="Z556" s="320" t="s">
        <v>42</v>
      </c>
      <c r="AA556" s="362">
        <v>7.5</v>
      </c>
      <c r="AB556" s="320" t="s">
        <v>110</v>
      </c>
    </row>
    <row r="557" spans="1:28" s="320" customFormat="1" ht="0.65" hidden="1" customHeight="1">
      <c r="A557" s="320">
        <v>2104</v>
      </c>
      <c r="B557" s="362" t="s">
        <v>55</v>
      </c>
      <c r="C557" s="320" t="s">
        <v>45</v>
      </c>
      <c r="D557" s="320" t="s">
        <v>55</v>
      </c>
      <c r="F557" s="320" t="s">
        <v>1147</v>
      </c>
      <c r="Z557" s="320" t="s">
        <v>44</v>
      </c>
      <c r="AA557" s="362">
        <v>4.4999999999999998E-2</v>
      </c>
      <c r="AB557" s="320" t="s">
        <v>111</v>
      </c>
    </row>
    <row r="558" spans="1:28" s="320" customFormat="1" ht="0.65" hidden="1" customHeight="1">
      <c r="A558" s="320">
        <v>2105</v>
      </c>
      <c r="B558" s="362"/>
      <c r="AA558" s="362"/>
    </row>
    <row r="559" spans="1:28" s="320" customFormat="1" ht="0.65" hidden="1" customHeight="1">
      <c r="A559" s="320">
        <v>2106</v>
      </c>
      <c r="B559" s="362" t="s">
        <v>55</v>
      </c>
      <c r="D559" s="320">
        <v>16</v>
      </c>
      <c r="E559" s="320" t="s">
        <v>53</v>
      </c>
      <c r="Z559" s="320" t="s">
        <v>42</v>
      </c>
      <c r="AA559" s="362"/>
    </row>
    <row r="560" spans="1:28" s="320" customFormat="1" ht="0.65" hidden="1" customHeight="1">
      <c r="A560" s="320">
        <v>2107</v>
      </c>
      <c r="B560" s="362"/>
      <c r="D560" s="320" t="s">
        <v>42</v>
      </c>
      <c r="F560" s="320" t="s">
        <v>800</v>
      </c>
      <c r="J560" s="320" t="s">
        <v>1148</v>
      </c>
      <c r="AA560" s="362"/>
    </row>
    <row r="561" spans="1:28" s="320" customFormat="1" ht="0.65" hidden="1" customHeight="1">
      <c r="A561" s="320">
        <v>2108</v>
      </c>
      <c r="B561" s="362" t="s">
        <v>55</v>
      </c>
      <c r="C561" s="320" t="s">
        <v>39</v>
      </c>
      <c r="D561" s="320" t="s">
        <v>55</v>
      </c>
      <c r="F561" s="320" t="s">
        <v>1149</v>
      </c>
      <c r="Z561" s="320" t="s">
        <v>38</v>
      </c>
      <c r="AA561" s="362">
        <v>0.08</v>
      </c>
      <c r="AB561" s="320" t="s">
        <v>111</v>
      </c>
    </row>
    <row r="562" spans="1:28" s="320" customFormat="1" ht="0.65" hidden="1" customHeight="1">
      <c r="A562" s="320">
        <v>2109</v>
      </c>
      <c r="B562" s="362" t="s">
        <v>55</v>
      </c>
      <c r="C562" s="320" t="s">
        <v>41</v>
      </c>
      <c r="D562" s="320" t="s">
        <v>55</v>
      </c>
      <c r="F562" s="320" t="s">
        <v>1150</v>
      </c>
      <c r="Z562" s="320" t="s">
        <v>40</v>
      </c>
      <c r="AA562" s="362">
        <v>3.9999999999999996</v>
      </c>
      <c r="AB562" s="320" t="s">
        <v>1151</v>
      </c>
    </row>
    <row r="563" spans="1:28" s="320" customFormat="1" ht="0.65" hidden="1" customHeight="1">
      <c r="A563" s="320">
        <v>2110</v>
      </c>
      <c r="B563" s="362" t="s">
        <v>55</v>
      </c>
      <c r="C563" s="320" t="s">
        <v>43</v>
      </c>
      <c r="D563" s="320" t="s">
        <v>55</v>
      </c>
      <c r="E563" s="320" t="s">
        <v>36</v>
      </c>
      <c r="F563" s="320" t="s">
        <v>1152</v>
      </c>
      <c r="Z563" s="320" t="s">
        <v>42</v>
      </c>
      <c r="AA563" s="362">
        <v>8</v>
      </c>
      <c r="AB563" s="320" t="s">
        <v>1148</v>
      </c>
    </row>
    <row r="564" spans="1:28" s="320" customFormat="1" ht="0.65" hidden="1" customHeight="1">
      <c r="A564" s="320">
        <v>2111</v>
      </c>
      <c r="B564" s="362" t="s">
        <v>55</v>
      </c>
      <c r="C564" s="320" t="s">
        <v>45</v>
      </c>
      <c r="D564" s="320" t="s">
        <v>55</v>
      </c>
      <c r="F564" s="320" t="s">
        <v>834</v>
      </c>
      <c r="Z564" s="320" t="s">
        <v>44</v>
      </c>
      <c r="AA564" s="362"/>
      <c r="AB564" s="320" t="s">
        <v>1148</v>
      </c>
    </row>
    <row r="565" spans="1:28" s="320" customFormat="1" ht="0.65" hidden="1" customHeight="1">
      <c r="A565" s="320">
        <v>2112</v>
      </c>
      <c r="B565" s="362"/>
      <c r="AA565" s="362"/>
    </row>
    <row r="566" spans="1:28" s="320" customFormat="1" ht="0.65" hidden="1" customHeight="1">
      <c r="A566" s="320">
        <v>2113</v>
      </c>
      <c r="B566" s="362" t="s">
        <v>55</v>
      </c>
      <c r="D566" s="320">
        <v>17</v>
      </c>
      <c r="E566" s="320" t="s">
        <v>54</v>
      </c>
      <c r="Z566" s="320" t="s">
        <v>38</v>
      </c>
      <c r="AA566" s="362"/>
    </row>
    <row r="567" spans="1:28" s="320" customFormat="1" ht="0.65" hidden="1" customHeight="1">
      <c r="A567" s="320">
        <v>2114</v>
      </c>
      <c r="B567" s="362"/>
      <c r="D567" s="320" t="s">
        <v>38</v>
      </c>
      <c r="F567" s="320" t="s">
        <v>800</v>
      </c>
      <c r="J567" s="320" t="s">
        <v>1153</v>
      </c>
      <c r="AA567" s="362"/>
    </row>
    <row r="568" spans="1:28" s="320" customFormat="1" ht="0.65" hidden="1" customHeight="1">
      <c r="A568" s="320">
        <v>2115</v>
      </c>
      <c r="B568" s="362" t="s">
        <v>55</v>
      </c>
      <c r="C568" s="320" t="s">
        <v>39</v>
      </c>
      <c r="D568" s="320" t="s">
        <v>55</v>
      </c>
      <c r="E568" s="320" t="s">
        <v>36</v>
      </c>
      <c r="F568" s="320" t="s">
        <v>1154</v>
      </c>
      <c r="Z568" s="320" t="s">
        <v>38</v>
      </c>
      <c r="AA568" s="362">
        <v>5.3750000000000009</v>
      </c>
      <c r="AB568" s="320" t="s">
        <v>1153</v>
      </c>
    </row>
    <row r="569" spans="1:28" s="320" customFormat="1" ht="0.65" hidden="1" customHeight="1">
      <c r="A569" s="320">
        <v>2116</v>
      </c>
      <c r="B569" s="362" t="s">
        <v>55</v>
      </c>
      <c r="C569" s="320" t="s">
        <v>41</v>
      </c>
      <c r="D569" s="320" t="s">
        <v>55</v>
      </c>
      <c r="F569" s="320" t="s">
        <v>1155</v>
      </c>
      <c r="Z569" s="320" t="s">
        <v>40</v>
      </c>
      <c r="AA569" s="362">
        <v>0.06</v>
      </c>
      <c r="AB569" s="320" t="s">
        <v>113</v>
      </c>
    </row>
    <row r="570" spans="1:28" s="320" customFormat="1" ht="0.65" hidden="1" customHeight="1">
      <c r="A570" s="320">
        <v>2117</v>
      </c>
      <c r="B570" s="362" t="s">
        <v>55</v>
      </c>
      <c r="C570" s="320" t="s">
        <v>43</v>
      </c>
      <c r="D570" s="320" t="s">
        <v>55</v>
      </c>
      <c r="F570" s="320" t="s">
        <v>917</v>
      </c>
      <c r="Z570" s="320" t="s">
        <v>42</v>
      </c>
      <c r="AA570" s="362">
        <v>6</v>
      </c>
      <c r="AB570" s="320" t="s">
        <v>112</v>
      </c>
    </row>
    <row r="571" spans="1:28" s="320" customFormat="1" ht="0.65" hidden="1" customHeight="1">
      <c r="A571" s="320">
        <v>2118</v>
      </c>
      <c r="B571" s="362" t="s">
        <v>55</v>
      </c>
      <c r="C571" s="320" t="s">
        <v>45</v>
      </c>
      <c r="D571" s="320" t="s">
        <v>55</v>
      </c>
      <c r="F571" s="320" t="s">
        <v>920</v>
      </c>
      <c r="Z571" s="320" t="s">
        <v>44</v>
      </c>
      <c r="AA571" s="362">
        <v>4.875</v>
      </c>
      <c r="AB571" s="320" t="s">
        <v>114</v>
      </c>
    </row>
    <row r="572" spans="1:28" s="320" customFormat="1" ht="0.65" hidden="1" customHeight="1">
      <c r="A572" s="320">
        <v>2119</v>
      </c>
      <c r="B572" s="362"/>
      <c r="AA572" s="362"/>
    </row>
    <row r="573" spans="1:28" s="320" customFormat="1" ht="0.65" hidden="1" customHeight="1">
      <c r="A573" s="320">
        <v>2120</v>
      </c>
      <c r="B573" s="362" t="s">
        <v>55</v>
      </c>
      <c r="D573" s="320">
        <v>18</v>
      </c>
      <c r="E573" s="320" t="s">
        <v>1156</v>
      </c>
      <c r="Z573" s="320" t="s">
        <v>42</v>
      </c>
      <c r="AA573" s="362"/>
    </row>
    <row r="574" spans="1:28" s="320" customFormat="1" ht="0.65" hidden="1" customHeight="1">
      <c r="A574" s="320">
        <v>2121</v>
      </c>
      <c r="B574" s="362"/>
      <c r="D574" s="320" t="s">
        <v>42</v>
      </c>
      <c r="F574" s="320" t="s">
        <v>800</v>
      </c>
      <c r="J574" s="320" t="s">
        <v>1157</v>
      </c>
      <c r="AA574" s="362"/>
    </row>
    <row r="575" spans="1:28" s="320" customFormat="1" ht="0.65" hidden="1" customHeight="1">
      <c r="A575" s="320">
        <v>2122</v>
      </c>
      <c r="B575" s="362" t="s">
        <v>55</v>
      </c>
      <c r="C575" s="320" t="s">
        <v>39</v>
      </c>
      <c r="D575" s="320" t="s">
        <v>55</v>
      </c>
      <c r="F575" s="320" t="s">
        <v>1158</v>
      </c>
      <c r="Z575" s="320" t="s">
        <v>38</v>
      </c>
      <c r="AA575" s="362">
        <v>16944.031651679077</v>
      </c>
      <c r="AB575" s="320" t="s">
        <v>95</v>
      </c>
    </row>
    <row r="576" spans="1:28" s="320" customFormat="1" ht="0.65" hidden="1" customHeight="1">
      <c r="A576" s="320">
        <v>2123</v>
      </c>
      <c r="B576" s="362" t="s">
        <v>55</v>
      </c>
      <c r="C576" s="320" t="s">
        <v>41</v>
      </c>
      <c r="D576" s="320" t="s">
        <v>55</v>
      </c>
      <c r="F576" s="320" t="s">
        <v>1159</v>
      </c>
      <c r="Z576" s="320" t="s">
        <v>40</v>
      </c>
      <c r="AA576" s="362">
        <v>65193.055946389912</v>
      </c>
      <c r="AB576" s="320" t="s">
        <v>96</v>
      </c>
    </row>
    <row r="577" spans="1:28" s="320" customFormat="1" ht="0.65" hidden="1" customHeight="1">
      <c r="A577" s="320">
        <v>2124</v>
      </c>
      <c r="B577" s="362" t="s">
        <v>55</v>
      </c>
      <c r="C577" s="320" t="s">
        <v>43</v>
      </c>
      <c r="D577" s="320" t="s">
        <v>55</v>
      </c>
      <c r="E577" s="320" t="s">
        <v>36</v>
      </c>
      <c r="F577" s="320" t="s">
        <v>1160</v>
      </c>
      <c r="Z577" s="320" t="s">
        <v>42</v>
      </c>
      <c r="AA577" s="362">
        <v>52565.582461407641</v>
      </c>
      <c r="AB577" s="320" t="s">
        <v>1157</v>
      </c>
    </row>
    <row r="578" spans="1:28" s="320" customFormat="1" ht="0.65" hidden="1" customHeight="1">
      <c r="A578" s="320">
        <v>2125</v>
      </c>
      <c r="B578" s="362" t="s">
        <v>55</v>
      </c>
      <c r="C578" s="320" t="s">
        <v>45</v>
      </c>
      <c r="D578" s="320" t="s">
        <v>55</v>
      </c>
      <c r="F578" s="320" t="s">
        <v>834</v>
      </c>
      <c r="Z578" s="320" t="s">
        <v>44</v>
      </c>
      <c r="AA578" s="362"/>
      <c r="AB578" s="320" t="s">
        <v>1157</v>
      </c>
    </row>
    <row r="579" spans="1:28" s="320" customFormat="1" ht="0.65" hidden="1" customHeight="1">
      <c r="A579" s="320">
        <v>2126</v>
      </c>
      <c r="B579" s="362"/>
      <c r="AA579" s="362"/>
    </row>
    <row r="580" spans="1:28" s="320" customFormat="1" ht="0.65" hidden="1" customHeight="1">
      <c r="A580" s="320">
        <v>2127</v>
      </c>
      <c r="B580" s="362" t="s">
        <v>55</v>
      </c>
      <c r="D580" s="320">
        <v>19</v>
      </c>
      <c r="E580" s="320" t="s">
        <v>1156</v>
      </c>
      <c r="Z580" s="320" t="s">
        <v>42</v>
      </c>
      <c r="AA580" s="362"/>
    </row>
    <row r="581" spans="1:28" s="320" customFormat="1" ht="0.65" hidden="1" customHeight="1">
      <c r="A581" s="320">
        <v>2128</v>
      </c>
      <c r="B581" s="362"/>
      <c r="D581" s="320" t="s">
        <v>42</v>
      </c>
      <c r="F581" s="320" t="s">
        <v>800</v>
      </c>
      <c r="J581" s="320" t="s">
        <v>1161</v>
      </c>
      <c r="AA581" s="362"/>
    </row>
    <row r="582" spans="1:28" s="320" customFormat="1" ht="0.65" hidden="1" customHeight="1">
      <c r="A582" s="320">
        <v>2129</v>
      </c>
      <c r="B582" s="362" t="s">
        <v>55</v>
      </c>
      <c r="C582" s="320" t="s">
        <v>39</v>
      </c>
      <c r="D582" s="320" t="s">
        <v>55</v>
      </c>
      <c r="F582" s="320" t="s">
        <v>1162</v>
      </c>
      <c r="Z582" s="320" t="s">
        <v>38</v>
      </c>
      <c r="AA582" s="362">
        <v>4.5</v>
      </c>
      <c r="AB582" s="320" t="s">
        <v>97</v>
      </c>
    </row>
    <row r="583" spans="1:28" s="320" customFormat="1" ht="0.65" hidden="1" customHeight="1">
      <c r="A583" s="320">
        <v>2130</v>
      </c>
      <c r="B583" s="362" t="s">
        <v>55</v>
      </c>
      <c r="C583" s="320" t="s">
        <v>41</v>
      </c>
      <c r="D583" s="320" t="s">
        <v>55</v>
      </c>
      <c r="F583" s="320" t="s">
        <v>1163</v>
      </c>
      <c r="Z583" s="320" t="s">
        <v>40</v>
      </c>
      <c r="AA583" s="362">
        <v>7.0000000000000009</v>
      </c>
      <c r="AB583" s="320" t="s">
        <v>98</v>
      </c>
    </row>
    <row r="584" spans="1:28" s="320" customFormat="1" ht="0.65" hidden="1" customHeight="1">
      <c r="A584" s="320">
        <v>2131</v>
      </c>
      <c r="B584" s="362" t="s">
        <v>55</v>
      </c>
      <c r="C584" s="320" t="s">
        <v>43</v>
      </c>
      <c r="D584" s="320" t="s">
        <v>55</v>
      </c>
      <c r="E584" s="320" t="s">
        <v>36</v>
      </c>
      <c r="F584" s="320" t="s">
        <v>1164</v>
      </c>
      <c r="Z584" s="320" t="s">
        <v>42</v>
      </c>
      <c r="AA584" s="362">
        <v>5.3750000000000009</v>
      </c>
      <c r="AB584" s="320" t="s">
        <v>1161</v>
      </c>
    </row>
    <row r="585" spans="1:28" s="320" customFormat="1" ht="0.65" hidden="1" customHeight="1">
      <c r="A585" s="320">
        <v>2132</v>
      </c>
      <c r="B585" s="362" t="s">
        <v>55</v>
      </c>
      <c r="C585" s="320" t="s">
        <v>45</v>
      </c>
      <c r="D585" s="320" t="s">
        <v>55</v>
      </c>
      <c r="F585" s="320" t="s">
        <v>834</v>
      </c>
      <c r="Z585" s="320" t="s">
        <v>44</v>
      </c>
      <c r="AA585" s="362"/>
      <c r="AB585" s="320" t="s">
        <v>1165</v>
      </c>
    </row>
    <row r="586" spans="1:28" s="320" customFormat="1" ht="0.65" hidden="1" customHeight="1">
      <c r="A586" s="320">
        <v>2133</v>
      </c>
      <c r="B586" s="362"/>
      <c r="AA586" s="362"/>
    </row>
    <row r="587" spans="1:28" s="320" customFormat="1" ht="0.65" hidden="1" customHeight="1">
      <c r="A587" s="320">
        <v>2134</v>
      </c>
      <c r="B587" s="362" t="s">
        <v>55</v>
      </c>
      <c r="D587" s="320">
        <v>20</v>
      </c>
      <c r="E587" s="320" t="s">
        <v>1166</v>
      </c>
      <c r="Z587" s="320" t="s">
        <v>40</v>
      </c>
      <c r="AA587" s="362"/>
    </row>
    <row r="588" spans="1:28" s="320" customFormat="1" ht="0.65" hidden="1" customHeight="1">
      <c r="A588" s="320">
        <v>2135</v>
      </c>
      <c r="B588" s="362"/>
      <c r="D588" s="320" t="s">
        <v>40</v>
      </c>
      <c r="F588" s="320" t="s">
        <v>800</v>
      </c>
      <c r="J588" s="320" t="s">
        <v>1167</v>
      </c>
      <c r="AA588" s="362"/>
    </row>
    <row r="589" spans="1:28" s="320" customFormat="1" ht="0.65" hidden="1" customHeight="1">
      <c r="A589" s="320">
        <v>2136</v>
      </c>
      <c r="B589" s="362" t="s">
        <v>55</v>
      </c>
      <c r="C589" s="320" t="s">
        <v>39</v>
      </c>
      <c r="D589" s="320" t="s">
        <v>55</v>
      </c>
      <c r="F589" s="320" t="s">
        <v>935</v>
      </c>
      <c r="Z589" s="320" t="s">
        <v>38</v>
      </c>
      <c r="AA589" s="362" t="s">
        <v>935</v>
      </c>
      <c r="AB589" s="320" t="s">
        <v>1168</v>
      </c>
    </row>
    <row r="590" spans="1:28" s="320" customFormat="1" ht="0.65" hidden="1" customHeight="1">
      <c r="A590" s="320">
        <v>2137</v>
      </c>
      <c r="B590" s="362" t="s">
        <v>55</v>
      </c>
      <c r="C590" s="320" t="s">
        <v>41</v>
      </c>
      <c r="D590" s="320" t="s">
        <v>55</v>
      </c>
      <c r="E590" s="320" t="s">
        <v>36</v>
      </c>
      <c r="F590" s="320" t="s">
        <v>1169</v>
      </c>
      <c r="Z590" s="320" t="s">
        <v>40</v>
      </c>
      <c r="AA590" s="362" t="s">
        <v>1169</v>
      </c>
      <c r="AB590" s="320" t="s">
        <v>1167</v>
      </c>
    </row>
    <row r="591" spans="1:28" s="320" customFormat="1" ht="0.65" hidden="1" customHeight="1">
      <c r="A591" s="320">
        <v>2138</v>
      </c>
      <c r="B591" s="362" t="s">
        <v>55</v>
      </c>
      <c r="C591" s="320" t="s">
        <v>43</v>
      </c>
      <c r="D591" s="320" t="s">
        <v>55</v>
      </c>
      <c r="F591" s="320" t="s">
        <v>933</v>
      </c>
      <c r="Z591" s="320" t="s">
        <v>42</v>
      </c>
      <c r="AA591" s="362" t="s">
        <v>933</v>
      </c>
      <c r="AB591" s="320" t="s">
        <v>1168</v>
      </c>
    </row>
    <row r="592" spans="1:28" s="320" customFormat="1" ht="0.65" hidden="1" customHeight="1">
      <c r="A592" s="320">
        <v>2139</v>
      </c>
      <c r="B592" s="362" t="s">
        <v>55</v>
      </c>
      <c r="C592" s="320" t="s">
        <v>45</v>
      </c>
      <c r="D592" s="320" t="s">
        <v>55</v>
      </c>
      <c r="F592" s="320" t="s">
        <v>834</v>
      </c>
      <c r="Z592" s="320" t="s">
        <v>44</v>
      </c>
      <c r="AA592" s="362"/>
      <c r="AB592" s="320" t="s">
        <v>1168</v>
      </c>
    </row>
    <row r="593" spans="1:27" s="320" customFormat="1" ht="0.65" hidden="1" customHeight="1">
      <c r="A593" s="320">
        <v>2140</v>
      </c>
      <c r="B593" s="362"/>
      <c r="AA593" s="362"/>
    </row>
    <row r="594" spans="1:27" s="320" customFormat="1" ht="0.65" hidden="1" customHeight="1">
      <c r="A594" s="320">
        <v>2141</v>
      </c>
      <c r="B594" s="362"/>
      <c r="AA594" s="362"/>
    </row>
    <row r="595" spans="1:27" s="320" customFormat="1" ht="0.65" hidden="1" customHeight="1">
      <c r="A595" s="320">
        <v>2142</v>
      </c>
      <c r="B595" s="362"/>
      <c r="D595" s="320" t="s">
        <v>50</v>
      </c>
      <c r="M595" s="320" t="s">
        <v>85</v>
      </c>
      <c r="AA595" s="362"/>
    </row>
    <row r="596" spans="1:27" s="320" customFormat="1" ht="0.65" hidden="1" customHeight="1">
      <c r="A596" s="320">
        <v>2143</v>
      </c>
      <c r="B596" s="362"/>
      <c r="D596" s="320">
        <v>1</v>
      </c>
      <c r="E596" s="320" t="s">
        <v>38</v>
      </c>
      <c r="F596" s="320" t="s">
        <v>39</v>
      </c>
      <c r="M596" s="320">
        <v>1</v>
      </c>
      <c r="N596" s="320" t="s">
        <v>38</v>
      </c>
      <c r="O596" s="320" t="s">
        <v>39</v>
      </c>
      <c r="Q596" s="320" t="s">
        <v>937</v>
      </c>
      <c r="U596" s="320" t="s">
        <v>46</v>
      </c>
      <c r="AA596" s="362"/>
    </row>
    <row r="597" spans="1:27" s="320" customFormat="1" ht="0.65" hidden="1" customHeight="1">
      <c r="A597" s="320">
        <v>2144</v>
      </c>
      <c r="B597" s="362"/>
      <c r="D597" s="320">
        <v>2</v>
      </c>
      <c r="E597" s="320" t="s">
        <v>42</v>
      </c>
      <c r="F597" s="320" t="s">
        <v>43</v>
      </c>
      <c r="H597" s="320" t="s">
        <v>38</v>
      </c>
      <c r="I597" s="320">
        <v>4</v>
      </c>
      <c r="M597" s="320">
        <v>2</v>
      </c>
      <c r="N597" s="320" t="s">
        <v>42</v>
      </c>
      <c r="O597" s="320" t="s">
        <v>43</v>
      </c>
      <c r="Q597" s="320" t="s">
        <v>937</v>
      </c>
      <c r="AA597" s="362"/>
    </row>
    <row r="598" spans="1:27" s="320" customFormat="1" ht="0.65" hidden="1" customHeight="1">
      <c r="A598" s="320">
        <v>2145</v>
      </c>
      <c r="B598" s="362"/>
      <c r="D598" s="320">
        <v>3</v>
      </c>
      <c r="E598" s="320" t="s">
        <v>42</v>
      </c>
      <c r="F598" s="320" t="s">
        <v>43</v>
      </c>
      <c r="H598" s="320" t="s">
        <v>40</v>
      </c>
      <c r="I598" s="320">
        <v>5</v>
      </c>
      <c r="M598" s="320">
        <v>3</v>
      </c>
      <c r="N598" s="320" t="s">
        <v>42</v>
      </c>
      <c r="O598" s="320" t="s">
        <v>43</v>
      </c>
      <c r="Q598" s="320" t="s">
        <v>937</v>
      </c>
      <c r="U598" s="320" t="s">
        <v>47</v>
      </c>
      <c r="V598" s="320">
        <v>20</v>
      </c>
      <c r="W598" s="320">
        <v>1</v>
      </c>
      <c r="AA598" s="362"/>
    </row>
    <row r="599" spans="1:27" s="320" customFormat="1" ht="0.65" hidden="1" customHeight="1">
      <c r="A599" s="320">
        <v>2146</v>
      </c>
      <c r="B599" s="362"/>
      <c r="D599" s="320">
        <v>4</v>
      </c>
      <c r="E599" s="320" t="s">
        <v>40</v>
      </c>
      <c r="F599" s="320" t="s">
        <v>41</v>
      </c>
      <c r="H599" s="320" t="s">
        <v>42</v>
      </c>
      <c r="I599" s="320">
        <v>5</v>
      </c>
      <c r="M599" s="320">
        <v>4</v>
      </c>
      <c r="N599" s="320" t="s">
        <v>40</v>
      </c>
      <c r="O599" s="320" t="s">
        <v>41</v>
      </c>
      <c r="Q599" s="320" t="s">
        <v>937</v>
      </c>
      <c r="AA599" s="362"/>
    </row>
    <row r="600" spans="1:27" s="320" customFormat="1" ht="0.65" hidden="1" customHeight="1">
      <c r="A600" s="320">
        <v>2147</v>
      </c>
      <c r="B600" s="362"/>
      <c r="D600" s="320">
        <v>5</v>
      </c>
      <c r="E600" s="320" t="s">
        <v>40</v>
      </c>
      <c r="F600" s="320" t="s">
        <v>41</v>
      </c>
      <c r="H600" s="320" t="s">
        <v>44</v>
      </c>
      <c r="I600" s="320">
        <v>6</v>
      </c>
      <c r="M600" s="320">
        <v>5</v>
      </c>
      <c r="N600" s="320" t="s">
        <v>40</v>
      </c>
      <c r="O600" s="320" t="s">
        <v>41</v>
      </c>
      <c r="Q600" s="320" t="s">
        <v>937</v>
      </c>
      <c r="U600" s="320" t="s">
        <v>48</v>
      </c>
      <c r="V600" s="320">
        <v>0</v>
      </c>
      <c r="W600" s="320">
        <v>0</v>
      </c>
      <c r="AA600" s="362"/>
    </row>
    <row r="601" spans="1:27" s="320" customFormat="1" ht="0.65" hidden="1" customHeight="1">
      <c r="A601" s="320">
        <v>2148</v>
      </c>
      <c r="B601" s="362"/>
      <c r="D601" s="320">
        <v>6</v>
      </c>
      <c r="E601" s="320" t="s">
        <v>44</v>
      </c>
      <c r="F601" s="320" t="s">
        <v>45</v>
      </c>
      <c r="I601" s="320">
        <v>20</v>
      </c>
      <c r="M601" s="320">
        <v>6</v>
      </c>
      <c r="N601" s="320" t="s">
        <v>44</v>
      </c>
      <c r="O601" s="320" t="s">
        <v>45</v>
      </c>
      <c r="Q601" s="320" t="s">
        <v>937</v>
      </c>
      <c r="AA601" s="362"/>
    </row>
    <row r="602" spans="1:27" s="320" customFormat="1" ht="0.65" hidden="1" customHeight="1">
      <c r="A602" s="320">
        <v>2149</v>
      </c>
      <c r="B602" s="362"/>
      <c r="D602" s="320">
        <v>7</v>
      </c>
      <c r="E602" s="320" t="s">
        <v>44</v>
      </c>
      <c r="F602" s="320" t="s">
        <v>45</v>
      </c>
      <c r="M602" s="320">
        <v>7</v>
      </c>
      <c r="N602" s="320" t="s">
        <v>44</v>
      </c>
      <c r="O602" s="320" t="s">
        <v>45</v>
      </c>
      <c r="Q602" s="320" t="s">
        <v>937</v>
      </c>
      <c r="V602" s="320" t="s">
        <v>49</v>
      </c>
      <c r="W602" s="320">
        <v>10</v>
      </c>
      <c r="AA602" s="362"/>
    </row>
    <row r="603" spans="1:27" s="320" customFormat="1" ht="0.65" hidden="1" customHeight="1">
      <c r="A603" s="320">
        <v>2150</v>
      </c>
      <c r="B603" s="362"/>
      <c r="D603" s="320">
        <v>8</v>
      </c>
      <c r="E603" s="320" t="s">
        <v>44</v>
      </c>
      <c r="F603" s="320" t="s">
        <v>45</v>
      </c>
      <c r="H603" s="320" t="s">
        <v>38</v>
      </c>
      <c r="I603" s="320" t="s">
        <v>39</v>
      </c>
      <c r="M603" s="320">
        <v>8</v>
      </c>
      <c r="N603" s="320" t="s">
        <v>44</v>
      </c>
      <c r="O603" s="320" t="s">
        <v>45</v>
      </c>
      <c r="Q603" s="320" t="s">
        <v>937</v>
      </c>
      <c r="AA603" s="362"/>
    </row>
    <row r="604" spans="1:27" s="320" customFormat="1" ht="0.65" hidden="1" customHeight="1">
      <c r="A604" s="320">
        <v>2151</v>
      </c>
      <c r="B604" s="362"/>
      <c r="D604" s="320">
        <v>9</v>
      </c>
      <c r="E604" s="320" t="s">
        <v>44</v>
      </c>
      <c r="F604" s="320" t="s">
        <v>45</v>
      </c>
      <c r="H604" s="320" t="s">
        <v>40</v>
      </c>
      <c r="I604" s="320" t="s">
        <v>41</v>
      </c>
      <c r="M604" s="320">
        <v>9</v>
      </c>
      <c r="N604" s="320" t="s">
        <v>44</v>
      </c>
      <c r="O604" s="320" t="s">
        <v>45</v>
      </c>
      <c r="Q604" s="320" t="s">
        <v>937</v>
      </c>
      <c r="T604" s="320" t="s">
        <v>938</v>
      </c>
      <c r="AA604" s="362"/>
    </row>
    <row r="605" spans="1:27" s="320" customFormat="1" ht="0.65" hidden="1" customHeight="1">
      <c r="A605" s="320">
        <v>2152</v>
      </c>
      <c r="B605" s="362"/>
      <c r="D605" s="320">
        <v>10</v>
      </c>
      <c r="E605" s="320" t="s">
        <v>40</v>
      </c>
      <c r="F605" s="320" t="s">
        <v>41</v>
      </c>
      <c r="H605" s="320" t="s">
        <v>42</v>
      </c>
      <c r="I605" s="320" t="s">
        <v>43</v>
      </c>
      <c r="M605" s="320">
        <v>10</v>
      </c>
      <c r="N605" s="320" t="s">
        <v>40</v>
      </c>
      <c r="O605" s="320" t="s">
        <v>41</v>
      </c>
      <c r="Q605" s="320" t="s">
        <v>937</v>
      </c>
      <c r="AA605" s="362"/>
    </row>
    <row r="606" spans="1:27" s="320" customFormat="1" ht="0.65" hidden="1" customHeight="1">
      <c r="A606" s="320">
        <v>2153</v>
      </c>
      <c r="B606" s="362"/>
      <c r="D606" s="320">
        <v>11</v>
      </c>
      <c r="E606" s="320" t="s">
        <v>44</v>
      </c>
      <c r="F606" s="320" t="s">
        <v>45</v>
      </c>
      <c r="H606" s="320" t="s">
        <v>44</v>
      </c>
      <c r="I606" s="320" t="s">
        <v>45</v>
      </c>
      <c r="M606" s="320">
        <v>11</v>
      </c>
      <c r="N606" s="320" t="s">
        <v>44</v>
      </c>
      <c r="O606" s="320" t="s">
        <v>45</v>
      </c>
      <c r="Q606" s="320" t="s">
        <v>937</v>
      </c>
      <c r="T606" s="320" t="s">
        <v>86</v>
      </c>
      <c r="AA606" s="362"/>
    </row>
    <row r="607" spans="1:27" s="320" customFormat="1" ht="0.65" hidden="1" customHeight="1">
      <c r="A607" s="320">
        <v>2154</v>
      </c>
      <c r="B607" s="362"/>
      <c r="D607" s="320">
        <v>12</v>
      </c>
      <c r="E607" s="320" t="s">
        <v>44</v>
      </c>
      <c r="F607" s="320" t="s">
        <v>45</v>
      </c>
      <c r="M607" s="320">
        <v>12</v>
      </c>
      <c r="N607" s="320" t="s">
        <v>44</v>
      </c>
      <c r="O607" s="320" t="s">
        <v>45</v>
      </c>
      <c r="Q607" s="320" t="s">
        <v>937</v>
      </c>
      <c r="T607" s="320" t="s">
        <v>87</v>
      </c>
      <c r="AA607" s="362"/>
    </row>
    <row r="608" spans="1:27" s="320" customFormat="1" ht="0.65" hidden="1" customHeight="1">
      <c r="A608" s="320">
        <v>2155</v>
      </c>
      <c r="B608" s="362"/>
      <c r="D608" s="320">
        <v>13</v>
      </c>
      <c r="E608" s="320" t="s">
        <v>38</v>
      </c>
      <c r="F608" s="320" t="s">
        <v>39</v>
      </c>
      <c r="H608" s="320">
        <v>1.1000000000000001</v>
      </c>
      <c r="M608" s="320">
        <v>13</v>
      </c>
      <c r="N608" s="320" t="s">
        <v>38</v>
      </c>
      <c r="O608" s="320" t="s">
        <v>39</v>
      </c>
      <c r="Q608" s="320" t="s">
        <v>937</v>
      </c>
      <c r="T608" s="320" t="s">
        <v>88</v>
      </c>
      <c r="V608" s="320" t="s">
        <v>36</v>
      </c>
      <c r="W608" s="320" t="s">
        <v>55</v>
      </c>
      <c r="AA608" s="362"/>
    </row>
    <row r="609" spans="1:27" s="320" customFormat="1" ht="0.65" hidden="1" customHeight="1">
      <c r="A609" s="320">
        <v>2156</v>
      </c>
      <c r="B609" s="362"/>
      <c r="D609" s="320">
        <v>14</v>
      </c>
      <c r="E609" s="320" t="s">
        <v>40</v>
      </c>
      <c r="F609" s="320" t="s">
        <v>41</v>
      </c>
      <c r="H609" s="320">
        <v>1.2</v>
      </c>
      <c r="M609" s="320">
        <v>14</v>
      </c>
      <c r="N609" s="320" t="s">
        <v>40</v>
      </c>
      <c r="O609" s="320" t="s">
        <v>41</v>
      </c>
      <c r="Q609" s="320" t="s">
        <v>937</v>
      </c>
      <c r="AA609" s="362"/>
    </row>
    <row r="610" spans="1:27" s="320" customFormat="1" ht="0.65" hidden="1" customHeight="1">
      <c r="A610" s="320">
        <v>2157</v>
      </c>
      <c r="B610" s="362"/>
      <c r="D610" s="320">
        <v>15</v>
      </c>
      <c r="E610" s="320" t="s">
        <v>38</v>
      </c>
      <c r="F610" s="320" t="s">
        <v>39</v>
      </c>
      <c r="H610" s="320">
        <v>1.3</v>
      </c>
      <c r="M610" s="320">
        <v>15</v>
      </c>
      <c r="N610" s="320" t="s">
        <v>38</v>
      </c>
      <c r="O610" s="320" t="s">
        <v>39</v>
      </c>
      <c r="Q610" s="320" t="s">
        <v>937</v>
      </c>
      <c r="AA610" s="362"/>
    </row>
    <row r="611" spans="1:27" s="320" customFormat="1" ht="0.65" hidden="1" customHeight="1">
      <c r="A611" s="320">
        <v>2158</v>
      </c>
      <c r="B611" s="362"/>
      <c r="D611" s="320">
        <v>16</v>
      </c>
      <c r="E611" s="320" t="s">
        <v>42</v>
      </c>
      <c r="F611" s="320" t="s">
        <v>43</v>
      </c>
      <c r="H611" s="320">
        <v>1.4</v>
      </c>
      <c r="M611" s="320">
        <v>16</v>
      </c>
      <c r="N611" s="320" t="s">
        <v>42</v>
      </c>
      <c r="O611" s="320" t="s">
        <v>43</v>
      </c>
      <c r="Q611" s="320" t="s">
        <v>937</v>
      </c>
      <c r="AA611" s="362"/>
    </row>
    <row r="612" spans="1:27" s="320" customFormat="1" ht="0.65" hidden="1" customHeight="1">
      <c r="A612" s="320">
        <v>2159</v>
      </c>
      <c r="B612" s="362"/>
      <c r="D612" s="320">
        <v>17</v>
      </c>
      <c r="E612" s="320" t="s">
        <v>38</v>
      </c>
      <c r="F612" s="320" t="s">
        <v>39</v>
      </c>
      <c r="M612" s="320">
        <v>17</v>
      </c>
      <c r="N612" s="320" t="s">
        <v>38</v>
      </c>
      <c r="O612" s="320" t="s">
        <v>39</v>
      </c>
      <c r="Q612" s="320" t="s">
        <v>937</v>
      </c>
      <c r="AA612" s="362"/>
    </row>
    <row r="613" spans="1:27" s="320" customFormat="1" ht="0.65" hidden="1" customHeight="1">
      <c r="A613" s="320">
        <v>2160</v>
      </c>
      <c r="B613" s="362"/>
      <c r="D613" s="320">
        <v>18</v>
      </c>
      <c r="E613" s="320" t="s">
        <v>42</v>
      </c>
      <c r="F613" s="320" t="s">
        <v>43</v>
      </c>
      <c r="M613" s="320">
        <v>18</v>
      </c>
      <c r="N613" s="320" t="s">
        <v>42</v>
      </c>
      <c r="O613" s="320" t="s">
        <v>43</v>
      </c>
      <c r="Q613" s="320" t="s">
        <v>937</v>
      </c>
      <c r="AA613" s="362"/>
    </row>
    <row r="614" spans="1:27" s="320" customFormat="1" ht="0.65" hidden="1" customHeight="1">
      <c r="A614" s="320">
        <v>2161</v>
      </c>
      <c r="B614" s="362"/>
      <c r="D614" s="320">
        <v>19</v>
      </c>
      <c r="E614" s="320" t="s">
        <v>42</v>
      </c>
      <c r="F614" s="320" t="s">
        <v>43</v>
      </c>
      <c r="M614" s="320">
        <v>19</v>
      </c>
      <c r="N614" s="320" t="s">
        <v>42</v>
      </c>
      <c r="O614" s="320" t="s">
        <v>43</v>
      </c>
      <c r="Q614" s="320" t="s">
        <v>937</v>
      </c>
      <c r="AA614" s="362"/>
    </row>
    <row r="615" spans="1:27" s="320" customFormat="1" ht="0.65" hidden="1" customHeight="1">
      <c r="A615" s="320">
        <v>2162</v>
      </c>
      <c r="B615" s="362"/>
      <c r="D615" s="320">
        <v>20</v>
      </c>
      <c r="E615" s="320" t="s">
        <v>40</v>
      </c>
      <c r="F615" s="320" t="s">
        <v>41</v>
      </c>
      <c r="M615" s="320">
        <v>20</v>
      </c>
      <c r="N615" s="320" t="s">
        <v>40</v>
      </c>
      <c r="O615" s="320" t="s">
        <v>41</v>
      </c>
      <c r="Q615" s="320" t="s">
        <v>937</v>
      </c>
      <c r="AA615" s="362"/>
    </row>
    <row r="616" spans="1:27" s="320" customFormat="1" ht="0.65" hidden="1" customHeight="1">
      <c r="A616" s="320">
        <v>2163</v>
      </c>
      <c r="B616" s="362"/>
      <c r="R616" s="320" t="s">
        <v>465</v>
      </c>
      <c r="AA616" s="362"/>
    </row>
    <row r="617" spans="1:27" s="320" customFormat="1" ht="0.65" hidden="1" customHeight="1">
      <c r="A617" s="320">
        <v>2164</v>
      </c>
      <c r="B617" s="362"/>
      <c r="R617" s="363" t="s">
        <v>5</v>
      </c>
      <c r="S617" s="364">
        <v>2022</v>
      </c>
      <c r="AA617" s="362"/>
    </row>
    <row r="618" spans="1:27" s="320" customFormat="1" ht="0.65" hidden="1" customHeight="1">
      <c r="A618" s="320">
        <v>2165</v>
      </c>
      <c r="B618" s="362"/>
      <c r="AA618" s="362"/>
    </row>
    <row r="619" spans="1:27" s="320" customFormat="1" ht="0.65" hidden="1" customHeight="1">
      <c r="A619" s="320">
        <v>2166</v>
      </c>
      <c r="B619" s="362"/>
      <c r="R619" s="363" t="s">
        <v>32</v>
      </c>
      <c r="AA619" s="362"/>
    </row>
    <row r="620" spans="1:27" s="320" customFormat="1" ht="0.65" hidden="1" customHeight="1">
      <c r="A620" s="320">
        <v>2167</v>
      </c>
      <c r="B620" s="362"/>
      <c r="R620" s="363" t="s">
        <v>488</v>
      </c>
      <c r="S620" s="363">
        <v>600000</v>
      </c>
      <c r="AA620" s="362"/>
    </row>
    <row r="621" spans="1:27" s="320" customFormat="1" ht="0.65" hidden="1" customHeight="1">
      <c r="A621" s="320">
        <v>2168</v>
      </c>
      <c r="B621" s="362"/>
      <c r="R621" s="363" t="s">
        <v>6</v>
      </c>
      <c r="S621" s="363">
        <v>10</v>
      </c>
      <c r="AA621" s="362"/>
    </row>
    <row r="622" spans="1:27" s="320" customFormat="1" ht="0.65" hidden="1" customHeight="1">
      <c r="A622" s="320">
        <v>2169</v>
      </c>
      <c r="B622" s="362"/>
      <c r="R622" s="363" t="s">
        <v>489</v>
      </c>
      <c r="S622" s="363">
        <v>400000</v>
      </c>
      <c r="AA622" s="362"/>
    </row>
    <row r="623" spans="1:27" s="320" customFormat="1" ht="0.65" hidden="1" customHeight="1">
      <c r="A623" s="320">
        <v>2170</v>
      </c>
      <c r="B623" s="362"/>
      <c r="AA623" s="362"/>
    </row>
    <row r="624" spans="1:27" s="320" customFormat="1" ht="0.65" hidden="1" customHeight="1">
      <c r="A624" s="320">
        <v>2171</v>
      </c>
      <c r="B624" s="362"/>
      <c r="R624" s="363" t="s">
        <v>34</v>
      </c>
      <c r="S624" s="363">
        <v>360000</v>
      </c>
      <c r="AA624" s="362"/>
    </row>
    <row r="625" spans="1:27" s="320" customFormat="1" ht="0.65" hidden="1" customHeight="1">
      <c r="A625" s="320">
        <v>2172</v>
      </c>
      <c r="B625" s="362"/>
      <c r="R625" s="363" t="s">
        <v>35</v>
      </c>
      <c r="S625" s="363">
        <v>240000</v>
      </c>
      <c r="AA625" s="362"/>
    </row>
    <row r="626" spans="1:27" s="320" customFormat="1" ht="0.65" hidden="1" customHeight="1">
      <c r="A626" s="320">
        <v>2173</v>
      </c>
      <c r="B626" s="362"/>
      <c r="AA626" s="362"/>
    </row>
    <row r="627" spans="1:27" s="320" customFormat="1" ht="0.65" hidden="1" customHeight="1">
      <c r="A627" s="320">
        <v>2174</v>
      </c>
      <c r="B627" s="362"/>
      <c r="R627" s="363" t="s">
        <v>7</v>
      </c>
      <c r="S627" s="363">
        <v>30</v>
      </c>
      <c r="AA627" s="362"/>
    </row>
    <row r="628" spans="1:27" s="320" customFormat="1" ht="0.65" hidden="1" customHeight="1">
      <c r="A628" s="320">
        <v>2175</v>
      </c>
      <c r="B628" s="362"/>
      <c r="R628" s="363" t="s">
        <v>8</v>
      </c>
      <c r="S628" s="363">
        <v>60</v>
      </c>
      <c r="AA628" s="362"/>
    </row>
    <row r="629" spans="1:27" s="320" customFormat="1" ht="0.65" hidden="1" customHeight="1">
      <c r="A629" s="320">
        <v>2176</v>
      </c>
      <c r="B629" s="362"/>
      <c r="AA629" s="362"/>
    </row>
    <row r="630" spans="1:27" s="320" customFormat="1" ht="0.65" hidden="1" customHeight="1">
      <c r="A630" s="320">
        <v>2177</v>
      </c>
      <c r="B630" s="362"/>
      <c r="R630" s="363" t="s">
        <v>33</v>
      </c>
      <c r="AA630" s="362"/>
    </row>
    <row r="631" spans="1:27" s="320" customFormat="1" ht="0.65" hidden="1" customHeight="1">
      <c r="A631" s="320">
        <v>2178</v>
      </c>
      <c r="B631" s="362"/>
      <c r="R631" s="363" t="s">
        <v>492</v>
      </c>
      <c r="S631" s="363">
        <v>45000</v>
      </c>
      <c r="AA631" s="362"/>
    </row>
    <row r="632" spans="1:27" s="320" customFormat="1" ht="0.65" hidden="1" customHeight="1">
      <c r="A632" s="320">
        <v>2179</v>
      </c>
      <c r="B632" s="362"/>
      <c r="R632" s="363" t="s">
        <v>495</v>
      </c>
      <c r="S632" s="363">
        <v>90000</v>
      </c>
      <c r="AA632" s="362"/>
    </row>
    <row r="633" spans="1:27" s="320" customFormat="1" ht="0.65" hidden="1" customHeight="1">
      <c r="A633" s="320">
        <v>2180</v>
      </c>
      <c r="B633" s="362"/>
      <c r="R633" s="363" t="s">
        <v>6</v>
      </c>
      <c r="S633" s="363">
        <v>3</v>
      </c>
      <c r="AA633" s="362"/>
    </row>
    <row r="634" spans="1:27" s="320" customFormat="1" ht="0.65" hidden="1" customHeight="1">
      <c r="A634" s="320">
        <v>2181</v>
      </c>
      <c r="B634" s="362"/>
      <c r="R634" s="363" t="s">
        <v>489</v>
      </c>
      <c r="S634" s="363">
        <v>22500</v>
      </c>
      <c r="AA634" s="362"/>
    </row>
    <row r="635" spans="1:27" s="320" customFormat="1" ht="0.65" hidden="1" customHeight="1">
      <c r="A635" s="320">
        <v>2182</v>
      </c>
      <c r="B635" s="362"/>
      <c r="AA635" s="362"/>
    </row>
    <row r="636" spans="1:27" s="320" customFormat="1" ht="0.65" hidden="1" customHeight="1">
      <c r="A636" s="320">
        <v>2183</v>
      </c>
      <c r="B636" s="362"/>
      <c r="R636" s="363" t="s">
        <v>4</v>
      </c>
      <c r="S636" s="365">
        <v>0.25</v>
      </c>
      <c r="AA636" s="362"/>
    </row>
    <row r="637" spans="1:27" s="320" customFormat="1" ht="0.65" hidden="1" customHeight="1">
      <c r="A637" s="320">
        <v>2184</v>
      </c>
      <c r="B637" s="362"/>
      <c r="S637" s="363" t="s">
        <v>9</v>
      </c>
      <c r="AA637" s="362"/>
    </row>
    <row r="638" spans="1:27" s="320" customFormat="1" ht="0.65" hidden="1" customHeight="1">
      <c r="A638" s="320">
        <v>2185</v>
      </c>
      <c r="B638" s="362"/>
      <c r="AA638" s="362"/>
    </row>
    <row r="639" spans="1:27" s="320" customFormat="1" ht="0.65" hidden="1" customHeight="1">
      <c r="A639" s="320">
        <v>2186</v>
      </c>
      <c r="B639" s="362"/>
      <c r="R639" s="363" t="s">
        <v>10</v>
      </c>
      <c r="S639" s="363">
        <v>720000</v>
      </c>
      <c r="AA639" s="362"/>
    </row>
    <row r="640" spans="1:27" s="320" customFormat="1" ht="0.65" hidden="1" customHeight="1">
      <c r="A640" s="320">
        <v>2187</v>
      </c>
      <c r="B640" s="362"/>
      <c r="R640" s="363" t="s">
        <v>11</v>
      </c>
      <c r="S640" s="363">
        <v>240000</v>
      </c>
      <c r="AA640" s="362"/>
    </row>
    <row r="641" spans="1:27" s="320" customFormat="1" ht="0.65" hidden="1" customHeight="1">
      <c r="A641" s="320">
        <v>2188</v>
      </c>
      <c r="B641" s="362"/>
      <c r="R641" s="363" t="s">
        <v>12</v>
      </c>
      <c r="S641" s="366">
        <v>0.02</v>
      </c>
      <c r="AA641" s="362"/>
    </row>
    <row r="642" spans="1:27" s="320" customFormat="1" ht="0.65" hidden="1" customHeight="1">
      <c r="A642" s="320">
        <v>2189</v>
      </c>
      <c r="B642" s="362"/>
      <c r="R642" s="363" t="s">
        <v>2</v>
      </c>
      <c r="S642" s="363">
        <v>12000000</v>
      </c>
      <c r="AA642" s="362"/>
    </row>
    <row r="643" spans="1:27" s="320" customFormat="1" ht="0.65" hidden="1" customHeight="1">
      <c r="A643" s="320">
        <v>2190</v>
      </c>
      <c r="B643" s="362"/>
      <c r="R643" s="363" t="s">
        <v>3</v>
      </c>
      <c r="S643" s="363">
        <v>4000000</v>
      </c>
      <c r="AA643" s="362"/>
    </row>
    <row r="644" spans="1:27" s="320" customFormat="1" ht="0.65" hidden="1" customHeight="1">
      <c r="A644" s="320">
        <v>2191</v>
      </c>
      <c r="B644" s="362"/>
      <c r="AA644" s="362"/>
    </row>
    <row r="645" spans="1:27" s="320" customFormat="1" ht="0.65" hidden="1" customHeight="1">
      <c r="A645" s="320">
        <v>2192</v>
      </c>
      <c r="B645" s="362"/>
      <c r="R645" s="363" t="s">
        <v>14</v>
      </c>
      <c r="S645" s="363" t="s">
        <v>16</v>
      </c>
      <c r="AA645" s="362"/>
    </row>
    <row r="646" spans="1:27" s="320" customFormat="1" ht="0.65" hidden="1" customHeight="1">
      <c r="A646" s="320">
        <v>2193</v>
      </c>
      <c r="B646" s="362"/>
      <c r="AA646" s="362"/>
    </row>
    <row r="647" spans="1:27" s="320" customFormat="1" ht="0.65" hidden="1" customHeight="1">
      <c r="A647" s="320">
        <v>2194</v>
      </c>
      <c r="B647" s="362"/>
      <c r="R647" s="363" t="s">
        <v>0</v>
      </c>
      <c r="S647" s="363" t="s">
        <v>69</v>
      </c>
      <c r="T647" s="363" t="s">
        <v>70</v>
      </c>
      <c r="U647" s="363" t="s">
        <v>71</v>
      </c>
      <c r="V647" s="363" t="s">
        <v>72</v>
      </c>
      <c r="W647" s="363" t="s">
        <v>73</v>
      </c>
      <c r="X647" s="363" t="s">
        <v>74</v>
      </c>
      <c r="Y647" s="363" t="s">
        <v>75</v>
      </c>
      <c r="AA647" s="362"/>
    </row>
    <row r="648" spans="1:27" s="320" customFormat="1" ht="0.65" hidden="1" customHeight="1">
      <c r="A648" s="320">
        <v>2195</v>
      </c>
      <c r="B648" s="362"/>
      <c r="R648" s="364">
        <v>2023</v>
      </c>
      <c r="S648" s="363">
        <v>360000</v>
      </c>
      <c r="T648" s="363">
        <v>240000</v>
      </c>
      <c r="U648" s="363">
        <v>30000</v>
      </c>
      <c r="V648" s="363">
        <v>90000</v>
      </c>
      <c r="W648" s="363">
        <v>22500</v>
      </c>
      <c r="X648" s="363">
        <v>67500</v>
      </c>
      <c r="Y648" s="363">
        <v>97500</v>
      </c>
      <c r="AA648" s="362"/>
    </row>
    <row r="649" spans="1:27" s="320" customFormat="1" ht="0.65" hidden="1" customHeight="1">
      <c r="A649" s="320">
        <v>2196</v>
      </c>
      <c r="B649" s="362"/>
      <c r="R649" s="364">
        <v>2024</v>
      </c>
      <c r="S649" s="363">
        <v>360000</v>
      </c>
      <c r="T649" s="363">
        <v>240000</v>
      </c>
      <c r="U649" s="363">
        <v>30000</v>
      </c>
      <c r="V649" s="363">
        <v>90000</v>
      </c>
      <c r="W649" s="363">
        <v>22500</v>
      </c>
      <c r="X649" s="363">
        <v>67500</v>
      </c>
      <c r="Y649" s="363">
        <v>97500</v>
      </c>
      <c r="AA649" s="362"/>
    </row>
    <row r="650" spans="1:27" s="320" customFormat="1" ht="0.65" hidden="1" customHeight="1">
      <c r="A650" s="320">
        <v>2197</v>
      </c>
      <c r="B650" s="362"/>
      <c r="R650" s="364">
        <v>2025</v>
      </c>
      <c r="S650" s="363">
        <v>360000</v>
      </c>
      <c r="T650" s="363">
        <v>240000</v>
      </c>
      <c r="U650" s="363">
        <v>30000</v>
      </c>
      <c r="V650" s="363">
        <v>90000</v>
      </c>
      <c r="W650" s="363">
        <v>22500</v>
      </c>
      <c r="X650" s="363">
        <v>67500</v>
      </c>
      <c r="Y650" s="363">
        <v>97500</v>
      </c>
      <c r="AA650" s="362"/>
    </row>
    <row r="651" spans="1:27" s="320" customFormat="1" ht="0.65" hidden="1" customHeight="1">
      <c r="A651" s="320">
        <v>2198</v>
      </c>
      <c r="B651" s="362"/>
      <c r="AA651" s="362"/>
    </row>
    <row r="652" spans="1:27" s="320" customFormat="1" ht="0.65" hidden="1" customHeight="1">
      <c r="A652" s="320">
        <v>2199</v>
      </c>
      <c r="B652" s="362"/>
      <c r="R652" s="363" t="s">
        <v>0</v>
      </c>
      <c r="S652" s="363" t="s">
        <v>76</v>
      </c>
      <c r="T652" s="363" t="s">
        <v>77</v>
      </c>
      <c r="U652" s="363" t="s">
        <v>78</v>
      </c>
      <c r="V652" s="363" t="s">
        <v>79</v>
      </c>
      <c r="AA652" s="362"/>
    </row>
    <row r="653" spans="1:27" s="320" customFormat="1" ht="0.65" hidden="1" customHeight="1">
      <c r="A653" s="320">
        <v>2200</v>
      </c>
      <c r="B653" s="362"/>
      <c r="R653" s="364">
        <v>2022</v>
      </c>
      <c r="S653" s="363">
        <v>0</v>
      </c>
      <c r="T653" s="363">
        <v>0</v>
      </c>
      <c r="U653" s="363">
        <v>0</v>
      </c>
      <c r="V653" s="363">
        <v>0</v>
      </c>
      <c r="AA653" s="362"/>
    </row>
    <row r="654" spans="1:27" s="320" customFormat="1" ht="0.65" hidden="1" customHeight="1">
      <c r="A654" s="320">
        <v>2201</v>
      </c>
      <c r="B654" s="362"/>
      <c r="R654" s="364">
        <v>2023</v>
      </c>
      <c r="S654" s="363">
        <v>30000</v>
      </c>
      <c r="T654" s="363">
        <v>40000</v>
      </c>
      <c r="U654" s="363">
        <v>-10000</v>
      </c>
      <c r="V654" s="363">
        <v>-10000</v>
      </c>
      <c r="AA654" s="362"/>
    </row>
    <row r="655" spans="1:27" s="320" customFormat="1" ht="0.65" hidden="1" customHeight="1">
      <c r="A655" s="320">
        <v>2202</v>
      </c>
      <c r="B655" s="362"/>
      <c r="R655" s="364">
        <v>2024</v>
      </c>
      <c r="S655" s="363">
        <v>30000</v>
      </c>
      <c r="T655" s="363">
        <v>40000</v>
      </c>
      <c r="U655" s="363">
        <v>-10000</v>
      </c>
      <c r="V655" s="363">
        <v>0</v>
      </c>
      <c r="AA655" s="362"/>
    </row>
    <row r="656" spans="1:27" s="320" customFormat="1" ht="0.65" hidden="1" customHeight="1">
      <c r="A656" s="320">
        <v>2203</v>
      </c>
      <c r="B656" s="362"/>
      <c r="R656" s="364">
        <v>2025</v>
      </c>
      <c r="S656" s="363">
        <v>30000</v>
      </c>
      <c r="T656" s="363">
        <v>40000</v>
      </c>
      <c r="U656" s="363">
        <v>-10000</v>
      </c>
      <c r="V656" s="363">
        <v>0</v>
      </c>
      <c r="AA656" s="362"/>
    </row>
    <row r="657" spans="1:27" s="320" customFormat="1" ht="0.65" hidden="1" customHeight="1">
      <c r="A657" s="320">
        <v>2204</v>
      </c>
      <c r="B657" s="362"/>
      <c r="AA657" s="362"/>
    </row>
    <row r="658" spans="1:27" s="320" customFormat="1" ht="0.65" hidden="1" customHeight="1">
      <c r="A658" s="320">
        <v>2205</v>
      </c>
      <c r="B658" s="362"/>
      <c r="V658" s="363" t="s">
        <v>81</v>
      </c>
      <c r="AA658" s="362"/>
    </row>
    <row r="659" spans="1:27" s="320" customFormat="1" ht="0.65" hidden="1" customHeight="1">
      <c r="A659" s="320">
        <v>2206</v>
      </c>
      <c r="B659" s="362"/>
      <c r="R659" s="363" t="s">
        <v>0</v>
      </c>
      <c r="S659" s="363" t="s">
        <v>75</v>
      </c>
      <c r="T659" s="363" t="s">
        <v>79</v>
      </c>
      <c r="U659" s="363" t="s">
        <v>80</v>
      </c>
      <c r="V659" s="363" t="s">
        <v>1</v>
      </c>
      <c r="AA659" s="362"/>
    </row>
    <row r="660" spans="1:27" s="320" customFormat="1" ht="0.65" hidden="1" customHeight="1">
      <c r="A660" s="320">
        <v>2207</v>
      </c>
      <c r="B660" s="362"/>
      <c r="R660" s="364">
        <v>2022</v>
      </c>
      <c r="S660" s="363">
        <v>0</v>
      </c>
      <c r="T660" s="363">
        <v>0</v>
      </c>
      <c r="U660" s="363">
        <v>0</v>
      </c>
      <c r="V660" s="363">
        <v>-543750</v>
      </c>
      <c r="AA660" s="362"/>
    </row>
    <row r="661" spans="1:27" s="320" customFormat="1" ht="0.65" hidden="1" customHeight="1">
      <c r="A661" s="320">
        <v>2208</v>
      </c>
      <c r="B661" s="362"/>
      <c r="R661" s="364">
        <v>2023</v>
      </c>
      <c r="S661" s="363">
        <v>97500</v>
      </c>
      <c r="T661" s="363">
        <v>-10000</v>
      </c>
      <c r="U661" s="363">
        <v>107500</v>
      </c>
      <c r="V661" s="363">
        <v>107500</v>
      </c>
      <c r="AA661" s="362"/>
    </row>
    <row r="662" spans="1:27" s="320" customFormat="1" ht="0.65" hidden="1" customHeight="1">
      <c r="A662" s="320">
        <v>2209</v>
      </c>
      <c r="B662" s="362"/>
      <c r="R662" s="364">
        <v>2024</v>
      </c>
      <c r="S662" s="363">
        <v>97500</v>
      </c>
      <c r="T662" s="363">
        <v>0</v>
      </c>
      <c r="U662" s="363">
        <v>97500</v>
      </c>
      <c r="V662" s="363">
        <v>97500</v>
      </c>
      <c r="AA662" s="362"/>
    </row>
    <row r="663" spans="1:27" s="320" customFormat="1" ht="0.65" hidden="1" customHeight="1">
      <c r="A663" s="320">
        <v>2210</v>
      </c>
      <c r="B663" s="362"/>
      <c r="R663" s="364">
        <v>2025</v>
      </c>
      <c r="S663" s="363">
        <v>97500</v>
      </c>
      <c r="T663" s="363">
        <v>0</v>
      </c>
      <c r="U663" s="363">
        <v>97500</v>
      </c>
      <c r="V663" s="363">
        <v>475625</v>
      </c>
      <c r="AA663" s="362"/>
    </row>
    <row r="664" spans="1:27" s="320" customFormat="1" ht="0.65" hidden="1" customHeight="1">
      <c r="A664" s="320">
        <v>2211</v>
      </c>
      <c r="B664" s="362"/>
      <c r="AA664" s="362"/>
    </row>
    <row r="665" spans="1:27" s="320" customFormat="1" ht="0.65" hidden="1" customHeight="1">
      <c r="A665" s="320">
        <v>2212</v>
      </c>
      <c r="B665" s="362"/>
      <c r="R665" s="363" t="s">
        <v>490</v>
      </c>
      <c r="S665" s="363">
        <v>543750</v>
      </c>
      <c r="U665" s="363" t="s">
        <v>124</v>
      </c>
      <c r="V665" s="366">
        <v>4.4999999999999998E-2</v>
      </c>
      <c r="X665" s="363" t="s">
        <v>13</v>
      </c>
      <c r="Y665" s="363">
        <v>52565.582461407641</v>
      </c>
      <c r="AA665" s="362"/>
    </row>
    <row r="666" spans="1:27" s="320" customFormat="1" ht="0.65" hidden="1" customHeight="1">
      <c r="A666" s="320">
        <v>2213</v>
      </c>
      <c r="B666" s="362"/>
      <c r="R666" s="363" t="s">
        <v>491</v>
      </c>
      <c r="S666" s="363">
        <v>388125</v>
      </c>
      <c r="U666" s="363" t="s">
        <v>125</v>
      </c>
      <c r="V666" s="366">
        <v>0.08</v>
      </c>
      <c r="X666" s="320" t="s">
        <v>28</v>
      </c>
      <c r="Y666" s="366">
        <v>9.3380333972086005E-2</v>
      </c>
      <c r="AA666" s="362"/>
    </row>
    <row r="667" spans="1:27" s="320" customFormat="1" ht="0.65" hidden="1" customHeight="1">
      <c r="A667" s="320">
        <v>2214</v>
      </c>
      <c r="B667" s="362"/>
      <c r="R667" s="363" t="s">
        <v>493</v>
      </c>
      <c r="S667" s="363">
        <v>-10000</v>
      </c>
      <c r="U667" s="363" t="s">
        <v>126</v>
      </c>
      <c r="V667" s="366">
        <v>5.3750000000000006E-2</v>
      </c>
      <c r="X667" s="320" t="s">
        <v>29</v>
      </c>
      <c r="Y667" s="367">
        <v>9.6672335561209452E-2</v>
      </c>
      <c r="AA667" s="362"/>
    </row>
    <row r="668" spans="1:27" s="320" customFormat="1" ht="0.65" hidden="1" customHeight="1">
      <c r="A668" s="320">
        <v>2215</v>
      </c>
      <c r="B668" s="362"/>
      <c r="R668" s="363" t="s">
        <v>494</v>
      </c>
      <c r="S668" s="363">
        <v>378125</v>
      </c>
      <c r="X668" s="320" t="s">
        <v>30</v>
      </c>
      <c r="Y668" s="320">
        <v>3</v>
      </c>
      <c r="AA668" s="362"/>
    </row>
    <row r="669" spans="1:27" s="320" customFormat="1" ht="0.65" hidden="1" customHeight="1">
      <c r="B669" s="362"/>
      <c r="AA669" s="362"/>
    </row>
    <row r="670" spans="1:27" s="320" customFormat="1" ht="0.65" hidden="1" customHeight="1">
      <c r="B670" s="362"/>
      <c r="AA670" s="362"/>
    </row>
    <row r="671" spans="1:27" s="320" customFormat="1" ht="0.65" hidden="1" customHeight="1">
      <c r="B671" s="362"/>
      <c r="AA671" s="362"/>
    </row>
    <row r="672" spans="1:27" s="320" customFormat="1" ht="0.65" hidden="1" customHeight="1">
      <c r="A672" s="320">
        <v>3001</v>
      </c>
      <c r="B672" s="362" t="s">
        <v>55</v>
      </c>
      <c r="D672" s="320">
        <v>1</v>
      </c>
      <c r="E672" s="320" t="s">
        <v>51</v>
      </c>
      <c r="Z672" s="320" t="s">
        <v>38</v>
      </c>
      <c r="AA672" s="362"/>
    </row>
    <row r="673" spans="1:28" s="320" customFormat="1" ht="0.65" hidden="1" customHeight="1">
      <c r="A673" s="320">
        <v>3002</v>
      </c>
      <c r="B673" s="362"/>
      <c r="D673" s="320" t="s">
        <v>38</v>
      </c>
      <c r="F673" s="320" t="s">
        <v>800</v>
      </c>
      <c r="J673" s="320" t="s">
        <v>1306</v>
      </c>
      <c r="AA673" s="362"/>
    </row>
    <row r="674" spans="1:28" s="320" customFormat="1" ht="0.65" hidden="1" customHeight="1">
      <c r="A674" s="320">
        <v>3003</v>
      </c>
      <c r="B674" s="362" t="s">
        <v>55</v>
      </c>
      <c r="C674" s="320" t="s">
        <v>39</v>
      </c>
      <c r="D674" s="320" t="s">
        <v>55</v>
      </c>
      <c r="E674" s="320" t="s">
        <v>36</v>
      </c>
      <c r="F674" s="320" t="s">
        <v>1307</v>
      </c>
      <c r="Z674" s="320" t="s">
        <v>38</v>
      </c>
      <c r="AA674" s="362">
        <v>175000</v>
      </c>
      <c r="AB674" s="320" t="s">
        <v>1306</v>
      </c>
    </row>
    <row r="675" spans="1:28" s="320" customFormat="1" ht="0.65" hidden="1" customHeight="1">
      <c r="A675" s="320">
        <v>3004</v>
      </c>
      <c r="B675" s="362" t="s">
        <v>55</v>
      </c>
      <c r="C675" s="320" t="s">
        <v>41</v>
      </c>
      <c r="D675" s="320" t="s">
        <v>55</v>
      </c>
      <c r="F675" s="320" t="s">
        <v>1308</v>
      </c>
      <c r="Z675" s="320" t="s">
        <v>40</v>
      </c>
      <c r="AA675" s="362">
        <v>425000</v>
      </c>
      <c r="AB675" s="320" t="s">
        <v>58</v>
      </c>
    </row>
    <row r="676" spans="1:28" s="320" customFormat="1" ht="0.65" hidden="1" customHeight="1">
      <c r="A676" s="320">
        <v>3005</v>
      </c>
      <c r="B676" s="362" t="s">
        <v>55</v>
      </c>
      <c r="C676" s="320" t="s">
        <v>43</v>
      </c>
      <c r="D676" s="320" t="s">
        <v>55</v>
      </c>
      <c r="F676" s="320" t="s">
        <v>1309</v>
      </c>
      <c r="Z676" s="320" t="s">
        <v>42</v>
      </c>
      <c r="AA676" s="362">
        <v>200000</v>
      </c>
      <c r="AB676" s="320" t="s">
        <v>57</v>
      </c>
    </row>
    <row r="677" spans="1:28" s="320" customFormat="1" ht="0.65" hidden="1" customHeight="1">
      <c r="A677" s="320">
        <v>3006</v>
      </c>
      <c r="B677" s="362" t="s">
        <v>55</v>
      </c>
      <c r="C677" s="320" t="s">
        <v>45</v>
      </c>
      <c r="D677" s="320" t="s">
        <v>55</v>
      </c>
      <c r="F677" s="320" t="s">
        <v>1310</v>
      </c>
      <c r="Z677" s="320" t="s">
        <v>44</v>
      </c>
      <c r="AA677" s="362">
        <v>400000</v>
      </c>
      <c r="AB677" s="320" t="s">
        <v>59</v>
      </c>
    </row>
    <row r="678" spans="1:28" s="320" customFormat="1" ht="0.65" hidden="1" customHeight="1">
      <c r="A678" s="320">
        <v>3007</v>
      </c>
      <c r="B678" s="362"/>
      <c r="AA678" s="362"/>
    </row>
    <row r="679" spans="1:28" s="320" customFormat="1" ht="0.65" hidden="1" customHeight="1">
      <c r="A679" s="320">
        <v>3008</v>
      </c>
      <c r="B679" s="362" t="s">
        <v>55</v>
      </c>
      <c r="D679" s="320">
        <v>2</v>
      </c>
      <c r="E679" s="320" t="s">
        <v>829</v>
      </c>
      <c r="Z679" s="320" t="s">
        <v>42</v>
      </c>
      <c r="AA679" s="362"/>
    </row>
    <row r="680" spans="1:28" s="320" customFormat="1" ht="0.65" hidden="1" customHeight="1">
      <c r="A680" s="320">
        <v>3009</v>
      </c>
      <c r="B680" s="362"/>
      <c r="D680" s="320" t="s">
        <v>42</v>
      </c>
      <c r="F680" s="320" t="s">
        <v>800</v>
      </c>
      <c r="J680" s="320" t="s">
        <v>1311</v>
      </c>
      <c r="AA680" s="362"/>
    </row>
    <row r="681" spans="1:28" s="320" customFormat="1" ht="0.65" hidden="1" customHeight="1">
      <c r="A681" s="320">
        <v>3010</v>
      </c>
      <c r="B681" s="362" t="s">
        <v>55</v>
      </c>
      <c r="C681" s="320" t="s">
        <v>39</v>
      </c>
      <c r="D681" s="320" t="s">
        <v>55</v>
      </c>
      <c r="F681" s="320" t="s">
        <v>832</v>
      </c>
      <c r="Z681" s="320" t="s">
        <v>38</v>
      </c>
      <c r="AA681" s="362">
        <v>200000</v>
      </c>
      <c r="AB681" s="320" t="s">
        <v>60</v>
      </c>
    </row>
    <row r="682" spans="1:28" s="320" customFormat="1" ht="0.65" hidden="1" customHeight="1">
      <c r="A682" s="320">
        <v>3011</v>
      </c>
      <c r="B682" s="362" t="s">
        <v>55</v>
      </c>
      <c r="C682" s="320" t="s">
        <v>41</v>
      </c>
      <c r="D682" s="320" t="s">
        <v>55</v>
      </c>
      <c r="F682" s="320" t="s">
        <v>831</v>
      </c>
      <c r="Z682" s="320" t="s">
        <v>40</v>
      </c>
      <c r="AA682" s="362">
        <v>100000</v>
      </c>
      <c r="AB682" s="320" t="s">
        <v>61</v>
      </c>
    </row>
    <row r="683" spans="1:28" s="320" customFormat="1" ht="0.65" hidden="1" customHeight="1">
      <c r="A683" s="320">
        <v>3012</v>
      </c>
      <c r="B683" s="362" t="s">
        <v>55</v>
      </c>
      <c r="C683" s="320" t="s">
        <v>43</v>
      </c>
      <c r="D683" s="320" t="s">
        <v>55</v>
      </c>
      <c r="E683" s="320" t="s">
        <v>36</v>
      </c>
      <c r="F683" s="320" t="s">
        <v>1312</v>
      </c>
      <c r="Z683" s="320" t="s">
        <v>42</v>
      </c>
      <c r="AA683" s="362">
        <v>125000</v>
      </c>
      <c r="AB683" s="320" t="s">
        <v>1311</v>
      </c>
    </row>
    <row r="684" spans="1:28" s="320" customFormat="1" ht="0.65" hidden="1" customHeight="1">
      <c r="A684" s="320">
        <v>3013</v>
      </c>
      <c r="B684" s="362" t="s">
        <v>55</v>
      </c>
      <c r="C684" s="320" t="s">
        <v>45</v>
      </c>
      <c r="D684" s="320" t="s">
        <v>55</v>
      </c>
      <c r="F684" s="320" t="s">
        <v>834</v>
      </c>
      <c r="Z684" s="320" t="s">
        <v>44</v>
      </c>
      <c r="AA684" s="362"/>
      <c r="AB684" s="320" t="s">
        <v>1311</v>
      </c>
    </row>
    <row r="685" spans="1:28" s="320" customFormat="1" ht="0.65" hidden="1" customHeight="1">
      <c r="A685" s="320">
        <v>3014</v>
      </c>
      <c r="B685" s="362"/>
      <c r="AA685" s="362"/>
    </row>
    <row r="686" spans="1:28" s="320" customFormat="1" ht="0.65" hidden="1" customHeight="1">
      <c r="A686" s="320">
        <v>3015</v>
      </c>
      <c r="B686" s="362" t="s">
        <v>55</v>
      </c>
      <c r="D686" s="320">
        <v>3</v>
      </c>
      <c r="E686" s="320" t="s">
        <v>835</v>
      </c>
      <c r="Z686" s="320" t="s">
        <v>42</v>
      </c>
      <c r="AA686" s="362"/>
    </row>
    <row r="687" spans="1:28" s="320" customFormat="1" ht="0.65" hidden="1" customHeight="1">
      <c r="A687" s="320">
        <v>3016</v>
      </c>
      <c r="B687" s="362"/>
      <c r="D687" s="320" t="s">
        <v>42</v>
      </c>
      <c r="F687" s="320" t="s">
        <v>800</v>
      </c>
      <c r="J687" s="320" t="s">
        <v>63</v>
      </c>
      <c r="AA687" s="362"/>
    </row>
    <row r="688" spans="1:28" s="320" customFormat="1" ht="0.65" hidden="1" customHeight="1">
      <c r="A688" s="320">
        <v>3017</v>
      </c>
      <c r="B688" s="362" t="s">
        <v>55</v>
      </c>
      <c r="C688" s="320" t="s">
        <v>39</v>
      </c>
      <c r="D688" s="320" t="s">
        <v>55</v>
      </c>
      <c r="F688" s="320" t="s">
        <v>1313</v>
      </c>
      <c r="Z688" s="320" t="s">
        <v>38</v>
      </c>
      <c r="AA688" s="362">
        <v>2160000</v>
      </c>
      <c r="AB688" s="320" t="s">
        <v>62</v>
      </c>
    </row>
    <row r="689" spans="1:28" s="320" customFormat="1" ht="0.65" hidden="1" customHeight="1">
      <c r="A689" s="320">
        <v>3018</v>
      </c>
      <c r="B689" s="362" t="s">
        <v>55</v>
      </c>
      <c r="C689" s="320" t="s">
        <v>41</v>
      </c>
      <c r="D689" s="320" t="s">
        <v>55</v>
      </c>
      <c r="F689" s="320" t="s">
        <v>1314</v>
      </c>
      <c r="Z689" s="320" t="s">
        <v>40</v>
      </c>
      <c r="AA689" s="362">
        <v>1440000</v>
      </c>
      <c r="AB689" s="320" t="s">
        <v>62</v>
      </c>
    </row>
    <row r="690" spans="1:28" s="320" customFormat="1" ht="0.65" hidden="1" customHeight="1">
      <c r="A690" s="320">
        <v>3019</v>
      </c>
      <c r="B690" s="362" t="s">
        <v>55</v>
      </c>
      <c r="C690" s="320" t="s">
        <v>43</v>
      </c>
      <c r="D690" s="320" t="s">
        <v>55</v>
      </c>
      <c r="E690" s="320" t="s">
        <v>36</v>
      </c>
      <c r="F690" s="320" t="s">
        <v>1092</v>
      </c>
      <c r="Z690" s="320" t="s">
        <v>42</v>
      </c>
      <c r="AA690" s="362">
        <v>720000</v>
      </c>
      <c r="AB690" s="320" t="s">
        <v>63</v>
      </c>
    </row>
    <row r="691" spans="1:28" s="320" customFormat="1" ht="0.65" hidden="1" customHeight="1">
      <c r="A691" s="320">
        <v>3020</v>
      </c>
      <c r="B691" s="362" t="s">
        <v>55</v>
      </c>
      <c r="C691" s="320" t="s">
        <v>45</v>
      </c>
      <c r="D691" s="320" t="s">
        <v>55</v>
      </c>
      <c r="F691" s="320" t="s">
        <v>834</v>
      </c>
      <c r="Z691" s="320" t="s">
        <v>44</v>
      </c>
      <c r="AA691" s="362"/>
      <c r="AB691" s="320" t="s">
        <v>63</v>
      </c>
    </row>
    <row r="692" spans="1:28" s="320" customFormat="1" ht="0.65" hidden="1" customHeight="1">
      <c r="A692" s="320">
        <v>3021</v>
      </c>
      <c r="B692" s="362"/>
      <c r="AA692" s="362"/>
    </row>
    <row r="693" spans="1:28" s="320" customFormat="1" ht="0.65" hidden="1" customHeight="1">
      <c r="A693" s="320">
        <v>3022</v>
      </c>
      <c r="B693" s="362" t="s">
        <v>55</v>
      </c>
      <c r="D693" s="320">
        <v>4</v>
      </c>
      <c r="E693" s="320" t="s">
        <v>839</v>
      </c>
      <c r="Z693" s="320" t="s">
        <v>40</v>
      </c>
      <c r="AA693" s="362"/>
    </row>
    <row r="694" spans="1:28" s="320" customFormat="1" ht="0.65" hidden="1" customHeight="1">
      <c r="A694" s="320">
        <v>3023</v>
      </c>
      <c r="B694" s="362"/>
      <c r="D694" s="320" t="s">
        <v>40</v>
      </c>
      <c r="F694" s="320" t="s">
        <v>800</v>
      </c>
      <c r="J694" s="320" t="s">
        <v>1315</v>
      </c>
      <c r="AA694" s="362"/>
    </row>
    <row r="695" spans="1:28" s="320" customFormat="1" ht="0.65" hidden="1" customHeight="1">
      <c r="A695" s="320">
        <v>3024</v>
      </c>
      <c r="B695" s="362" t="s">
        <v>55</v>
      </c>
      <c r="C695" s="320" t="s">
        <v>39</v>
      </c>
      <c r="D695" s="320" t="s">
        <v>55</v>
      </c>
      <c r="F695" s="320" t="s">
        <v>1316</v>
      </c>
      <c r="Z695" s="320" t="s">
        <v>38</v>
      </c>
      <c r="AA695" s="362">
        <v>116666.66666666667</v>
      </c>
      <c r="AB695" s="320" t="s">
        <v>64</v>
      </c>
    </row>
    <row r="696" spans="1:28" s="320" customFormat="1" ht="0.65" hidden="1" customHeight="1">
      <c r="A696" s="320">
        <v>3025</v>
      </c>
      <c r="B696" s="362" t="s">
        <v>55</v>
      </c>
      <c r="C696" s="320" t="s">
        <v>41</v>
      </c>
      <c r="D696" s="320" t="s">
        <v>55</v>
      </c>
      <c r="E696" s="320" t="s">
        <v>36</v>
      </c>
      <c r="F696" s="320" t="s">
        <v>1317</v>
      </c>
      <c r="Z696" s="320" t="s">
        <v>40</v>
      </c>
      <c r="AA696" s="362">
        <v>-16666.666666666672</v>
      </c>
      <c r="AB696" s="320" t="s">
        <v>1315</v>
      </c>
    </row>
    <row r="697" spans="1:28" s="320" customFormat="1" ht="0.65" hidden="1" customHeight="1">
      <c r="A697" s="320">
        <v>3026</v>
      </c>
      <c r="B697" s="362" t="s">
        <v>55</v>
      </c>
      <c r="C697" s="320" t="s">
        <v>43</v>
      </c>
      <c r="D697" s="320" t="s">
        <v>55</v>
      </c>
      <c r="F697" s="320" t="s">
        <v>842</v>
      </c>
      <c r="Z697" s="320" t="s">
        <v>42</v>
      </c>
      <c r="AA697" s="362">
        <v>50000</v>
      </c>
      <c r="AB697" s="320" t="s">
        <v>65</v>
      </c>
    </row>
    <row r="698" spans="1:28" s="320" customFormat="1" ht="0.65" hidden="1" customHeight="1">
      <c r="A698" s="320">
        <v>3027</v>
      </c>
      <c r="B698" s="362" t="s">
        <v>55</v>
      </c>
      <c r="C698" s="320" t="s">
        <v>45</v>
      </c>
      <c r="D698" s="320" t="s">
        <v>55</v>
      </c>
      <c r="F698" s="320" t="s">
        <v>834</v>
      </c>
      <c r="Z698" s="320" t="s">
        <v>44</v>
      </c>
      <c r="AA698" s="362"/>
      <c r="AB698" s="320" t="s">
        <v>1315</v>
      </c>
    </row>
    <row r="699" spans="1:28" s="320" customFormat="1" ht="0.65" hidden="1" customHeight="1">
      <c r="A699" s="320">
        <v>3028</v>
      </c>
      <c r="B699" s="362"/>
      <c r="AA699" s="362"/>
    </row>
    <row r="700" spans="1:28" s="320" customFormat="1" ht="0.65" hidden="1" customHeight="1">
      <c r="A700" s="320">
        <v>3029</v>
      </c>
      <c r="B700" s="362" t="s">
        <v>55</v>
      </c>
      <c r="D700" s="320">
        <v>5</v>
      </c>
      <c r="E700" s="320" t="s">
        <v>844</v>
      </c>
      <c r="Z700" s="320" t="s">
        <v>40</v>
      </c>
      <c r="AA700" s="362"/>
    </row>
    <row r="701" spans="1:28" s="320" customFormat="1" ht="0.65" hidden="1" customHeight="1">
      <c r="A701" s="320">
        <v>3030</v>
      </c>
      <c r="B701" s="362"/>
      <c r="D701" s="320" t="s">
        <v>40</v>
      </c>
      <c r="F701" s="320" t="s">
        <v>800</v>
      </c>
      <c r="J701" s="320" t="s">
        <v>1315</v>
      </c>
      <c r="AA701" s="362"/>
    </row>
    <row r="702" spans="1:28" s="320" customFormat="1" ht="0.65" hidden="1" customHeight="1">
      <c r="A702" s="320">
        <v>3031</v>
      </c>
      <c r="B702" s="362" t="s">
        <v>55</v>
      </c>
      <c r="C702" s="320" t="s">
        <v>39</v>
      </c>
      <c r="D702" s="320" t="s">
        <v>55</v>
      </c>
      <c r="F702" s="320" t="s">
        <v>846</v>
      </c>
      <c r="Z702" s="320" t="s">
        <v>38</v>
      </c>
      <c r="AA702" s="362">
        <v>-16666.666666666672</v>
      </c>
      <c r="AB702" s="320" t="s">
        <v>1099</v>
      </c>
    </row>
    <row r="703" spans="1:28" s="320" customFormat="1" ht="0.65" hidden="1" customHeight="1">
      <c r="A703" s="320">
        <v>3032</v>
      </c>
      <c r="B703" s="362" t="s">
        <v>55</v>
      </c>
      <c r="C703" s="320" t="s">
        <v>41</v>
      </c>
      <c r="D703" s="320" t="s">
        <v>55</v>
      </c>
      <c r="E703" s="320" t="s">
        <v>36</v>
      </c>
      <c r="F703" s="320" t="s">
        <v>1318</v>
      </c>
      <c r="Z703" s="320" t="s">
        <v>40</v>
      </c>
      <c r="AA703" s="362">
        <v>50000</v>
      </c>
      <c r="AB703" s="320" t="s">
        <v>1315</v>
      </c>
    </row>
    <row r="704" spans="1:28" s="320" customFormat="1" ht="0.65" hidden="1" customHeight="1">
      <c r="A704" s="320">
        <v>3033</v>
      </c>
      <c r="B704" s="362" t="s">
        <v>55</v>
      </c>
      <c r="C704" s="320" t="s">
        <v>43</v>
      </c>
      <c r="D704" s="320" t="s">
        <v>55</v>
      </c>
      <c r="F704" s="320" t="s">
        <v>1319</v>
      </c>
      <c r="Z704" s="320" t="s">
        <v>42</v>
      </c>
      <c r="AA704" s="362">
        <v>116666.66666666667</v>
      </c>
      <c r="AB704" s="320" t="s">
        <v>1102</v>
      </c>
    </row>
    <row r="705" spans="1:28" s="320" customFormat="1" ht="0.65" hidden="1" customHeight="1">
      <c r="A705" s="320">
        <v>3034</v>
      </c>
      <c r="B705" s="362" t="s">
        <v>55</v>
      </c>
      <c r="C705" s="320" t="s">
        <v>45</v>
      </c>
      <c r="D705" s="320" t="s">
        <v>55</v>
      </c>
      <c r="F705" s="320" t="s">
        <v>834</v>
      </c>
      <c r="Z705" s="320" t="s">
        <v>44</v>
      </c>
      <c r="AA705" s="362"/>
      <c r="AB705" s="320" t="s">
        <v>1315</v>
      </c>
    </row>
    <row r="706" spans="1:28" s="320" customFormat="1" ht="0.65" hidden="1" customHeight="1">
      <c r="A706" s="320">
        <v>3035</v>
      </c>
      <c r="B706" s="362"/>
      <c r="AA706" s="362"/>
    </row>
    <row r="707" spans="1:28" s="320" customFormat="1" ht="0.65" hidden="1" customHeight="1">
      <c r="A707" s="320">
        <v>3036</v>
      </c>
      <c r="B707" s="362" t="s">
        <v>55</v>
      </c>
      <c r="D707" s="320">
        <v>6</v>
      </c>
      <c r="E707" s="320" t="s">
        <v>851</v>
      </c>
      <c r="Z707" s="320" t="s">
        <v>44</v>
      </c>
      <c r="AA707" s="362"/>
    </row>
    <row r="708" spans="1:28" s="320" customFormat="1" ht="0.65" hidden="1" customHeight="1">
      <c r="A708" s="320">
        <v>3037</v>
      </c>
      <c r="B708" s="362"/>
      <c r="D708" s="320" t="s">
        <v>44</v>
      </c>
      <c r="F708" s="320" t="s">
        <v>800</v>
      </c>
      <c r="J708" s="320" t="s">
        <v>1320</v>
      </c>
      <c r="AA708" s="362"/>
    </row>
    <row r="709" spans="1:28" s="320" customFormat="1" ht="0.65" hidden="1" customHeight="1">
      <c r="A709" s="320">
        <v>3038</v>
      </c>
      <c r="B709" s="362" t="s">
        <v>55</v>
      </c>
      <c r="C709" s="320" t="s">
        <v>39</v>
      </c>
      <c r="D709" s="320" t="s">
        <v>55</v>
      </c>
      <c r="F709" s="320" t="s">
        <v>1321</v>
      </c>
      <c r="Z709" s="320" t="s">
        <v>38</v>
      </c>
      <c r="AA709" s="362">
        <v>23500</v>
      </c>
      <c r="AB709" s="320" t="s">
        <v>478</v>
      </c>
    </row>
    <row r="710" spans="1:28" s="320" customFormat="1" ht="0.65" hidden="1" customHeight="1">
      <c r="A710" s="320">
        <v>3039</v>
      </c>
      <c r="B710" s="362" t="s">
        <v>55</v>
      </c>
      <c r="C710" s="320" t="s">
        <v>41</v>
      </c>
      <c r="D710" s="320" t="s">
        <v>55</v>
      </c>
      <c r="F710" s="320" t="s">
        <v>1322</v>
      </c>
      <c r="Z710" s="320" t="s">
        <v>40</v>
      </c>
      <c r="AA710" s="362">
        <v>328166.66666666669</v>
      </c>
      <c r="AB710" s="320" t="s">
        <v>90</v>
      </c>
    </row>
    <row r="711" spans="1:28" s="320" customFormat="1" ht="0.65" hidden="1" customHeight="1">
      <c r="A711" s="320">
        <v>3040</v>
      </c>
      <c r="B711" s="362" t="s">
        <v>55</v>
      </c>
      <c r="C711" s="320" t="s">
        <v>43</v>
      </c>
      <c r="D711" s="320" t="s">
        <v>55</v>
      </c>
      <c r="F711" s="320" t="s">
        <v>1323</v>
      </c>
      <c r="Z711" s="320" t="s">
        <v>42</v>
      </c>
      <c r="AA711" s="362">
        <v>36000</v>
      </c>
      <c r="AB711" s="320" t="s">
        <v>91</v>
      </c>
    </row>
    <row r="712" spans="1:28" s="320" customFormat="1" ht="0.65" hidden="1" customHeight="1">
      <c r="A712" s="320">
        <v>3041</v>
      </c>
      <c r="B712" s="362" t="s">
        <v>55</v>
      </c>
      <c r="C712" s="320" t="s">
        <v>45</v>
      </c>
      <c r="D712" s="320" t="s">
        <v>55</v>
      </c>
      <c r="E712" s="320" t="s">
        <v>36</v>
      </c>
      <c r="F712" s="320" t="s">
        <v>1324</v>
      </c>
      <c r="Z712" s="320" t="s">
        <v>44</v>
      </c>
      <c r="AA712" s="362">
        <v>40166.666666666672</v>
      </c>
      <c r="AB712" s="320" t="s">
        <v>1320</v>
      </c>
    </row>
    <row r="713" spans="1:28" s="320" customFormat="1" ht="0.65" hidden="1" customHeight="1">
      <c r="A713" s="320">
        <v>3042</v>
      </c>
      <c r="B713" s="362"/>
      <c r="AA713" s="362"/>
    </row>
    <row r="714" spans="1:28" s="320" customFormat="1" ht="0.65" hidden="1" customHeight="1">
      <c r="A714" s="320">
        <v>3043</v>
      </c>
      <c r="B714" s="362" t="s">
        <v>55</v>
      </c>
      <c r="D714" s="320">
        <v>7</v>
      </c>
      <c r="E714" s="320" t="s">
        <v>857</v>
      </c>
      <c r="Z714" s="320" t="s">
        <v>44</v>
      </c>
      <c r="AA714" s="362"/>
    </row>
    <row r="715" spans="1:28" s="320" customFormat="1" ht="0.65" hidden="1" customHeight="1">
      <c r="A715" s="320">
        <v>3044</v>
      </c>
      <c r="B715" s="362"/>
      <c r="D715" s="320" t="s">
        <v>44</v>
      </c>
      <c r="F715" s="320" t="s">
        <v>800</v>
      </c>
      <c r="J715" s="320" t="s">
        <v>1325</v>
      </c>
      <c r="AA715" s="362"/>
    </row>
    <row r="716" spans="1:28" s="320" customFormat="1" ht="0.65" hidden="1" customHeight="1">
      <c r="A716" s="320">
        <v>3045</v>
      </c>
      <c r="B716" s="362" t="s">
        <v>1108</v>
      </c>
      <c r="C716" s="320" t="s">
        <v>39</v>
      </c>
      <c r="D716" s="320" t="s">
        <v>55</v>
      </c>
      <c r="F716" s="320" t="s">
        <v>1326</v>
      </c>
      <c r="Z716" s="320" t="s">
        <v>38</v>
      </c>
      <c r="AA716" s="362">
        <v>120500.00000000001</v>
      </c>
      <c r="AB716" s="320" t="s">
        <v>120</v>
      </c>
    </row>
    <row r="717" spans="1:28" s="320" customFormat="1" ht="0.65" hidden="1" customHeight="1">
      <c r="A717" s="320">
        <v>3046</v>
      </c>
      <c r="B717" s="362" t="s">
        <v>55</v>
      </c>
      <c r="C717" s="320" t="s">
        <v>41</v>
      </c>
      <c r="D717" s="320" t="s">
        <v>55</v>
      </c>
      <c r="F717" s="320" t="s">
        <v>1327</v>
      </c>
      <c r="Z717" s="320" t="s">
        <v>40</v>
      </c>
      <c r="AA717" s="362">
        <v>137166.66666666669</v>
      </c>
      <c r="AB717" s="320" t="s">
        <v>121</v>
      </c>
    </row>
    <row r="718" spans="1:28" s="320" customFormat="1" ht="0.65" hidden="1" customHeight="1">
      <c r="A718" s="320">
        <v>3047</v>
      </c>
      <c r="B718" s="362" t="s">
        <v>1108</v>
      </c>
      <c r="C718" s="320" t="s">
        <v>43</v>
      </c>
      <c r="D718" s="320" t="s">
        <v>55</v>
      </c>
      <c r="F718" s="320" t="s">
        <v>1328</v>
      </c>
      <c r="Z718" s="320" t="s">
        <v>42</v>
      </c>
      <c r="AA718" s="362">
        <v>120500.00000000001</v>
      </c>
      <c r="AB718" s="320" t="s">
        <v>862</v>
      </c>
    </row>
    <row r="719" spans="1:28" s="320" customFormat="1" ht="0.65" hidden="1" customHeight="1">
      <c r="A719" s="320">
        <v>3048</v>
      </c>
      <c r="B719" s="362" t="s">
        <v>55</v>
      </c>
      <c r="C719" s="320" t="s">
        <v>45</v>
      </c>
      <c r="D719" s="320" t="s">
        <v>55</v>
      </c>
      <c r="E719" s="320" t="s">
        <v>36</v>
      </c>
      <c r="F719" s="320" t="s">
        <v>1329</v>
      </c>
      <c r="Z719" s="320" t="s">
        <v>44</v>
      </c>
      <c r="AA719" s="362">
        <v>103833.33333333334</v>
      </c>
      <c r="AB719" s="320" t="s">
        <v>1325</v>
      </c>
    </row>
    <row r="720" spans="1:28" s="320" customFormat="1" ht="0.65" hidden="1" customHeight="1">
      <c r="A720" s="320">
        <v>3049</v>
      </c>
      <c r="B720" s="362"/>
      <c r="AA720" s="362"/>
    </row>
    <row r="721" spans="1:28" s="320" customFormat="1" ht="0.65" hidden="1" customHeight="1">
      <c r="A721" s="320">
        <v>3050</v>
      </c>
      <c r="B721" s="362" t="s">
        <v>55</v>
      </c>
      <c r="D721" s="320">
        <v>8</v>
      </c>
      <c r="E721" s="320" t="s">
        <v>864</v>
      </c>
      <c r="Z721" s="320" t="s">
        <v>44</v>
      </c>
      <c r="AA721" s="362"/>
    </row>
    <row r="722" spans="1:28" s="320" customFormat="1" ht="0.65" hidden="1" customHeight="1">
      <c r="A722" s="320">
        <v>3051</v>
      </c>
      <c r="B722" s="362"/>
      <c r="D722" s="320" t="s">
        <v>44</v>
      </c>
      <c r="F722" s="320" t="s">
        <v>800</v>
      </c>
      <c r="J722" s="320" t="s">
        <v>1330</v>
      </c>
      <c r="AA722" s="362"/>
    </row>
    <row r="723" spans="1:28" s="320" customFormat="1" ht="0.65" hidden="1" customHeight="1">
      <c r="A723" s="320">
        <v>3052</v>
      </c>
      <c r="B723" s="362" t="s">
        <v>55</v>
      </c>
      <c r="C723" s="320" t="s">
        <v>39</v>
      </c>
      <c r="D723" s="320" t="s">
        <v>55</v>
      </c>
      <c r="F723" s="320" t="s">
        <v>1331</v>
      </c>
      <c r="Z723" s="320" t="s">
        <v>38</v>
      </c>
      <c r="AA723" s="362">
        <v>240000</v>
      </c>
      <c r="AB723" s="320" t="s">
        <v>99</v>
      </c>
    </row>
    <row r="724" spans="1:28" s="320" customFormat="1" ht="0.65" hidden="1" customHeight="1">
      <c r="A724" s="320">
        <v>3053</v>
      </c>
      <c r="B724" s="362" t="s">
        <v>55</v>
      </c>
      <c r="C724" s="320" t="s">
        <v>41</v>
      </c>
      <c r="D724" s="320" t="s">
        <v>55</v>
      </c>
      <c r="F724" s="320" t="s">
        <v>1332</v>
      </c>
      <c r="Z724" s="320" t="s">
        <v>40</v>
      </c>
      <c r="AA724" s="362">
        <v>600000</v>
      </c>
      <c r="AB724" s="320" t="s">
        <v>100</v>
      </c>
    </row>
    <row r="725" spans="1:28" s="320" customFormat="1" ht="0.65" hidden="1" customHeight="1">
      <c r="A725" s="320">
        <v>3054</v>
      </c>
      <c r="B725" s="362" t="s">
        <v>55</v>
      </c>
      <c r="C725" s="320" t="s">
        <v>43</v>
      </c>
      <c r="D725" s="320" t="s">
        <v>55</v>
      </c>
      <c r="F725" s="320" t="s">
        <v>1333</v>
      </c>
      <c r="Z725" s="320" t="s">
        <v>42</v>
      </c>
      <c r="AA725" s="362">
        <v>720000</v>
      </c>
      <c r="AB725" s="320" t="s">
        <v>101</v>
      </c>
    </row>
    <row r="726" spans="1:28" s="320" customFormat="1" ht="0.65" hidden="1" customHeight="1">
      <c r="A726" s="320">
        <v>3055</v>
      </c>
      <c r="B726" s="362" t="s">
        <v>55</v>
      </c>
      <c r="C726" s="320" t="s">
        <v>45</v>
      </c>
      <c r="D726" s="320" t="s">
        <v>55</v>
      </c>
      <c r="E726" s="320" t="s">
        <v>36</v>
      </c>
      <c r="F726" s="320" t="s">
        <v>1334</v>
      </c>
      <c r="Z726" s="320" t="s">
        <v>44</v>
      </c>
      <c r="AA726" s="362">
        <v>120000</v>
      </c>
      <c r="AB726" s="320" t="s">
        <v>1330</v>
      </c>
    </row>
    <row r="727" spans="1:28" s="320" customFormat="1" ht="0.65" hidden="1" customHeight="1">
      <c r="A727" s="320">
        <v>3056</v>
      </c>
      <c r="B727" s="362"/>
      <c r="AA727" s="362"/>
    </row>
    <row r="728" spans="1:28" s="320" customFormat="1" ht="0.65" hidden="1" customHeight="1">
      <c r="A728" s="320">
        <v>3057</v>
      </c>
      <c r="B728" s="362" t="s">
        <v>55</v>
      </c>
      <c r="D728" s="320">
        <v>9</v>
      </c>
      <c r="E728" s="320" t="s">
        <v>870</v>
      </c>
      <c r="Z728" s="320" t="s">
        <v>44</v>
      </c>
      <c r="AA728" s="362"/>
    </row>
    <row r="729" spans="1:28" s="320" customFormat="1" ht="0.65" hidden="1" customHeight="1">
      <c r="A729" s="320">
        <v>3058</v>
      </c>
      <c r="B729" s="362"/>
      <c r="D729" s="320" t="s">
        <v>44</v>
      </c>
      <c r="F729" s="320" t="s">
        <v>800</v>
      </c>
      <c r="J729" s="320" t="s">
        <v>1335</v>
      </c>
      <c r="AA729" s="362"/>
    </row>
    <row r="730" spans="1:28" s="320" customFormat="1" ht="0.65" hidden="1" customHeight="1">
      <c r="A730" s="320">
        <v>3059</v>
      </c>
      <c r="B730" s="362" t="s">
        <v>55</v>
      </c>
      <c r="C730" s="320" t="s">
        <v>39</v>
      </c>
      <c r="D730" s="320" t="s">
        <v>55</v>
      </c>
      <c r="F730" s="320" t="s">
        <v>1336</v>
      </c>
      <c r="Z730" s="320" t="s">
        <v>38</v>
      </c>
      <c r="AA730" s="362">
        <v>96000</v>
      </c>
      <c r="AB730" s="320" t="s">
        <v>102</v>
      </c>
    </row>
    <row r="731" spans="1:28" s="320" customFormat="1" ht="0.65" hidden="1" customHeight="1">
      <c r="A731" s="320">
        <v>3060</v>
      </c>
      <c r="B731" s="362" t="s">
        <v>55</v>
      </c>
      <c r="C731" s="320" t="s">
        <v>41</v>
      </c>
      <c r="D731" s="320" t="s">
        <v>55</v>
      </c>
      <c r="F731" s="320" t="s">
        <v>1337</v>
      </c>
      <c r="Z731" s="320" t="s">
        <v>40</v>
      </c>
      <c r="AA731" s="362">
        <v>528000</v>
      </c>
      <c r="AB731" s="320" t="s">
        <v>103</v>
      </c>
    </row>
    <row r="732" spans="1:28" s="320" customFormat="1" ht="0.65" hidden="1" customHeight="1">
      <c r="A732" s="320">
        <v>3061</v>
      </c>
      <c r="B732" s="362" t="s">
        <v>55</v>
      </c>
      <c r="C732" s="320" t="s">
        <v>43</v>
      </c>
      <c r="D732" s="320" t="s">
        <v>55</v>
      </c>
      <c r="F732" s="320" t="s">
        <v>1338</v>
      </c>
      <c r="Z732" s="320" t="s">
        <v>42</v>
      </c>
      <c r="AA732" s="362">
        <v>144000</v>
      </c>
      <c r="AB732" s="320" t="s">
        <v>1339</v>
      </c>
    </row>
    <row r="733" spans="1:28" s="320" customFormat="1" ht="0.65" hidden="1" customHeight="1">
      <c r="A733" s="320">
        <v>3062</v>
      </c>
      <c r="B733" s="362" t="s">
        <v>55</v>
      </c>
      <c r="C733" s="320" t="s">
        <v>45</v>
      </c>
      <c r="D733" s="320" t="s">
        <v>55</v>
      </c>
      <c r="E733" s="320" t="s">
        <v>36</v>
      </c>
      <c r="F733" s="320" t="s">
        <v>1340</v>
      </c>
      <c r="Z733" s="320" t="s">
        <v>44</v>
      </c>
      <c r="AA733" s="362">
        <v>48000</v>
      </c>
      <c r="AB733" s="320" t="s">
        <v>1335</v>
      </c>
    </row>
    <row r="734" spans="1:28" s="320" customFormat="1" ht="0.65" hidden="1" customHeight="1">
      <c r="A734" s="320">
        <v>3063</v>
      </c>
      <c r="B734" s="362"/>
      <c r="AA734" s="362"/>
    </row>
    <row r="735" spans="1:28" s="320" customFormat="1" ht="0.65" hidden="1" customHeight="1">
      <c r="A735" s="320">
        <v>3064</v>
      </c>
      <c r="B735" s="362" t="s">
        <v>55</v>
      </c>
      <c r="D735" s="320">
        <v>10</v>
      </c>
      <c r="E735" s="320" t="s">
        <v>877</v>
      </c>
      <c r="Z735" s="320" t="s">
        <v>40</v>
      </c>
      <c r="AA735" s="362"/>
    </row>
    <row r="736" spans="1:28" s="320" customFormat="1" ht="0.65" hidden="1" customHeight="1">
      <c r="A736" s="320">
        <v>3065</v>
      </c>
      <c r="B736" s="362"/>
      <c r="D736" s="320" t="s">
        <v>40</v>
      </c>
      <c r="F736" s="320" t="s">
        <v>800</v>
      </c>
      <c r="J736" s="320" t="s">
        <v>1341</v>
      </c>
      <c r="AA736" s="362"/>
    </row>
    <row r="737" spans="1:28" s="320" customFormat="1" ht="0.65" hidden="1" customHeight="1">
      <c r="A737" s="320">
        <v>3066</v>
      </c>
      <c r="B737" s="362" t="s">
        <v>55</v>
      </c>
      <c r="C737" s="320" t="s">
        <v>39</v>
      </c>
      <c r="D737" s="320" t="s">
        <v>55</v>
      </c>
      <c r="F737" s="320" t="s">
        <v>1342</v>
      </c>
      <c r="Z737" s="320" t="s">
        <v>38</v>
      </c>
      <c r="AA737" s="362">
        <v>144000</v>
      </c>
      <c r="AB737" s="320" t="s">
        <v>104</v>
      </c>
    </row>
    <row r="738" spans="1:28" s="320" customFormat="1" ht="0.65" hidden="1" customHeight="1">
      <c r="A738" s="320">
        <v>3067</v>
      </c>
      <c r="B738" s="362" t="s">
        <v>55</v>
      </c>
      <c r="C738" s="320" t="s">
        <v>41</v>
      </c>
      <c r="D738" s="320" t="s">
        <v>55</v>
      </c>
      <c r="E738" s="320" t="s">
        <v>36</v>
      </c>
      <c r="F738" s="320" t="s">
        <v>1343</v>
      </c>
      <c r="Z738" s="320" t="s">
        <v>40</v>
      </c>
      <c r="AA738" s="362">
        <v>72000</v>
      </c>
      <c r="AB738" s="320" t="s">
        <v>1341</v>
      </c>
    </row>
    <row r="739" spans="1:28" s="320" customFormat="1" ht="0.65" hidden="1" customHeight="1">
      <c r="A739" s="320">
        <v>3068</v>
      </c>
      <c r="B739" s="362" t="s">
        <v>55</v>
      </c>
      <c r="C739" s="320" t="s">
        <v>43</v>
      </c>
      <c r="D739" s="320" t="s">
        <v>55</v>
      </c>
      <c r="F739" s="320" t="s">
        <v>1344</v>
      </c>
      <c r="Z739" s="320" t="s">
        <v>42</v>
      </c>
      <c r="AA739" s="362">
        <v>168000</v>
      </c>
      <c r="AB739" s="320" t="s">
        <v>105</v>
      </c>
    </row>
    <row r="740" spans="1:28" s="320" customFormat="1" ht="0.65" hidden="1" customHeight="1">
      <c r="A740" s="320">
        <v>3069</v>
      </c>
      <c r="B740" s="362" t="s">
        <v>55</v>
      </c>
      <c r="C740" s="320" t="s">
        <v>45</v>
      </c>
      <c r="D740" s="320" t="s">
        <v>55</v>
      </c>
      <c r="F740" s="320" t="s">
        <v>882</v>
      </c>
      <c r="Z740" s="320" t="s">
        <v>44</v>
      </c>
      <c r="AA740" s="362">
        <v>0</v>
      </c>
      <c r="AB740" s="320" t="s">
        <v>1341</v>
      </c>
    </row>
    <row r="741" spans="1:28" s="320" customFormat="1" ht="0.65" hidden="1" customHeight="1">
      <c r="A741" s="320">
        <v>3070</v>
      </c>
      <c r="B741" s="362"/>
      <c r="AA741" s="362"/>
    </row>
    <row r="742" spans="1:28" s="320" customFormat="1" ht="0.65" hidden="1" customHeight="1">
      <c r="A742" s="320">
        <v>3071</v>
      </c>
      <c r="B742" s="362" t="s">
        <v>55</v>
      </c>
      <c r="D742" s="320">
        <v>11</v>
      </c>
      <c r="E742" s="320" t="s">
        <v>883</v>
      </c>
      <c r="Z742" s="320" t="s">
        <v>44</v>
      </c>
      <c r="AA742" s="362"/>
    </row>
    <row r="743" spans="1:28" s="320" customFormat="1" ht="0.65" hidden="1" customHeight="1">
      <c r="A743" s="320">
        <v>3072</v>
      </c>
      <c r="B743" s="362"/>
      <c r="D743" s="320" t="s">
        <v>44</v>
      </c>
      <c r="F743" s="320" t="s">
        <v>800</v>
      </c>
      <c r="J743" s="320" t="s">
        <v>119</v>
      </c>
      <c r="AA743" s="362"/>
    </row>
    <row r="744" spans="1:28" s="320" customFormat="1" ht="0.65" hidden="1" customHeight="1">
      <c r="A744" s="320">
        <v>3073</v>
      </c>
      <c r="B744" s="362" t="s">
        <v>55</v>
      </c>
      <c r="C744" s="320" t="s">
        <v>39</v>
      </c>
      <c r="D744" s="320" t="s">
        <v>55</v>
      </c>
      <c r="F744" s="320" t="s">
        <v>1345</v>
      </c>
      <c r="Z744" s="320" t="s">
        <v>38</v>
      </c>
      <c r="AA744" s="362">
        <v>72000</v>
      </c>
      <c r="AB744" s="320" t="s">
        <v>106</v>
      </c>
    </row>
    <row r="745" spans="1:28" s="320" customFormat="1" ht="0.65" hidden="1" customHeight="1">
      <c r="A745" s="320">
        <v>3074</v>
      </c>
      <c r="B745" s="362" t="s">
        <v>55</v>
      </c>
      <c r="C745" s="320" t="s">
        <v>41</v>
      </c>
      <c r="D745" s="320" t="s">
        <v>55</v>
      </c>
      <c r="F745" s="320" t="s">
        <v>1346</v>
      </c>
      <c r="Z745" s="320" t="s">
        <v>40</v>
      </c>
      <c r="AA745" s="362">
        <v>168000</v>
      </c>
      <c r="AB745" s="320" t="s">
        <v>107</v>
      </c>
    </row>
    <row r="746" spans="1:28" s="320" customFormat="1" ht="0.65" hidden="1" customHeight="1">
      <c r="A746" s="320">
        <v>3075</v>
      </c>
      <c r="B746" s="362" t="s">
        <v>55</v>
      </c>
      <c r="C746" s="320" t="s">
        <v>43</v>
      </c>
      <c r="D746" s="320" t="s">
        <v>55</v>
      </c>
      <c r="F746" s="320" t="s">
        <v>1347</v>
      </c>
      <c r="Z746" s="320" t="s">
        <v>42</v>
      </c>
      <c r="AA746" s="362">
        <v>120000</v>
      </c>
      <c r="AB746" s="320" t="s">
        <v>118</v>
      </c>
    </row>
    <row r="747" spans="1:28" s="320" customFormat="1" ht="0.65" hidden="1" customHeight="1">
      <c r="A747" s="320">
        <v>3076</v>
      </c>
      <c r="B747" s="362" t="s">
        <v>55</v>
      </c>
      <c r="C747" s="320" t="s">
        <v>45</v>
      </c>
      <c r="D747" s="320" t="s">
        <v>55</v>
      </c>
      <c r="E747" s="320" t="s">
        <v>36</v>
      </c>
      <c r="F747" s="320" t="s">
        <v>887</v>
      </c>
      <c r="Z747" s="320" t="s">
        <v>44</v>
      </c>
      <c r="AA747" s="362">
        <v>0</v>
      </c>
      <c r="AB747" s="320" t="s">
        <v>119</v>
      </c>
    </row>
    <row r="748" spans="1:28" s="320" customFormat="1" ht="0.65" hidden="1" customHeight="1">
      <c r="A748" s="320">
        <v>3077</v>
      </c>
      <c r="B748" s="362"/>
      <c r="AA748" s="362"/>
    </row>
    <row r="749" spans="1:28" s="320" customFormat="1" ht="0.65" hidden="1" customHeight="1">
      <c r="A749" s="320">
        <v>3078</v>
      </c>
      <c r="B749" s="362" t="s">
        <v>55</v>
      </c>
      <c r="D749" s="320">
        <v>12</v>
      </c>
      <c r="E749" s="320" t="s">
        <v>888</v>
      </c>
      <c r="Z749" s="320" t="s">
        <v>44</v>
      </c>
      <c r="AA749" s="362"/>
    </row>
    <row r="750" spans="1:28" s="320" customFormat="1" ht="0.65" hidden="1" customHeight="1">
      <c r="A750" s="320">
        <v>3079</v>
      </c>
      <c r="B750" s="362"/>
      <c r="D750" s="320" t="s">
        <v>44</v>
      </c>
      <c r="F750" s="320" t="s">
        <v>800</v>
      </c>
      <c r="J750" s="320" t="s">
        <v>1348</v>
      </c>
      <c r="AA750" s="362"/>
    </row>
    <row r="751" spans="1:28" s="320" customFormat="1" ht="0.65" hidden="1" customHeight="1">
      <c r="A751" s="320">
        <v>3080</v>
      </c>
      <c r="B751" s="362" t="s">
        <v>55</v>
      </c>
      <c r="C751" s="320" t="s">
        <v>39</v>
      </c>
      <c r="D751" s="320" t="s">
        <v>55</v>
      </c>
      <c r="F751" s="320" t="s">
        <v>1349</v>
      </c>
      <c r="Z751" s="320" t="s">
        <v>38</v>
      </c>
      <c r="AA751" s="362">
        <v>103833.33333333334</v>
      </c>
      <c r="AB751" s="320" t="s">
        <v>115</v>
      </c>
    </row>
    <row r="752" spans="1:28" s="320" customFormat="1" ht="0.65" hidden="1" customHeight="1">
      <c r="A752" s="320">
        <v>3081</v>
      </c>
      <c r="B752" s="362" t="s">
        <v>55</v>
      </c>
      <c r="C752" s="320" t="s">
        <v>41</v>
      </c>
      <c r="D752" s="320" t="s">
        <v>55</v>
      </c>
      <c r="F752" s="320" t="s">
        <v>1350</v>
      </c>
      <c r="Z752" s="320" t="s">
        <v>40</v>
      </c>
      <c r="AA752" s="362">
        <v>120500.00000000001</v>
      </c>
      <c r="AB752" s="320" t="s">
        <v>116</v>
      </c>
    </row>
    <row r="753" spans="1:28" s="320" customFormat="1" ht="0.65" hidden="1" customHeight="1">
      <c r="A753" s="320">
        <v>3082</v>
      </c>
      <c r="B753" s="362" t="s">
        <v>55</v>
      </c>
      <c r="C753" s="320" t="s">
        <v>43</v>
      </c>
      <c r="D753" s="320" t="s">
        <v>55</v>
      </c>
      <c r="F753" s="320" t="s">
        <v>1351</v>
      </c>
      <c r="Z753" s="320" t="s">
        <v>42</v>
      </c>
      <c r="AA753" s="362">
        <v>65166.666666666686</v>
      </c>
      <c r="AB753" s="320" t="s">
        <v>117</v>
      </c>
    </row>
    <row r="754" spans="1:28" s="320" customFormat="1" ht="0.65" hidden="1" customHeight="1">
      <c r="A754" s="320">
        <v>3083</v>
      </c>
      <c r="B754" s="362" t="s">
        <v>55</v>
      </c>
      <c r="C754" s="320" t="s">
        <v>45</v>
      </c>
      <c r="D754" s="320" t="s">
        <v>55</v>
      </c>
      <c r="E754" s="320" t="s">
        <v>36</v>
      </c>
      <c r="F754" s="320" t="s">
        <v>1352</v>
      </c>
      <c r="Z754" s="320" t="s">
        <v>44</v>
      </c>
      <c r="AA754" s="362">
        <v>31833.333333333343</v>
      </c>
      <c r="AB754" s="320" t="s">
        <v>1348</v>
      </c>
    </row>
    <row r="755" spans="1:28" s="320" customFormat="1" ht="0.65" hidden="1" customHeight="1">
      <c r="A755" s="320">
        <v>3084</v>
      </c>
      <c r="B755" s="362"/>
      <c r="AA755" s="362"/>
    </row>
    <row r="756" spans="1:28" s="320" customFormat="1" ht="0.65" hidden="1" customHeight="1">
      <c r="A756" s="320">
        <v>3085</v>
      </c>
      <c r="B756" s="362" t="s">
        <v>55</v>
      </c>
      <c r="D756" s="320">
        <v>13</v>
      </c>
      <c r="E756" s="320" t="s">
        <v>894</v>
      </c>
      <c r="Z756" s="320" t="s">
        <v>38</v>
      </c>
      <c r="AA756" s="362"/>
    </row>
    <row r="757" spans="1:28" s="320" customFormat="1" ht="0.65" hidden="1" customHeight="1">
      <c r="A757" s="320">
        <v>3086</v>
      </c>
      <c r="B757" s="362"/>
      <c r="D757" s="320" t="s">
        <v>38</v>
      </c>
      <c r="F757" s="320" t="s">
        <v>800</v>
      </c>
      <c r="J757" s="320" t="s">
        <v>1353</v>
      </c>
      <c r="AA757" s="362"/>
    </row>
    <row r="758" spans="1:28" s="320" customFormat="1" ht="0.65" hidden="1" customHeight="1">
      <c r="A758" s="320">
        <v>3087</v>
      </c>
      <c r="B758" s="362" t="s">
        <v>55</v>
      </c>
      <c r="C758" s="320" t="s">
        <v>39</v>
      </c>
      <c r="D758" s="320" t="s">
        <v>55</v>
      </c>
      <c r="E758" s="320" t="s">
        <v>36</v>
      </c>
      <c r="F758" s="320" t="s">
        <v>898</v>
      </c>
      <c r="Z758" s="320" t="s">
        <v>38</v>
      </c>
      <c r="AA758" s="362">
        <v>75000</v>
      </c>
      <c r="AB758" s="320" t="s">
        <v>2075</v>
      </c>
    </row>
    <row r="759" spans="1:28" s="320" customFormat="1" ht="0.65" hidden="1" customHeight="1">
      <c r="A759" s="320">
        <v>3088</v>
      </c>
      <c r="B759" s="362" t="s">
        <v>55</v>
      </c>
      <c r="C759" s="320" t="s">
        <v>41</v>
      </c>
      <c r="D759" s="320" t="s">
        <v>55</v>
      </c>
      <c r="F759" s="320" t="s">
        <v>1354</v>
      </c>
      <c r="Z759" s="320" t="s">
        <v>40</v>
      </c>
      <c r="AA759" s="362">
        <v>100000</v>
      </c>
      <c r="AB759" s="320" t="s">
        <v>92</v>
      </c>
    </row>
    <row r="760" spans="1:28" s="320" customFormat="1" ht="0.65" hidden="1" customHeight="1">
      <c r="A760" s="320">
        <v>3089</v>
      </c>
      <c r="B760" s="362" t="s">
        <v>55</v>
      </c>
      <c r="C760" s="320" t="s">
        <v>43</v>
      </c>
      <c r="D760" s="320" t="s">
        <v>55</v>
      </c>
      <c r="F760" s="320" t="s">
        <v>1355</v>
      </c>
      <c r="Z760" s="320" t="s">
        <v>42</v>
      </c>
      <c r="AA760" s="362">
        <v>37500</v>
      </c>
      <c r="AB760" s="320" t="s">
        <v>94</v>
      </c>
    </row>
    <row r="761" spans="1:28" s="320" customFormat="1" ht="0.65" hidden="1" customHeight="1">
      <c r="A761" s="320">
        <v>3090</v>
      </c>
      <c r="B761" s="362" t="s">
        <v>55</v>
      </c>
      <c r="C761" s="320" t="s">
        <v>45</v>
      </c>
      <c r="D761" s="320" t="s">
        <v>55</v>
      </c>
      <c r="F761" s="320" t="s">
        <v>1356</v>
      </c>
      <c r="Z761" s="320" t="s">
        <v>44</v>
      </c>
      <c r="AA761" s="362">
        <v>112500</v>
      </c>
      <c r="AB761" s="320" t="s">
        <v>93</v>
      </c>
    </row>
    <row r="762" spans="1:28" s="320" customFormat="1" ht="0.65" hidden="1" customHeight="1">
      <c r="A762" s="320">
        <v>3091</v>
      </c>
      <c r="B762" s="362"/>
      <c r="AA762" s="362"/>
    </row>
    <row r="763" spans="1:28" s="320" customFormat="1" ht="0.65" hidden="1" customHeight="1">
      <c r="A763" s="320">
        <v>3092</v>
      </c>
      <c r="B763" s="362" t="s">
        <v>55</v>
      </c>
      <c r="D763" s="320">
        <v>14</v>
      </c>
      <c r="E763" s="320" t="s">
        <v>900</v>
      </c>
      <c r="Z763" s="320" t="s">
        <v>40</v>
      </c>
      <c r="AA763" s="362"/>
    </row>
    <row r="764" spans="1:28" s="320" customFormat="1" ht="0.65" hidden="1" customHeight="1">
      <c r="A764" s="320">
        <v>3093</v>
      </c>
      <c r="B764" s="362"/>
      <c r="D764" s="320" t="s">
        <v>40</v>
      </c>
      <c r="F764" s="320" t="s">
        <v>800</v>
      </c>
      <c r="J764" s="320" t="s">
        <v>1357</v>
      </c>
      <c r="AA764" s="362"/>
    </row>
    <row r="765" spans="1:28" s="320" customFormat="1" ht="0.65" hidden="1" customHeight="1">
      <c r="A765" s="320">
        <v>3094</v>
      </c>
      <c r="B765" s="362" t="s">
        <v>55</v>
      </c>
      <c r="C765" s="320" t="s">
        <v>39</v>
      </c>
      <c r="D765" s="320" t="s">
        <v>55</v>
      </c>
      <c r="F765" s="320" t="s">
        <v>1358</v>
      </c>
      <c r="Z765" s="320" t="s">
        <v>38</v>
      </c>
      <c r="AA765" s="362">
        <v>168000</v>
      </c>
      <c r="AB765" s="320" t="s">
        <v>122</v>
      </c>
    </row>
    <row r="766" spans="1:28" s="320" customFormat="1" ht="0.65" hidden="1" customHeight="1">
      <c r="A766" s="320">
        <v>3095</v>
      </c>
      <c r="B766" s="362" t="s">
        <v>1359</v>
      </c>
      <c r="C766" s="320" t="s">
        <v>41</v>
      </c>
      <c r="D766" s="320" t="s">
        <v>55</v>
      </c>
      <c r="E766" s="320" t="s">
        <v>36</v>
      </c>
      <c r="F766" s="320" t="s">
        <v>1360</v>
      </c>
      <c r="Z766" s="320" t="s">
        <v>40</v>
      </c>
      <c r="AA766" s="362">
        <v>72000</v>
      </c>
      <c r="AB766" s="320" t="s">
        <v>1357</v>
      </c>
    </row>
    <row r="767" spans="1:28" s="320" customFormat="1" ht="0.65" hidden="1" customHeight="1">
      <c r="A767" s="320">
        <v>3096</v>
      </c>
      <c r="B767" s="362" t="s">
        <v>1108</v>
      </c>
      <c r="C767" s="320" t="s">
        <v>43</v>
      </c>
      <c r="D767" s="320" t="s">
        <v>55</v>
      </c>
      <c r="F767" s="320" t="s">
        <v>1361</v>
      </c>
      <c r="Z767" s="320" t="s">
        <v>42</v>
      </c>
      <c r="AA767" s="362">
        <v>72000</v>
      </c>
      <c r="AB767" s="320" t="s">
        <v>1357</v>
      </c>
    </row>
    <row r="768" spans="1:28" s="320" customFormat="1" ht="0.65" hidden="1" customHeight="1">
      <c r="A768" s="320">
        <v>3097</v>
      </c>
      <c r="B768" s="362" t="s">
        <v>55</v>
      </c>
      <c r="C768" s="320" t="s">
        <v>45</v>
      </c>
      <c r="D768" s="320" t="s">
        <v>55</v>
      </c>
      <c r="F768" s="320" t="s">
        <v>905</v>
      </c>
      <c r="Z768" s="320" t="s">
        <v>44</v>
      </c>
      <c r="AA768" s="362">
        <v>0</v>
      </c>
      <c r="AB768" s="320" t="s">
        <v>108</v>
      </c>
    </row>
    <row r="769" spans="1:28" s="320" customFormat="1" ht="0.65" hidden="1" customHeight="1">
      <c r="A769" s="320">
        <v>3098</v>
      </c>
      <c r="B769" s="362"/>
      <c r="AA769" s="362"/>
    </row>
    <row r="770" spans="1:28" s="320" customFormat="1" ht="0.65" hidden="1" customHeight="1">
      <c r="A770" s="320">
        <v>3099</v>
      </c>
      <c r="B770" s="362" t="s">
        <v>55</v>
      </c>
      <c r="D770" s="320">
        <v>15</v>
      </c>
      <c r="E770" s="320" t="s">
        <v>52</v>
      </c>
      <c r="Z770" s="320" t="s">
        <v>38</v>
      </c>
      <c r="AA770" s="362"/>
    </row>
    <row r="771" spans="1:28" s="320" customFormat="1" ht="0.65" hidden="1" customHeight="1">
      <c r="A771" s="320">
        <v>3100</v>
      </c>
      <c r="B771" s="362"/>
      <c r="D771" s="320" t="s">
        <v>38</v>
      </c>
      <c r="F771" s="320" t="s">
        <v>800</v>
      </c>
      <c r="J771" s="320" t="s">
        <v>1362</v>
      </c>
      <c r="AA771" s="362"/>
    </row>
    <row r="772" spans="1:28" s="320" customFormat="1" ht="0.65" hidden="1" customHeight="1">
      <c r="A772" s="320">
        <v>3101</v>
      </c>
      <c r="B772" s="362" t="s">
        <v>55</v>
      </c>
      <c r="C772" s="320" t="s">
        <v>39</v>
      </c>
      <c r="D772" s="320" t="s">
        <v>55</v>
      </c>
      <c r="E772" s="320" t="s">
        <v>36</v>
      </c>
      <c r="F772" s="320" t="s">
        <v>1144</v>
      </c>
      <c r="Z772" s="320" t="s">
        <v>38</v>
      </c>
      <c r="AA772" s="362">
        <v>4.5</v>
      </c>
      <c r="AB772" s="320" t="s">
        <v>1362</v>
      </c>
    </row>
    <row r="773" spans="1:28" s="320" customFormat="1" ht="0.65" hidden="1" customHeight="1">
      <c r="A773" s="320">
        <v>3102</v>
      </c>
      <c r="B773" s="362" t="s">
        <v>55</v>
      </c>
      <c r="C773" s="320" t="s">
        <v>41</v>
      </c>
      <c r="D773" s="320" t="s">
        <v>55</v>
      </c>
      <c r="F773" s="320" t="s">
        <v>1145</v>
      </c>
      <c r="Z773" s="320" t="s">
        <v>40</v>
      </c>
      <c r="AA773" s="362">
        <v>6</v>
      </c>
      <c r="AB773" s="320" t="s">
        <v>109</v>
      </c>
    </row>
    <row r="774" spans="1:28" s="320" customFormat="1" ht="0.65" hidden="1" customHeight="1">
      <c r="A774" s="320">
        <v>3103</v>
      </c>
      <c r="B774" s="362" t="s">
        <v>55</v>
      </c>
      <c r="C774" s="320" t="s">
        <v>43</v>
      </c>
      <c r="D774" s="320" t="s">
        <v>55</v>
      </c>
      <c r="F774" s="320" t="s">
        <v>1146</v>
      </c>
      <c r="Z774" s="320" t="s">
        <v>42</v>
      </c>
      <c r="AA774" s="362">
        <v>7.5</v>
      </c>
      <c r="AB774" s="320" t="s">
        <v>110</v>
      </c>
    </row>
    <row r="775" spans="1:28" s="320" customFormat="1" ht="0.65" hidden="1" customHeight="1">
      <c r="A775" s="320">
        <v>3104</v>
      </c>
      <c r="B775" s="362" t="s">
        <v>55</v>
      </c>
      <c r="C775" s="320" t="s">
        <v>45</v>
      </c>
      <c r="D775" s="320" t="s">
        <v>55</v>
      </c>
      <c r="F775" s="320" t="s">
        <v>1147</v>
      </c>
      <c r="Z775" s="320" t="s">
        <v>44</v>
      </c>
      <c r="AA775" s="362">
        <v>4.4999999999999998E-2</v>
      </c>
      <c r="AB775" s="320" t="s">
        <v>111</v>
      </c>
    </row>
    <row r="776" spans="1:28" s="320" customFormat="1" ht="0.65" hidden="1" customHeight="1">
      <c r="A776" s="320">
        <v>3105</v>
      </c>
      <c r="B776" s="362"/>
      <c r="AA776" s="362"/>
    </row>
    <row r="777" spans="1:28" s="320" customFormat="1" ht="0.65" hidden="1" customHeight="1">
      <c r="A777" s="320">
        <v>3106</v>
      </c>
      <c r="B777" s="362" t="s">
        <v>55</v>
      </c>
      <c r="D777" s="320">
        <v>16</v>
      </c>
      <c r="E777" s="320" t="s">
        <v>53</v>
      </c>
      <c r="Z777" s="320" t="s">
        <v>42</v>
      </c>
      <c r="AA777" s="362"/>
    </row>
    <row r="778" spans="1:28" s="320" customFormat="1" ht="0.65" hidden="1" customHeight="1">
      <c r="A778" s="320">
        <v>3107</v>
      </c>
      <c r="B778" s="362"/>
      <c r="D778" s="320" t="s">
        <v>42</v>
      </c>
      <c r="F778" s="320" t="s">
        <v>800</v>
      </c>
      <c r="J778" s="320" t="s">
        <v>1363</v>
      </c>
      <c r="AA778" s="362"/>
    </row>
    <row r="779" spans="1:28" s="320" customFormat="1" ht="0.65" hidden="1" customHeight="1">
      <c r="A779" s="320">
        <v>3108</v>
      </c>
      <c r="B779" s="362" t="s">
        <v>55</v>
      </c>
      <c r="C779" s="320" t="s">
        <v>39</v>
      </c>
      <c r="D779" s="320" t="s">
        <v>55</v>
      </c>
      <c r="F779" s="320" t="s">
        <v>1149</v>
      </c>
      <c r="Z779" s="320" t="s">
        <v>38</v>
      </c>
      <c r="AA779" s="362">
        <v>0.08</v>
      </c>
      <c r="AB779" s="320" t="s">
        <v>111</v>
      </c>
    </row>
    <row r="780" spans="1:28" s="320" customFormat="1" ht="0.65" hidden="1" customHeight="1">
      <c r="A780" s="320">
        <v>3109</v>
      </c>
      <c r="B780" s="362" t="s">
        <v>55</v>
      </c>
      <c r="C780" s="320" t="s">
        <v>41</v>
      </c>
      <c r="D780" s="320" t="s">
        <v>55</v>
      </c>
      <c r="F780" s="320" t="s">
        <v>1364</v>
      </c>
      <c r="Z780" s="320" t="s">
        <v>40</v>
      </c>
      <c r="AA780" s="362">
        <v>2.0000000000000004</v>
      </c>
      <c r="AB780" s="320" t="s">
        <v>1365</v>
      </c>
    </row>
    <row r="781" spans="1:28" s="320" customFormat="1" ht="0.65" hidden="1" customHeight="1">
      <c r="A781" s="320">
        <v>3110</v>
      </c>
      <c r="B781" s="362" t="s">
        <v>55</v>
      </c>
      <c r="C781" s="320" t="s">
        <v>43</v>
      </c>
      <c r="D781" s="320" t="s">
        <v>55</v>
      </c>
      <c r="E781" s="320" t="s">
        <v>36</v>
      </c>
      <c r="F781" s="320" t="s">
        <v>1152</v>
      </c>
      <c r="Z781" s="320" t="s">
        <v>42</v>
      </c>
      <c r="AA781" s="362">
        <v>8</v>
      </c>
      <c r="AB781" s="320" t="s">
        <v>1363</v>
      </c>
    </row>
    <row r="782" spans="1:28" s="320" customFormat="1" ht="0.65" hidden="1" customHeight="1">
      <c r="A782" s="320">
        <v>3111</v>
      </c>
      <c r="B782" s="362" t="s">
        <v>55</v>
      </c>
      <c r="C782" s="320" t="s">
        <v>45</v>
      </c>
      <c r="D782" s="320" t="s">
        <v>55</v>
      </c>
      <c r="F782" s="320" t="s">
        <v>834</v>
      </c>
      <c r="Z782" s="320" t="s">
        <v>44</v>
      </c>
      <c r="AA782" s="362"/>
      <c r="AB782" s="320" t="s">
        <v>1363</v>
      </c>
    </row>
    <row r="783" spans="1:28" s="320" customFormat="1" ht="0.65" hidden="1" customHeight="1">
      <c r="A783" s="320">
        <v>3112</v>
      </c>
      <c r="B783" s="362"/>
      <c r="AA783" s="362"/>
    </row>
    <row r="784" spans="1:28" s="320" customFormat="1" ht="0.65" hidden="1" customHeight="1">
      <c r="A784" s="320">
        <v>3113</v>
      </c>
      <c r="B784" s="362" t="s">
        <v>55</v>
      </c>
      <c r="D784" s="320">
        <v>17</v>
      </c>
      <c r="E784" s="320" t="s">
        <v>54</v>
      </c>
      <c r="Z784" s="320" t="s">
        <v>38</v>
      </c>
      <c r="AA784" s="362"/>
    </row>
    <row r="785" spans="1:28" s="320" customFormat="1" ht="0.65" hidden="1" customHeight="1">
      <c r="A785" s="320">
        <v>3114</v>
      </c>
      <c r="B785" s="362"/>
      <c r="D785" s="320" t="s">
        <v>38</v>
      </c>
      <c r="F785" s="320" t="s">
        <v>800</v>
      </c>
      <c r="J785" s="320" t="s">
        <v>1366</v>
      </c>
      <c r="AA785" s="362"/>
    </row>
    <row r="786" spans="1:28" s="320" customFormat="1" ht="0.65" hidden="1" customHeight="1">
      <c r="A786" s="320">
        <v>3115</v>
      </c>
      <c r="B786" s="362" t="s">
        <v>55</v>
      </c>
      <c r="C786" s="320" t="s">
        <v>39</v>
      </c>
      <c r="D786" s="320" t="s">
        <v>55</v>
      </c>
      <c r="E786" s="320" t="s">
        <v>36</v>
      </c>
      <c r="F786" s="320" t="s">
        <v>1367</v>
      </c>
      <c r="Z786" s="320" t="s">
        <v>38</v>
      </c>
      <c r="AA786" s="362">
        <v>7.1249999999999991</v>
      </c>
      <c r="AB786" s="320" t="s">
        <v>1366</v>
      </c>
    </row>
    <row r="787" spans="1:28" s="320" customFormat="1" ht="0.65" hidden="1" customHeight="1">
      <c r="A787" s="320">
        <v>3116</v>
      </c>
      <c r="B787" s="362" t="s">
        <v>55</v>
      </c>
      <c r="C787" s="320" t="s">
        <v>41</v>
      </c>
      <c r="D787" s="320" t="s">
        <v>55</v>
      </c>
      <c r="F787" s="320" t="s">
        <v>1368</v>
      </c>
      <c r="Z787" s="320" t="s">
        <v>40</v>
      </c>
      <c r="AA787" s="362">
        <v>5.2499999999999998E-2</v>
      </c>
      <c r="AB787" s="320" t="s">
        <v>113</v>
      </c>
    </row>
    <row r="788" spans="1:28" s="320" customFormat="1" ht="0.65" hidden="1" customHeight="1">
      <c r="A788" s="320">
        <v>3117</v>
      </c>
      <c r="B788" s="362" t="s">
        <v>55</v>
      </c>
      <c r="C788" s="320" t="s">
        <v>43</v>
      </c>
      <c r="D788" s="320" t="s">
        <v>55</v>
      </c>
      <c r="F788" s="320" t="s">
        <v>1369</v>
      </c>
      <c r="Z788" s="320" t="s">
        <v>42</v>
      </c>
      <c r="AA788" s="362">
        <v>5.25</v>
      </c>
      <c r="AB788" s="320" t="s">
        <v>112</v>
      </c>
    </row>
    <row r="789" spans="1:28" s="320" customFormat="1" ht="0.65" hidden="1" customHeight="1">
      <c r="A789" s="320">
        <v>3118</v>
      </c>
      <c r="B789" s="362" t="s">
        <v>55</v>
      </c>
      <c r="C789" s="320" t="s">
        <v>45</v>
      </c>
      <c r="D789" s="320" t="s">
        <v>55</v>
      </c>
      <c r="F789" s="320" t="s">
        <v>920</v>
      </c>
      <c r="Z789" s="320" t="s">
        <v>44</v>
      </c>
      <c r="AA789" s="362">
        <v>4.875</v>
      </c>
      <c r="AB789" s="320" t="s">
        <v>114</v>
      </c>
    </row>
    <row r="790" spans="1:28" s="320" customFormat="1" ht="0.65" hidden="1" customHeight="1">
      <c r="A790" s="320">
        <v>3119</v>
      </c>
      <c r="B790" s="362"/>
      <c r="AA790" s="362"/>
    </row>
    <row r="791" spans="1:28" s="320" customFormat="1" ht="0.65" hidden="1" customHeight="1">
      <c r="A791" s="320">
        <v>3120</v>
      </c>
      <c r="B791" s="362" t="s">
        <v>55</v>
      </c>
      <c r="D791" s="320">
        <v>18</v>
      </c>
      <c r="E791" s="320" t="s">
        <v>1370</v>
      </c>
      <c r="Z791" s="320" t="s">
        <v>42</v>
      </c>
      <c r="AA791" s="362"/>
    </row>
    <row r="792" spans="1:28" s="320" customFormat="1" ht="0.65" hidden="1" customHeight="1">
      <c r="A792" s="320">
        <v>3121</v>
      </c>
      <c r="B792" s="362"/>
      <c r="D792" s="320" t="s">
        <v>42</v>
      </c>
      <c r="F792" s="320" t="s">
        <v>800</v>
      </c>
      <c r="J792" s="320" t="s">
        <v>1371</v>
      </c>
      <c r="AA792" s="362"/>
    </row>
    <row r="793" spans="1:28" s="320" customFormat="1" ht="0.65" hidden="1" customHeight="1">
      <c r="A793" s="320">
        <v>3122</v>
      </c>
      <c r="B793" s="362" t="s">
        <v>55</v>
      </c>
      <c r="C793" s="320" t="s">
        <v>39</v>
      </c>
      <c r="D793" s="320" t="s">
        <v>55</v>
      </c>
      <c r="F793" s="320" t="s">
        <v>1372</v>
      </c>
      <c r="Z793" s="320" t="s">
        <v>38</v>
      </c>
      <c r="AA793" s="362">
        <v>142615.24327253638</v>
      </c>
      <c r="AB793" s="320" t="s">
        <v>95</v>
      </c>
    </row>
    <row r="794" spans="1:28" s="320" customFormat="1" ht="0.65" hidden="1" customHeight="1">
      <c r="A794" s="320">
        <v>3123</v>
      </c>
      <c r="B794" s="362" t="s">
        <v>55</v>
      </c>
      <c r="C794" s="320" t="s">
        <v>41</v>
      </c>
      <c r="D794" s="320" t="s">
        <v>55</v>
      </c>
      <c r="F794" s="320" t="s">
        <v>1373</v>
      </c>
      <c r="Z794" s="320" t="s">
        <v>40</v>
      </c>
      <c r="AA794" s="362">
        <v>170350.21139012527</v>
      </c>
      <c r="AB794" s="320" t="s">
        <v>96</v>
      </c>
    </row>
    <row r="795" spans="1:28" s="320" customFormat="1" ht="0.65" hidden="1" customHeight="1">
      <c r="A795" s="320">
        <v>3124</v>
      </c>
      <c r="B795" s="362" t="s">
        <v>55</v>
      </c>
      <c r="C795" s="320" t="s">
        <v>43</v>
      </c>
      <c r="D795" s="320" t="s">
        <v>55</v>
      </c>
      <c r="E795" s="320" t="s">
        <v>36</v>
      </c>
      <c r="F795" s="320" t="s">
        <v>1374</v>
      </c>
      <c r="Z795" s="320" t="s">
        <v>42</v>
      </c>
      <c r="AA795" s="362">
        <v>149235.38433886995</v>
      </c>
      <c r="AB795" s="320" t="s">
        <v>1371</v>
      </c>
    </row>
    <row r="796" spans="1:28" s="320" customFormat="1" ht="0.65" hidden="1" customHeight="1">
      <c r="A796" s="320">
        <v>3125</v>
      </c>
      <c r="B796" s="362" t="s">
        <v>55</v>
      </c>
      <c r="C796" s="320" t="s">
        <v>45</v>
      </c>
      <c r="D796" s="320" t="s">
        <v>55</v>
      </c>
      <c r="F796" s="320" t="s">
        <v>834</v>
      </c>
      <c r="Z796" s="320" t="s">
        <v>44</v>
      </c>
      <c r="AA796" s="362"/>
      <c r="AB796" s="320" t="s">
        <v>1371</v>
      </c>
    </row>
    <row r="797" spans="1:28" s="320" customFormat="1" ht="0.65" hidden="1" customHeight="1">
      <c r="A797" s="320">
        <v>3126</v>
      </c>
      <c r="B797" s="362"/>
      <c r="AA797" s="362"/>
    </row>
    <row r="798" spans="1:28" s="320" customFormat="1" ht="0.65" hidden="1" customHeight="1">
      <c r="A798" s="320">
        <v>3127</v>
      </c>
      <c r="B798" s="362" t="s">
        <v>55</v>
      </c>
      <c r="D798" s="320">
        <v>19</v>
      </c>
      <c r="E798" s="320" t="s">
        <v>1370</v>
      </c>
      <c r="Z798" s="320" t="s">
        <v>42</v>
      </c>
      <c r="AA798" s="362"/>
    </row>
    <row r="799" spans="1:28" s="320" customFormat="1" ht="0.65" hidden="1" customHeight="1">
      <c r="A799" s="320">
        <v>3128</v>
      </c>
      <c r="B799" s="362"/>
      <c r="D799" s="320" t="s">
        <v>42</v>
      </c>
      <c r="F799" s="320" t="s">
        <v>800</v>
      </c>
      <c r="J799" s="320" t="s">
        <v>1161</v>
      </c>
      <c r="AA799" s="362"/>
    </row>
    <row r="800" spans="1:28" s="320" customFormat="1" ht="0.65" hidden="1" customHeight="1">
      <c r="A800" s="320">
        <v>3129</v>
      </c>
      <c r="B800" s="362" t="s">
        <v>55</v>
      </c>
      <c r="C800" s="320" t="s">
        <v>39</v>
      </c>
      <c r="D800" s="320" t="s">
        <v>55</v>
      </c>
      <c r="F800" s="320" t="s">
        <v>1375</v>
      </c>
      <c r="Z800" s="320" t="s">
        <v>38</v>
      </c>
      <c r="AA800" s="362">
        <v>4.5</v>
      </c>
      <c r="AB800" s="320" t="s">
        <v>97</v>
      </c>
    </row>
    <row r="801" spans="1:28" s="320" customFormat="1" ht="0.65" hidden="1" customHeight="1">
      <c r="A801" s="320">
        <v>3130</v>
      </c>
      <c r="B801" s="362" t="s">
        <v>55</v>
      </c>
      <c r="C801" s="320" t="s">
        <v>41</v>
      </c>
      <c r="D801" s="320" t="s">
        <v>55</v>
      </c>
      <c r="F801" s="320" t="s">
        <v>1376</v>
      </c>
      <c r="Z801" s="320" t="s">
        <v>40</v>
      </c>
      <c r="AA801" s="362">
        <v>7.0000000000000009</v>
      </c>
      <c r="AB801" s="320" t="s">
        <v>98</v>
      </c>
    </row>
    <row r="802" spans="1:28" s="320" customFormat="1" ht="0.65" hidden="1" customHeight="1">
      <c r="A802" s="320">
        <v>3131</v>
      </c>
      <c r="B802" s="362" t="s">
        <v>55</v>
      </c>
      <c r="C802" s="320" t="s">
        <v>43</v>
      </c>
      <c r="D802" s="320" t="s">
        <v>55</v>
      </c>
      <c r="E802" s="320" t="s">
        <v>36</v>
      </c>
      <c r="F802" s="320" t="s">
        <v>1377</v>
      </c>
      <c r="Z802" s="320" t="s">
        <v>42</v>
      </c>
      <c r="AA802" s="362">
        <v>7.1249999999999991</v>
      </c>
      <c r="AB802" s="320" t="s">
        <v>1161</v>
      </c>
    </row>
    <row r="803" spans="1:28" s="320" customFormat="1" ht="0.65" hidden="1" customHeight="1">
      <c r="A803" s="320">
        <v>3132</v>
      </c>
      <c r="B803" s="362" t="s">
        <v>55</v>
      </c>
      <c r="C803" s="320" t="s">
        <v>45</v>
      </c>
      <c r="D803" s="320" t="s">
        <v>55</v>
      </c>
      <c r="F803" s="320" t="s">
        <v>834</v>
      </c>
      <c r="Z803" s="320" t="s">
        <v>44</v>
      </c>
      <c r="AA803" s="362"/>
      <c r="AB803" s="320" t="s">
        <v>1378</v>
      </c>
    </row>
    <row r="804" spans="1:28" s="320" customFormat="1" ht="0.65" hidden="1" customHeight="1">
      <c r="A804" s="320">
        <v>3133</v>
      </c>
      <c r="B804" s="362"/>
      <c r="AA804" s="362"/>
    </row>
    <row r="805" spans="1:28" s="320" customFormat="1" ht="0.65" hidden="1" customHeight="1">
      <c r="A805" s="320">
        <v>3134</v>
      </c>
      <c r="B805" s="362" t="s">
        <v>55</v>
      </c>
      <c r="D805" s="320">
        <v>20</v>
      </c>
      <c r="E805" s="320" t="s">
        <v>1379</v>
      </c>
      <c r="Z805" s="320" t="s">
        <v>40</v>
      </c>
      <c r="AA805" s="362"/>
    </row>
    <row r="806" spans="1:28" s="320" customFormat="1" ht="0.65" hidden="1" customHeight="1">
      <c r="A806" s="320">
        <v>3135</v>
      </c>
      <c r="B806" s="362"/>
      <c r="D806" s="320" t="s">
        <v>40</v>
      </c>
      <c r="F806" s="320" t="s">
        <v>800</v>
      </c>
      <c r="J806" s="320" t="s">
        <v>1167</v>
      </c>
      <c r="AA806" s="362"/>
    </row>
    <row r="807" spans="1:28" s="320" customFormat="1" ht="0.65" hidden="1" customHeight="1">
      <c r="A807" s="320">
        <v>3136</v>
      </c>
      <c r="B807" s="362" t="s">
        <v>55</v>
      </c>
      <c r="C807" s="320" t="s">
        <v>39</v>
      </c>
      <c r="D807" s="320" t="s">
        <v>55</v>
      </c>
      <c r="F807" s="320" t="s">
        <v>935</v>
      </c>
      <c r="Z807" s="320" t="s">
        <v>38</v>
      </c>
      <c r="AA807" s="362" t="s">
        <v>935</v>
      </c>
      <c r="AB807" s="320" t="s">
        <v>1380</v>
      </c>
    </row>
    <row r="808" spans="1:28" s="320" customFormat="1" ht="0.65" hidden="1" customHeight="1">
      <c r="A808" s="320">
        <v>3137</v>
      </c>
      <c r="B808" s="362" t="s">
        <v>55</v>
      </c>
      <c r="C808" s="320" t="s">
        <v>41</v>
      </c>
      <c r="D808" s="320" t="s">
        <v>55</v>
      </c>
      <c r="E808" s="320" t="s">
        <v>36</v>
      </c>
      <c r="F808" s="320" t="s">
        <v>1169</v>
      </c>
      <c r="Z808" s="320" t="s">
        <v>40</v>
      </c>
      <c r="AA808" s="362" t="s">
        <v>1169</v>
      </c>
      <c r="AB808" s="320" t="s">
        <v>1167</v>
      </c>
    </row>
    <row r="809" spans="1:28" s="320" customFormat="1" ht="0.65" hidden="1" customHeight="1">
      <c r="A809" s="320">
        <v>3138</v>
      </c>
      <c r="B809" s="362" t="s">
        <v>55</v>
      </c>
      <c r="C809" s="320" t="s">
        <v>43</v>
      </c>
      <c r="D809" s="320" t="s">
        <v>55</v>
      </c>
      <c r="F809" s="320" t="s">
        <v>933</v>
      </c>
      <c r="Z809" s="320" t="s">
        <v>42</v>
      </c>
      <c r="AA809" s="362" t="s">
        <v>933</v>
      </c>
      <c r="AB809" s="320" t="s">
        <v>1380</v>
      </c>
    </row>
    <row r="810" spans="1:28" s="320" customFormat="1" ht="0.65" hidden="1" customHeight="1">
      <c r="A810" s="320">
        <v>3139</v>
      </c>
      <c r="B810" s="362" t="s">
        <v>55</v>
      </c>
      <c r="C810" s="320" t="s">
        <v>45</v>
      </c>
      <c r="D810" s="320" t="s">
        <v>55</v>
      </c>
      <c r="F810" s="320" t="s">
        <v>834</v>
      </c>
      <c r="Z810" s="320" t="s">
        <v>44</v>
      </c>
      <c r="AA810" s="362"/>
      <c r="AB810" s="320" t="s">
        <v>1380</v>
      </c>
    </row>
    <row r="811" spans="1:28" s="320" customFormat="1" ht="0.65" hidden="1" customHeight="1">
      <c r="A811" s="320">
        <v>3140</v>
      </c>
      <c r="B811" s="362"/>
      <c r="AA811" s="362"/>
    </row>
    <row r="812" spans="1:28" s="320" customFormat="1" ht="0.65" hidden="1" customHeight="1">
      <c r="A812" s="320">
        <v>3141</v>
      </c>
      <c r="B812" s="362"/>
      <c r="AA812" s="362"/>
    </row>
    <row r="813" spans="1:28" s="320" customFormat="1" ht="0.65" hidden="1" customHeight="1">
      <c r="A813" s="320">
        <v>3142</v>
      </c>
      <c r="B813" s="362"/>
      <c r="D813" s="320" t="s">
        <v>50</v>
      </c>
      <c r="M813" s="320" t="s">
        <v>85</v>
      </c>
      <c r="AA813" s="362"/>
    </row>
    <row r="814" spans="1:28" s="320" customFormat="1" ht="0.65" hidden="1" customHeight="1">
      <c r="A814" s="320">
        <v>3143</v>
      </c>
      <c r="B814" s="362"/>
      <c r="D814" s="320">
        <v>1</v>
      </c>
      <c r="E814" s="320" t="s">
        <v>38</v>
      </c>
      <c r="F814" s="320" t="s">
        <v>39</v>
      </c>
      <c r="M814" s="320">
        <v>1</v>
      </c>
      <c r="N814" s="320" t="s">
        <v>38</v>
      </c>
      <c r="O814" s="320" t="s">
        <v>39</v>
      </c>
      <c r="Q814" s="320" t="s">
        <v>937</v>
      </c>
      <c r="U814" s="320" t="s">
        <v>46</v>
      </c>
      <c r="AA814" s="362"/>
    </row>
    <row r="815" spans="1:28" s="320" customFormat="1" ht="0.65" hidden="1" customHeight="1">
      <c r="A815" s="320">
        <v>3144</v>
      </c>
      <c r="B815" s="362"/>
      <c r="D815" s="320">
        <v>2</v>
      </c>
      <c r="E815" s="320" t="s">
        <v>42</v>
      </c>
      <c r="F815" s="320" t="s">
        <v>43</v>
      </c>
      <c r="H815" s="320" t="s">
        <v>38</v>
      </c>
      <c r="I815" s="320">
        <v>4</v>
      </c>
      <c r="M815" s="320">
        <v>2</v>
      </c>
      <c r="N815" s="320" t="s">
        <v>42</v>
      </c>
      <c r="O815" s="320" t="s">
        <v>43</v>
      </c>
      <c r="Q815" s="320" t="s">
        <v>937</v>
      </c>
      <c r="AA815" s="362"/>
    </row>
    <row r="816" spans="1:28" s="320" customFormat="1" ht="0.65" hidden="1" customHeight="1">
      <c r="A816" s="320">
        <v>3145</v>
      </c>
      <c r="B816" s="362"/>
      <c r="D816" s="320">
        <v>3</v>
      </c>
      <c r="E816" s="320" t="s">
        <v>42</v>
      </c>
      <c r="F816" s="320" t="s">
        <v>43</v>
      </c>
      <c r="H816" s="320" t="s">
        <v>40</v>
      </c>
      <c r="I816" s="320">
        <v>5</v>
      </c>
      <c r="M816" s="320">
        <v>3</v>
      </c>
      <c r="N816" s="320" t="s">
        <v>42</v>
      </c>
      <c r="O816" s="320" t="s">
        <v>43</v>
      </c>
      <c r="Q816" s="320" t="s">
        <v>937</v>
      </c>
      <c r="U816" s="320" t="s">
        <v>47</v>
      </c>
      <c r="V816" s="320">
        <v>20</v>
      </c>
      <c r="W816" s="320">
        <v>1</v>
      </c>
      <c r="AA816" s="362"/>
    </row>
    <row r="817" spans="1:27" s="320" customFormat="1" ht="0.65" hidden="1" customHeight="1">
      <c r="A817" s="320">
        <v>3146</v>
      </c>
      <c r="B817" s="362"/>
      <c r="D817" s="320">
        <v>4</v>
      </c>
      <c r="E817" s="320" t="s">
        <v>40</v>
      </c>
      <c r="F817" s="320" t="s">
        <v>41</v>
      </c>
      <c r="H817" s="320" t="s">
        <v>42</v>
      </c>
      <c r="I817" s="320">
        <v>5</v>
      </c>
      <c r="M817" s="320">
        <v>4</v>
      </c>
      <c r="N817" s="320" t="s">
        <v>40</v>
      </c>
      <c r="O817" s="320" t="s">
        <v>41</v>
      </c>
      <c r="Q817" s="320" t="s">
        <v>937</v>
      </c>
      <c r="AA817" s="362"/>
    </row>
    <row r="818" spans="1:27" s="320" customFormat="1" ht="0.65" hidden="1" customHeight="1">
      <c r="A818" s="320">
        <v>3147</v>
      </c>
      <c r="B818" s="362"/>
      <c r="D818" s="320">
        <v>5</v>
      </c>
      <c r="E818" s="320" t="s">
        <v>40</v>
      </c>
      <c r="F818" s="320" t="s">
        <v>41</v>
      </c>
      <c r="H818" s="320" t="s">
        <v>44</v>
      </c>
      <c r="I818" s="320">
        <v>6</v>
      </c>
      <c r="M818" s="320">
        <v>5</v>
      </c>
      <c r="N818" s="320" t="s">
        <v>40</v>
      </c>
      <c r="O818" s="320" t="s">
        <v>41</v>
      </c>
      <c r="Q818" s="320" t="s">
        <v>937</v>
      </c>
      <c r="U818" s="320" t="s">
        <v>48</v>
      </c>
      <c r="V818" s="320">
        <v>0</v>
      </c>
      <c r="W818" s="320">
        <v>0</v>
      </c>
      <c r="AA818" s="362"/>
    </row>
    <row r="819" spans="1:27" s="320" customFormat="1" ht="0.65" hidden="1" customHeight="1">
      <c r="A819" s="320">
        <v>3148</v>
      </c>
      <c r="B819" s="362"/>
      <c r="D819" s="320">
        <v>6</v>
      </c>
      <c r="E819" s="320" t="s">
        <v>44</v>
      </c>
      <c r="F819" s="320" t="s">
        <v>45</v>
      </c>
      <c r="I819" s="320">
        <v>20</v>
      </c>
      <c r="M819" s="320">
        <v>6</v>
      </c>
      <c r="N819" s="320" t="s">
        <v>44</v>
      </c>
      <c r="O819" s="320" t="s">
        <v>45</v>
      </c>
      <c r="Q819" s="320" t="s">
        <v>937</v>
      </c>
      <c r="AA819" s="362"/>
    </row>
    <row r="820" spans="1:27" s="320" customFormat="1" ht="0.65" hidden="1" customHeight="1">
      <c r="A820" s="320">
        <v>3149</v>
      </c>
      <c r="B820" s="362"/>
      <c r="D820" s="320">
        <v>7</v>
      </c>
      <c r="E820" s="320" t="s">
        <v>44</v>
      </c>
      <c r="F820" s="320" t="s">
        <v>45</v>
      </c>
      <c r="M820" s="320">
        <v>7</v>
      </c>
      <c r="N820" s="320" t="s">
        <v>44</v>
      </c>
      <c r="O820" s="320" t="s">
        <v>45</v>
      </c>
      <c r="Q820" s="320" t="s">
        <v>937</v>
      </c>
      <c r="V820" s="320" t="s">
        <v>49</v>
      </c>
      <c r="W820" s="320">
        <v>10</v>
      </c>
      <c r="AA820" s="362"/>
    </row>
    <row r="821" spans="1:27" s="320" customFormat="1" ht="0.65" hidden="1" customHeight="1">
      <c r="A821" s="320">
        <v>3150</v>
      </c>
      <c r="B821" s="362"/>
      <c r="D821" s="320">
        <v>8</v>
      </c>
      <c r="E821" s="320" t="s">
        <v>44</v>
      </c>
      <c r="F821" s="320" t="s">
        <v>45</v>
      </c>
      <c r="H821" s="320" t="s">
        <v>38</v>
      </c>
      <c r="I821" s="320" t="s">
        <v>39</v>
      </c>
      <c r="M821" s="320">
        <v>8</v>
      </c>
      <c r="N821" s="320" t="s">
        <v>44</v>
      </c>
      <c r="O821" s="320" t="s">
        <v>45</v>
      </c>
      <c r="Q821" s="320" t="s">
        <v>937</v>
      </c>
      <c r="AA821" s="362"/>
    </row>
    <row r="822" spans="1:27" s="320" customFormat="1" ht="0.65" hidden="1" customHeight="1">
      <c r="A822" s="320">
        <v>3151</v>
      </c>
      <c r="B822" s="362"/>
      <c r="D822" s="320">
        <v>9</v>
      </c>
      <c r="E822" s="320" t="s">
        <v>44</v>
      </c>
      <c r="F822" s="320" t="s">
        <v>45</v>
      </c>
      <c r="H822" s="320" t="s">
        <v>40</v>
      </c>
      <c r="I822" s="320" t="s">
        <v>41</v>
      </c>
      <c r="M822" s="320">
        <v>9</v>
      </c>
      <c r="N822" s="320" t="s">
        <v>44</v>
      </c>
      <c r="O822" s="320" t="s">
        <v>45</v>
      </c>
      <c r="Q822" s="320" t="s">
        <v>937</v>
      </c>
      <c r="T822" s="320" t="s">
        <v>938</v>
      </c>
      <c r="AA822" s="362"/>
    </row>
    <row r="823" spans="1:27" s="320" customFormat="1" ht="0.65" hidden="1" customHeight="1">
      <c r="A823" s="320">
        <v>3152</v>
      </c>
      <c r="B823" s="362"/>
      <c r="D823" s="320">
        <v>10</v>
      </c>
      <c r="E823" s="320" t="s">
        <v>40</v>
      </c>
      <c r="F823" s="320" t="s">
        <v>41</v>
      </c>
      <c r="H823" s="320" t="s">
        <v>42</v>
      </c>
      <c r="I823" s="320" t="s">
        <v>43</v>
      </c>
      <c r="M823" s="320">
        <v>10</v>
      </c>
      <c r="N823" s="320" t="s">
        <v>40</v>
      </c>
      <c r="O823" s="320" t="s">
        <v>41</v>
      </c>
      <c r="Q823" s="320" t="s">
        <v>937</v>
      </c>
      <c r="AA823" s="362"/>
    </row>
    <row r="824" spans="1:27" s="320" customFormat="1" ht="0.65" hidden="1" customHeight="1">
      <c r="A824" s="320">
        <v>3153</v>
      </c>
      <c r="B824" s="362"/>
      <c r="D824" s="320">
        <v>11</v>
      </c>
      <c r="E824" s="320" t="s">
        <v>44</v>
      </c>
      <c r="F824" s="320" t="s">
        <v>45</v>
      </c>
      <c r="H824" s="320" t="s">
        <v>44</v>
      </c>
      <c r="I824" s="320" t="s">
        <v>45</v>
      </c>
      <c r="M824" s="320">
        <v>11</v>
      </c>
      <c r="N824" s="320" t="s">
        <v>44</v>
      </c>
      <c r="O824" s="320" t="s">
        <v>45</v>
      </c>
      <c r="Q824" s="320" t="s">
        <v>937</v>
      </c>
      <c r="T824" s="320" t="s">
        <v>86</v>
      </c>
      <c r="AA824" s="362"/>
    </row>
    <row r="825" spans="1:27" s="320" customFormat="1" ht="0.65" hidden="1" customHeight="1">
      <c r="A825" s="320">
        <v>3154</v>
      </c>
      <c r="B825" s="362"/>
      <c r="D825" s="320">
        <v>12</v>
      </c>
      <c r="E825" s="320" t="s">
        <v>44</v>
      </c>
      <c r="F825" s="320" t="s">
        <v>45</v>
      </c>
      <c r="M825" s="320">
        <v>12</v>
      </c>
      <c r="N825" s="320" t="s">
        <v>44</v>
      </c>
      <c r="O825" s="320" t="s">
        <v>45</v>
      </c>
      <c r="Q825" s="320" t="s">
        <v>937</v>
      </c>
      <c r="T825" s="320" t="s">
        <v>87</v>
      </c>
      <c r="AA825" s="362"/>
    </row>
    <row r="826" spans="1:27" s="320" customFormat="1" ht="0.65" hidden="1" customHeight="1">
      <c r="A826" s="320">
        <v>3155</v>
      </c>
      <c r="B826" s="362"/>
      <c r="D826" s="320">
        <v>13</v>
      </c>
      <c r="E826" s="320" t="s">
        <v>38</v>
      </c>
      <c r="F826" s="320" t="s">
        <v>39</v>
      </c>
      <c r="H826" s="320">
        <v>1.1000000000000001</v>
      </c>
      <c r="M826" s="320">
        <v>13</v>
      </c>
      <c r="N826" s="320" t="s">
        <v>38</v>
      </c>
      <c r="O826" s="320" t="s">
        <v>39</v>
      </c>
      <c r="Q826" s="320" t="s">
        <v>937</v>
      </c>
      <c r="T826" s="320" t="s">
        <v>88</v>
      </c>
      <c r="V826" s="320" t="s">
        <v>36</v>
      </c>
      <c r="W826" s="320" t="s">
        <v>55</v>
      </c>
      <c r="AA826" s="362"/>
    </row>
    <row r="827" spans="1:27" s="320" customFormat="1" ht="0.65" hidden="1" customHeight="1">
      <c r="A827" s="320">
        <v>3156</v>
      </c>
      <c r="B827" s="362"/>
      <c r="D827" s="320">
        <v>14</v>
      </c>
      <c r="E827" s="320" t="s">
        <v>40</v>
      </c>
      <c r="F827" s="320" t="s">
        <v>41</v>
      </c>
      <c r="H827" s="320">
        <v>1.2</v>
      </c>
      <c r="M827" s="320">
        <v>14</v>
      </c>
      <c r="N827" s="320" t="s">
        <v>40</v>
      </c>
      <c r="O827" s="320" t="s">
        <v>41</v>
      </c>
      <c r="Q827" s="320" t="s">
        <v>937</v>
      </c>
      <c r="AA827" s="362"/>
    </row>
    <row r="828" spans="1:27" s="320" customFormat="1" ht="0.65" hidden="1" customHeight="1">
      <c r="A828" s="320">
        <v>3157</v>
      </c>
      <c r="B828" s="362"/>
      <c r="D828" s="320">
        <v>15</v>
      </c>
      <c r="E828" s="320" t="s">
        <v>38</v>
      </c>
      <c r="F828" s="320" t="s">
        <v>39</v>
      </c>
      <c r="H828" s="320">
        <v>1.3</v>
      </c>
      <c r="M828" s="320">
        <v>15</v>
      </c>
      <c r="N828" s="320" t="s">
        <v>38</v>
      </c>
      <c r="O828" s="320" t="s">
        <v>39</v>
      </c>
      <c r="Q828" s="320" t="s">
        <v>937</v>
      </c>
      <c r="AA828" s="362"/>
    </row>
    <row r="829" spans="1:27" s="320" customFormat="1" ht="0.65" hidden="1" customHeight="1">
      <c r="A829" s="320">
        <v>3158</v>
      </c>
      <c r="B829" s="362"/>
      <c r="D829" s="320">
        <v>16</v>
      </c>
      <c r="E829" s="320" t="s">
        <v>42</v>
      </c>
      <c r="F829" s="320" t="s">
        <v>43</v>
      </c>
      <c r="H829" s="320">
        <v>1.4</v>
      </c>
      <c r="M829" s="320">
        <v>16</v>
      </c>
      <c r="N829" s="320" t="s">
        <v>42</v>
      </c>
      <c r="O829" s="320" t="s">
        <v>43</v>
      </c>
      <c r="Q829" s="320" t="s">
        <v>937</v>
      </c>
      <c r="AA829" s="362"/>
    </row>
    <row r="830" spans="1:27" s="320" customFormat="1" ht="0.65" hidden="1" customHeight="1">
      <c r="A830" s="320">
        <v>3159</v>
      </c>
      <c r="B830" s="362"/>
      <c r="D830" s="320">
        <v>17</v>
      </c>
      <c r="E830" s="320" t="s">
        <v>38</v>
      </c>
      <c r="F830" s="320" t="s">
        <v>39</v>
      </c>
      <c r="M830" s="320">
        <v>17</v>
      </c>
      <c r="N830" s="320" t="s">
        <v>38</v>
      </c>
      <c r="O830" s="320" t="s">
        <v>39</v>
      </c>
      <c r="Q830" s="320" t="s">
        <v>937</v>
      </c>
      <c r="AA830" s="362"/>
    </row>
    <row r="831" spans="1:27" s="320" customFormat="1" ht="0.65" hidden="1" customHeight="1">
      <c r="A831" s="320">
        <v>3160</v>
      </c>
      <c r="B831" s="362"/>
      <c r="D831" s="320">
        <v>18</v>
      </c>
      <c r="E831" s="320" t="s">
        <v>42</v>
      </c>
      <c r="F831" s="320" t="s">
        <v>43</v>
      </c>
      <c r="M831" s="320">
        <v>18</v>
      </c>
      <c r="N831" s="320" t="s">
        <v>42</v>
      </c>
      <c r="O831" s="320" t="s">
        <v>43</v>
      </c>
      <c r="Q831" s="320" t="s">
        <v>937</v>
      </c>
      <c r="AA831" s="362"/>
    </row>
    <row r="832" spans="1:27" s="320" customFormat="1" ht="0.65" hidden="1" customHeight="1">
      <c r="A832" s="320">
        <v>3161</v>
      </c>
      <c r="B832" s="362"/>
      <c r="D832" s="320">
        <v>19</v>
      </c>
      <c r="E832" s="320" t="s">
        <v>42</v>
      </c>
      <c r="F832" s="320" t="s">
        <v>43</v>
      </c>
      <c r="M832" s="320">
        <v>19</v>
      </c>
      <c r="N832" s="320" t="s">
        <v>42</v>
      </c>
      <c r="O832" s="320" t="s">
        <v>43</v>
      </c>
      <c r="Q832" s="320" t="s">
        <v>937</v>
      </c>
      <c r="AA832" s="362"/>
    </row>
    <row r="833" spans="1:27" s="320" customFormat="1" ht="0.65" hidden="1" customHeight="1">
      <c r="A833" s="320">
        <v>3162</v>
      </c>
      <c r="B833" s="362"/>
      <c r="D833" s="320">
        <v>20</v>
      </c>
      <c r="E833" s="320" t="s">
        <v>40</v>
      </c>
      <c r="F833" s="320" t="s">
        <v>41</v>
      </c>
      <c r="M833" s="320">
        <v>20</v>
      </c>
      <c r="N833" s="320" t="s">
        <v>40</v>
      </c>
      <c r="O833" s="320" t="s">
        <v>41</v>
      </c>
      <c r="Q833" s="320" t="s">
        <v>937</v>
      </c>
      <c r="AA833" s="362"/>
    </row>
    <row r="834" spans="1:27" s="320" customFormat="1" ht="0.65" hidden="1" customHeight="1">
      <c r="A834" s="320">
        <v>3163</v>
      </c>
      <c r="B834" s="362"/>
      <c r="R834" s="320" t="s">
        <v>465</v>
      </c>
      <c r="AA834" s="362"/>
    </row>
    <row r="835" spans="1:27" s="320" customFormat="1" ht="0.65" hidden="1" customHeight="1">
      <c r="A835" s="320">
        <v>3164</v>
      </c>
      <c r="B835" s="362"/>
      <c r="R835" s="363" t="s">
        <v>5</v>
      </c>
      <c r="S835" s="364">
        <v>2022</v>
      </c>
      <c r="AA835" s="362"/>
    </row>
    <row r="836" spans="1:27" s="320" customFormat="1" ht="0.65" hidden="1" customHeight="1">
      <c r="A836" s="320">
        <v>3165</v>
      </c>
      <c r="B836" s="362"/>
      <c r="AA836" s="362"/>
    </row>
    <row r="837" spans="1:27" s="320" customFormat="1" ht="0.65" hidden="1" customHeight="1">
      <c r="A837" s="320">
        <v>3166</v>
      </c>
      <c r="B837" s="362"/>
      <c r="R837" s="363" t="s">
        <v>32</v>
      </c>
      <c r="AA837" s="362"/>
    </row>
    <row r="838" spans="1:27" s="320" customFormat="1" ht="0.65" hidden="1" customHeight="1">
      <c r="A838" s="320">
        <v>3167</v>
      </c>
      <c r="B838" s="362"/>
      <c r="R838" s="363" t="s">
        <v>488</v>
      </c>
      <c r="S838" s="363">
        <v>300000</v>
      </c>
      <c r="AA838" s="362"/>
    </row>
    <row r="839" spans="1:27" s="320" customFormat="1" ht="0.65" hidden="1" customHeight="1">
      <c r="A839" s="320">
        <v>3168</v>
      </c>
      <c r="B839" s="362"/>
      <c r="R839" s="363" t="s">
        <v>6</v>
      </c>
      <c r="S839" s="363">
        <v>6</v>
      </c>
      <c r="AA839" s="362"/>
    </row>
    <row r="840" spans="1:27" s="320" customFormat="1" ht="0.65" hidden="1" customHeight="1">
      <c r="A840" s="320">
        <v>3169</v>
      </c>
      <c r="B840" s="362"/>
      <c r="R840" s="363" t="s">
        <v>489</v>
      </c>
      <c r="S840" s="363">
        <v>100000</v>
      </c>
      <c r="AA840" s="362"/>
    </row>
    <row r="841" spans="1:27" s="320" customFormat="1" ht="0.65" hidden="1" customHeight="1">
      <c r="A841" s="320">
        <v>3170</v>
      </c>
      <c r="B841" s="362"/>
      <c r="AA841" s="362"/>
    </row>
    <row r="842" spans="1:27" s="320" customFormat="1" ht="0.65" hidden="1" customHeight="1">
      <c r="A842" s="320">
        <v>3171</v>
      </c>
      <c r="B842" s="362"/>
      <c r="R842" s="363" t="s">
        <v>34</v>
      </c>
      <c r="S842" s="363">
        <v>720000</v>
      </c>
      <c r="AA842" s="362"/>
    </row>
    <row r="843" spans="1:27" s="320" customFormat="1" ht="0.65" hidden="1" customHeight="1">
      <c r="A843" s="320">
        <v>3172</v>
      </c>
      <c r="B843" s="362"/>
      <c r="R843" s="363" t="s">
        <v>35</v>
      </c>
      <c r="S843" s="363">
        <v>576000</v>
      </c>
      <c r="AA843" s="362"/>
    </row>
    <row r="844" spans="1:27" s="320" customFormat="1" ht="0.65" hidden="1" customHeight="1">
      <c r="A844" s="320">
        <v>3173</v>
      </c>
      <c r="B844" s="362"/>
      <c r="AA844" s="362"/>
    </row>
    <row r="845" spans="1:27" s="320" customFormat="1" ht="0.65" hidden="1" customHeight="1">
      <c r="A845" s="320">
        <v>3174</v>
      </c>
      <c r="B845" s="362"/>
      <c r="R845" s="363" t="s">
        <v>7</v>
      </c>
      <c r="S845" s="363">
        <v>60</v>
      </c>
      <c r="AA845" s="362"/>
    </row>
    <row r="846" spans="1:27" s="320" customFormat="1" ht="0.65" hidden="1" customHeight="1">
      <c r="A846" s="320">
        <v>3175</v>
      </c>
      <c r="B846" s="362"/>
      <c r="R846" s="363" t="s">
        <v>8</v>
      </c>
      <c r="S846" s="363">
        <v>30</v>
      </c>
      <c r="AA846" s="362"/>
    </row>
    <row r="847" spans="1:27" s="320" customFormat="1" ht="0.65" hidden="1" customHeight="1">
      <c r="A847" s="320">
        <v>3176</v>
      </c>
      <c r="B847" s="362"/>
      <c r="AA847" s="362"/>
    </row>
    <row r="848" spans="1:27" s="320" customFormat="1" ht="0.65" hidden="1" customHeight="1">
      <c r="A848" s="320">
        <v>3177</v>
      </c>
      <c r="B848" s="362"/>
      <c r="R848" s="363" t="s">
        <v>33</v>
      </c>
      <c r="AA848" s="362"/>
    </row>
    <row r="849" spans="1:27" s="320" customFormat="1" ht="0.65" hidden="1" customHeight="1">
      <c r="A849" s="320">
        <v>3178</v>
      </c>
      <c r="B849" s="362"/>
      <c r="R849" s="363" t="s">
        <v>492</v>
      </c>
      <c r="S849" s="363">
        <v>100000</v>
      </c>
      <c r="AA849" s="362"/>
    </row>
    <row r="850" spans="1:27" s="320" customFormat="1" ht="0.65" hidden="1" customHeight="1">
      <c r="A850" s="320">
        <v>3179</v>
      </c>
      <c r="B850" s="362"/>
      <c r="R850" s="363" t="s">
        <v>495</v>
      </c>
      <c r="S850" s="363">
        <v>200000</v>
      </c>
      <c r="AA850" s="362"/>
    </row>
    <row r="851" spans="1:27" s="320" customFormat="1" ht="0.65" hidden="1" customHeight="1">
      <c r="A851" s="320">
        <v>3180</v>
      </c>
      <c r="B851" s="362"/>
      <c r="R851" s="363" t="s">
        <v>6</v>
      </c>
      <c r="S851" s="363">
        <v>3</v>
      </c>
      <c r="AA851" s="362"/>
    </row>
    <row r="852" spans="1:27" s="320" customFormat="1" ht="0.65" hidden="1" customHeight="1">
      <c r="A852" s="320">
        <v>3181</v>
      </c>
      <c r="B852" s="362"/>
      <c r="R852" s="363" t="s">
        <v>489</v>
      </c>
      <c r="S852" s="363">
        <v>50000</v>
      </c>
      <c r="AA852" s="362"/>
    </row>
    <row r="853" spans="1:27" s="320" customFormat="1" ht="0.65" hidden="1" customHeight="1">
      <c r="A853" s="320">
        <v>3182</v>
      </c>
      <c r="B853" s="362"/>
      <c r="AA853" s="362"/>
    </row>
    <row r="854" spans="1:27" s="320" customFormat="1" ht="0.65" hidden="1" customHeight="1">
      <c r="A854" s="320">
        <v>3183</v>
      </c>
      <c r="B854" s="362"/>
      <c r="R854" s="363" t="s">
        <v>4</v>
      </c>
      <c r="S854" s="365">
        <v>0.25</v>
      </c>
      <c r="AA854" s="362"/>
    </row>
    <row r="855" spans="1:27" s="320" customFormat="1" ht="0.65" hidden="1" customHeight="1">
      <c r="A855" s="320">
        <v>3184</v>
      </c>
      <c r="B855" s="362"/>
      <c r="S855" s="363" t="s">
        <v>9</v>
      </c>
      <c r="AA855" s="362"/>
    </row>
    <row r="856" spans="1:27" s="320" customFormat="1" ht="0.65" hidden="1" customHeight="1">
      <c r="A856" s="320">
        <v>3185</v>
      </c>
      <c r="B856" s="362"/>
      <c r="AA856" s="362"/>
    </row>
    <row r="857" spans="1:27" s="320" customFormat="1" ht="0.65" hidden="1" customHeight="1">
      <c r="A857" s="320">
        <v>3186</v>
      </c>
      <c r="B857" s="362"/>
      <c r="R857" s="363" t="s">
        <v>10</v>
      </c>
      <c r="S857" s="363">
        <v>180000</v>
      </c>
      <c r="AA857" s="362"/>
    </row>
    <row r="858" spans="1:27" s="320" customFormat="1" ht="0.65" hidden="1" customHeight="1">
      <c r="A858" s="320">
        <v>3187</v>
      </c>
      <c r="B858" s="362"/>
      <c r="R858" s="363" t="s">
        <v>11</v>
      </c>
      <c r="S858" s="363">
        <v>450000</v>
      </c>
      <c r="AA858" s="362"/>
    </row>
    <row r="859" spans="1:27" s="320" customFormat="1" ht="0.65" hidden="1" customHeight="1">
      <c r="A859" s="320">
        <v>3188</v>
      </c>
      <c r="B859" s="362"/>
      <c r="R859" s="363" t="s">
        <v>12</v>
      </c>
      <c r="S859" s="366">
        <v>0.03</v>
      </c>
      <c r="AA859" s="362"/>
    </row>
    <row r="860" spans="1:27" s="320" customFormat="1" ht="0.65" hidden="1" customHeight="1">
      <c r="A860" s="320">
        <v>3189</v>
      </c>
      <c r="B860" s="362"/>
      <c r="R860" s="363" t="s">
        <v>2</v>
      </c>
      <c r="S860" s="363">
        <v>3000000</v>
      </c>
      <c r="AA860" s="362"/>
    </row>
    <row r="861" spans="1:27" s="320" customFormat="1" ht="0.65" hidden="1" customHeight="1">
      <c r="A861" s="320">
        <v>3190</v>
      </c>
      <c r="B861" s="362"/>
      <c r="R861" s="363" t="s">
        <v>3</v>
      </c>
      <c r="S861" s="363">
        <v>9000000</v>
      </c>
      <c r="AA861" s="362"/>
    </row>
    <row r="862" spans="1:27" s="320" customFormat="1" ht="0.65" hidden="1" customHeight="1">
      <c r="A862" s="320">
        <v>3191</v>
      </c>
      <c r="B862" s="362"/>
      <c r="AA862" s="362"/>
    </row>
    <row r="863" spans="1:27" s="320" customFormat="1" ht="0.65" hidden="1" customHeight="1">
      <c r="A863" s="320">
        <v>3192</v>
      </c>
      <c r="B863" s="362"/>
      <c r="R863" s="363" t="s">
        <v>14</v>
      </c>
      <c r="S863" s="363" t="s">
        <v>16</v>
      </c>
      <c r="AA863" s="362"/>
    </row>
    <row r="864" spans="1:27" s="320" customFormat="1" ht="0.65" hidden="1" customHeight="1">
      <c r="A864" s="320">
        <v>3193</v>
      </c>
      <c r="B864" s="362"/>
      <c r="AA864" s="362"/>
    </row>
    <row r="865" spans="1:27" s="320" customFormat="1" ht="0.65" hidden="1" customHeight="1">
      <c r="A865" s="320">
        <v>3194</v>
      </c>
      <c r="B865" s="362"/>
      <c r="R865" s="363" t="s">
        <v>0</v>
      </c>
      <c r="S865" s="363" t="s">
        <v>69</v>
      </c>
      <c r="T865" s="363" t="s">
        <v>70</v>
      </c>
      <c r="U865" s="363" t="s">
        <v>71</v>
      </c>
      <c r="V865" s="363" t="s">
        <v>72</v>
      </c>
      <c r="W865" s="363" t="s">
        <v>73</v>
      </c>
      <c r="X865" s="363" t="s">
        <v>74</v>
      </c>
      <c r="Y865" s="363" t="s">
        <v>75</v>
      </c>
      <c r="AA865" s="362"/>
    </row>
    <row r="866" spans="1:27" s="320" customFormat="1" ht="0.65" hidden="1" customHeight="1">
      <c r="A866" s="320">
        <v>3195</v>
      </c>
      <c r="B866" s="362"/>
      <c r="R866" s="364">
        <v>2023</v>
      </c>
      <c r="S866" s="363">
        <v>720000</v>
      </c>
      <c r="T866" s="363">
        <v>576000</v>
      </c>
      <c r="U866" s="363">
        <v>-16666.666666666672</v>
      </c>
      <c r="V866" s="363">
        <v>160666.66666666669</v>
      </c>
      <c r="W866" s="363">
        <v>40166.666666666672</v>
      </c>
      <c r="X866" s="363">
        <v>120500.00000000001</v>
      </c>
      <c r="Y866" s="363">
        <v>103833.33333333334</v>
      </c>
      <c r="AA866" s="362"/>
    </row>
    <row r="867" spans="1:27" s="320" customFormat="1" ht="0.65" hidden="1" customHeight="1">
      <c r="A867" s="320">
        <v>3196</v>
      </c>
      <c r="B867" s="362"/>
      <c r="R867" s="364">
        <v>2024</v>
      </c>
      <c r="S867" s="363">
        <v>720000</v>
      </c>
      <c r="T867" s="363">
        <v>576000</v>
      </c>
      <c r="U867" s="363">
        <v>-16666.666666666672</v>
      </c>
      <c r="V867" s="363">
        <v>160666.66666666669</v>
      </c>
      <c r="W867" s="363">
        <v>40166.666666666672</v>
      </c>
      <c r="X867" s="363">
        <v>120500.00000000001</v>
      </c>
      <c r="Y867" s="363">
        <v>103833.33333333334</v>
      </c>
      <c r="AA867" s="362"/>
    </row>
    <row r="868" spans="1:27" s="320" customFormat="1" ht="0.65" hidden="1" customHeight="1">
      <c r="A868" s="320">
        <v>3197</v>
      </c>
      <c r="B868" s="362"/>
      <c r="R868" s="364">
        <v>2025</v>
      </c>
      <c r="S868" s="363">
        <v>720000</v>
      </c>
      <c r="T868" s="363">
        <v>576000</v>
      </c>
      <c r="U868" s="363">
        <v>-16666.666666666672</v>
      </c>
      <c r="V868" s="363">
        <v>160666.66666666669</v>
      </c>
      <c r="W868" s="363">
        <v>40166.666666666672</v>
      </c>
      <c r="X868" s="363">
        <v>120500.00000000001</v>
      </c>
      <c r="Y868" s="363">
        <v>103833.33333333334</v>
      </c>
      <c r="AA868" s="362"/>
    </row>
    <row r="869" spans="1:27" s="320" customFormat="1" ht="0.65" hidden="1" customHeight="1">
      <c r="A869" s="320">
        <v>3198</v>
      </c>
      <c r="B869" s="362"/>
      <c r="AA869" s="362"/>
    </row>
    <row r="870" spans="1:27" s="320" customFormat="1" ht="0.65" hidden="1" customHeight="1">
      <c r="A870" s="320">
        <v>3199</v>
      </c>
      <c r="B870" s="362"/>
      <c r="R870" s="363" t="s">
        <v>0</v>
      </c>
      <c r="S870" s="363" t="s">
        <v>76</v>
      </c>
      <c r="T870" s="363" t="s">
        <v>77</v>
      </c>
      <c r="U870" s="363" t="s">
        <v>78</v>
      </c>
      <c r="V870" s="363" t="s">
        <v>79</v>
      </c>
      <c r="AA870" s="362"/>
    </row>
    <row r="871" spans="1:27" s="320" customFormat="1" ht="0.65" hidden="1" customHeight="1">
      <c r="A871" s="320">
        <v>3200</v>
      </c>
      <c r="B871" s="362"/>
      <c r="R871" s="364">
        <v>2022</v>
      </c>
      <c r="S871" s="363">
        <v>0</v>
      </c>
      <c r="T871" s="363">
        <v>0</v>
      </c>
      <c r="U871" s="363">
        <v>0</v>
      </c>
      <c r="V871" s="363">
        <v>0</v>
      </c>
      <c r="AA871" s="362"/>
    </row>
    <row r="872" spans="1:27" s="320" customFormat="1" ht="0.65" hidden="1" customHeight="1">
      <c r="A872" s="320">
        <v>3201</v>
      </c>
      <c r="B872" s="362"/>
      <c r="R872" s="364">
        <v>2023</v>
      </c>
      <c r="S872" s="363">
        <v>120000</v>
      </c>
      <c r="T872" s="363">
        <v>48000</v>
      </c>
      <c r="U872" s="363">
        <v>72000</v>
      </c>
      <c r="V872" s="363">
        <v>72000</v>
      </c>
      <c r="AA872" s="362"/>
    </row>
    <row r="873" spans="1:27" s="320" customFormat="1" ht="0.65" hidden="1" customHeight="1">
      <c r="A873" s="320">
        <v>3202</v>
      </c>
      <c r="B873" s="362"/>
      <c r="R873" s="364">
        <v>2024</v>
      </c>
      <c r="S873" s="363">
        <v>120000</v>
      </c>
      <c r="T873" s="363">
        <v>48000</v>
      </c>
      <c r="U873" s="363">
        <v>72000</v>
      </c>
      <c r="V873" s="363">
        <v>0</v>
      </c>
      <c r="AA873" s="362"/>
    </row>
    <row r="874" spans="1:27" s="320" customFormat="1" ht="0.65" hidden="1" customHeight="1">
      <c r="A874" s="320">
        <v>3203</v>
      </c>
      <c r="B874" s="362"/>
      <c r="R874" s="364">
        <v>2025</v>
      </c>
      <c r="S874" s="363">
        <v>120000</v>
      </c>
      <c r="T874" s="363">
        <v>48000</v>
      </c>
      <c r="U874" s="363">
        <v>72000</v>
      </c>
      <c r="V874" s="363">
        <v>0</v>
      </c>
      <c r="AA874" s="362"/>
    </row>
    <row r="875" spans="1:27" s="320" customFormat="1" ht="0.65" hidden="1" customHeight="1">
      <c r="A875" s="320">
        <v>3204</v>
      </c>
      <c r="B875" s="362"/>
      <c r="AA875" s="362"/>
    </row>
    <row r="876" spans="1:27" s="320" customFormat="1" ht="0.65" hidden="1" customHeight="1">
      <c r="A876" s="320">
        <v>3205</v>
      </c>
      <c r="B876" s="362"/>
      <c r="V876" s="363" t="s">
        <v>81</v>
      </c>
      <c r="AA876" s="362"/>
    </row>
    <row r="877" spans="1:27" s="320" customFormat="1" ht="0.65" hidden="1" customHeight="1">
      <c r="A877" s="320">
        <v>3206</v>
      </c>
      <c r="B877" s="362"/>
      <c r="R877" s="363" t="s">
        <v>0</v>
      </c>
      <c r="S877" s="363" t="s">
        <v>75</v>
      </c>
      <c r="T877" s="363" t="s">
        <v>79</v>
      </c>
      <c r="U877" s="363" t="s">
        <v>80</v>
      </c>
      <c r="V877" s="363" t="s">
        <v>1</v>
      </c>
      <c r="AA877" s="362"/>
    </row>
    <row r="878" spans="1:27" s="320" customFormat="1" ht="0.65" hidden="1" customHeight="1">
      <c r="A878" s="320">
        <v>3207</v>
      </c>
      <c r="B878" s="362"/>
      <c r="R878" s="364">
        <v>2022</v>
      </c>
      <c r="S878" s="363">
        <v>0</v>
      </c>
      <c r="T878" s="363">
        <v>0</v>
      </c>
      <c r="U878" s="363">
        <v>0</v>
      </c>
      <c r="V878" s="363">
        <v>-175000</v>
      </c>
      <c r="AA878" s="362"/>
    </row>
    <row r="879" spans="1:27" s="320" customFormat="1" ht="0.65" hidden="1" customHeight="1">
      <c r="A879" s="320">
        <v>3208</v>
      </c>
      <c r="B879" s="362"/>
      <c r="R879" s="364">
        <v>2023</v>
      </c>
      <c r="S879" s="363">
        <v>103833.33333333334</v>
      </c>
      <c r="T879" s="363">
        <v>72000</v>
      </c>
      <c r="U879" s="363">
        <v>31833.333333333343</v>
      </c>
      <c r="V879" s="363">
        <v>31833.333333333343</v>
      </c>
      <c r="AA879" s="362"/>
    </row>
    <row r="880" spans="1:27" s="320" customFormat="1" ht="0.65" hidden="1" customHeight="1">
      <c r="A880" s="320">
        <v>3209</v>
      </c>
      <c r="B880" s="362"/>
      <c r="R880" s="364">
        <v>2024</v>
      </c>
      <c r="S880" s="363">
        <v>103833.33333333334</v>
      </c>
      <c r="T880" s="363">
        <v>0</v>
      </c>
      <c r="U880" s="363">
        <v>103833.33333333334</v>
      </c>
      <c r="V880" s="363">
        <v>103833.33333333334</v>
      </c>
      <c r="AA880" s="362"/>
    </row>
    <row r="881" spans="1:28" s="320" customFormat="1" ht="0.65" hidden="1" customHeight="1">
      <c r="A881" s="320">
        <v>3210</v>
      </c>
      <c r="B881" s="362"/>
      <c r="R881" s="364">
        <v>2025</v>
      </c>
      <c r="S881" s="363">
        <v>103833.33333333334</v>
      </c>
      <c r="T881" s="363">
        <v>0</v>
      </c>
      <c r="U881" s="363">
        <v>103833.33333333334</v>
      </c>
      <c r="V881" s="363">
        <v>250833.33333333334</v>
      </c>
      <c r="AA881" s="362"/>
    </row>
    <row r="882" spans="1:28" s="320" customFormat="1" ht="0.65" hidden="1" customHeight="1">
      <c r="A882" s="320">
        <v>3211</v>
      </c>
      <c r="B882" s="362"/>
      <c r="AA882" s="362"/>
    </row>
    <row r="883" spans="1:28" s="320" customFormat="1" ht="0.65" hidden="1" customHeight="1">
      <c r="A883" s="320">
        <v>3212</v>
      </c>
      <c r="B883" s="362"/>
      <c r="R883" s="363" t="s">
        <v>490</v>
      </c>
      <c r="S883" s="363">
        <v>175000</v>
      </c>
      <c r="U883" s="363" t="s">
        <v>124</v>
      </c>
      <c r="V883" s="366">
        <v>4.4999999999999998E-2</v>
      </c>
      <c r="X883" s="363" t="s">
        <v>13</v>
      </c>
      <c r="Y883" s="363">
        <v>149235.38433886995</v>
      </c>
      <c r="AA883" s="362"/>
    </row>
    <row r="884" spans="1:28" s="320" customFormat="1" ht="0.65" hidden="1" customHeight="1">
      <c r="A884" s="320">
        <v>3213</v>
      </c>
      <c r="B884" s="362"/>
      <c r="R884" s="363" t="s">
        <v>491</v>
      </c>
      <c r="S884" s="363">
        <v>75000</v>
      </c>
      <c r="U884" s="363" t="s">
        <v>125</v>
      </c>
      <c r="V884" s="366">
        <v>0.08</v>
      </c>
      <c r="X884" s="320" t="s">
        <v>28</v>
      </c>
      <c r="Y884" s="366">
        <v>0.37357216681627725</v>
      </c>
      <c r="AA884" s="362"/>
    </row>
    <row r="885" spans="1:28" s="320" customFormat="1" ht="0.65" hidden="1" customHeight="1">
      <c r="A885" s="320">
        <v>3214</v>
      </c>
      <c r="B885" s="362"/>
      <c r="R885" s="363" t="s">
        <v>493</v>
      </c>
      <c r="S885" s="363">
        <v>72000</v>
      </c>
      <c r="U885" s="363" t="s">
        <v>126</v>
      </c>
      <c r="V885" s="366">
        <v>7.1249999999999994E-2</v>
      </c>
      <c r="X885" s="320" t="s">
        <v>29</v>
      </c>
      <c r="Y885" s="367">
        <v>0.85277362479354257</v>
      </c>
      <c r="AA885" s="362"/>
    </row>
    <row r="886" spans="1:28" s="320" customFormat="1" ht="0.65" hidden="1" customHeight="1">
      <c r="A886" s="320">
        <v>3215</v>
      </c>
      <c r="B886" s="362"/>
      <c r="R886" s="363" t="s">
        <v>494</v>
      </c>
      <c r="S886" s="363">
        <v>147000</v>
      </c>
      <c r="X886" s="320" t="s">
        <v>30</v>
      </c>
      <c r="Y886" s="320">
        <v>3</v>
      </c>
      <c r="AA886" s="362"/>
    </row>
    <row r="887" spans="1:28" s="320" customFormat="1" ht="0.65" hidden="1" customHeight="1">
      <c r="B887" s="362"/>
      <c r="AA887" s="362"/>
    </row>
    <row r="888" spans="1:28" s="320" customFormat="1" ht="0.65" hidden="1" customHeight="1">
      <c r="B888" s="362"/>
      <c r="AA888" s="362"/>
    </row>
    <row r="889" spans="1:28" s="320" customFormat="1" ht="0.65" hidden="1" customHeight="1">
      <c r="B889" s="362"/>
      <c r="AA889" s="362"/>
    </row>
    <row r="890" spans="1:28" s="320" customFormat="1" ht="0.65" hidden="1" customHeight="1">
      <c r="A890" s="320">
        <v>4001</v>
      </c>
      <c r="B890" s="362" t="s">
        <v>55</v>
      </c>
      <c r="D890" s="320">
        <v>1</v>
      </c>
      <c r="E890" s="320" t="s">
        <v>51</v>
      </c>
      <c r="Z890" s="320" t="s">
        <v>38</v>
      </c>
      <c r="AA890" s="362"/>
    </row>
    <row r="891" spans="1:28" s="320" customFormat="1" ht="0.65" hidden="1" customHeight="1">
      <c r="A891" s="320">
        <v>4002</v>
      </c>
      <c r="B891" s="362"/>
      <c r="D891" s="320" t="s">
        <v>38</v>
      </c>
      <c r="F891" s="320" t="s">
        <v>800</v>
      </c>
      <c r="J891" s="320" t="s">
        <v>1514</v>
      </c>
      <c r="AA891" s="362"/>
    </row>
    <row r="892" spans="1:28" s="320" customFormat="1" ht="0.65" hidden="1" customHeight="1">
      <c r="A892" s="320">
        <v>4003</v>
      </c>
      <c r="B892" s="362" t="s">
        <v>55</v>
      </c>
      <c r="C892" s="320" t="s">
        <v>39</v>
      </c>
      <c r="D892" s="320" t="s">
        <v>55</v>
      </c>
      <c r="E892" s="320" t="s">
        <v>36</v>
      </c>
      <c r="F892" s="320" t="s">
        <v>1515</v>
      </c>
      <c r="Z892" s="320" t="s">
        <v>38</v>
      </c>
      <c r="AA892" s="362">
        <v>306250</v>
      </c>
      <c r="AB892" s="320" t="s">
        <v>1514</v>
      </c>
    </row>
    <row r="893" spans="1:28" s="320" customFormat="1" ht="0.65" hidden="1" customHeight="1">
      <c r="A893" s="320">
        <v>4004</v>
      </c>
      <c r="B893" s="362" t="s">
        <v>55</v>
      </c>
      <c r="C893" s="320" t="s">
        <v>41</v>
      </c>
      <c r="D893" s="320" t="s">
        <v>55</v>
      </c>
      <c r="F893" s="320" t="s">
        <v>1516</v>
      </c>
      <c r="Z893" s="320" t="s">
        <v>40</v>
      </c>
      <c r="AA893" s="362">
        <v>693750</v>
      </c>
      <c r="AB893" s="320" t="s">
        <v>58</v>
      </c>
    </row>
    <row r="894" spans="1:28" s="320" customFormat="1" ht="0.65" hidden="1" customHeight="1">
      <c r="A894" s="320">
        <v>4005</v>
      </c>
      <c r="B894" s="362" t="s">
        <v>55</v>
      </c>
      <c r="C894" s="320" t="s">
        <v>43</v>
      </c>
      <c r="D894" s="320" t="s">
        <v>55</v>
      </c>
      <c r="F894" s="320" t="s">
        <v>1517</v>
      </c>
      <c r="Z894" s="320" t="s">
        <v>42</v>
      </c>
      <c r="AA894" s="362">
        <v>325000</v>
      </c>
      <c r="AB894" s="320" t="s">
        <v>57</v>
      </c>
    </row>
    <row r="895" spans="1:28" s="320" customFormat="1" ht="0.65" hidden="1" customHeight="1">
      <c r="A895" s="320">
        <v>4006</v>
      </c>
      <c r="B895" s="362" t="s">
        <v>55</v>
      </c>
      <c r="C895" s="320" t="s">
        <v>45</v>
      </c>
      <c r="D895" s="320" t="s">
        <v>55</v>
      </c>
      <c r="F895" s="320" t="s">
        <v>1518</v>
      </c>
      <c r="Z895" s="320" t="s">
        <v>44</v>
      </c>
      <c r="AA895" s="362">
        <v>675000</v>
      </c>
      <c r="AB895" s="320" t="s">
        <v>59</v>
      </c>
    </row>
    <row r="896" spans="1:28" s="320" customFormat="1" ht="0.65" hidden="1" customHeight="1">
      <c r="A896" s="320">
        <v>4007</v>
      </c>
      <c r="B896" s="362"/>
      <c r="AA896" s="362"/>
    </row>
    <row r="897" spans="1:28" s="320" customFormat="1" ht="0.65" hidden="1" customHeight="1">
      <c r="A897" s="320">
        <v>4008</v>
      </c>
      <c r="B897" s="362" t="s">
        <v>55</v>
      </c>
      <c r="D897" s="320">
        <v>2</v>
      </c>
      <c r="E897" s="320" t="s">
        <v>829</v>
      </c>
      <c r="Z897" s="320" t="s">
        <v>42</v>
      </c>
      <c r="AA897" s="362"/>
    </row>
    <row r="898" spans="1:28" s="320" customFormat="1" ht="0.65" hidden="1" customHeight="1">
      <c r="A898" s="320">
        <v>4009</v>
      </c>
      <c r="B898" s="362"/>
      <c r="D898" s="320" t="s">
        <v>42</v>
      </c>
      <c r="F898" s="320" t="s">
        <v>800</v>
      </c>
      <c r="J898" s="320" t="s">
        <v>1519</v>
      </c>
      <c r="AA898" s="362"/>
    </row>
    <row r="899" spans="1:28" s="320" customFormat="1" ht="0.65" hidden="1" customHeight="1">
      <c r="A899" s="320">
        <v>4010</v>
      </c>
      <c r="B899" s="362" t="s">
        <v>55</v>
      </c>
      <c r="C899" s="320" t="s">
        <v>39</v>
      </c>
      <c r="D899" s="320" t="s">
        <v>55</v>
      </c>
      <c r="F899" s="320" t="s">
        <v>1520</v>
      </c>
      <c r="Z899" s="320" t="s">
        <v>38</v>
      </c>
      <c r="AA899" s="362">
        <v>250000</v>
      </c>
      <c r="AB899" s="320" t="s">
        <v>60</v>
      </c>
    </row>
    <row r="900" spans="1:28" s="320" customFormat="1" ht="0.65" hidden="1" customHeight="1">
      <c r="A900" s="320">
        <v>4011</v>
      </c>
      <c r="B900" s="362" t="s">
        <v>55</v>
      </c>
      <c r="C900" s="320" t="s">
        <v>41</v>
      </c>
      <c r="D900" s="320" t="s">
        <v>55</v>
      </c>
      <c r="F900" s="320" t="s">
        <v>833</v>
      </c>
      <c r="Z900" s="320" t="s">
        <v>40</v>
      </c>
      <c r="AA900" s="362">
        <v>175000</v>
      </c>
      <c r="AB900" s="320" t="s">
        <v>61</v>
      </c>
    </row>
    <row r="901" spans="1:28" s="320" customFormat="1" ht="0.65" hidden="1" customHeight="1">
      <c r="A901" s="320">
        <v>4012</v>
      </c>
      <c r="B901" s="362" t="s">
        <v>55</v>
      </c>
      <c r="C901" s="320" t="s">
        <v>43</v>
      </c>
      <c r="D901" s="320" t="s">
        <v>55</v>
      </c>
      <c r="E901" s="320" t="s">
        <v>36</v>
      </c>
      <c r="F901" s="320" t="s">
        <v>1521</v>
      </c>
      <c r="Z901" s="320" t="s">
        <v>42</v>
      </c>
      <c r="AA901" s="362">
        <v>193750</v>
      </c>
      <c r="AB901" s="320" t="s">
        <v>1519</v>
      </c>
    </row>
    <row r="902" spans="1:28" s="320" customFormat="1" ht="0.65" hidden="1" customHeight="1">
      <c r="A902" s="320">
        <v>4013</v>
      </c>
      <c r="B902" s="362" t="s">
        <v>55</v>
      </c>
      <c r="C902" s="320" t="s">
        <v>45</v>
      </c>
      <c r="D902" s="320" t="s">
        <v>55</v>
      </c>
      <c r="F902" s="320" t="s">
        <v>834</v>
      </c>
      <c r="Z902" s="320" t="s">
        <v>44</v>
      </c>
      <c r="AA902" s="362"/>
      <c r="AB902" s="320" t="s">
        <v>1519</v>
      </c>
    </row>
    <row r="903" spans="1:28" s="320" customFormat="1" ht="0.65" hidden="1" customHeight="1">
      <c r="A903" s="320">
        <v>4014</v>
      </c>
      <c r="B903" s="362"/>
      <c r="AA903" s="362"/>
    </row>
    <row r="904" spans="1:28" s="320" customFormat="1" ht="0.65" hidden="1" customHeight="1">
      <c r="A904" s="320">
        <v>4015</v>
      </c>
      <c r="B904" s="362" t="s">
        <v>55</v>
      </c>
      <c r="D904" s="320">
        <v>3</v>
      </c>
      <c r="E904" s="320" t="s">
        <v>835</v>
      </c>
      <c r="Z904" s="320" t="s">
        <v>42</v>
      </c>
      <c r="AA904" s="362"/>
    </row>
    <row r="905" spans="1:28" s="320" customFormat="1" ht="0.65" hidden="1" customHeight="1">
      <c r="A905" s="320">
        <v>4016</v>
      </c>
      <c r="B905" s="362"/>
      <c r="D905" s="320" t="s">
        <v>42</v>
      </c>
      <c r="F905" s="320" t="s">
        <v>800</v>
      </c>
      <c r="J905" s="320" t="s">
        <v>63</v>
      </c>
      <c r="AA905" s="362"/>
    </row>
    <row r="906" spans="1:28" s="320" customFormat="1" ht="0.65" hidden="1" customHeight="1">
      <c r="A906" s="320">
        <v>4017</v>
      </c>
      <c r="B906" s="362" t="s">
        <v>55</v>
      </c>
      <c r="C906" s="320" t="s">
        <v>39</v>
      </c>
      <c r="D906" s="320" t="s">
        <v>55</v>
      </c>
      <c r="F906" s="320" t="s">
        <v>1522</v>
      </c>
      <c r="Z906" s="320" t="s">
        <v>38</v>
      </c>
      <c r="AA906" s="362">
        <v>1800000</v>
      </c>
      <c r="AB906" s="320" t="s">
        <v>62</v>
      </c>
    </row>
    <row r="907" spans="1:28" s="320" customFormat="1" ht="0.65" hidden="1" customHeight="1">
      <c r="A907" s="320">
        <v>4018</v>
      </c>
      <c r="B907" s="362" t="s">
        <v>55</v>
      </c>
      <c r="C907" s="320" t="s">
        <v>41</v>
      </c>
      <c r="D907" s="320" t="s">
        <v>55</v>
      </c>
      <c r="F907" s="320" t="s">
        <v>1523</v>
      </c>
      <c r="Z907" s="320" t="s">
        <v>40</v>
      </c>
      <c r="AA907" s="362">
        <v>1200000</v>
      </c>
      <c r="AB907" s="320" t="s">
        <v>62</v>
      </c>
    </row>
    <row r="908" spans="1:28" s="320" customFormat="1" ht="0.65" hidden="1" customHeight="1">
      <c r="A908" s="320">
        <v>4019</v>
      </c>
      <c r="B908" s="362" t="s">
        <v>55</v>
      </c>
      <c r="C908" s="320" t="s">
        <v>43</v>
      </c>
      <c r="D908" s="320" t="s">
        <v>55</v>
      </c>
      <c r="E908" s="320" t="s">
        <v>36</v>
      </c>
      <c r="F908" s="320" t="s">
        <v>1524</v>
      </c>
      <c r="Z908" s="320" t="s">
        <v>42</v>
      </c>
      <c r="AA908" s="362">
        <v>600000</v>
      </c>
      <c r="AB908" s="320" t="s">
        <v>63</v>
      </c>
    </row>
    <row r="909" spans="1:28" s="320" customFormat="1" ht="0.65" hidden="1" customHeight="1">
      <c r="A909" s="320">
        <v>4020</v>
      </c>
      <c r="B909" s="362" t="s">
        <v>55</v>
      </c>
      <c r="C909" s="320" t="s">
        <v>45</v>
      </c>
      <c r="D909" s="320" t="s">
        <v>55</v>
      </c>
      <c r="F909" s="320" t="s">
        <v>834</v>
      </c>
      <c r="Z909" s="320" t="s">
        <v>44</v>
      </c>
      <c r="AA909" s="362"/>
      <c r="AB909" s="320" t="s">
        <v>63</v>
      </c>
    </row>
    <row r="910" spans="1:28" s="320" customFormat="1" ht="0.65" hidden="1" customHeight="1">
      <c r="A910" s="320">
        <v>4021</v>
      </c>
      <c r="B910" s="362"/>
      <c r="AA910" s="362"/>
    </row>
    <row r="911" spans="1:28" s="320" customFormat="1" ht="0.65" hidden="1" customHeight="1">
      <c r="A911" s="320">
        <v>4022</v>
      </c>
      <c r="B911" s="362" t="s">
        <v>55</v>
      </c>
      <c r="D911" s="320">
        <v>4</v>
      </c>
      <c r="E911" s="320" t="s">
        <v>839</v>
      </c>
      <c r="Z911" s="320" t="s">
        <v>40</v>
      </c>
      <c r="AA911" s="362"/>
    </row>
    <row r="912" spans="1:28" s="320" customFormat="1" ht="0.65" hidden="1" customHeight="1">
      <c r="A912" s="320">
        <v>4023</v>
      </c>
      <c r="B912" s="362"/>
      <c r="D912" s="320" t="s">
        <v>40</v>
      </c>
      <c r="F912" s="320" t="s">
        <v>800</v>
      </c>
      <c r="J912" s="320" t="s">
        <v>1525</v>
      </c>
      <c r="AA912" s="362"/>
    </row>
    <row r="913" spans="1:28" s="320" customFormat="1" ht="0.65" hidden="1" customHeight="1">
      <c r="A913" s="320">
        <v>4024</v>
      </c>
      <c r="B913" s="362" t="s">
        <v>55</v>
      </c>
      <c r="C913" s="320" t="s">
        <v>39</v>
      </c>
      <c r="D913" s="320" t="s">
        <v>55</v>
      </c>
      <c r="F913" s="320" t="s">
        <v>1526</v>
      </c>
      <c r="Z913" s="320" t="s">
        <v>38</v>
      </c>
      <c r="AA913" s="362">
        <v>112500</v>
      </c>
      <c r="AB913" s="320" t="s">
        <v>64</v>
      </c>
    </row>
    <row r="914" spans="1:28" s="320" customFormat="1" ht="0.65" hidden="1" customHeight="1">
      <c r="A914" s="320">
        <v>4025</v>
      </c>
      <c r="B914" s="362" t="s">
        <v>55</v>
      </c>
      <c r="C914" s="320" t="s">
        <v>41</v>
      </c>
      <c r="D914" s="320" t="s">
        <v>55</v>
      </c>
      <c r="E914" s="320" t="s">
        <v>36</v>
      </c>
      <c r="F914" s="320" t="s">
        <v>1527</v>
      </c>
      <c r="Z914" s="320" t="s">
        <v>40</v>
      </c>
      <c r="AA914" s="362">
        <v>-12500</v>
      </c>
      <c r="AB914" s="320" t="s">
        <v>1525</v>
      </c>
    </row>
    <row r="915" spans="1:28" s="320" customFormat="1" ht="0.65" hidden="1" customHeight="1">
      <c r="A915" s="320">
        <v>4026</v>
      </c>
      <c r="B915" s="362" t="s">
        <v>55</v>
      </c>
      <c r="C915" s="320" t="s">
        <v>43</v>
      </c>
      <c r="D915" s="320" t="s">
        <v>55</v>
      </c>
      <c r="F915" s="320" t="s">
        <v>842</v>
      </c>
      <c r="Z915" s="320" t="s">
        <v>42</v>
      </c>
      <c r="AA915" s="362">
        <v>50000</v>
      </c>
      <c r="AB915" s="320" t="s">
        <v>65</v>
      </c>
    </row>
    <row r="916" spans="1:28" s="320" customFormat="1" ht="0.65" hidden="1" customHeight="1">
      <c r="A916" s="320">
        <v>4027</v>
      </c>
      <c r="B916" s="362" t="s">
        <v>55</v>
      </c>
      <c r="C916" s="320" t="s">
        <v>45</v>
      </c>
      <c r="D916" s="320" t="s">
        <v>55</v>
      </c>
      <c r="F916" s="320" t="s">
        <v>834</v>
      </c>
      <c r="Z916" s="320" t="s">
        <v>44</v>
      </c>
      <c r="AA916" s="362"/>
      <c r="AB916" s="320" t="s">
        <v>1525</v>
      </c>
    </row>
    <row r="917" spans="1:28" s="320" customFormat="1" ht="0.65" hidden="1" customHeight="1">
      <c r="A917" s="320">
        <v>4028</v>
      </c>
      <c r="B917" s="362"/>
      <c r="AA917" s="362"/>
    </row>
    <row r="918" spans="1:28" s="320" customFormat="1" ht="0.65" hidden="1" customHeight="1">
      <c r="A918" s="320">
        <v>4029</v>
      </c>
      <c r="B918" s="362" t="s">
        <v>55</v>
      </c>
      <c r="D918" s="320">
        <v>5</v>
      </c>
      <c r="E918" s="320" t="s">
        <v>844</v>
      </c>
      <c r="Z918" s="320" t="s">
        <v>40</v>
      </c>
      <c r="AA918" s="362"/>
    </row>
    <row r="919" spans="1:28" s="320" customFormat="1" ht="0.65" hidden="1" customHeight="1">
      <c r="A919" s="320">
        <v>4030</v>
      </c>
      <c r="B919" s="362"/>
      <c r="D919" s="320" t="s">
        <v>40</v>
      </c>
      <c r="F919" s="320" t="s">
        <v>800</v>
      </c>
      <c r="J919" s="320" t="s">
        <v>1525</v>
      </c>
      <c r="AA919" s="362"/>
    </row>
    <row r="920" spans="1:28" s="320" customFormat="1" ht="0.65" hidden="1" customHeight="1">
      <c r="A920" s="320">
        <v>4031</v>
      </c>
      <c r="B920" s="362" t="s">
        <v>55</v>
      </c>
      <c r="C920" s="320" t="s">
        <v>39</v>
      </c>
      <c r="D920" s="320" t="s">
        <v>55</v>
      </c>
      <c r="F920" s="320" t="s">
        <v>846</v>
      </c>
      <c r="Z920" s="320" t="s">
        <v>38</v>
      </c>
      <c r="AA920" s="362">
        <v>-12500</v>
      </c>
      <c r="AB920" s="320" t="s">
        <v>1099</v>
      </c>
    </row>
    <row r="921" spans="1:28" s="320" customFormat="1" ht="0.65" hidden="1" customHeight="1">
      <c r="A921" s="320">
        <v>4032</v>
      </c>
      <c r="B921" s="362" t="s">
        <v>55</v>
      </c>
      <c r="C921" s="320" t="s">
        <v>41</v>
      </c>
      <c r="D921" s="320" t="s">
        <v>55</v>
      </c>
      <c r="E921" s="320" t="s">
        <v>36</v>
      </c>
      <c r="F921" s="320" t="s">
        <v>1528</v>
      </c>
      <c r="Z921" s="320" t="s">
        <v>40</v>
      </c>
      <c r="AA921" s="362">
        <v>50000</v>
      </c>
      <c r="AB921" s="320" t="s">
        <v>1525</v>
      </c>
    </row>
    <row r="922" spans="1:28" s="320" customFormat="1" ht="0.65" hidden="1" customHeight="1">
      <c r="A922" s="320">
        <v>4033</v>
      </c>
      <c r="B922" s="362" t="s">
        <v>55</v>
      </c>
      <c r="C922" s="320" t="s">
        <v>43</v>
      </c>
      <c r="D922" s="320" t="s">
        <v>55</v>
      </c>
      <c r="F922" s="320" t="s">
        <v>1529</v>
      </c>
      <c r="Z922" s="320" t="s">
        <v>42</v>
      </c>
      <c r="AA922" s="362">
        <v>112500</v>
      </c>
      <c r="AB922" s="320" t="s">
        <v>1102</v>
      </c>
    </row>
    <row r="923" spans="1:28" s="320" customFormat="1" ht="0.65" hidden="1" customHeight="1">
      <c r="A923" s="320">
        <v>4034</v>
      </c>
      <c r="B923" s="362" t="s">
        <v>55</v>
      </c>
      <c r="C923" s="320" t="s">
        <v>45</v>
      </c>
      <c r="D923" s="320" t="s">
        <v>55</v>
      </c>
      <c r="F923" s="320" t="s">
        <v>834</v>
      </c>
      <c r="Z923" s="320" t="s">
        <v>44</v>
      </c>
      <c r="AA923" s="362"/>
      <c r="AB923" s="320" t="s">
        <v>1525</v>
      </c>
    </row>
    <row r="924" spans="1:28" s="320" customFormat="1" ht="0.65" hidden="1" customHeight="1">
      <c r="A924" s="320">
        <v>4035</v>
      </c>
      <c r="B924" s="362"/>
      <c r="AA924" s="362"/>
    </row>
    <row r="925" spans="1:28" s="320" customFormat="1" ht="0.65" hidden="1" customHeight="1">
      <c r="A925" s="320">
        <v>4036</v>
      </c>
      <c r="B925" s="362" t="s">
        <v>55</v>
      </c>
      <c r="D925" s="320">
        <v>6</v>
      </c>
      <c r="E925" s="320" t="s">
        <v>851</v>
      </c>
      <c r="Z925" s="320" t="s">
        <v>44</v>
      </c>
      <c r="AA925" s="362"/>
    </row>
    <row r="926" spans="1:28" s="320" customFormat="1" ht="0.65" hidden="1" customHeight="1">
      <c r="A926" s="320">
        <v>4037</v>
      </c>
      <c r="B926" s="362"/>
      <c r="D926" s="320" t="s">
        <v>44</v>
      </c>
      <c r="F926" s="320" t="s">
        <v>800</v>
      </c>
      <c r="J926" s="320" t="s">
        <v>1530</v>
      </c>
      <c r="AA926" s="362"/>
    </row>
    <row r="927" spans="1:28" s="320" customFormat="1" ht="0.65" hidden="1" customHeight="1">
      <c r="A927" s="320">
        <v>4038</v>
      </c>
      <c r="B927" s="362" t="s">
        <v>55</v>
      </c>
      <c r="C927" s="320" t="s">
        <v>39</v>
      </c>
      <c r="D927" s="320" t="s">
        <v>55</v>
      </c>
      <c r="F927" s="320" t="s">
        <v>1531</v>
      </c>
      <c r="Z927" s="320" t="s">
        <v>38</v>
      </c>
      <c r="AA927" s="362">
        <v>12500</v>
      </c>
      <c r="AB927" s="320" t="s">
        <v>478</v>
      </c>
    </row>
    <row r="928" spans="1:28" s="320" customFormat="1" ht="0.65" hidden="1" customHeight="1">
      <c r="A928" s="320">
        <v>4039</v>
      </c>
      <c r="B928" s="362" t="s">
        <v>55</v>
      </c>
      <c r="C928" s="320" t="s">
        <v>41</v>
      </c>
      <c r="D928" s="320" t="s">
        <v>55</v>
      </c>
      <c r="F928" s="320" t="s">
        <v>1532</v>
      </c>
      <c r="Z928" s="320" t="s">
        <v>40</v>
      </c>
      <c r="AA928" s="362">
        <v>278125</v>
      </c>
      <c r="AB928" s="320" t="s">
        <v>90</v>
      </c>
    </row>
    <row r="929" spans="1:28" s="320" customFormat="1" ht="0.65" hidden="1" customHeight="1">
      <c r="A929" s="320">
        <v>4040</v>
      </c>
      <c r="B929" s="362" t="s">
        <v>55</v>
      </c>
      <c r="C929" s="320" t="s">
        <v>43</v>
      </c>
      <c r="D929" s="320" t="s">
        <v>55</v>
      </c>
      <c r="F929" s="320" t="s">
        <v>1533</v>
      </c>
      <c r="Z929" s="320" t="s">
        <v>42</v>
      </c>
      <c r="AA929" s="362">
        <v>25000</v>
      </c>
      <c r="AB929" s="320" t="s">
        <v>91</v>
      </c>
    </row>
    <row r="930" spans="1:28" s="320" customFormat="1" ht="0.65" hidden="1" customHeight="1">
      <c r="A930" s="320">
        <v>4041</v>
      </c>
      <c r="B930" s="362" t="s">
        <v>55</v>
      </c>
      <c r="C930" s="320" t="s">
        <v>45</v>
      </c>
      <c r="D930" s="320" t="s">
        <v>55</v>
      </c>
      <c r="E930" s="320" t="s">
        <v>36</v>
      </c>
      <c r="F930" s="320" t="s">
        <v>1534</v>
      </c>
      <c r="Z930" s="320" t="s">
        <v>44</v>
      </c>
      <c r="AA930" s="362">
        <v>28125</v>
      </c>
      <c r="AB930" s="320" t="s">
        <v>1530</v>
      </c>
    </row>
    <row r="931" spans="1:28" s="320" customFormat="1" ht="0.65" hidden="1" customHeight="1">
      <c r="A931" s="320">
        <v>4042</v>
      </c>
      <c r="B931" s="362"/>
      <c r="AA931" s="362"/>
    </row>
    <row r="932" spans="1:28" s="320" customFormat="1" ht="0.65" hidden="1" customHeight="1">
      <c r="A932" s="320">
        <v>4043</v>
      </c>
      <c r="B932" s="362" t="s">
        <v>55</v>
      </c>
      <c r="D932" s="320">
        <v>7</v>
      </c>
      <c r="E932" s="320" t="s">
        <v>857</v>
      </c>
      <c r="Z932" s="320" t="s">
        <v>44</v>
      </c>
      <c r="AA932" s="362"/>
    </row>
    <row r="933" spans="1:28" s="320" customFormat="1" ht="0.65" hidden="1" customHeight="1">
      <c r="A933" s="320">
        <v>4044</v>
      </c>
      <c r="B933" s="362"/>
      <c r="D933" s="320" t="s">
        <v>44</v>
      </c>
      <c r="F933" s="320" t="s">
        <v>800</v>
      </c>
      <c r="J933" s="320" t="s">
        <v>1535</v>
      </c>
      <c r="AA933" s="362"/>
    </row>
    <row r="934" spans="1:28" s="320" customFormat="1" ht="0.65" hidden="1" customHeight="1">
      <c r="A934" s="320">
        <v>4045</v>
      </c>
      <c r="B934" s="362" t="s">
        <v>1108</v>
      </c>
      <c r="C934" s="320" t="s">
        <v>39</v>
      </c>
      <c r="D934" s="320" t="s">
        <v>55</v>
      </c>
      <c r="F934" s="320" t="s">
        <v>1536</v>
      </c>
      <c r="Z934" s="320" t="s">
        <v>38</v>
      </c>
      <c r="AA934" s="362">
        <v>84375</v>
      </c>
      <c r="AB934" s="320" t="s">
        <v>120</v>
      </c>
    </row>
    <row r="935" spans="1:28" s="320" customFormat="1" ht="0.65" hidden="1" customHeight="1">
      <c r="A935" s="320">
        <v>4046</v>
      </c>
      <c r="B935" s="362" t="s">
        <v>55</v>
      </c>
      <c r="C935" s="320" t="s">
        <v>41</v>
      </c>
      <c r="D935" s="320" t="s">
        <v>55</v>
      </c>
      <c r="F935" s="320" t="s">
        <v>1537</v>
      </c>
      <c r="Z935" s="320" t="s">
        <v>40</v>
      </c>
      <c r="AA935" s="362">
        <v>96875</v>
      </c>
      <c r="AB935" s="320" t="s">
        <v>121</v>
      </c>
    </row>
    <row r="936" spans="1:28" s="320" customFormat="1" ht="0.65" hidden="1" customHeight="1">
      <c r="A936" s="320">
        <v>4047</v>
      </c>
      <c r="B936" s="362" t="s">
        <v>1108</v>
      </c>
      <c r="C936" s="320" t="s">
        <v>43</v>
      </c>
      <c r="D936" s="320" t="s">
        <v>55</v>
      </c>
      <c r="F936" s="320" t="s">
        <v>1538</v>
      </c>
      <c r="Z936" s="320" t="s">
        <v>42</v>
      </c>
      <c r="AA936" s="362">
        <v>84375</v>
      </c>
      <c r="AB936" s="320" t="s">
        <v>862</v>
      </c>
    </row>
    <row r="937" spans="1:28" s="320" customFormat="1" ht="0.65" hidden="1" customHeight="1">
      <c r="A937" s="320">
        <v>4048</v>
      </c>
      <c r="B937" s="362" t="s">
        <v>55</v>
      </c>
      <c r="C937" s="320" t="s">
        <v>45</v>
      </c>
      <c r="D937" s="320" t="s">
        <v>55</v>
      </c>
      <c r="E937" s="320" t="s">
        <v>36</v>
      </c>
      <c r="F937" s="320" t="s">
        <v>1539</v>
      </c>
      <c r="Z937" s="320" t="s">
        <v>44</v>
      </c>
      <c r="AA937" s="362">
        <v>71875</v>
      </c>
      <c r="AB937" s="320" t="s">
        <v>1535</v>
      </c>
    </row>
    <row r="938" spans="1:28" s="320" customFormat="1" ht="0.65" hidden="1" customHeight="1">
      <c r="A938" s="320">
        <v>4049</v>
      </c>
      <c r="B938" s="362"/>
      <c r="AA938" s="362"/>
    </row>
    <row r="939" spans="1:28" s="320" customFormat="1" ht="0.65" hidden="1" customHeight="1">
      <c r="A939" s="320">
        <v>4050</v>
      </c>
      <c r="B939" s="362" t="s">
        <v>55</v>
      </c>
      <c r="D939" s="320">
        <v>8</v>
      </c>
      <c r="E939" s="320" t="s">
        <v>864</v>
      </c>
      <c r="Z939" s="320" t="s">
        <v>44</v>
      </c>
      <c r="AA939" s="362"/>
    </row>
    <row r="940" spans="1:28" s="320" customFormat="1" ht="0.65" hidden="1" customHeight="1">
      <c r="A940" s="320">
        <v>4051</v>
      </c>
      <c r="B940" s="362"/>
      <c r="D940" s="320" t="s">
        <v>44</v>
      </c>
      <c r="F940" s="320" t="s">
        <v>800</v>
      </c>
      <c r="J940" s="320" t="s">
        <v>1540</v>
      </c>
      <c r="AA940" s="362"/>
    </row>
    <row r="941" spans="1:28" s="320" customFormat="1" ht="0.65" hidden="1" customHeight="1">
      <c r="A941" s="320">
        <v>4052</v>
      </c>
      <c r="B941" s="362" t="s">
        <v>55</v>
      </c>
      <c r="C941" s="320" t="s">
        <v>39</v>
      </c>
      <c r="D941" s="320" t="s">
        <v>55</v>
      </c>
      <c r="F941" s="320" t="s">
        <v>1541</v>
      </c>
      <c r="Z941" s="320" t="s">
        <v>38</v>
      </c>
      <c r="AA941" s="362">
        <v>300000</v>
      </c>
      <c r="AB941" s="320" t="s">
        <v>99</v>
      </c>
    </row>
    <row r="942" spans="1:28" s="320" customFormat="1" ht="0.65" hidden="1" customHeight="1">
      <c r="A942" s="320">
        <v>4053</v>
      </c>
      <c r="B942" s="362" t="s">
        <v>55</v>
      </c>
      <c r="C942" s="320" t="s">
        <v>41</v>
      </c>
      <c r="D942" s="320" t="s">
        <v>55</v>
      </c>
      <c r="F942" s="320" t="s">
        <v>1542</v>
      </c>
      <c r="Z942" s="320" t="s">
        <v>40</v>
      </c>
      <c r="AA942" s="362">
        <v>450000</v>
      </c>
      <c r="AB942" s="320" t="s">
        <v>100</v>
      </c>
    </row>
    <row r="943" spans="1:28" s="320" customFormat="1" ht="0.65" hidden="1" customHeight="1">
      <c r="A943" s="320">
        <v>4054</v>
      </c>
      <c r="B943" s="362" t="s">
        <v>55</v>
      </c>
      <c r="C943" s="320" t="s">
        <v>43</v>
      </c>
      <c r="D943" s="320" t="s">
        <v>55</v>
      </c>
      <c r="F943" s="320" t="s">
        <v>1332</v>
      </c>
      <c r="Z943" s="320" t="s">
        <v>42</v>
      </c>
      <c r="AA943" s="362">
        <v>600000</v>
      </c>
      <c r="AB943" s="320" t="s">
        <v>101</v>
      </c>
    </row>
    <row r="944" spans="1:28" s="320" customFormat="1" ht="0.65" hidden="1" customHeight="1">
      <c r="A944" s="320">
        <v>4055</v>
      </c>
      <c r="B944" s="362" t="s">
        <v>55</v>
      </c>
      <c r="C944" s="320" t="s">
        <v>45</v>
      </c>
      <c r="D944" s="320" t="s">
        <v>55</v>
      </c>
      <c r="E944" s="320" t="s">
        <v>36</v>
      </c>
      <c r="F944" s="320" t="s">
        <v>1543</v>
      </c>
      <c r="Z944" s="320" t="s">
        <v>44</v>
      </c>
      <c r="AA944" s="362">
        <v>150000</v>
      </c>
      <c r="AB944" s="320" t="s">
        <v>1540</v>
      </c>
    </row>
    <row r="945" spans="1:28" s="320" customFormat="1" ht="0.65" hidden="1" customHeight="1">
      <c r="A945" s="320">
        <v>4056</v>
      </c>
      <c r="B945" s="362"/>
      <c r="AA945" s="362"/>
    </row>
    <row r="946" spans="1:28" s="320" customFormat="1" ht="0.65" hidden="1" customHeight="1">
      <c r="A946" s="320">
        <v>4057</v>
      </c>
      <c r="B946" s="362" t="s">
        <v>55</v>
      </c>
      <c r="D946" s="320">
        <v>9</v>
      </c>
      <c r="E946" s="320" t="s">
        <v>870</v>
      </c>
      <c r="Z946" s="320" t="s">
        <v>44</v>
      </c>
      <c r="AA946" s="362"/>
    </row>
    <row r="947" spans="1:28" s="320" customFormat="1" ht="0.65" hidden="1" customHeight="1">
      <c r="A947" s="320">
        <v>4058</v>
      </c>
      <c r="B947" s="362"/>
      <c r="D947" s="320" t="s">
        <v>44</v>
      </c>
      <c r="F947" s="320" t="s">
        <v>800</v>
      </c>
      <c r="J947" s="320" t="s">
        <v>1544</v>
      </c>
      <c r="AA947" s="362"/>
    </row>
    <row r="948" spans="1:28" s="320" customFormat="1" ht="0.65" hidden="1" customHeight="1">
      <c r="A948" s="320">
        <v>4059</v>
      </c>
      <c r="B948" s="362" t="s">
        <v>1108</v>
      </c>
      <c r="C948" s="320" t="s">
        <v>39</v>
      </c>
      <c r="D948" s="320" t="s">
        <v>55</v>
      </c>
      <c r="F948" s="320" t="s">
        <v>1545</v>
      </c>
      <c r="Z948" s="320" t="s">
        <v>38</v>
      </c>
      <c r="AA948" s="362">
        <v>125000</v>
      </c>
      <c r="AB948" s="320" t="s">
        <v>102</v>
      </c>
    </row>
    <row r="949" spans="1:28" s="320" customFormat="1" ht="0.65" hidden="1" customHeight="1">
      <c r="A949" s="320">
        <v>4060</v>
      </c>
      <c r="B949" s="362" t="s">
        <v>1108</v>
      </c>
      <c r="C949" s="320" t="s">
        <v>41</v>
      </c>
      <c r="D949" s="320" t="s">
        <v>55</v>
      </c>
      <c r="F949" s="320" t="s">
        <v>1546</v>
      </c>
      <c r="Z949" s="320" t="s">
        <v>40</v>
      </c>
      <c r="AA949" s="362">
        <v>375000</v>
      </c>
      <c r="AB949" s="320" t="s">
        <v>103</v>
      </c>
    </row>
    <row r="950" spans="1:28" s="320" customFormat="1" ht="0.65" hidden="1" customHeight="1">
      <c r="A950" s="320">
        <v>4061</v>
      </c>
      <c r="B950" s="362" t="s">
        <v>1108</v>
      </c>
      <c r="C950" s="320" t="s">
        <v>43</v>
      </c>
      <c r="D950" s="320" t="s">
        <v>55</v>
      </c>
      <c r="F950" s="320" t="s">
        <v>1547</v>
      </c>
      <c r="Z950" s="320" t="s">
        <v>42</v>
      </c>
      <c r="AA950" s="362">
        <v>375000</v>
      </c>
      <c r="AB950" s="320" t="s">
        <v>1548</v>
      </c>
    </row>
    <row r="951" spans="1:28" s="320" customFormat="1" ht="0.65" hidden="1" customHeight="1">
      <c r="A951" s="320">
        <v>4062</v>
      </c>
      <c r="B951" s="362" t="s">
        <v>1359</v>
      </c>
      <c r="C951" s="320" t="s">
        <v>45</v>
      </c>
      <c r="D951" s="320" t="s">
        <v>55</v>
      </c>
      <c r="E951" s="320" t="s">
        <v>36</v>
      </c>
      <c r="F951" s="320" t="s">
        <v>1549</v>
      </c>
      <c r="Z951" s="320" t="s">
        <v>44</v>
      </c>
      <c r="AA951" s="362">
        <v>125000</v>
      </c>
      <c r="AB951" s="320" t="s">
        <v>1544</v>
      </c>
    </row>
    <row r="952" spans="1:28" s="320" customFormat="1" ht="0.65" hidden="1" customHeight="1">
      <c r="A952" s="320">
        <v>4063</v>
      </c>
      <c r="B952" s="362"/>
      <c r="AA952" s="362"/>
    </row>
    <row r="953" spans="1:28" s="320" customFormat="1" ht="0.65" hidden="1" customHeight="1">
      <c r="A953" s="320">
        <v>4064</v>
      </c>
      <c r="B953" s="362" t="s">
        <v>55</v>
      </c>
      <c r="D953" s="320">
        <v>10</v>
      </c>
      <c r="E953" s="320" t="s">
        <v>877</v>
      </c>
      <c r="Z953" s="320" t="s">
        <v>40</v>
      </c>
      <c r="AA953" s="362"/>
    </row>
    <row r="954" spans="1:28" s="320" customFormat="1" ht="0.65" hidden="1" customHeight="1">
      <c r="A954" s="320">
        <v>4065</v>
      </c>
      <c r="B954" s="362"/>
      <c r="D954" s="320" t="s">
        <v>40</v>
      </c>
      <c r="F954" s="320" t="s">
        <v>800</v>
      </c>
      <c r="J954" s="320" t="s">
        <v>1550</v>
      </c>
      <c r="AA954" s="362"/>
    </row>
    <row r="955" spans="1:28" s="320" customFormat="1" ht="0.65" hidden="1" customHeight="1">
      <c r="A955" s="320">
        <v>4066</v>
      </c>
      <c r="B955" s="362" t="s">
        <v>55</v>
      </c>
      <c r="C955" s="320" t="s">
        <v>39</v>
      </c>
      <c r="D955" s="320" t="s">
        <v>55</v>
      </c>
      <c r="F955" s="320" t="s">
        <v>1551</v>
      </c>
      <c r="Z955" s="320" t="s">
        <v>38</v>
      </c>
      <c r="AA955" s="362">
        <v>100000</v>
      </c>
      <c r="AB955" s="320" t="s">
        <v>104</v>
      </c>
    </row>
    <row r="956" spans="1:28" s="320" customFormat="1" ht="0.65" hidden="1" customHeight="1">
      <c r="A956" s="320">
        <v>4067</v>
      </c>
      <c r="B956" s="362" t="s">
        <v>55</v>
      </c>
      <c r="C956" s="320" t="s">
        <v>41</v>
      </c>
      <c r="D956" s="320" t="s">
        <v>55</v>
      </c>
      <c r="E956" s="320" t="s">
        <v>36</v>
      </c>
      <c r="F956" s="320" t="s">
        <v>1552</v>
      </c>
      <c r="Z956" s="320" t="s">
        <v>40</v>
      </c>
      <c r="AA956" s="362">
        <v>25000</v>
      </c>
      <c r="AB956" s="320" t="s">
        <v>1550</v>
      </c>
    </row>
    <row r="957" spans="1:28" s="320" customFormat="1" ht="0.65" hidden="1" customHeight="1">
      <c r="A957" s="320">
        <v>4068</v>
      </c>
      <c r="B957" s="362" t="s">
        <v>55</v>
      </c>
      <c r="C957" s="320" t="s">
        <v>43</v>
      </c>
      <c r="D957" s="320" t="s">
        <v>55</v>
      </c>
      <c r="F957" s="320" t="s">
        <v>1553</v>
      </c>
      <c r="Z957" s="320" t="s">
        <v>42</v>
      </c>
      <c r="AA957" s="362">
        <v>275000</v>
      </c>
      <c r="AB957" s="320" t="s">
        <v>105</v>
      </c>
    </row>
    <row r="958" spans="1:28" s="320" customFormat="1" ht="0.65" hidden="1" customHeight="1">
      <c r="A958" s="320">
        <v>4069</v>
      </c>
      <c r="B958" s="362" t="s">
        <v>55</v>
      </c>
      <c r="C958" s="320" t="s">
        <v>45</v>
      </c>
      <c r="D958" s="320" t="s">
        <v>55</v>
      </c>
      <c r="F958" s="320" t="s">
        <v>882</v>
      </c>
      <c r="Z958" s="320" t="s">
        <v>44</v>
      </c>
      <c r="AA958" s="362">
        <v>0</v>
      </c>
      <c r="AB958" s="320" t="s">
        <v>1550</v>
      </c>
    </row>
    <row r="959" spans="1:28" s="320" customFormat="1" ht="0.65" hidden="1" customHeight="1">
      <c r="A959" s="320">
        <v>4070</v>
      </c>
      <c r="B959" s="362"/>
      <c r="AA959" s="362"/>
    </row>
    <row r="960" spans="1:28" s="320" customFormat="1" ht="0.65" hidden="1" customHeight="1">
      <c r="A960" s="320">
        <v>4071</v>
      </c>
      <c r="B960" s="362" t="s">
        <v>55</v>
      </c>
      <c r="D960" s="320">
        <v>11</v>
      </c>
      <c r="E960" s="320" t="s">
        <v>883</v>
      </c>
      <c r="Z960" s="320" t="s">
        <v>44</v>
      </c>
      <c r="AA960" s="362"/>
    </row>
    <row r="961" spans="1:28" s="320" customFormat="1" ht="0.65" hidden="1" customHeight="1">
      <c r="A961" s="320">
        <v>4072</v>
      </c>
      <c r="B961" s="362"/>
      <c r="D961" s="320" t="s">
        <v>44</v>
      </c>
      <c r="F961" s="320" t="s">
        <v>800</v>
      </c>
      <c r="J961" s="320" t="s">
        <v>119</v>
      </c>
      <c r="AA961" s="362"/>
    </row>
    <row r="962" spans="1:28" s="320" customFormat="1" ht="0.65" hidden="1" customHeight="1">
      <c r="A962" s="320">
        <v>4073</v>
      </c>
      <c r="B962" s="362" t="s">
        <v>55</v>
      </c>
      <c r="C962" s="320" t="s">
        <v>39</v>
      </c>
      <c r="D962" s="320" t="s">
        <v>55</v>
      </c>
      <c r="F962" s="320" t="s">
        <v>1554</v>
      </c>
      <c r="Z962" s="320" t="s">
        <v>38</v>
      </c>
      <c r="AA962" s="362">
        <v>25000</v>
      </c>
      <c r="AB962" s="320" t="s">
        <v>106</v>
      </c>
    </row>
    <row r="963" spans="1:28" s="320" customFormat="1" ht="0.65" hidden="1" customHeight="1">
      <c r="A963" s="320">
        <v>4074</v>
      </c>
      <c r="B963" s="362" t="s">
        <v>55</v>
      </c>
      <c r="C963" s="320" t="s">
        <v>41</v>
      </c>
      <c r="D963" s="320" t="s">
        <v>55</v>
      </c>
      <c r="F963" s="320" t="s">
        <v>1555</v>
      </c>
      <c r="Z963" s="320" t="s">
        <v>40</v>
      </c>
      <c r="AA963" s="362">
        <v>275000</v>
      </c>
      <c r="AB963" s="320" t="s">
        <v>107</v>
      </c>
    </row>
    <row r="964" spans="1:28" s="320" customFormat="1" ht="0.65" hidden="1" customHeight="1">
      <c r="A964" s="320">
        <v>4075</v>
      </c>
      <c r="B964" s="362" t="s">
        <v>55</v>
      </c>
      <c r="C964" s="320" t="s">
        <v>43</v>
      </c>
      <c r="D964" s="320" t="s">
        <v>55</v>
      </c>
      <c r="F964" s="320" t="s">
        <v>1556</v>
      </c>
      <c r="Z964" s="320" t="s">
        <v>42</v>
      </c>
      <c r="AA964" s="362">
        <v>150000</v>
      </c>
      <c r="AB964" s="320" t="s">
        <v>118</v>
      </c>
    </row>
    <row r="965" spans="1:28" s="320" customFormat="1" ht="0.65" hidden="1" customHeight="1">
      <c r="A965" s="320">
        <v>4076</v>
      </c>
      <c r="B965" s="362" t="s">
        <v>55</v>
      </c>
      <c r="C965" s="320" t="s">
        <v>45</v>
      </c>
      <c r="D965" s="320" t="s">
        <v>55</v>
      </c>
      <c r="E965" s="320" t="s">
        <v>36</v>
      </c>
      <c r="F965" s="320" t="s">
        <v>887</v>
      </c>
      <c r="Z965" s="320" t="s">
        <v>44</v>
      </c>
      <c r="AA965" s="362">
        <v>0</v>
      </c>
      <c r="AB965" s="320" t="s">
        <v>119</v>
      </c>
    </row>
    <row r="966" spans="1:28" s="320" customFormat="1" ht="0.65" hidden="1" customHeight="1">
      <c r="A966" s="320">
        <v>4077</v>
      </c>
      <c r="B966" s="362"/>
      <c r="AA966" s="362"/>
    </row>
    <row r="967" spans="1:28" s="320" customFormat="1" ht="0.65" hidden="1" customHeight="1">
      <c r="A967" s="320">
        <v>4078</v>
      </c>
      <c r="B967" s="362" t="s">
        <v>55</v>
      </c>
      <c r="D967" s="320">
        <v>12</v>
      </c>
      <c r="E967" s="320" t="s">
        <v>888</v>
      </c>
      <c r="Z967" s="320" t="s">
        <v>44</v>
      </c>
      <c r="AA967" s="362"/>
    </row>
    <row r="968" spans="1:28" s="320" customFormat="1" ht="0.65" hidden="1" customHeight="1">
      <c r="A968" s="320">
        <v>4079</v>
      </c>
      <c r="B968" s="362"/>
      <c r="D968" s="320" t="s">
        <v>44</v>
      </c>
      <c r="F968" s="320" t="s">
        <v>800</v>
      </c>
      <c r="J968" s="320" t="s">
        <v>1557</v>
      </c>
      <c r="AA968" s="362"/>
    </row>
    <row r="969" spans="1:28" s="320" customFormat="1" ht="0.65" hidden="1" customHeight="1">
      <c r="A969" s="320">
        <v>4080</v>
      </c>
      <c r="B969" s="362" t="s">
        <v>1108</v>
      </c>
      <c r="C969" s="320" t="s">
        <v>39</v>
      </c>
      <c r="D969" s="320" t="s">
        <v>55</v>
      </c>
      <c r="F969" s="320" t="s">
        <v>1558</v>
      </c>
      <c r="Z969" s="320" t="s">
        <v>38</v>
      </c>
      <c r="AA969" s="362">
        <v>71875</v>
      </c>
      <c r="AB969" s="320" t="s">
        <v>115</v>
      </c>
    </row>
    <row r="970" spans="1:28" s="320" customFormat="1" ht="0.65" hidden="1" customHeight="1">
      <c r="A970" s="320">
        <v>4081</v>
      </c>
      <c r="B970" s="362" t="s">
        <v>55</v>
      </c>
      <c r="C970" s="320" t="s">
        <v>41</v>
      </c>
      <c r="D970" s="320" t="s">
        <v>55</v>
      </c>
      <c r="F970" s="320" t="s">
        <v>1559</v>
      </c>
      <c r="Z970" s="320" t="s">
        <v>40</v>
      </c>
      <c r="AA970" s="362">
        <v>84375</v>
      </c>
      <c r="AB970" s="320" t="s">
        <v>116</v>
      </c>
    </row>
    <row r="971" spans="1:28" s="320" customFormat="1" ht="0.65" hidden="1" customHeight="1">
      <c r="A971" s="320">
        <v>4082</v>
      </c>
      <c r="B971" s="362" t="s">
        <v>1108</v>
      </c>
      <c r="C971" s="320" t="s">
        <v>43</v>
      </c>
      <c r="D971" s="320" t="s">
        <v>55</v>
      </c>
      <c r="F971" s="320" t="s">
        <v>1560</v>
      </c>
      <c r="Z971" s="320" t="s">
        <v>42</v>
      </c>
      <c r="AA971" s="362">
        <v>71875</v>
      </c>
      <c r="AB971" s="320" t="s">
        <v>117</v>
      </c>
    </row>
    <row r="972" spans="1:28" s="320" customFormat="1" ht="0.65" hidden="1" customHeight="1">
      <c r="A972" s="320">
        <v>4083</v>
      </c>
      <c r="B972" s="362" t="s">
        <v>55</v>
      </c>
      <c r="C972" s="320" t="s">
        <v>45</v>
      </c>
      <c r="D972" s="320" t="s">
        <v>55</v>
      </c>
      <c r="E972" s="320" t="s">
        <v>36</v>
      </c>
      <c r="F972" s="320" t="s">
        <v>1561</v>
      </c>
      <c r="Z972" s="320" t="s">
        <v>44</v>
      </c>
      <c r="AA972" s="362">
        <v>46875</v>
      </c>
      <c r="AB972" s="320" t="s">
        <v>1557</v>
      </c>
    </row>
    <row r="973" spans="1:28" s="320" customFormat="1" ht="0.65" hidden="1" customHeight="1">
      <c r="A973" s="320">
        <v>4084</v>
      </c>
      <c r="B973" s="362"/>
      <c r="AA973" s="362"/>
    </row>
    <row r="974" spans="1:28" s="320" customFormat="1" ht="0.65" hidden="1" customHeight="1">
      <c r="A974" s="320">
        <v>4085</v>
      </c>
      <c r="B974" s="362" t="s">
        <v>55</v>
      </c>
      <c r="D974" s="320">
        <v>13</v>
      </c>
      <c r="E974" s="320" t="s">
        <v>894</v>
      </c>
      <c r="Z974" s="320" t="s">
        <v>38</v>
      </c>
      <c r="AA974" s="362"/>
    </row>
    <row r="975" spans="1:28" s="320" customFormat="1" ht="0.65" hidden="1" customHeight="1">
      <c r="A975" s="320">
        <v>4086</v>
      </c>
      <c r="B975" s="362"/>
      <c r="D975" s="320" t="s">
        <v>38</v>
      </c>
      <c r="F975" s="320" t="s">
        <v>800</v>
      </c>
      <c r="J975" s="320" t="s">
        <v>1562</v>
      </c>
      <c r="AA975" s="362"/>
    </row>
    <row r="976" spans="1:28" s="320" customFormat="1" ht="0.65" hidden="1" customHeight="1">
      <c r="A976" s="320">
        <v>4087</v>
      </c>
      <c r="B976" s="362" t="s">
        <v>55</v>
      </c>
      <c r="C976" s="320" t="s">
        <v>39</v>
      </c>
      <c r="D976" s="320" t="s">
        <v>55</v>
      </c>
      <c r="E976" s="320" t="s">
        <v>36</v>
      </c>
      <c r="F976" s="320" t="s">
        <v>1563</v>
      </c>
      <c r="Z976" s="320" t="s">
        <v>38</v>
      </c>
      <c r="AA976" s="362">
        <v>114062.5</v>
      </c>
      <c r="AB976" s="320" t="s">
        <v>2076</v>
      </c>
    </row>
    <row r="977" spans="1:28" s="320" customFormat="1" ht="0.65" hidden="1" customHeight="1">
      <c r="A977" s="320">
        <v>4088</v>
      </c>
      <c r="B977" s="362" t="s">
        <v>55</v>
      </c>
      <c r="C977" s="320" t="s">
        <v>41</v>
      </c>
      <c r="D977" s="320" t="s">
        <v>55</v>
      </c>
      <c r="F977" s="320" t="s">
        <v>1564</v>
      </c>
      <c r="Z977" s="320" t="s">
        <v>40</v>
      </c>
      <c r="AA977" s="362">
        <v>175000</v>
      </c>
      <c r="AB977" s="320" t="s">
        <v>92</v>
      </c>
    </row>
    <row r="978" spans="1:28" s="320" customFormat="1" ht="0.65" hidden="1" customHeight="1">
      <c r="A978" s="320">
        <v>4089</v>
      </c>
      <c r="B978" s="362" t="s">
        <v>55</v>
      </c>
      <c r="C978" s="320" t="s">
        <v>43</v>
      </c>
      <c r="D978" s="320" t="s">
        <v>55</v>
      </c>
      <c r="F978" s="320" t="s">
        <v>1565</v>
      </c>
      <c r="Z978" s="320" t="s">
        <v>42</v>
      </c>
      <c r="AA978" s="362">
        <v>32812.5</v>
      </c>
      <c r="AB978" s="320" t="s">
        <v>94</v>
      </c>
    </row>
    <row r="979" spans="1:28" s="320" customFormat="1" ht="0.65" hidden="1" customHeight="1">
      <c r="A979" s="320">
        <v>4090</v>
      </c>
      <c r="B979" s="362" t="s">
        <v>55</v>
      </c>
      <c r="C979" s="320" t="s">
        <v>45</v>
      </c>
      <c r="D979" s="320" t="s">
        <v>55</v>
      </c>
      <c r="F979" s="320" t="s">
        <v>1566</v>
      </c>
      <c r="Z979" s="320" t="s">
        <v>44</v>
      </c>
      <c r="AA979" s="362">
        <v>162500</v>
      </c>
      <c r="AB979" s="320" t="s">
        <v>93</v>
      </c>
    </row>
    <row r="980" spans="1:28" s="320" customFormat="1" ht="0.65" hidden="1" customHeight="1">
      <c r="A980" s="320">
        <v>4091</v>
      </c>
      <c r="B980" s="362"/>
      <c r="AA980" s="362"/>
    </row>
    <row r="981" spans="1:28" s="320" customFormat="1" ht="0.65" hidden="1" customHeight="1">
      <c r="A981" s="320">
        <v>4092</v>
      </c>
      <c r="B981" s="362" t="s">
        <v>55</v>
      </c>
      <c r="D981" s="320">
        <v>14</v>
      </c>
      <c r="E981" s="320" t="s">
        <v>900</v>
      </c>
      <c r="Z981" s="320" t="s">
        <v>40</v>
      </c>
      <c r="AA981" s="362"/>
    </row>
    <row r="982" spans="1:28" s="320" customFormat="1" ht="0.65" hidden="1" customHeight="1">
      <c r="A982" s="320">
        <v>4093</v>
      </c>
      <c r="B982" s="362"/>
      <c r="D982" s="320" t="s">
        <v>40</v>
      </c>
      <c r="F982" s="320" t="s">
        <v>800</v>
      </c>
      <c r="J982" s="320" t="s">
        <v>1567</v>
      </c>
      <c r="AA982" s="362"/>
    </row>
    <row r="983" spans="1:28" s="320" customFormat="1" ht="0.65" hidden="1" customHeight="1">
      <c r="A983" s="320">
        <v>4094</v>
      </c>
      <c r="B983" s="362" t="s">
        <v>55</v>
      </c>
      <c r="C983" s="320" t="s">
        <v>39</v>
      </c>
      <c r="D983" s="320" t="s">
        <v>55</v>
      </c>
      <c r="F983" s="320" t="s">
        <v>1568</v>
      </c>
      <c r="Z983" s="320" t="s">
        <v>38</v>
      </c>
      <c r="AA983" s="362">
        <v>275000</v>
      </c>
      <c r="AB983" s="320" t="s">
        <v>122</v>
      </c>
    </row>
    <row r="984" spans="1:28" s="320" customFormat="1" ht="0.65" hidden="1" customHeight="1">
      <c r="A984" s="320">
        <v>4095</v>
      </c>
      <c r="B984" s="362" t="s">
        <v>55</v>
      </c>
      <c r="C984" s="320" t="s">
        <v>41</v>
      </c>
      <c r="D984" s="320" t="s">
        <v>55</v>
      </c>
      <c r="E984" s="320" t="s">
        <v>36</v>
      </c>
      <c r="F984" s="320" t="s">
        <v>1569</v>
      </c>
      <c r="Z984" s="320" t="s">
        <v>40</v>
      </c>
      <c r="AA984" s="362">
        <v>25000</v>
      </c>
      <c r="AB984" s="320" t="s">
        <v>1567</v>
      </c>
    </row>
    <row r="985" spans="1:28" s="320" customFormat="1" ht="0.65" hidden="1" customHeight="1">
      <c r="A985" s="320">
        <v>4096</v>
      </c>
      <c r="B985" s="362" t="s">
        <v>55</v>
      </c>
      <c r="C985" s="320" t="s">
        <v>43</v>
      </c>
      <c r="D985" s="320" t="s">
        <v>55</v>
      </c>
      <c r="F985" s="320" t="s">
        <v>1570</v>
      </c>
      <c r="Z985" s="320" t="s">
        <v>42</v>
      </c>
      <c r="AA985" s="362">
        <v>75000</v>
      </c>
      <c r="AB985" s="320" t="s">
        <v>1567</v>
      </c>
    </row>
    <row r="986" spans="1:28" s="320" customFormat="1" ht="0.65" hidden="1" customHeight="1">
      <c r="A986" s="320">
        <v>4097</v>
      </c>
      <c r="B986" s="362" t="s">
        <v>55</v>
      </c>
      <c r="C986" s="320" t="s">
        <v>45</v>
      </c>
      <c r="D986" s="320" t="s">
        <v>55</v>
      </c>
      <c r="F986" s="320" t="s">
        <v>905</v>
      </c>
      <c r="Z986" s="320" t="s">
        <v>44</v>
      </c>
      <c r="AA986" s="362">
        <v>0</v>
      </c>
      <c r="AB986" s="320" t="s">
        <v>108</v>
      </c>
    </row>
    <row r="987" spans="1:28" s="320" customFormat="1" ht="0.65" hidden="1" customHeight="1">
      <c r="A987" s="320">
        <v>4098</v>
      </c>
      <c r="B987" s="362"/>
      <c r="AA987" s="362"/>
    </row>
    <row r="988" spans="1:28" s="320" customFormat="1" ht="0.65" hidden="1" customHeight="1">
      <c r="A988" s="320">
        <v>4099</v>
      </c>
      <c r="B988" s="362" t="s">
        <v>55</v>
      </c>
      <c r="D988" s="320">
        <v>15</v>
      </c>
      <c r="E988" s="320" t="s">
        <v>52</v>
      </c>
      <c r="Z988" s="320" t="s">
        <v>38</v>
      </c>
      <c r="AA988" s="362"/>
    </row>
    <row r="989" spans="1:28" s="320" customFormat="1" ht="0.65" hidden="1" customHeight="1">
      <c r="A989" s="320">
        <v>4100</v>
      </c>
      <c r="B989" s="362"/>
      <c r="D989" s="320" t="s">
        <v>38</v>
      </c>
      <c r="F989" s="320" t="s">
        <v>800</v>
      </c>
      <c r="J989" s="320" t="s">
        <v>1571</v>
      </c>
      <c r="AA989" s="362"/>
    </row>
    <row r="990" spans="1:28" s="320" customFormat="1" ht="0.65" hidden="1" customHeight="1">
      <c r="A990" s="320">
        <v>4101</v>
      </c>
      <c r="B990" s="362" t="s">
        <v>55</v>
      </c>
      <c r="C990" s="320" t="s">
        <v>39</v>
      </c>
      <c r="D990" s="320" t="s">
        <v>55</v>
      </c>
      <c r="E990" s="320" t="s">
        <v>36</v>
      </c>
      <c r="F990" s="320" t="s">
        <v>1145</v>
      </c>
      <c r="Z990" s="320" t="s">
        <v>38</v>
      </c>
      <c r="AA990" s="362">
        <v>6</v>
      </c>
      <c r="AB990" s="320" t="s">
        <v>1571</v>
      </c>
    </row>
    <row r="991" spans="1:28" s="320" customFormat="1" ht="0.65" hidden="1" customHeight="1">
      <c r="A991" s="320">
        <v>4102</v>
      </c>
      <c r="B991" s="362" t="s">
        <v>55</v>
      </c>
      <c r="C991" s="320" t="s">
        <v>41</v>
      </c>
      <c r="D991" s="320" t="s">
        <v>55</v>
      </c>
      <c r="F991" s="320" t="s">
        <v>1572</v>
      </c>
      <c r="Z991" s="320" t="s">
        <v>40</v>
      </c>
      <c r="AA991" s="362">
        <v>8</v>
      </c>
      <c r="AB991" s="320" t="s">
        <v>109</v>
      </c>
    </row>
    <row r="992" spans="1:28" s="320" customFormat="1" ht="0.65" hidden="1" customHeight="1">
      <c r="A992" s="320">
        <v>4103</v>
      </c>
      <c r="B992" s="362" t="s">
        <v>55</v>
      </c>
      <c r="C992" s="320" t="s">
        <v>43</v>
      </c>
      <c r="D992" s="320" t="s">
        <v>55</v>
      </c>
      <c r="F992" s="320" t="s">
        <v>1573</v>
      </c>
      <c r="Z992" s="320" t="s">
        <v>42</v>
      </c>
      <c r="AA992" s="362">
        <v>10</v>
      </c>
      <c r="AB992" s="320" t="s">
        <v>110</v>
      </c>
    </row>
    <row r="993" spans="1:28" s="320" customFormat="1" ht="0.65" hidden="1" customHeight="1">
      <c r="A993" s="320">
        <v>4104</v>
      </c>
      <c r="B993" s="362" t="s">
        <v>55</v>
      </c>
      <c r="C993" s="320" t="s">
        <v>45</v>
      </c>
      <c r="D993" s="320" t="s">
        <v>55</v>
      </c>
      <c r="F993" s="320" t="s">
        <v>1574</v>
      </c>
      <c r="Z993" s="320" t="s">
        <v>44</v>
      </c>
      <c r="AA993" s="362">
        <v>0.06</v>
      </c>
      <c r="AB993" s="320" t="s">
        <v>111</v>
      </c>
    </row>
    <row r="994" spans="1:28" s="320" customFormat="1" ht="0.65" hidden="1" customHeight="1">
      <c r="A994" s="320">
        <v>4105</v>
      </c>
      <c r="B994" s="362"/>
      <c r="AA994" s="362"/>
    </row>
    <row r="995" spans="1:28" s="320" customFormat="1" ht="0.65" hidden="1" customHeight="1">
      <c r="A995" s="320">
        <v>4106</v>
      </c>
      <c r="B995" s="362" t="s">
        <v>55</v>
      </c>
      <c r="D995" s="320">
        <v>16</v>
      </c>
      <c r="E995" s="320" t="s">
        <v>53</v>
      </c>
      <c r="Z995" s="320" t="s">
        <v>42</v>
      </c>
      <c r="AA995" s="362"/>
    </row>
    <row r="996" spans="1:28" s="320" customFormat="1" ht="0.65" hidden="1" customHeight="1">
      <c r="A996" s="320">
        <v>4107</v>
      </c>
      <c r="B996" s="362"/>
      <c r="D996" s="320" t="s">
        <v>42</v>
      </c>
      <c r="F996" s="320" t="s">
        <v>800</v>
      </c>
      <c r="J996" s="320" t="s">
        <v>1575</v>
      </c>
      <c r="AA996" s="362"/>
    </row>
    <row r="997" spans="1:28" s="320" customFormat="1" ht="0.65" hidden="1" customHeight="1">
      <c r="A997" s="320">
        <v>4108</v>
      </c>
      <c r="B997" s="362" t="s">
        <v>55</v>
      </c>
      <c r="C997" s="320" t="s">
        <v>39</v>
      </c>
      <c r="D997" s="320" t="s">
        <v>55</v>
      </c>
      <c r="F997" s="320" t="s">
        <v>1576</v>
      </c>
      <c r="Z997" s="320" t="s">
        <v>38</v>
      </c>
      <c r="AA997" s="362">
        <v>0.11</v>
      </c>
      <c r="AB997" s="320" t="s">
        <v>111</v>
      </c>
    </row>
    <row r="998" spans="1:28" s="320" customFormat="1" ht="0.65" hidden="1" customHeight="1">
      <c r="A998" s="320">
        <v>4109</v>
      </c>
      <c r="B998" s="362" t="s">
        <v>55</v>
      </c>
      <c r="C998" s="320" t="s">
        <v>41</v>
      </c>
      <c r="D998" s="320" t="s">
        <v>55</v>
      </c>
      <c r="F998" s="320" t="s">
        <v>1577</v>
      </c>
      <c r="Z998" s="320" t="s">
        <v>40</v>
      </c>
      <c r="AA998" s="362">
        <v>9.0000000000000018</v>
      </c>
      <c r="AB998" s="320" t="s">
        <v>1578</v>
      </c>
    </row>
    <row r="999" spans="1:28" s="320" customFormat="1" ht="0.65" hidden="1" customHeight="1">
      <c r="A999" s="320">
        <v>4110</v>
      </c>
      <c r="B999" s="362" t="s">
        <v>55</v>
      </c>
      <c r="C999" s="320" t="s">
        <v>43</v>
      </c>
      <c r="D999" s="320" t="s">
        <v>55</v>
      </c>
      <c r="E999" s="320" t="s">
        <v>36</v>
      </c>
      <c r="F999" s="320" t="s">
        <v>1579</v>
      </c>
      <c r="Z999" s="320" t="s">
        <v>42</v>
      </c>
      <c r="AA999" s="362">
        <v>11</v>
      </c>
      <c r="AB999" s="320" t="s">
        <v>1575</v>
      </c>
    </row>
    <row r="1000" spans="1:28" s="320" customFormat="1" ht="0.65" hidden="1" customHeight="1">
      <c r="A1000" s="320">
        <v>4111</v>
      </c>
      <c r="B1000" s="362" t="s">
        <v>55</v>
      </c>
      <c r="C1000" s="320" t="s">
        <v>45</v>
      </c>
      <c r="D1000" s="320" t="s">
        <v>55</v>
      </c>
      <c r="F1000" s="320" t="s">
        <v>834</v>
      </c>
      <c r="Z1000" s="320" t="s">
        <v>44</v>
      </c>
      <c r="AA1000" s="362"/>
      <c r="AB1000" s="320" t="s">
        <v>1575</v>
      </c>
    </row>
    <row r="1001" spans="1:28" s="320" customFormat="1" ht="0.65" hidden="1" customHeight="1">
      <c r="A1001" s="320">
        <v>4112</v>
      </c>
      <c r="B1001" s="362"/>
      <c r="AA1001" s="362"/>
    </row>
    <row r="1002" spans="1:28" s="320" customFormat="1" ht="0.65" hidden="1" customHeight="1">
      <c r="A1002" s="320">
        <v>4113</v>
      </c>
      <c r="B1002" s="362" t="s">
        <v>55</v>
      </c>
      <c r="D1002" s="320">
        <v>17</v>
      </c>
      <c r="E1002" s="320" t="s">
        <v>54</v>
      </c>
      <c r="Z1002" s="320" t="s">
        <v>38</v>
      </c>
      <c r="AA1002" s="362"/>
    </row>
    <row r="1003" spans="1:28" s="320" customFormat="1" ht="0.65" hidden="1" customHeight="1">
      <c r="A1003" s="320">
        <v>4114</v>
      </c>
      <c r="B1003" s="362"/>
      <c r="D1003" s="320" t="s">
        <v>38</v>
      </c>
      <c r="F1003" s="320" t="s">
        <v>800</v>
      </c>
      <c r="J1003" s="320" t="s">
        <v>1580</v>
      </c>
      <c r="AA1003" s="362"/>
    </row>
    <row r="1004" spans="1:28" s="320" customFormat="1" ht="0.65" hidden="1" customHeight="1">
      <c r="A1004" s="320">
        <v>4115</v>
      </c>
      <c r="B1004" s="362" t="s">
        <v>55</v>
      </c>
      <c r="C1004" s="320" t="s">
        <v>39</v>
      </c>
      <c r="D1004" s="320" t="s">
        <v>55</v>
      </c>
      <c r="E1004" s="320" t="s">
        <v>36</v>
      </c>
      <c r="F1004" s="320" t="s">
        <v>1581</v>
      </c>
      <c r="Z1004" s="320" t="s">
        <v>38</v>
      </c>
      <c r="AA1004" s="362">
        <v>8.5</v>
      </c>
      <c r="AB1004" s="320" t="s">
        <v>1580</v>
      </c>
    </row>
    <row r="1005" spans="1:28" s="320" customFormat="1" ht="0.65" hidden="1" customHeight="1">
      <c r="A1005" s="320">
        <v>4116</v>
      </c>
      <c r="B1005" s="362" t="s">
        <v>55</v>
      </c>
      <c r="C1005" s="320" t="s">
        <v>41</v>
      </c>
      <c r="D1005" s="320" t="s">
        <v>55</v>
      </c>
      <c r="F1005" s="320" t="s">
        <v>1582</v>
      </c>
      <c r="Z1005" s="320" t="s">
        <v>40</v>
      </c>
      <c r="AA1005" s="362">
        <v>0.09</v>
      </c>
      <c r="AB1005" s="320" t="s">
        <v>113</v>
      </c>
    </row>
    <row r="1006" spans="1:28" s="320" customFormat="1" ht="0.65" hidden="1" customHeight="1">
      <c r="A1006" s="320">
        <v>4117</v>
      </c>
      <c r="B1006" s="362" t="s">
        <v>55</v>
      </c>
      <c r="C1006" s="320" t="s">
        <v>43</v>
      </c>
      <c r="D1006" s="320" t="s">
        <v>55</v>
      </c>
      <c r="F1006" s="320" t="s">
        <v>1583</v>
      </c>
      <c r="Z1006" s="320" t="s">
        <v>42</v>
      </c>
      <c r="AA1006" s="362">
        <v>9</v>
      </c>
      <c r="AB1006" s="320" t="s">
        <v>112</v>
      </c>
    </row>
    <row r="1007" spans="1:28" s="320" customFormat="1" ht="0.65" hidden="1" customHeight="1">
      <c r="A1007" s="320">
        <v>4118</v>
      </c>
      <c r="B1007" s="362" t="s">
        <v>55</v>
      </c>
      <c r="C1007" s="320" t="s">
        <v>45</v>
      </c>
      <c r="D1007" s="320" t="s">
        <v>55</v>
      </c>
      <c r="F1007" s="320" t="s">
        <v>1584</v>
      </c>
      <c r="Z1007" s="320" t="s">
        <v>44</v>
      </c>
      <c r="AA1007" s="362">
        <v>8</v>
      </c>
      <c r="AB1007" s="320" t="s">
        <v>114</v>
      </c>
    </row>
    <row r="1008" spans="1:28" s="320" customFormat="1" ht="0.65" hidden="1" customHeight="1">
      <c r="A1008" s="320">
        <v>4119</v>
      </c>
      <c r="B1008" s="362"/>
      <c r="AA1008" s="362"/>
    </row>
    <row r="1009" spans="1:28" s="320" customFormat="1" ht="0.65" hidden="1" customHeight="1">
      <c r="A1009" s="320">
        <v>4120</v>
      </c>
      <c r="B1009" s="362" t="s">
        <v>55</v>
      </c>
      <c r="D1009" s="320">
        <v>18</v>
      </c>
      <c r="E1009" s="320" t="s">
        <v>1585</v>
      </c>
      <c r="Z1009" s="320" t="s">
        <v>42</v>
      </c>
      <c r="AA1009" s="362"/>
    </row>
    <row r="1010" spans="1:28" s="320" customFormat="1" ht="0.65" hidden="1" customHeight="1">
      <c r="A1010" s="320">
        <v>4121</v>
      </c>
      <c r="B1010" s="362"/>
      <c r="D1010" s="320" t="s">
        <v>42</v>
      </c>
      <c r="F1010" s="320" t="s">
        <v>800</v>
      </c>
      <c r="J1010" s="320" t="s">
        <v>1586</v>
      </c>
      <c r="AA1010" s="362"/>
    </row>
    <row r="1011" spans="1:28" s="320" customFormat="1" ht="0.65" hidden="1" customHeight="1">
      <c r="A1011" s="320">
        <v>4122</v>
      </c>
      <c r="B1011" s="362" t="s">
        <v>55</v>
      </c>
      <c r="C1011" s="320" t="s">
        <v>39</v>
      </c>
      <c r="D1011" s="320" t="s">
        <v>55</v>
      </c>
      <c r="F1011" s="320" t="s">
        <v>1587</v>
      </c>
      <c r="Z1011" s="320" t="s">
        <v>38</v>
      </c>
      <c r="AA1011" s="362">
        <v>-51449.225887684646</v>
      </c>
      <c r="AB1011" s="320" t="s">
        <v>95</v>
      </c>
    </row>
    <row r="1012" spans="1:28" s="320" customFormat="1" ht="0.65" hidden="1" customHeight="1">
      <c r="A1012" s="320">
        <v>4123</v>
      </c>
      <c r="B1012" s="362" t="s">
        <v>55</v>
      </c>
      <c r="C1012" s="320" t="s">
        <v>41</v>
      </c>
      <c r="D1012" s="320" t="s">
        <v>55</v>
      </c>
      <c r="F1012" s="320" t="s">
        <v>1588</v>
      </c>
      <c r="Z1012" s="320" t="s">
        <v>40</v>
      </c>
      <c r="AA1012" s="362">
        <v>-20952.615246142785</v>
      </c>
      <c r="AB1012" s="320" t="s">
        <v>96</v>
      </c>
    </row>
    <row r="1013" spans="1:28" s="320" customFormat="1" ht="0.65" hidden="1" customHeight="1">
      <c r="A1013" s="320">
        <v>4124</v>
      </c>
      <c r="B1013" s="362" t="s">
        <v>55</v>
      </c>
      <c r="C1013" s="320" t="s">
        <v>43</v>
      </c>
      <c r="D1013" s="320" t="s">
        <v>55</v>
      </c>
      <c r="E1013" s="320" t="s">
        <v>36</v>
      </c>
      <c r="F1013" s="320" t="s">
        <v>1589</v>
      </c>
      <c r="Z1013" s="320" t="s">
        <v>42</v>
      </c>
      <c r="AA1013" s="362">
        <v>-36847.959271750646</v>
      </c>
      <c r="AB1013" s="320" t="s">
        <v>1586</v>
      </c>
    </row>
    <row r="1014" spans="1:28" s="320" customFormat="1" ht="0.65" hidden="1" customHeight="1">
      <c r="A1014" s="320">
        <v>4125</v>
      </c>
      <c r="B1014" s="362" t="s">
        <v>55</v>
      </c>
      <c r="C1014" s="320" t="s">
        <v>45</v>
      </c>
      <c r="D1014" s="320" t="s">
        <v>55</v>
      </c>
      <c r="F1014" s="320" t="s">
        <v>834</v>
      </c>
      <c r="Z1014" s="320" t="s">
        <v>44</v>
      </c>
      <c r="AA1014" s="362"/>
      <c r="AB1014" s="320" t="s">
        <v>1586</v>
      </c>
    </row>
    <row r="1015" spans="1:28" s="320" customFormat="1" ht="0.65" hidden="1" customHeight="1">
      <c r="A1015" s="320">
        <v>4126</v>
      </c>
      <c r="B1015" s="362"/>
      <c r="AA1015" s="362"/>
    </row>
    <row r="1016" spans="1:28" s="320" customFormat="1" ht="0.65" hidden="1" customHeight="1">
      <c r="A1016" s="320">
        <v>4127</v>
      </c>
      <c r="B1016" s="362" t="s">
        <v>55</v>
      </c>
      <c r="D1016" s="320">
        <v>19</v>
      </c>
      <c r="E1016" s="320" t="s">
        <v>1585</v>
      </c>
      <c r="Z1016" s="320" t="s">
        <v>42</v>
      </c>
      <c r="AA1016" s="362"/>
    </row>
    <row r="1017" spans="1:28" s="320" customFormat="1" ht="0.65" hidden="1" customHeight="1">
      <c r="A1017" s="320">
        <v>4128</v>
      </c>
      <c r="B1017" s="362"/>
      <c r="D1017" s="320" t="s">
        <v>42</v>
      </c>
      <c r="F1017" s="320" t="s">
        <v>800</v>
      </c>
      <c r="J1017" s="320" t="s">
        <v>926</v>
      </c>
      <c r="AA1017" s="362"/>
    </row>
    <row r="1018" spans="1:28" s="320" customFormat="1" ht="0.65" hidden="1" customHeight="1">
      <c r="A1018" s="320">
        <v>4129</v>
      </c>
      <c r="B1018" s="362" t="s">
        <v>55</v>
      </c>
      <c r="C1018" s="320" t="s">
        <v>39</v>
      </c>
      <c r="D1018" s="320" t="s">
        <v>55</v>
      </c>
      <c r="F1018" s="320" t="s">
        <v>1590</v>
      </c>
      <c r="Z1018" s="320" t="s">
        <v>38</v>
      </c>
      <c r="AA1018" s="362">
        <v>6</v>
      </c>
      <c r="AB1018" s="320" t="s">
        <v>97</v>
      </c>
    </row>
    <row r="1019" spans="1:28" s="320" customFormat="1" ht="0.65" hidden="1" customHeight="1">
      <c r="A1019" s="320">
        <v>4130</v>
      </c>
      <c r="B1019" s="362" t="s">
        <v>55</v>
      </c>
      <c r="C1019" s="320" t="s">
        <v>41</v>
      </c>
      <c r="D1019" s="320" t="s">
        <v>55</v>
      </c>
      <c r="F1019" s="320" t="s">
        <v>1591</v>
      </c>
      <c r="Z1019" s="320" t="s">
        <v>40</v>
      </c>
      <c r="AA1019" s="362">
        <v>9.5</v>
      </c>
      <c r="AB1019" s="320" t="s">
        <v>98</v>
      </c>
    </row>
    <row r="1020" spans="1:28" s="320" customFormat="1" ht="0.65" hidden="1" customHeight="1">
      <c r="A1020" s="320">
        <v>4131</v>
      </c>
      <c r="B1020" s="362" t="s">
        <v>55</v>
      </c>
      <c r="C1020" s="320" t="s">
        <v>43</v>
      </c>
      <c r="D1020" s="320" t="s">
        <v>55</v>
      </c>
      <c r="E1020" s="320" t="s">
        <v>36</v>
      </c>
      <c r="F1020" s="320" t="s">
        <v>1592</v>
      </c>
      <c r="Z1020" s="320" t="s">
        <v>42</v>
      </c>
      <c r="AA1020" s="362">
        <v>8.5</v>
      </c>
      <c r="AB1020" s="320" t="s">
        <v>926</v>
      </c>
    </row>
    <row r="1021" spans="1:28" s="320" customFormat="1" ht="0.65" hidden="1" customHeight="1">
      <c r="A1021" s="320">
        <v>4132</v>
      </c>
      <c r="B1021" s="362" t="s">
        <v>55</v>
      </c>
      <c r="C1021" s="320" t="s">
        <v>45</v>
      </c>
      <c r="D1021" s="320" t="s">
        <v>55</v>
      </c>
      <c r="F1021" s="320" t="s">
        <v>834</v>
      </c>
      <c r="Z1021" s="320" t="s">
        <v>44</v>
      </c>
      <c r="AA1021" s="362"/>
      <c r="AB1021" s="320" t="s">
        <v>1593</v>
      </c>
    </row>
    <row r="1022" spans="1:28" s="320" customFormat="1" ht="0.65" hidden="1" customHeight="1">
      <c r="A1022" s="320">
        <v>4133</v>
      </c>
      <c r="B1022" s="362"/>
      <c r="AA1022" s="362"/>
    </row>
    <row r="1023" spans="1:28" s="320" customFormat="1" ht="0.65" hidden="1" customHeight="1">
      <c r="A1023" s="320">
        <v>4134</v>
      </c>
      <c r="B1023" s="362" t="s">
        <v>55</v>
      </c>
      <c r="D1023" s="320">
        <v>20</v>
      </c>
      <c r="E1023" s="320" t="s">
        <v>1594</v>
      </c>
      <c r="Z1023" s="320" t="s">
        <v>40</v>
      </c>
      <c r="AA1023" s="362"/>
    </row>
    <row r="1024" spans="1:28" s="320" customFormat="1" ht="0.65" hidden="1" customHeight="1">
      <c r="A1024" s="320">
        <v>4135</v>
      </c>
      <c r="B1024" s="362"/>
      <c r="D1024" s="320" t="s">
        <v>40</v>
      </c>
      <c r="F1024" s="320" t="s">
        <v>800</v>
      </c>
      <c r="J1024" s="320" t="s">
        <v>1167</v>
      </c>
      <c r="AA1024" s="362"/>
    </row>
    <row r="1025" spans="1:28" s="320" customFormat="1" ht="0.65" hidden="1" customHeight="1">
      <c r="A1025" s="320">
        <v>4136</v>
      </c>
      <c r="B1025" s="362" t="s">
        <v>55</v>
      </c>
      <c r="C1025" s="320" t="s">
        <v>39</v>
      </c>
      <c r="D1025" s="320" t="s">
        <v>55</v>
      </c>
      <c r="F1025" s="320" t="s">
        <v>935</v>
      </c>
      <c r="Z1025" s="320" t="s">
        <v>38</v>
      </c>
      <c r="AA1025" s="362" t="s">
        <v>935</v>
      </c>
      <c r="AB1025" s="320" t="s">
        <v>1595</v>
      </c>
    </row>
    <row r="1026" spans="1:28" s="320" customFormat="1" ht="0.65" hidden="1" customHeight="1">
      <c r="A1026" s="320">
        <v>4137</v>
      </c>
      <c r="B1026" s="362" t="s">
        <v>55</v>
      </c>
      <c r="C1026" s="320" t="s">
        <v>41</v>
      </c>
      <c r="D1026" s="320" t="s">
        <v>55</v>
      </c>
      <c r="E1026" s="320" t="s">
        <v>36</v>
      </c>
      <c r="F1026" s="320" t="s">
        <v>1169</v>
      </c>
      <c r="Z1026" s="320" t="s">
        <v>40</v>
      </c>
      <c r="AA1026" s="362" t="s">
        <v>1169</v>
      </c>
      <c r="AB1026" s="320" t="s">
        <v>1167</v>
      </c>
    </row>
    <row r="1027" spans="1:28" s="320" customFormat="1" ht="0.65" hidden="1" customHeight="1">
      <c r="A1027" s="320">
        <v>4138</v>
      </c>
      <c r="B1027" s="362" t="s">
        <v>55</v>
      </c>
      <c r="C1027" s="320" t="s">
        <v>43</v>
      </c>
      <c r="D1027" s="320" t="s">
        <v>55</v>
      </c>
      <c r="F1027" s="320" t="s">
        <v>933</v>
      </c>
      <c r="Z1027" s="320" t="s">
        <v>42</v>
      </c>
      <c r="AA1027" s="362" t="s">
        <v>933</v>
      </c>
      <c r="AB1027" s="320" t="s">
        <v>1595</v>
      </c>
    </row>
    <row r="1028" spans="1:28" s="320" customFormat="1" ht="0.65" hidden="1" customHeight="1">
      <c r="A1028" s="320">
        <v>4139</v>
      </c>
      <c r="B1028" s="362" t="s">
        <v>55</v>
      </c>
      <c r="C1028" s="320" t="s">
        <v>45</v>
      </c>
      <c r="D1028" s="320" t="s">
        <v>55</v>
      </c>
      <c r="F1028" s="320" t="s">
        <v>834</v>
      </c>
      <c r="Z1028" s="320" t="s">
        <v>44</v>
      </c>
      <c r="AA1028" s="362"/>
      <c r="AB1028" s="320" t="s">
        <v>1595</v>
      </c>
    </row>
    <row r="1029" spans="1:28" s="320" customFormat="1" ht="0.65" hidden="1" customHeight="1">
      <c r="A1029" s="320">
        <v>4140</v>
      </c>
      <c r="B1029" s="362"/>
      <c r="AA1029" s="362"/>
    </row>
    <row r="1030" spans="1:28" s="320" customFormat="1" ht="0.65" hidden="1" customHeight="1">
      <c r="A1030" s="320">
        <v>4141</v>
      </c>
      <c r="B1030" s="362"/>
      <c r="AA1030" s="362"/>
    </row>
    <row r="1031" spans="1:28" s="320" customFormat="1" ht="0.65" hidden="1" customHeight="1">
      <c r="A1031" s="320">
        <v>4142</v>
      </c>
      <c r="B1031" s="362"/>
      <c r="D1031" s="320" t="s">
        <v>50</v>
      </c>
      <c r="M1031" s="320" t="s">
        <v>85</v>
      </c>
      <c r="AA1031" s="362"/>
    </row>
    <row r="1032" spans="1:28" s="320" customFormat="1" ht="0.65" hidden="1" customHeight="1">
      <c r="A1032" s="320">
        <v>4143</v>
      </c>
      <c r="B1032" s="362"/>
      <c r="D1032" s="320">
        <v>1</v>
      </c>
      <c r="E1032" s="320" t="s">
        <v>38</v>
      </c>
      <c r="F1032" s="320" t="s">
        <v>39</v>
      </c>
      <c r="M1032" s="320">
        <v>1</v>
      </c>
      <c r="N1032" s="320" t="s">
        <v>38</v>
      </c>
      <c r="O1032" s="320" t="s">
        <v>39</v>
      </c>
      <c r="Q1032" s="320" t="s">
        <v>937</v>
      </c>
      <c r="U1032" s="320" t="s">
        <v>46</v>
      </c>
      <c r="AA1032" s="362"/>
    </row>
    <row r="1033" spans="1:28" s="320" customFormat="1" ht="0.65" hidden="1" customHeight="1">
      <c r="A1033" s="320">
        <v>4144</v>
      </c>
      <c r="B1033" s="362"/>
      <c r="D1033" s="320">
        <v>2</v>
      </c>
      <c r="E1033" s="320" t="s">
        <v>42</v>
      </c>
      <c r="F1033" s="320" t="s">
        <v>43</v>
      </c>
      <c r="H1033" s="320" t="s">
        <v>38</v>
      </c>
      <c r="I1033" s="320">
        <v>4</v>
      </c>
      <c r="M1033" s="320">
        <v>2</v>
      </c>
      <c r="N1033" s="320" t="s">
        <v>42</v>
      </c>
      <c r="O1033" s="320" t="s">
        <v>43</v>
      </c>
      <c r="Q1033" s="320" t="s">
        <v>937</v>
      </c>
      <c r="AA1033" s="362"/>
    </row>
    <row r="1034" spans="1:28" s="320" customFormat="1" ht="0.65" hidden="1" customHeight="1">
      <c r="A1034" s="320">
        <v>4145</v>
      </c>
      <c r="B1034" s="362"/>
      <c r="D1034" s="320">
        <v>3</v>
      </c>
      <c r="E1034" s="320" t="s">
        <v>42</v>
      </c>
      <c r="F1034" s="320" t="s">
        <v>43</v>
      </c>
      <c r="H1034" s="320" t="s">
        <v>40</v>
      </c>
      <c r="I1034" s="320">
        <v>5</v>
      </c>
      <c r="M1034" s="320">
        <v>3</v>
      </c>
      <c r="N1034" s="320" t="s">
        <v>42</v>
      </c>
      <c r="O1034" s="320" t="s">
        <v>43</v>
      </c>
      <c r="Q1034" s="320" t="s">
        <v>937</v>
      </c>
      <c r="U1034" s="320" t="s">
        <v>47</v>
      </c>
      <c r="V1034" s="320">
        <v>20</v>
      </c>
      <c r="W1034" s="320">
        <v>1</v>
      </c>
      <c r="AA1034" s="362"/>
    </row>
    <row r="1035" spans="1:28" s="320" customFormat="1" ht="0.65" hidden="1" customHeight="1">
      <c r="A1035" s="320">
        <v>4146</v>
      </c>
      <c r="B1035" s="362"/>
      <c r="D1035" s="320">
        <v>4</v>
      </c>
      <c r="E1035" s="320" t="s">
        <v>40</v>
      </c>
      <c r="F1035" s="320" t="s">
        <v>41</v>
      </c>
      <c r="H1035" s="320" t="s">
        <v>42</v>
      </c>
      <c r="I1035" s="320">
        <v>5</v>
      </c>
      <c r="M1035" s="320">
        <v>4</v>
      </c>
      <c r="N1035" s="320" t="s">
        <v>40</v>
      </c>
      <c r="O1035" s="320" t="s">
        <v>41</v>
      </c>
      <c r="Q1035" s="320" t="s">
        <v>937</v>
      </c>
      <c r="AA1035" s="362"/>
    </row>
    <row r="1036" spans="1:28" s="320" customFormat="1" ht="0.65" hidden="1" customHeight="1">
      <c r="A1036" s="320">
        <v>4147</v>
      </c>
      <c r="B1036" s="362"/>
      <c r="D1036" s="320">
        <v>5</v>
      </c>
      <c r="E1036" s="320" t="s">
        <v>40</v>
      </c>
      <c r="F1036" s="320" t="s">
        <v>41</v>
      </c>
      <c r="H1036" s="320" t="s">
        <v>44</v>
      </c>
      <c r="I1036" s="320">
        <v>6</v>
      </c>
      <c r="M1036" s="320">
        <v>5</v>
      </c>
      <c r="N1036" s="320" t="s">
        <v>40</v>
      </c>
      <c r="O1036" s="320" t="s">
        <v>41</v>
      </c>
      <c r="Q1036" s="320" t="s">
        <v>937</v>
      </c>
      <c r="U1036" s="320" t="s">
        <v>48</v>
      </c>
      <c r="V1036" s="320">
        <v>0</v>
      </c>
      <c r="W1036" s="320">
        <v>0</v>
      </c>
      <c r="AA1036" s="362"/>
    </row>
    <row r="1037" spans="1:28" s="320" customFormat="1" ht="0.65" hidden="1" customHeight="1">
      <c r="A1037" s="320">
        <v>4148</v>
      </c>
      <c r="B1037" s="362"/>
      <c r="D1037" s="320">
        <v>6</v>
      </c>
      <c r="E1037" s="320" t="s">
        <v>44</v>
      </c>
      <c r="F1037" s="320" t="s">
        <v>45</v>
      </c>
      <c r="I1037" s="320">
        <v>20</v>
      </c>
      <c r="M1037" s="320">
        <v>6</v>
      </c>
      <c r="N1037" s="320" t="s">
        <v>44</v>
      </c>
      <c r="O1037" s="320" t="s">
        <v>45</v>
      </c>
      <c r="Q1037" s="320" t="s">
        <v>937</v>
      </c>
      <c r="AA1037" s="362"/>
    </row>
    <row r="1038" spans="1:28" s="320" customFormat="1" ht="0.65" hidden="1" customHeight="1">
      <c r="A1038" s="320">
        <v>4149</v>
      </c>
      <c r="B1038" s="362"/>
      <c r="D1038" s="320">
        <v>7</v>
      </c>
      <c r="E1038" s="320" t="s">
        <v>44</v>
      </c>
      <c r="F1038" s="320" t="s">
        <v>45</v>
      </c>
      <c r="M1038" s="320">
        <v>7</v>
      </c>
      <c r="N1038" s="320" t="s">
        <v>44</v>
      </c>
      <c r="O1038" s="320" t="s">
        <v>45</v>
      </c>
      <c r="Q1038" s="320" t="s">
        <v>937</v>
      </c>
      <c r="V1038" s="320" t="s">
        <v>49</v>
      </c>
      <c r="W1038" s="320">
        <v>10</v>
      </c>
      <c r="AA1038" s="362"/>
    </row>
    <row r="1039" spans="1:28" s="320" customFormat="1" ht="0.65" hidden="1" customHeight="1">
      <c r="A1039" s="320">
        <v>4150</v>
      </c>
      <c r="B1039" s="362"/>
      <c r="D1039" s="320">
        <v>8</v>
      </c>
      <c r="E1039" s="320" t="s">
        <v>44</v>
      </c>
      <c r="F1039" s="320" t="s">
        <v>45</v>
      </c>
      <c r="H1039" s="320" t="s">
        <v>38</v>
      </c>
      <c r="I1039" s="320" t="s">
        <v>39</v>
      </c>
      <c r="M1039" s="320">
        <v>8</v>
      </c>
      <c r="N1039" s="320" t="s">
        <v>44</v>
      </c>
      <c r="O1039" s="320" t="s">
        <v>45</v>
      </c>
      <c r="Q1039" s="320" t="s">
        <v>937</v>
      </c>
      <c r="AA1039" s="362"/>
    </row>
    <row r="1040" spans="1:28" s="320" customFormat="1" ht="0.65" hidden="1" customHeight="1">
      <c r="A1040" s="320">
        <v>4151</v>
      </c>
      <c r="B1040" s="362"/>
      <c r="D1040" s="320">
        <v>9</v>
      </c>
      <c r="E1040" s="320" t="s">
        <v>44</v>
      </c>
      <c r="F1040" s="320" t="s">
        <v>45</v>
      </c>
      <c r="H1040" s="320" t="s">
        <v>40</v>
      </c>
      <c r="I1040" s="320" t="s">
        <v>41</v>
      </c>
      <c r="M1040" s="320">
        <v>9</v>
      </c>
      <c r="N1040" s="320" t="s">
        <v>44</v>
      </c>
      <c r="O1040" s="320" t="s">
        <v>45</v>
      </c>
      <c r="Q1040" s="320" t="s">
        <v>937</v>
      </c>
      <c r="T1040" s="320" t="s">
        <v>938</v>
      </c>
      <c r="AA1040" s="362"/>
    </row>
    <row r="1041" spans="1:27" s="320" customFormat="1" ht="0.65" hidden="1" customHeight="1">
      <c r="A1041" s="320">
        <v>4152</v>
      </c>
      <c r="B1041" s="362"/>
      <c r="D1041" s="320">
        <v>10</v>
      </c>
      <c r="E1041" s="320" t="s">
        <v>40</v>
      </c>
      <c r="F1041" s="320" t="s">
        <v>41</v>
      </c>
      <c r="H1041" s="320" t="s">
        <v>42</v>
      </c>
      <c r="I1041" s="320" t="s">
        <v>43</v>
      </c>
      <c r="M1041" s="320">
        <v>10</v>
      </c>
      <c r="N1041" s="320" t="s">
        <v>40</v>
      </c>
      <c r="O1041" s="320" t="s">
        <v>41</v>
      </c>
      <c r="Q1041" s="320" t="s">
        <v>937</v>
      </c>
      <c r="AA1041" s="362"/>
    </row>
    <row r="1042" spans="1:27" s="320" customFormat="1" ht="0.65" hidden="1" customHeight="1">
      <c r="A1042" s="320">
        <v>4153</v>
      </c>
      <c r="B1042" s="362"/>
      <c r="D1042" s="320">
        <v>11</v>
      </c>
      <c r="E1042" s="320" t="s">
        <v>44</v>
      </c>
      <c r="F1042" s="320" t="s">
        <v>45</v>
      </c>
      <c r="H1042" s="320" t="s">
        <v>44</v>
      </c>
      <c r="I1042" s="320" t="s">
        <v>45</v>
      </c>
      <c r="M1042" s="320">
        <v>11</v>
      </c>
      <c r="N1042" s="320" t="s">
        <v>44</v>
      </c>
      <c r="O1042" s="320" t="s">
        <v>45</v>
      </c>
      <c r="Q1042" s="320" t="s">
        <v>937</v>
      </c>
      <c r="T1042" s="320" t="s">
        <v>86</v>
      </c>
      <c r="AA1042" s="362"/>
    </row>
    <row r="1043" spans="1:27" s="320" customFormat="1" ht="0.65" hidden="1" customHeight="1">
      <c r="A1043" s="320">
        <v>4154</v>
      </c>
      <c r="B1043" s="362"/>
      <c r="D1043" s="320">
        <v>12</v>
      </c>
      <c r="E1043" s="320" t="s">
        <v>44</v>
      </c>
      <c r="F1043" s="320" t="s">
        <v>45</v>
      </c>
      <c r="M1043" s="320">
        <v>12</v>
      </c>
      <c r="N1043" s="320" t="s">
        <v>44</v>
      </c>
      <c r="O1043" s="320" t="s">
        <v>45</v>
      </c>
      <c r="Q1043" s="320" t="s">
        <v>937</v>
      </c>
      <c r="T1043" s="320" t="s">
        <v>87</v>
      </c>
      <c r="AA1043" s="362"/>
    </row>
    <row r="1044" spans="1:27" s="320" customFormat="1" ht="0.65" hidden="1" customHeight="1">
      <c r="A1044" s="320">
        <v>4155</v>
      </c>
      <c r="B1044" s="362"/>
      <c r="D1044" s="320">
        <v>13</v>
      </c>
      <c r="E1044" s="320" t="s">
        <v>38</v>
      </c>
      <c r="F1044" s="320" t="s">
        <v>39</v>
      </c>
      <c r="H1044" s="320">
        <v>1.1000000000000001</v>
      </c>
      <c r="M1044" s="320">
        <v>13</v>
      </c>
      <c r="N1044" s="320" t="s">
        <v>38</v>
      </c>
      <c r="O1044" s="320" t="s">
        <v>39</v>
      </c>
      <c r="Q1044" s="320" t="s">
        <v>937</v>
      </c>
      <c r="T1044" s="320" t="s">
        <v>88</v>
      </c>
      <c r="V1044" s="320" t="s">
        <v>36</v>
      </c>
      <c r="W1044" s="320" t="s">
        <v>55</v>
      </c>
      <c r="AA1044" s="362"/>
    </row>
    <row r="1045" spans="1:27" s="320" customFormat="1" ht="0.65" hidden="1" customHeight="1">
      <c r="A1045" s="320">
        <v>4156</v>
      </c>
      <c r="B1045" s="362"/>
      <c r="D1045" s="320">
        <v>14</v>
      </c>
      <c r="E1045" s="320" t="s">
        <v>40</v>
      </c>
      <c r="F1045" s="320" t="s">
        <v>41</v>
      </c>
      <c r="H1045" s="320">
        <v>1.2</v>
      </c>
      <c r="M1045" s="320">
        <v>14</v>
      </c>
      <c r="N1045" s="320" t="s">
        <v>40</v>
      </c>
      <c r="O1045" s="320" t="s">
        <v>41</v>
      </c>
      <c r="Q1045" s="320" t="s">
        <v>937</v>
      </c>
      <c r="AA1045" s="362"/>
    </row>
    <row r="1046" spans="1:27" s="320" customFormat="1" ht="0.65" hidden="1" customHeight="1">
      <c r="A1046" s="320">
        <v>4157</v>
      </c>
      <c r="B1046" s="362"/>
      <c r="D1046" s="320">
        <v>15</v>
      </c>
      <c r="E1046" s="320" t="s">
        <v>38</v>
      </c>
      <c r="F1046" s="320" t="s">
        <v>39</v>
      </c>
      <c r="H1046" s="320">
        <v>1.3</v>
      </c>
      <c r="M1046" s="320">
        <v>15</v>
      </c>
      <c r="N1046" s="320" t="s">
        <v>38</v>
      </c>
      <c r="O1046" s="320" t="s">
        <v>39</v>
      </c>
      <c r="Q1046" s="320" t="s">
        <v>937</v>
      </c>
      <c r="AA1046" s="362"/>
    </row>
    <row r="1047" spans="1:27" s="320" customFormat="1" ht="0.65" hidden="1" customHeight="1">
      <c r="A1047" s="320">
        <v>4158</v>
      </c>
      <c r="B1047" s="362"/>
      <c r="D1047" s="320">
        <v>16</v>
      </c>
      <c r="E1047" s="320" t="s">
        <v>42</v>
      </c>
      <c r="F1047" s="320" t="s">
        <v>43</v>
      </c>
      <c r="H1047" s="320">
        <v>1.4</v>
      </c>
      <c r="M1047" s="320">
        <v>16</v>
      </c>
      <c r="N1047" s="320" t="s">
        <v>42</v>
      </c>
      <c r="O1047" s="320" t="s">
        <v>43</v>
      </c>
      <c r="Q1047" s="320" t="s">
        <v>937</v>
      </c>
      <c r="AA1047" s="362"/>
    </row>
    <row r="1048" spans="1:27" s="320" customFormat="1" ht="0.65" hidden="1" customHeight="1">
      <c r="A1048" s="320">
        <v>4159</v>
      </c>
      <c r="B1048" s="362"/>
      <c r="D1048" s="320">
        <v>17</v>
      </c>
      <c r="E1048" s="320" t="s">
        <v>38</v>
      </c>
      <c r="F1048" s="320" t="s">
        <v>39</v>
      </c>
      <c r="M1048" s="320">
        <v>17</v>
      </c>
      <c r="N1048" s="320" t="s">
        <v>38</v>
      </c>
      <c r="O1048" s="320" t="s">
        <v>39</v>
      </c>
      <c r="Q1048" s="320" t="s">
        <v>937</v>
      </c>
      <c r="AA1048" s="362"/>
    </row>
    <row r="1049" spans="1:27" s="320" customFormat="1" ht="0.65" hidden="1" customHeight="1">
      <c r="A1049" s="320">
        <v>4160</v>
      </c>
      <c r="B1049" s="362"/>
      <c r="D1049" s="320">
        <v>18</v>
      </c>
      <c r="E1049" s="320" t="s">
        <v>42</v>
      </c>
      <c r="F1049" s="320" t="s">
        <v>43</v>
      </c>
      <c r="M1049" s="320">
        <v>18</v>
      </c>
      <c r="N1049" s="320" t="s">
        <v>42</v>
      </c>
      <c r="O1049" s="320" t="s">
        <v>43</v>
      </c>
      <c r="Q1049" s="320" t="s">
        <v>937</v>
      </c>
      <c r="AA1049" s="362"/>
    </row>
    <row r="1050" spans="1:27" s="320" customFormat="1" ht="0.65" hidden="1" customHeight="1">
      <c r="A1050" s="320">
        <v>4161</v>
      </c>
      <c r="B1050" s="362"/>
      <c r="D1050" s="320">
        <v>19</v>
      </c>
      <c r="E1050" s="320" t="s">
        <v>42</v>
      </c>
      <c r="F1050" s="320" t="s">
        <v>43</v>
      </c>
      <c r="M1050" s="320">
        <v>19</v>
      </c>
      <c r="N1050" s="320" t="s">
        <v>42</v>
      </c>
      <c r="O1050" s="320" t="s">
        <v>43</v>
      </c>
      <c r="Q1050" s="320" t="s">
        <v>937</v>
      </c>
      <c r="AA1050" s="362"/>
    </row>
    <row r="1051" spans="1:27" s="320" customFormat="1" ht="0.65" hidden="1" customHeight="1">
      <c r="A1051" s="320">
        <v>4162</v>
      </c>
      <c r="B1051" s="362"/>
      <c r="D1051" s="320">
        <v>20</v>
      </c>
      <c r="E1051" s="320" t="s">
        <v>40</v>
      </c>
      <c r="F1051" s="320" t="s">
        <v>41</v>
      </c>
      <c r="M1051" s="320">
        <v>20</v>
      </c>
      <c r="N1051" s="320" t="s">
        <v>40</v>
      </c>
      <c r="O1051" s="320" t="s">
        <v>41</v>
      </c>
      <c r="Q1051" s="320" t="s">
        <v>937</v>
      </c>
      <c r="AA1051" s="362"/>
    </row>
    <row r="1052" spans="1:27" s="320" customFormat="1" ht="0.65" hidden="1" customHeight="1">
      <c r="A1052" s="320">
        <v>4163</v>
      </c>
      <c r="B1052" s="362"/>
      <c r="R1052" s="320" t="s">
        <v>465</v>
      </c>
      <c r="AA1052" s="362"/>
    </row>
    <row r="1053" spans="1:27" s="320" customFormat="1" ht="0.65" hidden="1" customHeight="1">
      <c r="A1053" s="320">
        <v>4164</v>
      </c>
      <c r="B1053" s="362"/>
      <c r="R1053" s="363" t="s">
        <v>5</v>
      </c>
      <c r="S1053" s="364">
        <v>2022</v>
      </c>
      <c r="AA1053" s="362"/>
    </row>
    <row r="1054" spans="1:27" s="320" customFormat="1" ht="0.65" hidden="1" customHeight="1">
      <c r="A1054" s="320">
        <v>4165</v>
      </c>
      <c r="B1054" s="362"/>
      <c r="AA1054" s="362"/>
    </row>
    <row r="1055" spans="1:27" s="320" customFormat="1" ht="0.65" hidden="1" customHeight="1">
      <c r="A1055" s="320">
        <v>4166</v>
      </c>
      <c r="B1055" s="362"/>
      <c r="R1055" s="363" t="s">
        <v>32</v>
      </c>
      <c r="AA1055" s="362"/>
    </row>
    <row r="1056" spans="1:27" s="320" customFormat="1" ht="0.65" hidden="1" customHeight="1">
      <c r="A1056" s="320">
        <v>4167</v>
      </c>
      <c r="B1056" s="362"/>
      <c r="R1056" s="363" t="s">
        <v>488</v>
      </c>
      <c r="S1056" s="363">
        <v>500000</v>
      </c>
      <c r="AA1056" s="362"/>
    </row>
    <row r="1057" spans="1:27" s="320" customFormat="1" ht="0.65" hidden="1" customHeight="1">
      <c r="A1057" s="320">
        <v>4168</v>
      </c>
      <c r="B1057" s="362"/>
      <c r="R1057" s="363" t="s">
        <v>6</v>
      </c>
      <c r="S1057" s="363">
        <v>10</v>
      </c>
      <c r="AA1057" s="362"/>
    </row>
    <row r="1058" spans="1:27" s="320" customFormat="1" ht="0.65" hidden="1" customHeight="1">
      <c r="A1058" s="320">
        <v>4169</v>
      </c>
      <c r="B1058" s="362"/>
      <c r="R1058" s="363" t="s">
        <v>489</v>
      </c>
      <c r="S1058" s="363">
        <v>100000</v>
      </c>
      <c r="AA1058" s="362"/>
    </row>
    <row r="1059" spans="1:27" s="320" customFormat="1" ht="0.65" hidden="1" customHeight="1">
      <c r="A1059" s="320">
        <v>4170</v>
      </c>
      <c r="B1059" s="362"/>
      <c r="AA1059" s="362"/>
    </row>
    <row r="1060" spans="1:27" s="320" customFormat="1" ht="0.65" hidden="1" customHeight="1">
      <c r="A1060" s="320">
        <v>4171</v>
      </c>
      <c r="B1060" s="362"/>
      <c r="R1060" s="363" t="s">
        <v>34</v>
      </c>
      <c r="S1060" s="363">
        <v>600000</v>
      </c>
      <c r="AA1060" s="362"/>
    </row>
    <row r="1061" spans="1:27" s="320" customFormat="1" ht="0.65" hidden="1" customHeight="1">
      <c r="A1061" s="320">
        <v>4172</v>
      </c>
      <c r="B1061" s="362"/>
      <c r="R1061" s="363" t="s">
        <v>35</v>
      </c>
      <c r="S1061" s="363">
        <v>500000</v>
      </c>
      <c r="AA1061" s="362"/>
    </row>
    <row r="1062" spans="1:27" s="320" customFormat="1" ht="0.65" hidden="1" customHeight="1">
      <c r="A1062" s="320">
        <v>4173</v>
      </c>
      <c r="B1062" s="362"/>
      <c r="AA1062" s="362"/>
    </row>
    <row r="1063" spans="1:27" s="320" customFormat="1" ht="0.65" hidden="1" customHeight="1">
      <c r="A1063" s="320">
        <v>4174</v>
      </c>
      <c r="B1063" s="362"/>
      <c r="R1063" s="363" t="s">
        <v>7</v>
      </c>
      <c r="S1063" s="363">
        <v>90</v>
      </c>
      <c r="AA1063" s="362"/>
    </row>
    <row r="1064" spans="1:27" s="320" customFormat="1" ht="0.65" hidden="1" customHeight="1">
      <c r="A1064" s="320">
        <v>4175</v>
      </c>
      <c r="B1064" s="362"/>
      <c r="R1064" s="363" t="s">
        <v>8</v>
      </c>
      <c r="S1064" s="363">
        <v>90</v>
      </c>
      <c r="AA1064" s="362"/>
    </row>
    <row r="1065" spans="1:27" s="320" customFormat="1" ht="0.65" hidden="1" customHeight="1">
      <c r="A1065" s="320">
        <v>4176</v>
      </c>
      <c r="B1065" s="362"/>
      <c r="AA1065" s="362"/>
    </row>
    <row r="1066" spans="1:27" s="320" customFormat="1" ht="0.65" hidden="1" customHeight="1">
      <c r="A1066" s="320">
        <v>4177</v>
      </c>
      <c r="B1066" s="362"/>
      <c r="R1066" s="363" t="s">
        <v>33</v>
      </c>
      <c r="AA1066" s="362"/>
    </row>
    <row r="1067" spans="1:27" s="320" customFormat="1" ht="0.65" hidden="1" customHeight="1">
      <c r="A1067" s="320">
        <v>4178</v>
      </c>
      <c r="B1067" s="362"/>
      <c r="R1067" s="363" t="s">
        <v>492</v>
      </c>
      <c r="S1067" s="363">
        <v>175000</v>
      </c>
      <c r="AA1067" s="362"/>
    </row>
    <row r="1068" spans="1:27" s="320" customFormat="1" ht="0.65" hidden="1" customHeight="1">
      <c r="A1068" s="320">
        <v>4179</v>
      </c>
      <c r="B1068" s="362"/>
      <c r="R1068" s="363" t="s">
        <v>495</v>
      </c>
      <c r="S1068" s="363">
        <v>250000</v>
      </c>
      <c r="AA1068" s="362"/>
    </row>
    <row r="1069" spans="1:27" s="320" customFormat="1" ht="0.65" hidden="1" customHeight="1">
      <c r="A1069" s="320">
        <v>4180</v>
      </c>
      <c r="B1069" s="362"/>
      <c r="R1069" s="363" t="s">
        <v>6</v>
      </c>
      <c r="S1069" s="363">
        <v>4</v>
      </c>
      <c r="AA1069" s="362"/>
    </row>
    <row r="1070" spans="1:27" s="320" customFormat="1" ht="0.65" hidden="1" customHeight="1">
      <c r="A1070" s="320">
        <v>4181</v>
      </c>
      <c r="B1070" s="362"/>
      <c r="R1070" s="363" t="s">
        <v>489</v>
      </c>
      <c r="S1070" s="363">
        <v>43750</v>
      </c>
      <c r="AA1070" s="362"/>
    </row>
    <row r="1071" spans="1:27" s="320" customFormat="1" ht="0.65" hidden="1" customHeight="1">
      <c r="A1071" s="320">
        <v>4182</v>
      </c>
      <c r="B1071" s="362"/>
      <c r="AA1071" s="362"/>
    </row>
    <row r="1072" spans="1:27" s="320" customFormat="1" ht="0.65" hidden="1" customHeight="1">
      <c r="A1072" s="320">
        <v>4183</v>
      </c>
      <c r="B1072" s="362"/>
      <c r="R1072" s="363" t="s">
        <v>4</v>
      </c>
      <c r="S1072" s="365">
        <v>0.25</v>
      </c>
      <c r="AA1072" s="362"/>
    </row>
    <row r="1073" spans="1:27" s="320" customFormat="1" ht="0.65" hidden="1" customHeight="1">
      <c r="A1073" s="320">
        <v>4184</v>
      </c>
      <c r="B1073" s="362"/>
      <c r="S1073" s="363" t="s">
        <v>9</v>
      </c>
      <c r="AA1073" s="362"/>
    </row>
    <row r="1074" spans="1:27" s="320" customFormat="1" ht="0.65" hidden="1" customHeight="1">
      <c r="A1074" s="320">
        <v>4185</v>
      </c>
      <c r="B1074" s="362"/>
      <c r="AA1074" s="362"/>
    </row>
    <row r="1075" spans="1:27" s="320" customFormat="1" ht="0.65" hidden="1" customHeight="1">
      <c r="A1075" s="320">
        <v>4186</v>
      </c>
      <c r="B1075" s="362"/>
      <c r="R1075" s="363" t="s">
        <v>10</v>
      </c>
      <c r="S1075" s="363">
        <v>400000</v>
      </c>
      <c r="AA1075" s="362"/>
    </row>
    <row r="1076" spans="1:27" s="320" customFormat="1" ht="0.65" hidden="1" customHeight="1">
      <c r="A1076" s="320">
        <v>4187</v>
      </c>
      <c r="B1076" s="362"/>
      <c r="R1076" s="363" t="s">
        <v>11</v>
      </c>
      <c r="S1076" s="363">
        <v>500000</v>
      </c>
      <c r="AA1076" s="362"/>
    </row>
    <row r="1077" spans="1:27" s="320" customFormat="1" ht="0.65" hidden="1" customHeight="1">
      <c r="A1077" s="320">
        <v>4188</v>
      </c>
      <c r="B1077" s="362"/>
      <c r="R1077" s="363" t="s">
        <v>12</v>
      </c>
      <c r="S1077" s="366">
        <v>0.01</v>
      </c>
      <c r="AA1077" s="362"/>
    </row>
    <row r="1078" spans="1:27" s="320" customFormat="1" ht="0.65" hidden="1" customHeight="1">
      <c r="A1078" s="320">
        <v>4189</v>
      </c>
      <c r="B1078" s="362"/>
      <c r="R1078" s="363" t="s">
        <v>2</v>
      </c>
      <c r="S1078" s="363">
        <v>5000000</v>
      </c>
      <c r="AA1078" s="362"/>
    </row>
    <row r="1079" spans="1:27" s="320" customFormat="1" ht="0.65" hidden="1" customHeight="1">
      <c r="A1079" s="320">
        <v>4190</v>
      </c>
      <c r="B1079" s="362"/>
      <c r="R1079" s="363" t="s">
        <v>3</v>
      </c>
      <c r="S1079" s="363">
        <v>5000000</v>
      </c>
      <c r="AA1079" s="362"/>
    </row>
    <row r="1080" spans="1:27" s="320" customFormat="1" ht="0.65" hidden="1" customHeight="1">
      <c r="A1080" s="320">
        <v>4191</v>
      </c>
      <c r="B1080" s="362"/>
      <c r="AA1080" s="362"/>
    </row>
    <row r="1081" spans="1:27" s="320" customFormat="1" ht="0.65" hidden="1" customHeight="1">
      <c r="A1081" s="320">
        <v>4192</v>
      </c>
      <c r="B1081" s="362"/>
      <c r="R1081" s="363" t="s">
        <v>14</v>
      </c>
      <c r="S1081" s="363" t="s">
        <v>16</v>
      </c>
      <c r="AA1081" s="362"/>
    </row>
    <row r="1082" spans="1:27" s="320" customFormat="1" ht="0.65" hidden="1" customHeight="1">
      <c r="A1082" s="320">
        <v>4193</v>
      </c>
      <c r="B1082" s="362"/>
      <c r="AA1082" s="362"/>
    </row>
    <row r="1083" spans="1:27" s="320" customFormat="1" ht="0.65" hidden="1" customHeight="1">
      <c r="A1083" s="320">
        <v>4194</v>
      </c>
      <c r="B1083" s="362"/>
      <c r="R1083" s="363" t="s">
        <v>0</v>
      </c>
      <c r="S1083" s="363" t="s">
        <v>69</v>
      </c>
      <c r="T1083" s="363" t="s">
        <v>70</v>
      </c>
      <c r="U1083" s="363" t="s">
        <v>71</v>
      </c>
      <c r="V1083" s="363" t="s">
        <v>72</v>
      </c>
      <c r="W1083" s="363" t="s">
        <v>73</v>
      </c>
      <c r="X1083" s="363" t="s">
        <v>74</v>
      </c>
      <c r="Y1083" s="363" t="s">
        <v>75</v>
      </c>
      <c r="AA1083" s="362"/>
    </row>
    <row r="1084" spans="1:27" s="320" customFormat="1" ht="0.65" hidden="1" customHeight="1">
      <c r="A1084" s="320">
        <v>4195</v>
      </c>
      <c r="B1084" s="362"/>
      <c r="R1084" s="364">
        <v>2023</v>
      </c>
      <c r="S1084" s="363">
        <v>600000</v>
      </c>
      <c r="T1084" s="363">
        <v>500000</v>
      </c>
      <c r="U1084" s="363">
        <v>-12500</v>
      </c>
      <c r="V1084" s="363">
        <v>112500</v>
      </c>
      <c r="W1084" s="363">
        <v>28125</v>
      </c>
      <c r="X1084" s="363">
        <v>84375</v>
      </c>
      <c r="Y1084" s="363">
        <v>71875</v>
      </c>
      <c r="AA1084" s="362"/>
    </row>
    <row r="1085" spans="1:27" s="320" customFormat="1" ht="0.65" hidden="1" customHeight="1">
      <c r="A1085" s="320">
        <v>4196</v>
      </c>
      <c r="B1085" s="362"/>
      <c r="R1085" s="364">
        <v>2024</v>
      </c>
      <c r="S1085" s="363">
        <v>600000</v>
      </c>
      <c r="T1085" s="363">
        <v>500000</v>
      </c>
      <c r="U1085" s="363">
        <v>-12500</v>
      </c>
      <c r="V1085" s="363">
        <v>112500</v>
      </c>
      <c r="W1085" s="363">
        <v>28125</v>
      </c>
      <c r="X1085" s="363">
        <v>84375</v>
      </c>
      <c r="Y1085" s="363">
        <v>71875</v>
      </c>
      <c r="AA1085" s="362"/>
    </row>
    <row r="1086" spans="1:27" s="320" customFormat="1" ht="0.65" hidden="1" customHeight="1">
      <c r="A1086" s="320">
        <v>4197</v>
      </c>
      <c r="B1086" s="362"/>
      <c r="R1086" s="364">
        <v>2025</v>
      </c>
      <c r="S1086" s="363">
        <v>600000</v>
      </c>
      <c r="T1086" s="363">
        <v>500000</v>
      </c>
      <c r="U1086" s="363">
        <v>-12500</v>
      </c>
      <c r="V1086" s="363">
        <v>112500</v>
      </c>
      <c r="W1086" s="363">
        <v>28125</v>
      </c>
      <c r="X1086" s="363">
        <v>84375</v>
      </c>
      <c r="Y1086" s="363">
        <v>71875</v>
      </c>
      <c r="AA1086" s="362"/>
    </row>
    <row r="1087" spans="1:27" s="320" customFormat="1" ht="0.65" hidden="1" customHeight="1">
      <c r="A1087" s="320">
        <v>4198</v>
      </c>
      <c r="B1087" s="362"/>
      <c r="AA1087" s="362"/>
    </row>
    <row r="1088" spans="1:27" s="320" customFormat="1" ht="0.65" hidden="1" customHeight="1">
      <c r="A1088" s="320">
        <v>4199</v>
      </c>
      <c r="B1088" s="362"/>
      <c r="R1088" s="363" t="s">
        <v>0</v>
      </c>
      <c r="S1088" s="363" t="s">
        <v>76</v>
      </c>
      <c r="T1088" s="363" t="s">
        <v>77</v>
      </c>
      <c r="U1088" s="363" t="s">
        <v>78</v>
      </c>
      <c r="V1088" s="363" t="s">
        <v>79</v>
      </c>
      <c r="AA1088" s="362"/>
    </row>
    <row r="1089" spans="1:27" s="320" customFormat="1" ht="0.65" hidden="1" customHeight="1">
      <c r="A1089" s="320">
        <v>4200</v>
      </c>
      <c r="B1089" s="362"/>
      <c r="R1089" s="364">
        <v>2022</v>
      </c>
      <c r="S1089" s="363">
        <v>0</v>
      </c>
      <c r="T1089" s="363">
        <v>0</v>
      </c>
      <c r="U1089" s="363">
        <v>0</v>
      </c>
      <c r="V1089" s="363">
        <v>0</v>
      </c>
      <c r="AA1089" s="362"/>
    </row>
    <row r="1090" spans="1:27" s="320" customFormat="1" ht="0.65" hidden="1" customHeight="1">
      <c r="A1090" s="320">
        <v>4201</v>
      </c>
      <c r="B1090" s="362"/>
      <c r="R1090" s="364">
        <v>2023</v>
      </c>
      <c r="S1090" s="363">
        <v>150000</v>
      </c>
      <c r="T1090" s="363">
        <v>125000</v>
      </c>
      <c r="U1090" s="363">
        <v>25000</v>
      </c>
      <c r="V1090" s="363">
        <v>25000</v>
      </c>
      <c r="AA1090" s="362"/>
    </row>
    <row r="1091" spans="1:27" s="320" customFormat="1" ht="0.65" hidden="1" customHeight="1">
      <c r="A1091" s="320">
        <v>4202</v>
      </c>
      <c r="B1091" s="362"/>
      <c r="R1091" s="364">
        <v>2024</v>
      </c>
      <c r="S1091" s="363">
        <v>150000</v>
      </c>
      <c r="T1091" s="363">
        <v>125000</v>
      </c>
      <c r="U1091" s="363">
        <v>25000</v>
      </c>
      <c r="V1091" s="363">
        <v>0</v>
      </c>
      <c r="AA1091" s="362"/>
    </row>
    <row r="1092" spans="1:27" s="320" customFormat="1" ht="0.65" hidden="1" customHeight="1">
      <c r="A1092" s="320">
        <v>4203</v>
      </c>
      <c r="B1092" s="362"/>
      <c r="R1092" s="364">
        <v>2025</v>
      </c>
      <c r="S1092" s="363">
        <v>150000</v>
      </c>
      <c r="T1092" s="363">
        <v>125000</v>
      </c>
      <c r="U1092" s="363">
        <v>25000</v>
      </c>
      <c r="V1092" s="363">
        <v>0</v>
      </c>
      <c r="AA1092" s="362"/>
    </row>
    <row r="1093" spans="1:27" s="320" customFormat="1" ht="0.65" hidden="1" customHeight="1">
      <c r="A1093" s="320">
        <v>4204</v>
      </c>
      <c r="B1093" s="362"/>
      <c r="AA1093" s="362"/>
    </row>
    <row r="1094" spans="1:27" s="320" customFormat="1" ht="0.65" hidden="1" customHeight="1">
      <c r="A1094" s="320">
        <v>4205</v>
      </c>
      <c r="B1094" s="362"/>
      <c r="V1094" s="363" t="s">
        <v>81</v>
      </c>
      <c r="AA1094" s="362"/>
    </row>
    <row r="1095" spans="1:27" s="320" customFormat="1" ht="0.65" hidden="1" customHeight="1">
      <c r="A1095" s="320">
        <v>4206</v>
      </c>
      <c r="B1095" s="362"/>
      <c r="R1095" s="363" t="s">
        <v>0</v>
      </c>
      <c r="S1095" s="363" t="s">
        <v>75</v>
      </c>
      <c r="T1095" s="363" t="s">
        <v>79</v>
      </c>
      <c r="U1095" s="363" t="s">
        <v>80</v>
      </c>
      <c r="V1095" s="363" t="s">
        <v>1</v>
      </c>
      <c r="AA1095" s="362"/>
    </row>
    <row r="1096" spans="1:27" s="320" customFormat="1" ht="0.65" hidden="1" customHeight="1">
      <c r="A1096" s="320">
        <v>4207</v>
      </c>
      <c r="B1096" s="362"/>
      <c r="R1096" s="364">
        <v>2022</v>
      </c>
      <c r="S1096" s="363">
        <v>0</v>
      </c>
      <c r="T1096" s="363">
        <v>0</v>
      </c>
      <c r="U1096" s="363">
        <v>0</v>
      </c>
      <c r="V1096" s="363">
        <v>-306250</v>
      </c>
      <c r="AA1096" s="362"/>
    </row>
    <row r="1097" spans="1:27" s="320" customFormat="1" ht="0.65" hidden="1" customHeight="1">
      <c r="A1097" s="320">
        <v>4208</v>
      </c>
      <c r="B1097" s="362"/>
      <c r="R1097" s="364">
        <v>2023</v>
      </c>
      <c r="S1097" s="363">
        <v>71875</v>
      </c>
      <c r="T1097" s="363">
        <v>25000</v>
      </c>
      <c r="U1097" s="363">
        <v>46875</v>
      </c>
      <c r="V1097" s="363">
        <v>46875</v>
      </c>
      <c r="AA1097" s="362"/>
    </row>
    <row r="1098" spans="1:27" s="320" customFormat="1" ht="0.65" hidden="1" customHeight="1">
      <c r="A1098" s="320">
        <v>4209</v>
      </c>
      <c r="B1098" s="362"/>
      <c r="R1098" s="364">
        <v>2024</v>
      </c>
      <c r="S1098" s="363">
        <v>71875</v>
      </c>
      <c r="T1098" s="363">
        <v>0</v>
      </c>
      <c r="U1098" s="363">
        <v>71875</v>
      </c>
      <c r="V1098" s="363">
        <v>71875</v>
      </c>
      <c r="AA1098" s="362"/>
    </row>
    <row r="1099" spans="1:27" s="320" customFormat="1" ht="0.65" hidden="1" customHeight="1">
      <c r="A1099" s="320">
        <v>4210</v>
      </c>
      <c r="B1099" s="362"/>
      <c r="R1099" s="364">
        <v>2025</v>
      </c>
      <c r="S1099" s="363">
        <v>71875</v>
      </c>
      <c r="T1099" s="363">
        <v>0</v>
      </c>
      <c r="U1099" s="363">
        <v>71875</v>
      </c>
      <c r="V1099" s="363">
        <v>210937.5</v>
      </c>
      <c r="AA1099" s="362"/>
    </row>
    <row r="1100" spans="1:27" s="320" customFormat="1" ht="0.65" hidden="1" customHeight="1">
      <c r="A1100" s="320">
        <v>4211</v>
      </c>
      <c r="B1100" s="362"/>
      <c r="AA1100" s="362"/>
    </row>
    <row r="1101" spans="1:27" s="320" customFormat="1" ht="0.65" hidden="1" customHeight="1">
      <c r="A1101" s="320">
        <v>4212</v>
      </c>
      <c r="B1101" s="362"/>
      <c r="R1101" s="363" t="s">
        <v>490</v>
      </c>
      <c r="S1101" s="363">
        <v>306250</v>
      </c>
      <c r="U1101" s="363" t="s">
        <v>124</v>
      </c>
      <c r="V1101" s="366">
        <v>0.06</v>
      </c>
      <c r="X1101" s="363" t="s">
        <v>13</v>
      </c>
      <c r="Y1101" s="363">
        <v>-36847.959271750646</v>
      </c>
      <c r="AA1101" s="362"/>
    </row>
    <row r="1102" spans="1:27" s="320" customFormat="1" ht="0.65" hidden="1" customHeight="1">
      <c r="A1102" s="320">
        <v>4213</v>
      </c>
      <c r="B1102" s="362"/>
      <c r="R1102" s="363" t="s">
        <v>491</v>
      </c>
      <c r="S1102" s="363">
        <v>114062.5</v>
      </c>
      <c r="U1102" s="363" t="s">
        <v>125</v>
      </c>
      <c r="V1102" s="366">
        <v>0.11</v>
      </c>
      <c r="X1102" s="320" t="s">
        <v>28</v>
      </c>
      <c r="Y1102" s="366">
        <v>3.0062994449785885E-2</v>
      </c>
      <c r="AA1102" s="362"/>
    </row>
    <row r="1103" spans="1:27" s="320" customFormat="1" ht="0.65" hidden="1" customHeight="1">
      <c r="A1103" s="320">
        <v>4214</v>
      </c>
      <c r="B1103" s="362"/>
      <c r="R1103" s="363" t="s">
        <v>493</v>
      </c>
      <c r="S1103" s="363">
        <v>25000</v>
      </c>
      <c r="U1103" s="363" t="s">
        <v>126</v>
      </c>
      <c r="V1103" s="366">
        <v>8.4999999999999992E-2</v>
      </c>
      <c r="X1103" s="320" t="s">
        <v>29</v>
      </c>
      <c r="Y1103" s="367">
        <v>-0.12031986700979802</v>
      </c>
      <c r="AA1103" s="362"/>
    </row>
    <row r="1104" spans="1:27" s="320" customFormat="1" ht="0.65" hidden="1" customHeight="1">
      <c r="A1104" s="320">
        <v>4215</v>
      </c>
      <c r="B1104" s="362"/>
      <c r="R1104" s="363" t="s">
        <v>494</v>
      </c>
      <c r="S1104" s="363">
        <v>139062.5</v>
      </c>
      <c r="X1104" s="320" t="s">
        <v>30</v>
      </c>
      <c r="Y1104" s="320">
        <v>3</v>
      </c>
      <c r="AA1104" s="362"/>
    </row>
    <row r="1105" spans="1:28" s="320" customFormat="1" ht="0.65" hidden="1" customHeight="1">
      <c r="B1105" s="362"/>
      <c r="AA1105" s="362"/>
    </row>
    <row r="1106" spans="1:28" s="320" customFormat="1" ht="0.65" hidden="1" customHeight="1">
      <c r="B1106" s="362"/>
      <c r="AA1106" s="362"/>
    </row>
    <row r="1107" spans="1:28" s="320" customFormat="1" ht="0.65" hidden="1" customHeight="1">
      <c r="B1107" s="362"/>
      <c r="AA1107" s="362"/>
    </row>
    <row r="1108" spans="1:28" s="320" customFormat="1" ht="0.65" hidden="1" customHeight="1">
      <c r="A1108" s="320">
        <v>5001</v>
      </c>
      <c r="B1108" s="362" t="s">
        <v>55</v>
      </c>
      <c r="D1108" s="320">
        <v>1</v>
      </c>
      <c r="E1108" s="320" t="s">
        <v>51</v>
      </c>
      <c r="Z1108" s="320" t="s">
        <v>38</v>
      </c>
      <c r="AA1108" s="362"/>
    </row>
    <row r="1109" spans="1:28" s="320" customFormat="1" ht="0.65" hidden="1" customHeight="1">
      <c r="A1109" s="320">
        <v>5002</v>
      </c>
      <c r="B1109" s="362"/>
      <c r="D1109" s="320" t="s">
        <v>38</v>
      </c>
      <c r="F1109" s="320" t="s">
        <v>800</v>
      </c>
      <c r="J1109" s="320" t="s">
        <v>1748</v>
      </c>
      <c r="AA1109" s="362"/>
    </row>
    <row r="1110" spans="1:28" s="320" customFormat="1" ht="0.65" hidden="1" customHeight="1">
      <c r="A1110" s="320">
        <v>5003</v>
      </c>
      <c r="B1110" s="362" t="s">
        <v>55</v>
      </c>
      <c r="C1110" s="320" t="s">
        <v>39</v>
      </c>
      <c r="D1110" s="320" t="s">
        <v>55</v>
      </c>
      <c r="E1110" s="320" t="s">
        <v>36</v>
      </c>
      <c r="F1110" s="320" t="s">
        <v>1749</v>
      </c>
      <c r="Z1110" s="320" t="s">
        <v>38</v>
      </c>
      <c r="AA1110" s="362">
        <v>967500</v>
      </c>
      <c r="AB1110" s="320" t="s">
        <v>1748</v>
      </c>
    </row>
    <row r="1111" spans="1:28" s="320" customFormat="1" ht="0.65" hidden="1" customHeight="1">
      <c r="A1111" s="320">
        <v>5004</v>
      </c>
      <c r="B1111" s="362" t="s">
        <v>55</v>
      </c>
      <c r="C1111" s="320" t="s">
        <v>41</v>
      </c>
      <c r="D1111" s="320" t="s">
        <v>55</v>
      </c>
      <c r="F1111" s="320" t="s">
        <v>1750</v>
      </c>
      <c r="Z1111" s="320" t="s">
        <v>40</v>
      </c>
      <c r="AA1111" s="362">
        <v>1432500</v>
      </c>
      <c r="AB1111" s="320" t="s">
        <v>58</v>
      </c>
    </row>
    <row r="1112" spans="1:28" s="320" customFormat="1" ht="0.65" hidden="1" customHeight="1">
      <c r="A1112" s="320">
        <v>5005</v>
      </c>
      <c r="B1112" s="362" t="s">
        <v>55</v>
      </c>
      <c r="C1112" s="320" t="s">
        <v>43</v>
      </c>
      <c r="D1112" s="320" t="s">
        <v>55</v>
      </c>
      <c r="F1112" s="320" t="s">
        <v>1751</v>
      </c>
      <c r="Z1112" s="320" t="s">
        <v>42</v>
      </c>
      <c r="AA1112" s="362">
        <v>990000</v>
      </c>
      <c r="AB1112" s="320" t="s">
        <v>57</v>
      </c>
    </row>
    <row r="1113" spans="1:28" s="320" customFormat="1" ht="0.65" hidden="1" customHeight="1">
      <c r="A1113" s="320">
        <v>5006</v>
      </c>
      <c r="B1113" s="362" t="s">
        <v>55</v>
      </c>
      <c r="C1113" s="320" t="s">
        <v>45</v>
      </c>
      <c r="D1113" s="320" t="s">
        <v>55</v>
      </c>
      <c r="F1113" s="320" t="s">
        <v>1752</v>
      </c>
      <c r="Z1113" s="320" t="s">
        <v>44</v>
      </c>
      <c r="AA1113" s="362">
        <v>1410000</v>
      </c>
      <c r="AB1113" s="320" t="s">
        <v>59</v>
      </c>
    </row>
    <row r="1114" spans="1:28" s="320" customFormat="1" ht="0.65" hidden="1" customHeight="1">
      <c r="A1114" s="320">
        <v>5007</v>
      </c>
      <c r="B1114" s="362"/>
      <c r="AA1114" s="362"/>
    </row>
    <row r="1115" spans="1:28" s="320" customFormat="1" ht="0.65" hidden="1" customHeight="1">
      <c r="A1115" s="320">
        <v>5008</v>
      </c>
      <c r="B1115" s="362" t="s">
        <v>55</v>
      </c>
      <c r="D1115" s="320">
        <v>2</v>
      </c>
      <c r="E1115" s="320" t="s">
        <v>829</v>
      </c>
      <c r="Z1115" s="320" t="s">
        <v>42</v>
      </c>
      <c r="AA1115" s="362"/>
    </row>
    <row r="1116" spans="1:28" s="320" customFormat="1" ht="0.65" hidden="1" customHeight="1">
      <c r="A1116" s="320">
        <v>5009</v>
      </c>
      <c r="B1116" s="362"/>
      <c r="D1116" s="320" t="s">
        <v>42</v>
      </c>
      <c r="F1116" s="320" t="s">
        <v>800</v>
      </c>
      <c r="J1116" s="320" t="s">
        <v>1753</v>
      </c>
      <c r="AA1116" s="362"/>
    </row>
    <row r="1117" spans="1:28" s="320" customFormat="1" ht="0.65" hidden="1" customHeight="1">
      <c r="A1117" s="320">
        <v>5010</v>
      </c>
      <c r="B1117" s="362" t="s">
        <v>55</v>
      </c>
      <c r="C1117" s="320" t="s">
        <v>39</v>
      </c>
      <c r="D1117" s="320" t="s">
        <v>55</v>
      </c>
      <c r="F1117" s="320" t="s">
        <v>1754</v>
      </c>
      <c r="Z1117" s="320" t="s">
        <v>38</v>
      </c>
      <c r="AA1117" s="362">
        <v>300000</v>
      </c>
      <c r="AB1117" s="320" t="s">
        <v>60</v>
      </c>
    </row>
    <row r="1118" spans="1:28" s="320" customFormat="1" ht="0.65" hidden="1" customHeight="1">
      <c r="A1118" s="320">
        <v>5011</v>
      </c>
      <c r="B1118" s="362" t="s">
        <v>55</v>
      </c>
      <c r="C1118" s="320" t="s">
        <v>41</v>
      </c>
      <c r="D1118" s="320" t="s">
        <v>55</v>
      </c>
      <c r="F1118" s="320" t="s">
        <v>1755</v>
      </c>
      <c r="Z1118" s="320" t="s">
        <v>40</v>
      </c>
      <c r="AA1118" s="362">
        <v>210000</v>
      </c>
      <c r="AB1118" s="320" t="s">
        <v>61</v>
      </c>
    </row>
    <row r="1119" spans="1:28" s="320" customFormat="1" ht="0.65" hidden="1" customHeight="1">
      <c r="A1119" s="320">
        <v>5012</v>
      </c>
      <c r="B1119" s="362" t="s">
        <v>55</v>
      </c>
      <c r="C1119" s="320" t="s">
        <v>43</v>
      </c>
      <c r="D1119" s="320" t="s">
        <v>55</v>
      </c>
      <c r="E1119" s="320" t="s">
        <v>36</v>
      </c>
      <c r="F1119" s="320" t="s">
        <v>1756</v>
      </c>
      <c r="Z1119" s="320" t="s">
        <v>42</v>
      </c>
      <c r="AA1119" s="362">
        <v>232500</v>
      </c>
      <c r="AB1119" s="320" t="s">
        <v>1753</v>
      </c>
    </row>
    <row r="1120" spans="1:28" s="320" customFormat="1" ht="0.65" hidden="1" customHeight="1">
      <c r="A1120" s="320">
        <v>5013</v>
      </c>
      <c r="B1120" s="362" t="s">
        <v>55</v>
      </c>
      <c r="C1120" s="320" t="s">
        <v>45</v>
      </c>
      <c r="D1120" s="320" t="s">
        <v>55</v>
      </c>
      <c r="F1120" s="320" t="s">
        <v>834</v>
      </c>
      <c r="Z1120" s="320" t="s">
        <v>44</v>
      </c>
      <c r="AA1120" s="362"/>
      <c r="AB1120" s="320" t="s">
        <v>1753</v>
      </c>
    </row>
    <row r="1121" spans="1:28" s="320" customFormat="1" ht="0.65" hidden="1" customHeight="1">
      <c r="A1121" s="320">
        <v>5014</v>
      </c>
      <c r="B1121" s="362"/>
      <c r="AA1121" s="362"/>
    </row>
    <row r="1122" spans="1:28" s="320" customFormat="1" ht="0.65" hidden="1" customHeight="1">
      <c r="A1122" s="320">
        <v>5015</v>
      </c>
      <c r="B1122" s="362" t="s">
        <v>55</v>
      </c>
      <c r="D1122" s="320">
        <v>3</v>
      </c>
      <c r="E1122" s="320" t="s">
        <v>835</v>
      </c>
      <c r="Z1122" s="320" t="s">
        <v>42</v>
      </c>
      <c r="AA1122" s="362"/>
    </row>
    <row r="1123" spans="1:28" s="320" customFormat="1" ht="0.65" hidden="1" customHeight="1">
      <c r="A1123" s="320">
        <v>5016</v>
      </c>
      <c r="B1123" s="362"/>
      <c r="D1123" s="320" t="s">
        <v>42</v>
      </c>
      <c r="F1123" s="320" t="s">
        <v>800</v>
      </c>
      <c r="J1123" s="320" t="s">
        <v>63</v>
      </c>
      <c r="AA1123" s="362"/>
    </row>
    <row r="1124" spans="1:28" s="320" customFormat="1" ht="0.65" hidden="1" customHeight="1">
      <c r="A1124" s="320">
        <v>5017</v>
      </c>
      <c r="B1124" s="362" t="s">
        <v>55</v>
      </c>
      <c r="C1124" s="320" t="s">
        <v>39</v>
      </c>
      <c r="D1124" s="320" t="s">
        <v>55</v>
      </c>
      <c r="F1124" s="320" t="s">
        <v>1522</v>
      </c>
      <c r="Z1124" s="320" t="s">
        <v>38</v>
      </c>
      <c r="AA1124" s="362">
        <v>1800000</v>
      </c>
      <c r="AB1124" s="320" t="s">
        <v>62</v>
      </c>
    </row>
    <row r="1125" spans="1:28" s="320" customFormat="1" ht="0.65" hidden="1" customHeight="1">
      <c r="A1125" s="320">
        <v>5018</v>
      </c>
      <c r="B1125" s="362" t="s">
        <v>55</v>
      </c>
      <c r="C1125" s="320" t="s">
        <v>41</v>
      </c>
      <c r="D1125" s="320" t="s">
        <v>55</v>
      </c>
      <c r="F1125" s="320" t="s">
        <v>1523</v>
      </c>
      <c r="Z1125" s="320" t="s">
        <v>40</v>
      </c>
      <c r="AA1125" s="362">
        <v>1200000</v>
      </c>
      <c r="AB1125" s="320" t="s">
        <v>62</v>
      </c>
    </row>
    <row r="1126" spans="1:28" s="320" customFormat="1" ht="0.65" hidden="1" customHeight="1">
      <c r="A1126" s="320">
        <v>5019</v>
      </c>
      <c r="B1126" s="362" t="s">
        <v>55</v>
      </c>
      <c r="C1126" s="320" t="s">
        <v>43</v>
      </c>
      <c r="D1126" s="320" t="s">
        <v>55</v>
      </c>
      <c r="E1126" s="320" t="s">
        <v>36</v>
      </c>
      <c r="F1126" s="320" t="s">
        <v>1524</v>
      </c>
      <c r="Z1126" s="320" t="s">
        <v>42</v>
      </c>
      <c r="AA1126" s="362">
        <v>600000</v>
      </c>
      <c r="AB1126" s="320" t="s">
        <v>63</v>
      </c>
    </row>
    <row r="1127" spans="1:28" s="320" customFormat="1" ht="0.65" hidden="1" customHeight="1">
      <c r="A1127" s="320">
        <v>5020</v>
      </c>
      <c r="B1127" s="362" t="s">
        <v>55</v>
      </c>
      <c r="C1127" s="320" t="s">
        <v>45</v>
      </c>
      <c r="D1127" s="320" t="s">
        <v>55</v>
      </c>
      <c r="F1127" s="320" t="s">
        <v>834</v>
      </c>
      <c r="Z1127" s="320" t="s">
        <v>44</v>
      </c>
      <c r="AA1127" s="362"/>
      <c r="AB1127" s="320" t="s">
        <v>63</v>
      </c>
    </row>
    <row r="1128" spans="1:28" s="320" customFormat="1" ht="0.65" hidden="1" customHeight="1">
      <c r="A1128" s="320">
        <v>5021</v>
      </c>
      <c r="B1128" s="362"/>
      <c r="AA1128" s="362"/>
    </row>
    <row r="1129" spans="1:28" s="320" customFormat="1" ht="0.65" hidden="1" customHeight="1">
      <c r="A1129" s="320">
        <v>5022</v>
      </c>
      <c r="B1129" s="362" t="s">
        <v>55</v>
      </c>
      <c r="D1129" s="320">
        <v>4</v>
      </c>
      <c r="E1129" s="320" t="s">
        <v>839</v>
      </c>
      <c r="Z1129" s="320" t="s">
        <v>40</v>
      </c>
      <c r="AA1129" s="362"/>
    </row>
    <row r="1130" spans="1:28" s="320" customFormat="1" ht="0.65" hidden="1" customHeight="1">
      <c r="A1130" s="320">
        <v>5023</v>
      </c>
      <c r="B1130" s="362"/>
      <c r="D1130" s="320" t="s">
        <v>40</v>
      </c>
      <c r="F1130" s="320" t="s">
        <v>800</v>
      </c>
      <c r="J1130" s="320" t="s">
        <v>1757</v>
      </c>
      <c r="AA1130" s="362"/>
    </row>
    <row r="1131" spans="1:28" s="320" customFormat="1" ht="0.65" hidden="1" customHeight="1">
      <c r="A1131" s="320">
        <v>5024</v>
      </c>
      <c r="B1131" s="362" t="s">
        <v>55</v>
      </c>
      <c r="C1131" s="320" t="s">
        <v>39</v>
      </c>
      <c r="D1131" s="320" t="s">
        <v>55</v>
      </c>
      <c r="F1131" s="320" t="s">
        <v>1758</v>
      </c>
      <c r="Z1131" s="320" t="s">
        <v>38</v>
      </c>
      <c r="AA1131" s="362">
        <v>270000</v>
      </c>
      <c r="AB1131" s="320" t="s">
        <v>64</v>
      </c>
    </row>
    <row r="1132" spans="1:28" s="320" customFormat="1" ht="0.65" hidden="1" customHeight="1">
      <c r="A1132" s="320">
        <v>5025</v>
      </c>
      <c r="B1132" s="362" t="s">
        <v>55</v>
      </c>
      <c r="C1132" s="320" t="s">
        <v>41</v>
      </c>
      <c r="D1132" s="320" t="s">
        <v>55</v>
      </c>
      <c r="E1132" s="320" t="s">
        <v>36</v>
      </c>
      <c r="F1132" s="320" t="s">
        <v>1759</v>
      </c>
      <c r="Z1132" s="320" t="s">
        <v>40</v>
      </c>
      <c r="AA1132" s="362">
        <v>-30000</v>
      </c>
      <c r="AB1132" s="320" t="s">
        <v>1757</v>
      </c>
    </row>
    <row r="1133" spans="1:28" s="320" customFormat="1" ht="0.65" hidden="1" customHeight="1">
      <c r="A1133" s="320">
        <v>5026</v>
      </c>
      <c r="B1133" s="362" t="s">
        <v>55</v>
      </c>
      <c r="C1133" s="320" t="s">
        <v>43</v>
      </c>
      <c r="D1133" s="320" t="s">
        <v>55</v>
      </c>
      <c r="F1133" s="320" t="s">
        <v>1760</v>
      </c>
      <c r="Z1133" s="320" t="s">
        <v>42</v>
      </c>
      <c r="AA1133" s="362">
        <v>120000</v>
      </c>
      <c r="AB1133" s="320" t="s">
        <v>65</v>
      </c>
    </row>
    <row r="1134" spans="1:28" s="320" customFormat="1" ht="0.65" hidden="1" customHeight="1">
      <c r="A1134" s="320">
        <v>5027</v>
      </c>
      <c r="B1134" s="362" t="s">
        <v>55</v>
      </c>
      <c r="C1134" s="320" t="s">
        <v>45</v>
      </c>
      <c r="D1134" s="320" t="s">
        <v>55</v>
      </c>
      <c r="F1134" s="320" t="s">
        <v>834</v>
      </c>
      <c r="Z1134" s="320" t="s">
        <v>44</v>
      </c>
      <c r="AA1134" s="362"/>
      <c r="AB1134" s="320" t="s">
        <v>1757</v>
      </c>
    </row>
    <row r="1135" spans="1:28" s="320" customFormat="1" ht="0.65" hidden="1" customHeight="1">
      <c r="A1135" s="320">
        <v>5028</v>
      </c>
      <c r="B1135" s="362"/>
      <c r="AA1135" s="362"/>
    </row>
    <row r="1136" spans="1:28" s="320" customFormat="1" ht="0.65" hidden="1" customHeight="1">
      <c r="A1136" s="320">
        <v>5029</v>
      </c>
      <c r="B1136" s="362" t="s">
        <v>55</v>
      </c>
      <c r="D1136" s="320">
        <v>5</v>
      </c>
      <c r="E1136" s="320" t="s">
        <v>844</v>
      </c>
      <c r="Z1136" s="320" t="s">
        <v>40</v>
      </c>
      <c r="AA1136" s="362"/>
    </row>
    <row r="1137" spans="1:28" s="320" customFormat="1" ht="0.65" hidden="1" customHeight="1">
      <c r="A1137" s="320">
        <v>5030</v>
      </c>
      <c r="B1137" s="362"/>
      <c r="D1137" s="320" t="s">
        <v>40</v>
      </c>
      <c r="F1137" s="320" t="s">
        <v>800</v>
      </c>
      <c r="J1137" s="320" t="s">
        <v>1761</v>
      </c>
      <c r="AA1137" s="362"/>
    </row>
    <row r="1138" spans="1:28" s="320" customFormat="1" ht="0.65" hidden="1" customHeight="1">
      <c r="A1138" s="320">
        <v>5031</v>
      </c>
      <c r="B1138" s="362" t="s">
        <v>55</v>
      </c>
      <c r="C1138" s="320" t="s">
        <v>39</v>
      </c>
      <c r="D1138" s="320" t="s">
        <v>55</v>
      </c>
      <c r="F1138" s="320" t="s">
        <v>1762</v>
      </c>
      <c r="Z1138" s="320" t="s">
        <v>38</v>
      </c>
      <c r="AA1138" s="362">
        <v>-30000</v>
      </c>
      <c r="AB1138" s="320" t="s">
        <v>847</v>
      </c>
    </row>
    <row r="1139" spans="1:28" s="320" customFormat="1" ht="0.65" hidden="1" customHeight="1">
      <c r="A1139" s="320">
        <v>5032</v>
      </c>
      <c r="B1139" s="362" t="s">
        <v>55</v>
      </c>
      <c r="C1139" s="320" t="s">
        <v>41</v>
      </c>
      <c r="D1139" s="320" t="s">
        <v>55</v>
      </c>
      <c r="E1139" s="320" t="s">
        <v>36</v>
      </c>
      <c r="F1139" s="320" t="s">
        <v>1763</v>
      </c>
      <c r="Z1139" s="320" t="s">
        <v>40</v>
      </c>
      <c r="AA1139" s="362">
        <v>120000</v>
      </c>
      <c r="AB1139" s="320" t="s">
        <v>1761</v>
      </c>
    </row>
    <row r="1140" spans="1:28" s="320" customFormat="1" ht="0.65" hidden="1" customHeight="1">
      <c r="A1140" s="320">
        <v>5033</v>
      </c>
      <c r="B1140" s="362" t="s">
        <v>55</v>
      </c>
      <c r="C1140" s="320" t="s">
        <v>43</v>
      </c>
      <c r="D1140" s="320" t="s">
        <v>55</v>
      </c>
      <c r="F1140" s="320" t="s">
        <v>1764</v>
      </c>
      <c r="Z1140" s="320" t="s">
        <v>42</v>
      </c>
      <c r="AA1140" s="362">
        <v>270000</v>
      </c>
      <c r="AB1140" s="320" t="s">
        <v>850</v>
      </c>
    </row>
    <row r="1141" spans="1:28" s="320" customFormat="1" ht="0.65" hidden="1" customHeight="1">
      <c r="A1141" s="320">
        <v>5034</v>
      </c>
      <c r="B1141" s="362" t="s">
        <v>55</v>
      </c>
      <c r="C1141" s="320" t="s">
        <v>45</v>
      </c>
      <c r="D1141" s="320" t="s">
        <v>55</v>
      </c>
      <c r="F1141" s="320" t="s">
        <v>834</v>
      </c>
      <c r="Z1141" s="320" t="s">
        <v>44</v>
      </c>
      <c r="AA1141" s="362"/>
      <c r="AB1141" s="320" t="s">
        <v>1761</v>
      </c>
    </row>
    <row r="1142" spans="1:28" s="320" customFormat="1" ht="0.65" hidden="1" customHeight="1">
      <c r="A1142" s="320">
        <v>5035</v>
      </c>
      <c r="B1142" s="362"/>
      <c r="AA1142" s="362"/>
    </row>
    <row r="1143" spans="1:28" s="320" customFormat="1" ht="0.65" hidden="1" customHeight="1">
      <c r="A1143" s="320">
        <v>5036</v>
      </c>
      <c r="B1143" s="362" t="s">
        <v>55</v>
      </c>
      <c r="D1143" s="320">
        <v>6</v>
      </c>
      <c r="E1143" s="320" t="s">
        <v>851</v>
      </c>
      <c r="Z1143" s="320" t="s">
        <v>44</v>
      </c>
      <c r="AA1143" s="362"/>
    </row>
    <row r="1144" spans="1:28" s="320" customFormat="1" ht="0.65" hidden="1" customHeight="1">
      <c r="A1144" s="320">
        <v>5037</v>
      </c>
      <c r="B1144" s="362"/>
      <c r="D1144" s="320" t="s">
        <v>44</v>
      </c>
      <c r="F1144" s="320" t="s">
        <v>800</v>
      </c>
      <c r="J1144" s="320" t="s">
        <v>1765</v>
      </c>
      <c r="AA1144" s="362"/>
    </row>
    <row r="1145" spans="1:28" s="320" customFormat="1" ht="0.65" hidden="1" customHeight="1">
      <c r="A1145" s="320">
        <v>5038</v>
      </c>
      <c r="B1145" s="362" t="s">
        <v>55</v>
      </c>
      <c r="C1145" s="320" t="s">
        <v>39</v>
      </c>
      <c r="D1145" s="320" t="s">
        <v>55</v>
      </c>
      <c r="F1145" s="320" t="s">
        <v>1766</v>
      </c>
      <c r="Z1145" s="320" t="s">
        <v>38</v>
      </c>
      <c r="AA1145" s="362">
        <v>82500</v>
      </c>
      <c r="AB1145" s="320" t="s">
        <v>478</v>
      </c>
    </row>
    <row r="1146" spans="1:28" s="320" customFormat="1" ht="0.65" hidden="1" customHeight="1">
      <c r="A1146" s="320">
        <v>5039</v>
      </c>
      <c r="B1146" s="362" t="s">
        <v>55</v>
      </c>
      <c r="C1146" s="320" t="s">
        <v>41</v>
      </c>
      <c r="D1146" s="320" t="s">
        <v>55</v>
      </c>
      <c r="F1146" s="320" t="s">
        <v>1767</v>
      </c>
      <c r="Z1146" s="320" t="s">
        <v>40</v>
      </c>
      <c r="AA1146" s="362">
        <v>195000</v>
      </c>
      <c r="AB1146" s="320" t="s">
        <v>90</v>
      </c>
    </row>
    <row r="1147" spans="1:28" s="320" customFormat="1" ht="0.65" hidden="1" customHeight="1">
      <c r="A1147" s="320">
        <v>5040</v>
      </c>
      <c r="B1147" s="362" t="s">
        <v>55</v>
      </c>
      <c r="C1147" s="320" t="s">
        <v>43</v>
      </c>
      <c r="D1147" s="320" t="s">
        <v>55</v>
      </c>
      <c r="F1147" s="320" t="s">
        <v>1768</v>
      </c>
      <c r="Z1147" s="320" t="s">
        <v>42</v>
      </c>
      <c r="AA1147" s="362">
        <v>112500</v>
      </c>
      <c r="AB1147" s="320" t="s">
        <v>91</v>
      </c>
    </row>
    <row r="1148" spans="1:28" s="320" customFormat="1" ht="0.65" hidden="1" customHeight="1">
      <c r="A1148" s="320">
        <v>5041</v>
      </c>
      <c r="B1148" s="362" t="s">
        <v>55</v>
      </c>
      <c r="C1148" s="320" t="s">
        <v>45</v>
      </c>
      <c r="D1148" s="320" t="s">
        <v>55</v>
      </c>
      <c r="E1148" s="320" t="s">
        <v>36</v>
      </c>
      <c r="F1148" s="320" t="s">
        <v>1769</v>
      </c>
      <c r="Z1148" s="320" t="s">
        <v>44</v>
      </c>
      <c r="AA1148" s="362">
        <v>120000</v>
      </c>
      <c r="AB1148" s="320" t="s">
        <v>1765</v>
      </c>
    </row>
    <row r="1149" spans="1:28" s="320" customFormat="1" ht="0.65" hidden="1" customHeight="1">
      <c r="A1149" s="320">
        <v>5042</v>
      </c>
      <c r="B1149" s="362"/>
      <c r="AA1149" s="362"/>
    </row>
    <row r="1150" spans="1:28" s="320" customFormat="1" ht="0.65" hidden="1" customHeight="1">
      <c r="A1150" s="320">
        <v>5043</v>
      </c>
      <c r="B1150" s="362" t="s">
        <v>55</v>
      </c>
      <c r="D1150" s="320">
        <v>7</v>
      </c>
      <c r="E1150" s="320" t="s">
        <v>857</v>
      </c>
      <c r="Z1150" s="320" t="s">
        <v>44</v>
      </c>
      <c r="AA1150" s="362"/>
    </row>
    <row r="1151" spans="1:28" s="320" customFormat="1" ht="0.65" hidden="1" customHeight="1">
      <c r="A1151" s="320">
        <v>5044</v>
      </c>
      <c r="B1151" s="362"/>
      <c r="D1151" s="320" t="s">
        <v>44</v>
      </c>
      <c r="F1151" s="320" t="s">
        <v>800</v>
      </c>
      <c r="J1151" s="320" t="s">
        <v>1770</v>
      </c>
      <c r="AA1151" s="362"/>
    </row>
    <row r="1152" spans="1:28" s="320" customFormat="1" ht="0.65" hidden="1" customHeight="1">
      <c r="A1152" s="320">
        <v>5045</v>
      </c>
      <c r="B1152" s="362" t="s">
        <v>55</v>
      </c>
      <c r="C1152" s="320" t="s">
        <v>39</v>
      </c>
      <c r="D1152" s="320" t="s">
        <v>55</v>
      </c>
      <c r="F1152" s="320" t="s">
        <v>1771</v>
      </c>
      <c r="Z1152" s="320" t="s">
        <v>38</v>
      </c>
      <c r="AA1152" s="362">
        <v>360000</v>
      </c>
      <c r="AB1152" s="320" t="s">
        <v>120</v>
      </c>
    </row>
    <row r="1153" spans="1:28" s="320" customFormat="1" ht="0.65" hidden="1" customHeight="1">
      <c r="A1153" s="320">
        <v>5046</v>
      </c>
      <c r="B1153" s="362" t="s">
        <v>55</v>
      </c>
      <c r="C1153" s="320" t="s">
        <v>41</v>
      </c>
      <c r="D1153" s="320" t="s">
        <v>55</v>
      </c>
      <c r="F1153" s="320" t="s">
        <v>1772</v>
      </c>
      <c r="Z1153" s="320" t="s">
        <v>40</v>
      </c>
      <c r="AA1153" s="362">
        <v>390000</v>
      </c>
      <c r="AB1153" s="320" t="s">
        <v>121</v>
      </c>
    </row>
    <row r="1154" spans="1:28" s="320" customFormat="1" ht="0.65" hidden="1" customHeight="1">
      <c r="A1154" s="320">
        <v>5047</v>
      </c>
      <c r="B1154" s="362" t="s">
        <v>55</v>
      </c>
      <c r="C1154" s="320" t="s">
        <v>43</v>
      </c>
      <c r="D1154" s="320" t="s">
        <v>55</v>
      </c>
      <c r="F1154" s="320" t="s">
        <v>1773</v>
      </c>
      <c r="Z1154" s="320" t="s">
        <v>42</v>
      </c>
      <c r="AA1154" s="362">
        <v>247500</v>
      </c>
      <c r="AB1154" s="320" t="s">
        <v>862</v>
      </c>
    </row>
    <row r="1155" spans="1:28" s="320" customFormat="1" ht="0.65" hidden="1" customHeight="1">
      <c r="A1155" s="320">
        <v>5048</v>
      </c>
      <c r="B1155" s="362" t="s">
        <v>55</v>
      </c>
      <c r="C1155" s="320" t="s">
        <v>45</v>
      </c>
      <c r="D1155" s="320" t="s">
        <v>55</v>
      </c>
      <c r="E1155" s="320" t="s">
        <v>36</v>
      </c>
      <c r="F1155" s="320" t="s">
        <v>1774</v>
      </c>
      <c r="Z1155" s="320" t="s">
        <v>44</v>
      </c>
      <c r="AA1155" s="362">
        <v>330000</v>
      </c>
      <c r="AB1155" s="320" t="s">
        <v>1770</v>
      </c>
    </row>
    <row r="1156" spans="1:28" s="320" customFormat="1" ht="0.65" hidden="1" customHeight="1">
      <c r="A1156" s="320">
        <v>5049</v>
      </c>
      <c r="B1156" s="362"/>
      <c r="AA1156" s="362"/>
    </row>
    <row r="1157" spans="1:28" s="320" customFormat="1" ht="0.65" hidden="1" customHeight="1">
      <c r="A1157" s="320">
        <v>5050</v>
      </c>
      <c r="B1157" s="362" t="s">
        <v>55</v>
      </c>
      <c r="D1157" s="320">
        <v>8</v>
      </c>
      <c r="E1157" s="320" t="s">
        <v>864</v>
      </c>
      <c r="Z1157" s="320" t="s">
        <v>44</v>
      </c>
      <c r="AA1157" s="362"/>
    </row>
    <row r="1158" spans="1:28" s="320" customFormat="1" ht="0.65" hidden="1" customHeight="1">
      <c r="A1158" s="320">
        <v>5051</v>
      </c>
      <c r="B1158" s="362"/>
      <c r="D1158" s="320" t="s">
        <v>44</v>
      </c>
      <c r="F1158" s="320" t="s">
        <v>800</v>
      </c>
      <c r="J1158" s="320" t="s">
        <v>1775</v>
      </c>
      <c r="AA1158" s="362"/>
    </row>
    <row r="1159" spans="1:28" s="320" customFormat="1" ht="0.65" hidden="1" customHeight="1">
      <c r="A1159" s="320">
        <v>5052</v>
      </c>
      <c r="B1159" s="362" t="s">
        <v>55</v>
      </c>
      <c r="C1159" s="320" t="s">
        <v>39</v>
      </c>
      <c r="D1159" s="320" t="s">
        <v>55</v>
      </c>
      <c r="F1159" s="320" t="s">
        <v>1776</v>
      </c>
      <c r="Z1159" s="320" t="s">
        <v>38</v>
      </c>
      <c r="AA1159" s="362">
        <v>200000</v>
      </c>
      <c r="AB1159" s="320" t="s">
        <v>99</v>
      </c>
    </row>
    <row r="1160" spans="1:28" s="320" customFormat="1" ht="0.65" hidden="1" customHeight="1">
      <c r="A1160" s="320">
        <v>5053</v>
      </c>
      <c r="B1160" s="362" t="s">
        <v>55</v>
      </c>
      <c r="C1160" s="320" t="s">
        <v>41</v>
      </c>
      <c r="D1160" s="320" t="s">
        <v>55</v>
      </c>
      <c r="F1160" s="320" t="s">
        <v>1777</v>
      </c>
      <c r="Z1160" s="320" t="s">
        <v>40</v>
      </c>
      <c r="AA1160" s="362">
        <v>500000</v>
      </c>
      <c r="AB1160" s="320" t="s">
        <v>100</v>
      </c>
    </row>
    <row r="1161" spans="1:28" s="320" customFormat="1" ht="0.65" hidden="1" customHeight="1">
      <c r="A1161" s="320">
        <v>5054</v>
      </c>
      <c r="B1161" s="362" t="s">
        <v>55</v>
      </c>
      <c r="C1161" s="320" t="s">
        <v>43</v>
      </c>
      <c r="D1161" s="320" t="s">
        <v>55</v>
      </c>
      <c r="F1161" s="320" t="s">
        <v>1332</v>
      </c>
      <c r="Z1161" s="320" t="s">
        <v>42</v>
      </c>
      <c r="AA1161" s="362">
        <v>600000</v>
      </c>
      <c r="AB1161" s="320" t="s">
        <v>101</v>
      </c>
    </row>
    <row r="1162" spans="1:28" s="320" customFormat="1" ht="0.65" hidden="1" customHeight="1">
      <c r="A1162" s="320">
        <v>5055</v>
      </c>
      <c r="B1162" s="362" t="s">
        <v>55</v>
      </c>
      <c r="C1162" s="320" t="s">
        <v>45</v>
      </c>
      <c r="D1162" s="320" t="s">
        <v>55</v>
      </c>
      <c r="E1162" s="320" t="s">
        <v>36</v>
      </c>
      <c r="F1162" s="320" t="s">
        <v>1778</v>
      </c>
      <c r="Z1162" s="320" t="s">
        <v>44</v>
      </c>
      <c r="AA1162" s="362">
        <v>100000</v>
      </c>
      <c r="AB1162" s="320" t="s">
        <v>1775</v>
      </c>
    </row>
    <row r="1163" spans="1:28" s="320" customFormat="1" ht="0.65" hidden="1" customHeight="1">
      <c r="A1163" s="320">
        <v>5056</v>
      </c>
      <c r="B1163" s="362"/>
      <c r="AA1163" s="362"/>
    </row>
    <row r="1164" spans="1:28" s="320" customFormat="1" ht="0.65" hidden="1" customHeight="1">
      <c r="A1164" s="320">
        <v>5057</v>
      </c>
      <c r="B1164" s="362" t="s">
        <v>55</v>
      </c>
      <c r="D1164" s="320">
        <v>9</v>
      </c>
      <c r="E1164" s="320" t="s">
        <v>870</v>
      </c>
      <c r="Z1164" s="320" t="s">
        <v>44</v>
      </c>
      <c r="AA1164" s="362"/>
    </row>
    <row r="1165" spans="1:28" s="320" customFormat="1" ht="0.65" hidden="1" customHeight="1">
      <c r="A1165" s="320">
        <v>5058</v>
      </c>
      <c r="B1165" s="362"/>
      <c r="D1165" s="320" t="s">
        <v>44</v>
      </c>
      <c r="F1165" s="320" t="s">
        <v>800</v>
      </c>
      <c r="J1165" s="320" t="s">
        <v>1779</v>
      </c>
      <c r="AA1165" s="362"/>
    </row>
    <row r="1166" spans="1:28" s="320" customFormat="1" ht="0.65" hidden="1" customHeight="1">
      <c r="A1166" s="320">
        <v>5059</v>
      </c>
      <c r="B1166" s="362" t="s">
        <v>55</v>
      </c>
      <c r="C1166" s="320" t="s">
        <v>39</v>
      </c>
      <c r="D1166" s="320" t="s">
        <v>55</v>
      </c>
      <c r="F1166" s="320" t="s">
        <v>1780</v>
      </c>
      <c r="Z1166" s="320" t="s">
        <v>38</v>
      </c>
      <c r="AA1166" s="362">
        <v>25000</v>
      </c>
      <c r="AB1166" s="320" t="s">
        <v>102</v>
      </c>
    </row>
    <row r="1167" spans="1:28" s="320" customFormat="1" ht="0.65" hidden="1" customHeight="1">
      <c r="A1167" s="320">
        <v>5060</v>
      </c>
      <c r="B1167" s="362" t="s">
        <v>1108</v>
      </c>
      <c r="C1167" s="320" t="s">
        <v>41</v>
      </c>
      <c r="D1167" s="320" t="s">
        <v>55</v>
      </c>
      <c r="F1167" s="320" t="s">
        <v>1781</v>
      </c>
      <c r="Z1167" s="320" t="s">
        <v>40</v>
      </c>
      <c r="AA1167" s="362">
        <v>112500</v>
      </c>
      <c r="AB1167" s="320" t="s">
        <v>103</v>
      </c>
    </row>
    <row r="1168" spans="1:28" s="320" customFormat="1" ht="0.65" hidden="1" customHeight="1">
      <c r="A1168" s="320">
        <v>5061</v>
      </c>
      <c r="B1168" s="362" t="s">
        <v>1108</v>
      </c>
      <c r="C1168" s="320" t="s">
        <v>43</v>
      </c>
      <c r="D1168" s="320" t="s">
        <v>55</v>
      </c>
      <c r="F1168" s="320" t="s">
        <v>1782</v>
      </c>
      <c r="Z1168" s="320" t="s">
        <v>42</v>
      </c>
      <c r="AA1168" s="362">
        <v>112500</v>
      </c>
      <c r="AB1168" s="320" t="s">
        <v>1783</v>
      </c>
    </row>
    <row r="1169" spans="1:28" s="320" customFormat="1" ht="0.65" hidden="1" customHeight="1">
      <c r="A1169" s="320">
        <v>5062</v>
      </c>
      <c r="B1169" s="362" t="s">
        <v>55</v>
      </c>
      <c r="C1169" s="320" t="s">
        <v>45</v>
      </c>
      <c r="D1169" s="320" t="s">
        <v>55</v>
      </c>
      <c r="E1169" s="320" t="s">
        <v>36</v>
      </c>
      <c r="F1169" s="320" t="s">
        <v>1784</v>
      </c>
      <c r="Z1169" s="320" t="s">
        <v>44</v>
      </c>
      <c r="AA1169" s="362">
        <v>37500</v>
      </c>
      <c r="AB1169" s="320" t="s">
        <v>1779</v>
      </c>
    </row>
    <row r="1170" spans="1:28" s="320" customFormat="1" ht="0.65" hidden="1" customHeight="1">
      <c r="A1170" s="320">
        <v>5063</v>
      </c>
      <c r="B1170" s="362"/>
      <c r="AA1170" s="362"/>
    </row>
    <row r="1171" spans="1:28" s="320" customFormat="1" ht="0.65" hidden="1" customHeight="1">
      <c r="A1171" s="320">
        <v>5064</v>
      </c>
      <c r="B1171" s="362" t="s">
        <v>55</v>
      </c>
      <c r="D1171" s="320">
        <v>10</v>
      </c>
      <c r="E1171" s="320" t="s">
        <v>877</v>
      </c>
      <c r="Z1171" s="320" t="s">
        <v>40</v>
      </c>
      <c r="AA1171" s="362"/>
    </row>
    <row r="1172" spans="1:28" s="320" customFormat="1" ht="0.65" hidden="1" customHeight="1">
      <c r="A1172" s="320">
        <v>5065</v>
      </c>
      <c r="B1172" s="362"/>
      <c r="D1172" s="320" t="s">
        <v>40</v>
      </c>
      <c r="F1172" s="320" t="s">
        <v>800</v>
      </c>
      <c r="J1172" s="320" t="s">
        <v>1785</v>
      </c>
      <c r="AA1172" s="362"/>
    </row>
    <row r="1173" spans="1:28" s="320" customFormat="1" ht="0.65" hidden="1" customHeight="1">
      <c r="A1173" s="320">
        <v>5066</v>
      </c>
      <c r="B1173" s="362" t="s">
        <v>55</v>
      </c>
      <c r="C1173" s="320" t="s">
        <v>39</v>
      </c>
      <c r="D1173" s="320" t="s">
        <v>55</v>
      </c>
      <c r="F1173" s="320" t="s">
        <v>1786</v>
      </c>
      <c r="Z1173" s="320" t="s">
        <v>38</v>
      </c>
      <c r="AA1173" s="362">
        <v>450000</v>
      </c>
      <c r="AB1173" s="320" t="s">
        <v>104</v>
      </c>
    </row>
    <row r="1174" spans="1:28" s="320" customFormat="1" ht="0.65" hidden="1" customHeight="1">
      <c r="A1174" s="320">
        <v>5067</v>
      </c>
      <c r="B1174" s="362" t="s">
        <v>55</v>
      </c>
      <c r="C1174" s="320" t="s">
        <v>41</v>
      </c>
      <c r="D1174" s="320" t="s">
        <v>55</v>
      </c>
      <c r="E1174" s="320" t="s">
        <v>36</v>
      </c>
      <c r="F1174" s="320" t="s">
        <v>1787</v>
      </c>
      <c r="Z1174" s="320" t="s">
        <v>40</v>
      </c>
      <c r="AA1174" s="362">
        <v>62500</v>
      </c>
      <c r="AB1174" s="320" t="s">
        <v>1785</v>
      </c>
    </row>
    <row r="1175" spans="1:28" s="320" customFormat="1" ht="0.65" hidden="1" customHeight="1">
      <c r="A1175" s="320">
        <v>5068</v>
      </c>
      <c r="B1175" s="362" t="s">
        <v>55</v>
      </c>
      <c r="C1175" s="320" t="s">
        <v>43</v>
      </c>
      <c r="D1175" s="320" t="s">
        <v>55</v>
      </c>
      <c r="F1175" s="320" t="s">
        <v>1788</v>
      </c>
      <c r="Z1175" s="320" t="s">
        <v>42</v>
      </c>
      <c r="AA1175" s="362">
        <v>137500</v>
      </c>
      <c r="AB1175" s="320" t="s">
        <v>105</v>
      </c>
    </row>
    <row r="1176" spans="1:28" s="320" customFormat="1" ht="0.65" hidden="1" customHeight="1">
      <c r="A1176" s="320">
        <v>5069</v>
      </c>
      <c r="B1176" s="362" t="s">
        <v>55</v>
      </c>
      <c r="C1176" s="320" t="s">
        <v>45</v>
      </c>
      <c r="D1176" s="320" t="s">
        <v>55</v>
      </c>
      <c r="F1176" s="320" t="s">
        <v>882</v>
      </c>
      <c r="Z1176" s="320" t="s">
        <v>44</v>
      </c>
      <c r="AA1176" s="362">
        <v>0</v>
      </c>
      <c r="AB1176" s="320" t="s">
        <v>1785</v>
      </c>
    </row>
    <row r="1177" spans="1:28" s="320" customFormat="1" ht="0.65" hidden="1" customHeight="1">
      <c r="A1177" s="320">
        <v>5070</v>
      </c>
      <c r="B1177" s="362"/>
      <c r="AA1177" s="362"/>
    </row>
    <row r="1178" spans="1:28" s="320" customFormat="1" ht="0.65" hidden="1" customHeight="1">
      <c r="A1178" s="320">
        <v>5071</v>
      </c>
      <c r="B1178" s="362" t="s">
        <v>55</v>
      </c>
      <c r="D1178" s="320">
        <v>11</v>
      </c>
      <c r="E1178" s="320" t="s">
        <v>883</v>
      </c>
      <c r="Z1178" s="320" t="s">
        <v>44</v>
      </c>
      <c r="AA1178" s="362"/>
    </row>
    <row r="1179" spans="1:28" s="320" customFormat="1" ht="0.65" hidden="1" customHeight="1">
      <c r="A1179" s="320">
        <v>5072</v>
      </c>
      <c r="B1179" s="362"/>
      <c r="D1179" s="320" t="s">
        <v>44</v>
      </c>
      <c r="F1179" s="320" t="s">
        <v>800</v>
      </c>
      <c r="J1179" s="320" t="s">
        <v>119</v>
      </c>
      <c r="AA1179" s="362"/>
    </row>
    <row r="1180" spans="1:28" s="320" customFormat="1" ht="0.65" hidden="1" customHeight="1">
      <c r="A1180" s="320">
        <v>5073</v>
      </c>
      <c r="B1180" s="362" t="s">
        <v>55</v>
      </c>
      <c r="C1180" s="320" t="s">
        <v>39</v>
      </c>
      <c r="D1180" s="320" t="s">
        <v>55</v>
      </c>
      <c r="F1180" s="320" t="s">
        <v>1789</v>
      </c>
      <c r="Z1180" s="320" t="s">
        <v>38</v>
      </c>
      <c r="AA1180" s="362">
        <v>62500</v>
      </c>
      <c r="AB1180" s="320" t="s">
        <v>106</v>
      </c>
    </row>
    <row r="1181" spans="1:28" s="320" customFormat="1" ht="0.65" hidden="1" customHeight="1">
      <c r="A1181" s="320">
        <v>5074</v>
      </c>
      <c r="B1181" s="362" t="s">
        <v>55</v>
      </c>
      <c r="C1181" s="320" t="s">
        <v>41</v>
      </c>
      <c r="D1181" s="320" t="s">
        <v>55</v>
      </c>
      <c r="F1181" s="320" t="s">
        <v>1790</v>
      </c>
      <c r="Z1181" s="320" t="s">
        <v>40</v>
      </c>
      <c r="AA1181" s="362">
        <v>137500</v>
      </c>
      <c r="AB1181" s="320" t="s">
        <v>107</v>
      </c>
    </row>
    <row r="1182" spans="1:28" s="320" customFormat="1" ht="0.65" hidden="1" customHeight="1">
      <c r="A1182" s="320">
        <v>5075</v>
      </c>
      <c r="B1182" s="362" t="s">
        <v>55</v>
      </c>
      <c r="C1182" s="320" t="s">
        <v>43</v>
      </c>
      <c r="D1182" s="320" t="s">
        <v>55</v>
      </c>
      <c r="F1182" s="320" t="s">
        <v>1791</v>
      </c>
      <c r="Z1182" s="320" t="s">
        <v>42</v>
      </c>
      <c r="AA1182" s="362">
        <v>100000</v>
      </c>
      <c r="AB1182" s="320" t="s">
        <v>118</v>
      </c>
    </row>
    <row r="1183" spans="1:28" s="320" customFormat="1" ht="0.65" hidden="1" customHeight="1">
      <c r="A1183" s="320">
        <v>5076</v>
      </c>
      <c r="B1183" s="362" t="s">
        <v>55</v>
      </c>
      <c r="C1183" s="320" t="s">
        <v>45</v>
      </c>
      <c r="D1183" s="320" t="s">
        <v>55</v>
      </c>
      <c r="E1183" s="320" t="s">
        <v>36</v>
      </c>
      <c r="F1183" s="320" t="s">
        <v>887</v>
      </c>
      <c r="Z1183" s="320" t="s">
        <v>44</v>
      </c>
      <c r="AA1183" s="362">
        <v>0</v>
      </c>
      <c r="AB1183" s="320" t="s">
        <v>119</v>
      </c>
    </row>
    <row r="1184" spans="1:28" s="320" customFormat="1" ht="0.65" hidden="1" customHeight="1">
      <c r="A1184" s="320">
        <v>5077</v>
      </c>
      <c r="B1184" s="362"/>
      <c r="AA1184" s="362"/>
    </row>
    <row r="1185" spans="1:28" s="320" customFormat="1" ht="0.65" hidden="1" customHeight="1">
      <c r="A1185" s="320">
        <v>5078</v>
      </c>
      <c r="B1185" s="362" t="s">
        <v>55</v>
      </c>
      <c r="D1185" s="320">
        <v>12</v>
      </c>
      <c r="E1185" s="320" t="s">
        <v>888</v>
      </c>
      <c r="Z1185" s="320" t="s">
        <v>44</v>
      </c>
      <c r="AA1185" s="362"/>
    </row>
    <row r="1186" spans="1:28" s="320" customFormat="1" ht="0.65" hidden="1" customHeight="1">
      <c r="A1186" s="320">
        <v>5079</v>
      </c>
      <c r="B1186" s="362"/>
      <c r="D1186" s="320" t="s">
        <v>44</v>
      </c>
      <c r="F1186" s="320" t="s">
        <v>800</v>
      </c>
      <c r="J1186" s="320" t="s">
        <v>1792</v>
      </c>
      <c r="AA1186" s="362"/>
    </row>
    <row r="1187" spans="1:28" s="320" customFormat="1" ht="0.65" hidden="1" customHeight="1">
      <c r="A1187" s="320">
        <v>5080</v>
      </c>
      <c r="B1187" s="362" t="s">
        <v>55</v>
      </c>
      <c r="C1187" s="320" t="s">
        <v>39</v>
      </c>
      <c r="D1187" s="320" t="s">
        <v>55</v>
      </c>
      <c r="F1187" s="320" t="s">
        <v>1793</v>
      </c>
      <c r="Z1187" s="320" t="s">
        <v>38</v>
      </c>
      <c r="AA1187" s="362">
        <v>330000</v>
      </c>
      <c r="AB1187" s="320" t="s">
        <v>115</v>
      </c>
    </row>
    <row r="1188" spans="1:28" s="320" customFormat="1" ht="0.65" hidden="1" customHeight="1">
      <c r="A1188" s="320">
        <v>5081</v>
      </c>
      <c r="B1188" s="362" t="s">
        <v>55</v>
      </c>
      <c r="C1188" s="320" t="s">
        <v>41</v>
      </c>
      <c r="D1188" s="320" t="s">
        <v>55</v>
      </c>
      <c r="F1188" s="320" t="s">
        <v>1794</v>
      </c>
      <c r="Z1188" s="320" t="s">
        <v>40</v>
      </c>
      <c r="AA1188" s="362">
        <v>360000</v>
      </c>
      <c r="AB1188" s="320" t="s">
        <v>116</v>
      </c>
    </row>
    <row r="1189" spans="1:28" s="320" customFormat="1" ht="0.65" hidden="1" customHeight="1">
      <c r="A1189" s="320">
        <v>5082</v>
      </c>
      <c r="B1189" s="362" t="s">
        <v>55</v>
      </c>
      <c r="C1189" s="320" t="s">
        <v>43</v>
      </c>
      <c r="D1189" s="320" t="s">
        <v>55</v>
      </c>
      <c r="F1189" s="320" t="s">
        <v>1795</v>
      </c>
      <c r="Z1189" s="320" t="s">
        <v>42</v>
      </c>
      <c r="AA1189" s="362">
        <v>327500</v>
      </c>
      <c r="AB1189" s="320" t="s">
        <v>117</v>
      </c>
    </row>
    <row r="1190" spans="1:28" s="320" customFormat="1" ht="0.65" hidden="1" customHeight="1">
      <c r="A1190" s="320">
        <v>5083</v>
      </c>
      <c r="B1190" s="362" t="s">
        <v>55</v>
      </c>
      <c r="C1190" s="320" t="s">
        <v>45</v>
      </c>
      <c r="D1190" s="320" t="s">
        <v>55</v>
      </c>
      <c r="E1190" s="320" t="s">
        <v>36</v>
      </c>
      <c r="F1190" s="320" t="s">
        <v>1796</v>
      </c>
      <c r="Z1190" s="320" t="s">
        <v>44</v>
      </c>
      <c r="AA1190" s="362">
        <v>267500</v>
      </c>
      <c r="AB1190" s="320" t="s">
        <v>1792</v>
      </c>
    </row>
    <row r="1191" spans="1:28" s="320" customFormat="1" ht="0.65" hidden="1" customHeight="1">
      <c r="A1191" s="320">
        <v>5084</v>
      </c>
      <c r="B1191" s="362"/>
      <c r="AA1191" s="362"/>
    </row>
    <row r="1192" spans="1:28" s="320" customFormat="1" ht="0.65" hidden="1" customHeight="1">
      <c r="A1192" s="320">
        <v>5085</v>
      </c>
      <c r="B1192" s="362" t="s">
        <v>55</v>
      </c>
      <c r="D1192" s="320">
        <v>13</v>
      </c>
      <c r="E1192" s="320" t="s">
        <v>894</v>
      </c>
      <c r="Z1192" s="320" t="s">
        <v>38</v>
      </c>
      <c r="AA1192" s="362"/>
    </row>
    <row r="1193" spans="1:28" s="320" customFormat="1" ht="0.65" hidden="1" customHeight="1">
      <c r="A1193" s="320">
        <v>5086</v>
      </c>
      <c r="B1193" s="362"/>
      <c r="D1193" s="320" t="s">
        <v>38</v>
      </c>
      <c r="F1193" s="320" t="s">
        <v>800</v>
      </c>
      <c r="J1193" s="320" t="s">
        <v>1797</v>
      </c>
      <c r="AA1193" s="362"/>
    </row>
    <row r="1194" spans="1:28" s="320" customFormat="1" ht="0.65" hidden="1" customHeight="1">
      <c r="A1194" s="320">
        <v>5087</v>
      </c>
      <c r="B1194" s="362" t="s">
        <v>55</v>
      </c>
      <c r="C1194" s="320" t="s">
        <v>39</v>
      </c>
      <c r="D1194" s="320" t="s">
        <v>55</v>
      </c>
      <c r="E1194" s="320" t="s">
        <v>36</v>
      </c>
      <c r="F1194" s="320" t="s">
        <v>1798</v>
      </c>
      <c r="Z1194" s="320" t="s">
        <v>38</v>
      </c>
      <c r="AA1194" s="362">
        <v>277500</v>
      </c>
      <c r="AB1194" s="320" t="s">
        <v>2077</v>
      </c>
    </row>
    <row r="1195" spans="1:28" s="320" customFormat="1" ht="0.65" hidden="1" customHeight="1">
      <c r="A1195" s="320">
        <v>5088</v>
      </c>
      <c r="B1195" s="362" t="s">
        <v>55</v>
      </c>
      <c r="C1195" s="320" t="s">
        <v>41</v>
      </c>
      <c r="D1195" s="320" t="s">
        <v>55</v>
      </c>
      <c r="F1195" s="320" t="s">
        <v>1799</v>
      </c>
      <c r="Z1195" s="320" t="s">
        <v>40</v>
      </c>
      <c r="AA1195" s="362">
        <v>210000</v>
      </c>
      <c r="AB1195" s="320" t="s">
        <v>92</v>
      </c>
    </row>
    <row r="1196" spans="1:28" s="320" customFormat="1" ht="0.65" hidden="1" customHeight="1">
      <c r="A1196" s="320">
        <v>5089</v>
      </c>
      <c r="B1196" s="362" t="s">
        <v>55</v>
      </c>
      <c r="C1196" s="320" t="s">
        <v>43</v>
      </c>
      <c r="D1196" s="320" t="s">
        <v>55</v>
      </c>
      <c r="F1196" s="320" t="s">
        <v>1800</v>
      </c>
      <c r="Z1196" s="320" t="s">
        <v>42</v>
      </c>
      <c r="AA1196" s="362">
        <v>22500</v>
      </c>
      <c r="AB1196" s="320" t="s">
        <v>94</v>
      </c>
    </row>
    <row r="1197" spans="1:28" s="320" customFormat="1" ht="0.65" hidden="1" customHeight="1">
      <c r="A1197" s="320">
        <v>5090</v>
      </c>
      <c r="B1197" s="362" t="s">
        <v>55</v>
      </c>
      <c r="C1197" s="320" t="s">
        <v>45</v>
      </c>
      <c r="D1197" s="320" t="s">
        <v>55</v>
      </c>
      <c r="F1197" s="320" t="s">
        <v>1801</v>
      </c>
      <c r="Z1197" s="320" t="s">
        <v>44</v>
      </c>
      <c r="AA1197" s="362">
        <v>300000</v>
      </c>
      <c r="AB1197" s="320" t="s">
        <v>93</v>
      </c>
    </row>
    <row r="1198" spans="1:28" s="320" customFormat="1" ht="0.65" hidden="1" customHeight="1">
      <c r="A1198" s="320">
        <v>5091</v>
      </c>
      <c r="B1198" s="362"/>
      <c r="AA1198" s="362"/>
    </row>
    <row r="1199" spans="1:28" s="320" customFormat="1" ht="0.65" hidden="1" customHeight="1">
      <c r="A1199" s="320">
        <v>5092</v>
      </c>
      <c r="B1199" s="362" t="s">
        <v>55</v>
      </c>
      <c r="D1199" s="320">
        <v>14</v>
      </c>
      <c r="E1199" s="320" t="s">
        <v>900</v>
      </c>
      <c r="Z1199" s="320" t="s">
        <v>40</v>
      </c>
      <c r="AA1199" s="362"/>
    </row>
    <row r="1200" spans="1:28" s="320" customFormat="1" ht="0.65" hidden="1" customHeight="1">
      <c r="A1200" s="320">
        <v>5093</v>
      </c>
      <c r="B1200" s="362"/>
      <c r="D1200" s="320" t="s">
        <v>40</v>
      </c>
      <c r="F1200" s="320" t="s">
        <v>800</v>
      </c>
      <c r="J1200" s="320" t="s">
        <v>1802</v>
      </c>
      <c r="AA1200" s="362"/>
    </row>
    <row r="1201" spans="1:28" s="320" customFormat="1" ht="0.65" hidden="1" customHeight="1">
      <c r="A1201" s="320">
        <v>5094</v>
      </c>
      <c r="B1201" s="362" t="s">
        <v>55</v>
      </c>
      <c r="C1201" s="320" t="s">
        <v>39</v>
      </c>
      <c r="D1201" s="320" t="s">
        <v>55</v>
      </c>
      <c r="F1201" s="320" t="s">
        <v>1803</v>
      </c>
      <c r="Z1201" s="320" t="s">
        <v>38</v>
      </c>
      <c r="AA1201" s="362">
        <v>137500</v>
      </c>
      <c r="AB1201" s="320" t="s">
        <v>122</v>
      </c>
    </row>
    <row r="1202" spans="1:28" s="320" customFormat="1" ht="0.65" hidden="1" customHeight="1">
      <c r="A1202" s="320">
        <v>5095</v>
      </c>
      <c r="B1202" s="362" t="s">
        <v>55</v>
      </c>
      <c r="C1202" s="320" t="s">
        <v>41</v>
      </c>
      <c r="D1202" s="320" t="s">
        <v>55</v>
      </c>
      <c r="E1202" s="320" t="s">
        <v>36</v>
      </c>
      <c r="F1202" s="320" t="s">
        <v>1804</v>
      </c>
      <c r="Z1202" s="320" t="s">
        <v>40</v>
      </c>
      <c r="AA1202" s="362">
        <v>62500</v>
      </c>
      <c r="AB1202" s="320" t="s">
        <v>1802</v>
      </c>
    </row>
    <row r="1203" spans="1:28" s="320" customFormat="1" ht="0.65" hidden="1" customHeight="1">
      <c r="A1203" s="320">
        <v>5096</v>
      </c>
      <c r="B1203" s="362" t="s">
        <v>55</v>
      </c>
      <c r="C1203" s="320" t="s">
        <v>43</v>
      </c>
      <c r="D1203" s="320" t="s">
        <v>55</v>
      </c>
      <c r="F1203" s="320" t="s">
        <v>1805</v>
      </c>
      <c r="Z1203" s="320" t="s">
        <v>42</v>
      </c>
      <c r="AA1203" s="362">
        <v>387500</v>
      </c>
      <c r="AB1203" s="320" t="s">
        <v>1802</v>
      </c>
    </row>
    <row r="1204" spans="1:28" s="320" customFormat="1" ht="0.65" hidden="1" customHeight="1">
      <c r="A1204" s="320">
        <v>5097</v>
      </c>
      <c r="B1204" s="362" t="s">
        <v>55</v>
      </c>
      <c r="C1204" s="320" t="s">
        <v>45</v>
      </c>
      <c r="D1204" s="320" t="s">
        <v>55</v>
      </c>
      <c r="F1204" s="320" t="s">
        <v>905</v>
      </c>
      <c r="Z1204" s="320" t="s">
        <v>44</v>
      </c>
      <c r="AA1204" s="362">
        <v>0</v>
      </c>
      <c r="AB1204" s="320" t="s">
        <v>108</v>
      </c>
    </row>
    <row r="1205" spans="1:28" s="320" customFormat="1" ht="0.65" hidden="1" customHeight="1">
      <c r="A1205" s="320">
        <v>5098</v>
      </c>
      <c r="B1205" s="362"/>
      <c r="AA1205" s="362"/>
    </row>
    <row r="1206" spans="1:28" s="320" customFormat="1" ht="0.65" hidden="1" customHeight="1">
      <c r="A1206" s="320">
        <v>5099</v>
      </c>
      <c r="B1206" s="362" t="s">
        <v>55</v>
      </c>
      <c r="D1206" s="320">
        <v>15</v>
      </c>
      <c r="E1206" s="320" t="s">
        <v>52</v>
      </c>
      <c r="Z1206" s="320" t="s">
        <v>38</v>
      </c>
      <c r="AA1206" s="362"/>
    </row>
    <row r="1207" spans="1:28" s="320" customFormat="1" ht="0.65" hidden="1" customHeight="1">
      <c r="A1207" s="320">
        <v>5100</v>
      </c>
      <c r="B1207" s="362"/>
      <c r="D1207" s="320" t="s">
        <v>38</v>
      </c>
      <c r="F1207" s="320" t="s">
        <v>800</v>
      </c>
      <c r="J1207" s="320" t="s">
        <v>1806</v>
      </c>
      <c r="AA1207" s="362"/>
    </row>
    <row r="1208" spans="1:28" s="320" customFormat="1" ht="0.65" hidden="1" customHeight="1">
      <c r="A1208" s="320">
        <v>5101</v>
      </c>
      <c r="B1208" s="362" t="s">
        <v>55</v>
      </c>
      <c r="C1208" s="320" t="s">
        <v>39</v>
      </c>
      <c r="D1208" s="320" t="s">
        <v>55</v>
      </c>
      <c r="E1208" s="320" t="s">
        <v>36</v>
      </c>
      <c r="F1208" s="320" t="s">
        <v>1144</v>
      </c>
      <c r="Z1208" s="320" t="s">
        <v>38</v>
      </c>
      <c r="AA1208" s="362">
        <v>4.5</v>
      </c>
      <c r="AB1208" s="320" t="s">
        <v>1806</v>
      </c>
    </row>
    <row r="1209" spans="1:28" s="320" customFormat="1" ht="0.65" hidden="1" customHeight="1">
      <c r="A1209" s="320">
        <v>5102</v>
      </c>
      <c r="B1209" s="362" t="s">
        <v>55</v>
      </c>
      <c r="C1209" s="320" t="s">
        <v>41</v>
      </c>
      <c r="D1209" s="320" t="s">
        <v>55</v>
      </c>
      <c r="F1209" s="320" t="s">
        <v>1145</v>
      </c>
      <c r="Z1209" s="320" t="s">
        <v>40</v>
      </c>
      <c r="AA1209" s="362">
        <v>6</v>
      </c>
      <c r="AB1209" s="320" t="s">
        <v>109</v>
      </c>
    </row>
    <row r="1210" spans="1:28" s="320" customFormat="1" ht="0.65" hidden="1" customHeight="1">
      <c r="A1210" s="320">
        <v>5103</v>
      </c>
      <c r="B1210" s="362" t="s">
        <v>55</v>
      </c>
      <c r="C1210" s="320" t="s">
        <v>43</v>
      </c>
      <c r="D1210" s="320" t="s">
        <v>55</v>
      </c>
      <c r="F1210" s="320" t="s">
        <v>1146</v>
      </c>
      <c r="Z1210" s="320" t="s">
        <v>42</v>
      </c>
      <c r="AA1210" s="362">
        <v>7.5</v>
      </c>
      <c r="AB1210" s="320" t="s">
        <v>110</v>
      </c>
    </row>
    <row r="1211" spans="1:28" s="320" customFormat="1" ht="0.65" hidden="1" customHeight="1">
      <c r="A1211" s="320">
        <v>5104</v>
      </c>
      <c r="B1211" s="362" t="s">
        <v>55</v>
      </c>
      <c r="C1211" s="320" t="s">
        <v>45</v>
      </c>
      <c r="D1211" s="320" t="s">
        <v>55</v>
      </c>
      <c r="F1211" s="320" t="s">
        <v>1147</v>
      </c>
      <c r="Z1211" s="320" t="s">
        <v>44</v>
      </c>
      <c r="AA1211" s="362">
        <v>4.4999999999999998E-2</v>
      </c>
      <c r="AB1211" s="320" t="s">
        <v>111</v>
      </c>
    </row>
    <row r="1212" spans="1:28" s="320" customFormat="1" ht="0.65" hidden="1" customHeight="1">
      <c r="A1212" s="320">
        <v>5105</v>
      </c>
      <c r="B1212" s="362"/>
      <c r="AA1212" s="362"/>
    </row>
    <row r="1213" spans="1:28" s="320" customFormat="1" ht="0.65" hidden="1" customHeight="1">
      <c r="A1213" s="320">
        <v>5106</v>
      </c>
      <c r="B1213" s="362" t="s">
        <v>55</v>
      </c>
      <c r="D1213" s="320">
        <v>16</v>
      </c>
      <c r="E1213" s="320" t="s">
        <v>53</v>
      </c>
      <c r="Z1213" s="320" t="s">
        <v>42</v>
      </c>
      <c r="AA1213" s="362"/>
    </row>
    <row r="1214" spans="1:28" s="320" customFormat="1" ht="0.65" hidden="1" customHeight="1">
      <c r="A1214" s="320">
        <v>5107</v>
      </c>
      <c r="B1214" s="362"/>
      <c r="D1214" s="320" t="s">
        <v>42</v>
      </c>
      <c r="F1214" s="320" t="s">
        <v>800</v>
      </c>
      <c r="J1214" s="320" t="s">
        <v>1807</v>
      </c>
      <c r="AA1214" s="362"/>
    </row>
    <row r="1215" spans="1:28" s="320" customFormat="1" ht="0.65" hidden="1" customHeight="1">
      <c r="A1215" s="320">
        <v>5108</v>
      </c>
      <c r="B1215" s="362" t="s">
        <v>55</v>
      </c>
      <c r="C1215" s="320" t="s">
        <v>39</v>
      </c>
      <c r="D1215" s="320" t="s">
        <v>55</v>
      </c>
      <c r="F1215" s="320" t="s">
        <v>1808</v>
      </c>
      <c r="Z1215" s="320" t="s">
        <v>38</v>
      </c>
      <c r="AA1215" s="362">
        <v>0.1</v>
      </c>
      <c r="AB1215" s="320" t="s">
        <v>111</v>
      </c>
    </row>
    <row r="1216" spans="1:28" s="320" customFormat="1" ht="0.65" hidden="1" customHeight="1">
      <c r="A1216" s="320">
        <v>5109</v>
      </c>
      <c r="B1216" s="362" t="s">
        <v>55</v>
      </c>
      <c r="C1216" s="320" t="s">
        <v>41</v>
      </c>
      <c r="D1216" s="320" t="s">
        <v>55</v>
      </c>
      <c r="F1216" s="320" t="s">
        <v>1809</v>
      </c>
      <c r="Z1216" s="320" t="s">
        <v>40</v>
      </c>
      <c r="AA1216" s="362">
        <v>6</v>
      </c>
      <c r="AB1216" s="320" t="s">
        <v>1810</v>
      </c>
    </row>
    <row r="1217" spans="1:28" s="320" customFormat="1" ht="0.65" hidden="1" customHeight="1">
      <c r="A1217" s="320">
        <v>5110</v>
      </c>
      <c r="B1217" s="362" t="s">
        <v>55</v>
      </c>
      <c r="C1217" s="320" t="s">
        <v>43</v>
      </c>
      <c r="D1217" s="320" t="s">
        <v>55</v>
      </c>
      <c r="E1217" s="320" t="s">
        <v>36</v>
      </c>
      <c r="F1217" s="320" t="s">
        <v>1811</v>
      </c>
      <c r="Z1217" s="320" t="s">
        <v>42</v>
      </c>
      <c r="AA1217" s="362">
        <v>10</v>
      </c>
      <c r="AB1217" s="320" t="s">
        <v>1807</v>
      </c>
    </row>
    <row r="1218" spans="1:28" s="320" customFormat="1" ht="0.65" hidden="1" customHeight="1">
      <c r="A1218" s="320">
        <v>5111</v>
      </c>
      <c r="B1218" s="362" t="s">
        <v>55</v>
      </c>
      <c r="C1218" s="320" t="s">
        <v>45</v>
      </c>
      <c r="D1218" s="320" t="s">
        <v>55</v>
      </c>
      <c r="F1218" s="320" t="s">
        <v>834</v>
      </c>
      <c r="Z1218" s="320" t="s">
        <v>44</v>
      </c>
      <c r="AA1218" s="362"/>
      <c r="AB1218" s="320" t="s">
        <v>1807</v>
      </c>
    </row>
    <row r="1219" spans="1:28" s="320" customFormat="1" ht="0.65" hidden="1" customHeight="1">
      <c r="A1219" s="320">
        <v>5112</v>
      </c>
      <c r="B1219" s="362"/>
      <c r="AA1219" s="362"/>
    </row>
    <row r="1220" spans="1:28" s="320" customFormat="1" ht="0.65" hidden="1" customHeight="1">
      <c r="A1220" s="320">
        <v>5113</v>
      </c>
      <c r="B1220" s="362" t="s">
        <v>55</v>
      </c>
      <c r="D1220" s="320">
        <v>17</v>
      </c>
      <c r="E1220" s="320" t="s">
        <v>54</v>
      </c>
      <c r="Z1220" s="320" t="s">
        <v>38</v>
      </c>
      <c r="AA1220" s="362"/>
    </row>
    <row r="1221" spans="1:28" s="320" customFormat="1" ht="0.65" hidden="1" customHeight="1">
      <c r="A1221" s="320">
        <v>5114</v>
      </c>
      <c r="B1221" s="362"/>
      <c r="D1221" s="320" t="s">
        <v>38</v>
      </c>
      <c r="F1221" s="320" t="s">
        <v>800</v>
      </c>
      <c r="J1221" s="320" t="s">
        <v>1812</v>
      </c>
      <c r="AA1221" s="362"/>
    </row>
    <row r="1222" spans="1:28" s="320" customFormat="1" ht="0.65" hidden="1" customHeight="1">
      <c r="A1222" s="320">
        <v>5115</v>
      </c>
      <c r="B1222" s="362" t="s">
        <v>55</v>
      </c>
      <c r="C1222" s="320" t="s">
        <v>39</v>
      </c>
      <c r="D1222" s="320" t="s">
        <v>55</v>
      </c>
      <c r="E1222" s="320" t="s">
        <v>36</v>
      </c>
      <c r="F1222" s="320" t="s">
        <v>1813</v>
      </c>
      <c r="Z1222" s="320" t="s">
        <v>38</v>
      </c>
      <c r="AA1222" s="362">
        <v>8.9</v>
      </c>
      <c r="AB1222" s="320" t="s">
        <v>1812</v>
      </c>
    </row>
    <row r="1223" spans="1:28" s="320" customFormat="1" ht="0.65" hidden="1" customHeight="1">
      <c r="A1223" s="320">
        <v>5116</v>
      </c>
      <c r="B1223" s="362" t="s">
        <v>55</v>
      </c>
      <c r="C1223" s="320" t="s">
        <v>41</v>
      </c>
      <c r="D1223" s="320" t="s">
        <v>55</v>
      </c>
      <c r="F1223" s="320" t="s">
        <v>1814</v>
      </c>
      <c r="Z1223" s="320" t="s">
        <v>40</v>
      </c>
      <c r="AA1223" s="362">
        <v>7.5999999999999998E-2</v>
      </c>
      <c r="AB1223" s="320" t="s">
        <v>113</v>
      </c>
    </row>
    <row r="1224" spans="1:28" s="320" customFormat="1" ht="0.65" hidden="1" customHeight="1">
      <c r="A1224" s="320">
        <v>5117</v>
      </c>
      <c r="B1224" s="362" t="s">
        <v>55</v>
      </c>
      <c r="C1224" s="320" t="s">
        <v>43</v>
      </c>
      <c r="D1224" s="320" t="s">
        <v>55</v>
      </c>
      <c r="F1224" s="320" t="s">
        <v>1815</v>
      </c>
      <c r="Z1224" s="320" t="s">
        <v>42</v>
      </c>
      <c r="AA1224" s="362">
        <v>7.6</v>
      </c>
      <c r="AB1224" s="320" t="s">
        <v>112</v>
      </c>
    </row>
    <row r="1225" spans="1:28" s="320" customFormat="1" ht="0.65" hidden="1" customHeight="1">
      <c r="A1225" s="320">
        <v>5118</v>
      </c>
      <c r="B1225" s="362" t="s">
        <v>55</v>
      </c>
      <c r="C1225" s="320" t="s">
        <v>45</v>
      </c>
      <c r="D1225" s="320" t="s">
        <v>55</v>
      </c>
      <c r="F1225" s="320" t="s">
        <v>1816</v>
      </c>
      <c r="Z1225" s="320" t="s">
        <v>44</v>
      </c>
      <c r="AA1225" s="362">
        <v>7.3</v>
      </c>
      <c r="AB1225" s="320" t="s">
        <v>114</v>
      </c>
    </row>
    <row r="1226" spans="1:28" s="320" customFormat="1" ht="0.65" hidden="1" customHeight="1">
      <c r="A1226" s="320">
        <v>5119</v>
      </c>
      <c r="B1226" s="362"/>
      <c r="AA1226" s="362"/>
    </row>
    <row r="1227" spans="1:28" s="320" customFormat="1" ht="0.65" hidden="1" customHeight="1">
      <c r="A1227" s="320">
        <v>5120</v>
      </c>
      <c r="B1227" s="362" t="s">
        <v>55</v>
      </c>
      <c r="D1227" s="320">
        <v>18</v>
      </c>
      <c r="E1227" s="320" t="s">
        <v>1817</v>
      </c>
      <c r="Z1227" s="320" t="s">
        <v>42</v>
      </c>
      <c r="AA1227" s="362"/>
    </row>
    <row r="1228" spans="1:28" s="320" customFormat="1" ht="0.65" hidden="1" customHeight="1">
      <c r="A1228" s="320">
        <v>5121</v>
      </c>
      <c r="B1228" s="362"/>
      <c r="D1228" s="320" t="s">
        <v>42</v>
      </c>
      <c r="F1228" s="320" t="s">
        <v>800</v>
      </c>
      <c r="J1228" s="320" t="s">
        <v>1818</v>
      </c>
      <c r="AA1228" s="362"/>
    </row>
    <row r="1229" spans="1:28" s="320" customFormat="1" ht="0.65" hidden="1" customHeight="1">
      <c r="A1229" s="320">
        <v>5122</v>
      </c>
      <c r="B1229" s="362" t="s">
        <v>55</v>
      </c>
      <c r="C1229" s="320" t="s">
        <v>39</v>
      </c>
      <c r="D1229" s="320" t="s">
        <v>55</v>
      </c>
      <c r="F1229" s="320" t="s">
        <v>1819</v>
      </c>
      <c r="Z1229" s="320" t="s">
        <v>38</v>
      </c>
      <c r="AA1229" s="362">
        <v>79964.312546957168</v>
      </c>
      <c r="AB1229" s="320" t="s">
        <v>95</v>
      </c>
    </row>
    <row r="1230" spans="1:28" s="320" customFormat="1" ht="0.65" hidden="1" customHeight="1">
      <c r="A1230" s="320">
        <v>5123</v>
      </c>
      <c r="B1230" s="362" t="s">
        <v>55</v>
      </c>
      <c r="C1230" s="320" t="s">
        <v>41</v>
      </c>
      <c r="D1230" s="320" t="s">
        <v>55</v>
      </c>
      <c r="F1230" s="320" t="s">
        <v>1820</v>
      </c>
      <c r="Z1230" s="320" t="s">
        <v>40</v>
      </c>
      <c r="AA1230" s="362">
        <v>210651.59252120298</v>
      </c>
      <c r="AB1230" s="320" t="s">
        <v>96</v>
      </c>
    </row>
    <row r="1231" spans="1:28" s="320" customFormat="1" ht="0.65" hidden="1" customHeight="1">
      <c r="A1231" s="320">
        <v>5124</v>
      </c>
      <c r="B1231" s="362" t="s">
        <v>55</v>
      </c>
      <c r="C1231" s="320" t="s">
        <v>43</v>
      </c>
      <c r="D1231" s="320" t="s">
        <v>55</v>
      </c>
      <c r="E1231" s="320" t="s">
        <v>36</v>
      </c>
      <c r="F1231" s="320" t="s">
        <v>1821</v>
      </c>
      <c r="Z1231" s="320" t="s">
        <v>42</v>
      </c>
      <c r="AA1231" s="362">
        <v>104229.1490951411</v>
      </c>
      <c r="AB1231" s="320" t="s">
        <v>1818</v>
      </c>
    </row>
    <row r="1232" spans="1:28" s="320" customFormat="1" ht="0.65" hidden="1" customHeight="1">
      <c r="A1232" s="320">
        <v>5125</v>
      </c>
      <c r="B1232" s="362" t="s">
        <v>55</v>
      </c>
      <c r="C1232" s="320" t="s">
        <v>45</v>
      </c>
      <c r="D1232" s="320" t="s">
        <v>55</v>
      </c>
      <c r="F1232" s="320" t="s">
        <v>834</v>
      </c>
      <c r="Z1232" s="320" t="s">
        <v>44</v>
      </c>
      <c r="AA1232" s="362"/>
      <c r="AB1232" s="320" t="s">
        <v>1818</v>
      </c>
    </row>
    <row r="1233" spans="1:28" s="320" customFormat="1" ht="0.65" hidden="1" customHeight="1">
      <c r="A1233" s="320">
        <v>5126</v>
      </c>
      <c r="B1233" s="362"/>
      <c r="AA1233" s="362"/>
    </row>
    <row r="1234" spans="1:28" s="320" customFormat="1" ht="0.65" hidden="1" customHeight="1">
      <c r="A1234" s="320">
        <v>5127</v>
      </c>
      <c r="B1234" s="362" t="s">
        <v>55</v>
      </c>
      <c r="D1234" s="320">
        <v>19</v>
      </c>
      <c r="E1234" s="320" t="s">
        <v>1817</v>
      </c>
      <c r="Z1234" s="320" t="s">
        <v>42</v>
      </c>
      <c r="AA1234" s="362"/>
    </row>
    <row r="1235" spans="1:28" s="320" customFormat="1" ht="0.65" hidden="1" customHeight="1">
      <c r="A1235" s="320">
        <v>5128</v>
      </c>
      <c r="B1235" s="362"/>
      <c r="D1235" s="320" t="s">
        <v>42</v>
      </c>
      <c r="F1235" s="320" t="s">
        <v>800</v>
      </c>
      <c r="J1235" s="320" t="s">
        <v>1161</v>
      </c>
      <c r="AA1235" s="362"/>
    </row>
    <row r="1236" spans="1:28" s="320" customFormat="1" ht="0.65" hidden="1" customHeight="1">
      <c r="A1236" s="320">
        <v>5129</v>
      </c>
      <c r="B1236" s="362" t="s">
        <v>55</v>
      </c>
      <c r="C1236" s="320" t="s">
        <v>39</v>
      </c>
      <c r="D1236" s="320" t="s">
        <v>55</v>
      </c>
      <c r="F1236" s="320" t="s">
        <v>1822</v>
      </c>
      <c r="Z1236" s="320" t="s">
        <v>38</v>
      </c>
      <c r="AA1236" s="362">
        <v>4.5</v>
      </c>
      <c r="AB1236" s="320" t="s">
        <v>97</v>
      </c>
    </row>
    <row r="1237" spans="1:28" s="320" customFormat="1" ht="0.65" hidden="1" customHeight="1">
      <c r="A1237" s="320">
        <v>5130</v>
      </c>
      <c r="B1237" s="362" t="s">
        <v>55</v>
      </c>
      <c r="C1237" s="320" t="s">
        <v>41</v>
      </c>
      <c r="D1237" s="320" t="s">
        <v>55</v>
      </c>
      <c r="F1237" s="320" t="s">
        <v>1823</v>
      </c>
      <c r="Z1237" s="320" t="s">
        <v>40</v>
      </c>
      <c r="AA1237" s="362">
        <v>8</v>
      </c>
      <c r="AB1237" s="320" t="s">
        <v>98</v>
      </c>
    </row>
    <row r="1238" spans="1:28" s="320" customFormat="1" ht="0.65" hidden="1" customHeight="1">
      <c r="A1238" s="320">
        <v>5131</v>
      </c>
      <c r="B1238" s="362" t="s">
        <v>55</v>
      </c>
      <c r="C1238" s="320" t="s">
        <v>43</v>
      </c>
      <c r="D1238" s="320" t="s">
        <v>55</v>
      </c>
      <c r="E1238" s="320" t="s">
        <v>36</v>
      </c>
      <c r="F1238" s="320" t="s">
        <v>1824</v>
      </c>
      <c r="Z1238" s="320" t="s">
        <v>42</v>
      </c>
      <c r="AA1238" s="362">
        <v>8.9</v>
      </c>
      <c r="AB1238" s="320" t="s">
        <v>1161</v>
      </c>
    </row>
    <row r="1239" spans="1:28" s="320" customFormat="1" ht="0.65" hidden="1" customHeight="1">
      <c r="A1239" s="320">
        <v>5132</v>
      </c>
      <c r="B1239" s="362" t="s">
        <v>55</v>
      </c>
      <c r="C1239" s="320" t="s">
        <v>45</v>
      </c>
      <c r="D1239" s="320" t="s">
        <v>55</v>
      </c>
      <c r="F1239" s="320" t="s">
        <v>834</v>
      </c>
      <c r="Z1239" s="320" t="s">
        <v>44</v>
      </c>
      <c r="AA1239" s="362"/>
      <c r="AB1239" s="320" t="s">
        <v>1825</v>
      </c>
    </row>
    <row r="1240" spans="1:28" s="320" customFormat="1" ht="0.65" hidden="1" customHeight="1">
      <c r="A1240" s="320">
        <v>5133</v>
      </c>
      <c r="B1240" s="362"/>
      <c r="AA1240" s="362"/>
    </row>
    <row r="1241" spans="1:28" s="320" customFormat="1" ht="0.65" hidden="1" customHeight="1">
      <c r="A1241" s="320">
        <v>5134</v>
      </c>
      <c r="B1241" s="362" t="s">
        <v>55</v>
      </c>
      <c r="D1241" s="320">
        <v>20</v>
      </c>
      <c r="E1241" s="320" t="s">
        <v>1826</v>
      </c>
      <c r="Z1241" s="320" t="s">
        <v>40</v>
      </c>
      <c r="AA1241" s="362"/>
    </row>
    <row r="1242" spans="1:28" s="320" customFormat="1" ht="0.65" hidden="1" customHeight="1">
      <c r="A1242" s="320">
        <v>5135</v>
      </c>
      <c r="B1242" s="362"/>
      <c r="D1242" s="320" t="s">
        <v>40</v>
      </c>
      <c r="F1242" s="320" t="s">
        <v>800</v>
      </c>
      <c r="J1242" s="320" t="s">
        <v>1167</v>
      </c>
      <c r="AA1242" s="362"/>
    </row>
    <row r="1243" spans="1:28" s="320" customFormat="1" ht="0.65" hidden="1" customHeight="1">
      <c r="A1243" s="320">
        <v>5136</v>
      </c>
      <c r="B1243" s="362" t="s">
        <v>55</v>
      </c>
      <c r="C1243" s="320" t="s">
        <v>39</v>
      </c>
      <c r="D1243" s="320" t="s">
        <v>55</v>
      </c>
      <c r="F1243" s="320" t="s">
        <v>935</v>
      </c>
      <c r="Z1243" s="320" t="s">
        <v>38</v>
      </c>
      <c r="AA1243" s="362" t="s">
        <v>935</v>
      </c>
      <c r="AB1243" s="320" t="s">
        <v>1827</v>
      </c>
    </row>
    <row r="1244" spans="1:28" s="320" customFormat="1" ht="0.65" hidden="1" customHeight="1">
      <c r="A1244" s="320">
        <v>5137</v>
      </c>
      <c r="B1244" s="362" t="s">
        <v>55</v>
      </c>
      <c r="C1244" s="320" t="s">
        <v>41</v>
      </c>
      <c r="D1244" s="320" t="s">
        <v>55</v>
      </c>
      <c r="E1244" s="320" t="s">
        <v>36</v>
      </c>
      <c r="F1244" s="320" t="s">
        <v>1169</v>
      </c>
      <c r="Z1244" s="320" t="s">
        <v>40</v>
      </c>
      <c r="AA1244" s="362" t="s">
        <v>1169</v>
      </c>
      <c r="AB1244" s="320" t="s">
        <v>1167</v>
      </c>
    </row>
    <row r="1245" spans="1:28" s="320" customFormat="1" ht="0.65" hidden="1" customHeight="1">
      <c r="A1245" s="320">
        <v>5138</v>
      </c>
      <c r="B1245" s="362" t="s">
        <v>55</v>
      </c>
      <c r="C1245" s="320" t="s">
        <v>43</v>
      </c>
      <c r="D1245" s="320" t="s">
        <v>55</v>
      </c>
      <c r="F1245" s="320" t="s">
        <v>933</v>
      </c>
      <c r="Z1245" s="320" t="s">
        <v>42</v>
      </c>
      <c r="AA1245" s="362" t="s">
        <v>933</v>
      </c>
      <c r="AB1245" s="320" t="s">
        <v>1827</v>
      </c>
    </row>
    <row r="1246" spans="1:28" s="320" customFormat="1" ht="0.65" hidden="1" customHeight="1">
      <c r="A1246" s="320">
        <v>5139</v>
      </c>
      <c r="B1246" s="362" t="s">
        <v>55</v>
      </c>
      <c r="C1246" s="320" t="s">
        <v>45</v>
      </c>
      <c r="D1246" s="320" t="s">
        <v>55</v>
      </c>
      <c r="F1246" s="320" t="s">
        <v>834</v>
      </c>
      <c r="Z1246" s="320" t="s">
        <v>44</v>
      </c>
      <c r="AA1246" s="362"/>
      <c r="AB1246" s="320" t="s">
        <v>1827</v>
      </c>
    </row>
    <row r="1247" spans="1:28" s="320" customFormat="1" ht="0.65" hidden="1" customHeight="1">
      <c r="A1247" s="320">
        <v>5140</v>
      </c>
      <c r="B1247" s="362"/>
      <c r="AA1247" s="362"/>
    </row>
    <row r="1248" spans="1:28" s="320" customFormat="1" ht="0.65" hidden="1" customHeight="1">
      <c r="A1248" s="320">
        <v>5141</v>
      </c>
      <c r="B1248" s="362"/>
      <c r="AA1248" s="362"/>
    </row>
    <row r="1249" spans="1:27" s="320" customFormat="1" ht="0.65" hidden="1" customHeight="1">
      <c r="A1249" s="320">
        <v>5142</v>
      </c>
      <c r="B1249" s="362"/>
      <c r="D1249" s="320" t="s">
        <v>50</v>
      </c>
      <c r="M1249" s="320" t="s">
        <v>85</v>
      </c>
      <c r="AA1249" s="362"/>
    </row>
    <row r="1250" spans="1:27" s="320" customFormat="1" ht="0.65" hidden="1" customHeight="1">
      <c r="A1250" s="320">
        <v>5143</v>
      </c>
      <c r="B1250" s="362"/>
      <c r="D1250" s="320">
        <v>1</v>
      </c>
      <c r="E1250" s="320" t="s">
        <v>38</v>
      </c>
      <c r="F1250" s="320" t="s">
        <v>39</v>
      </c>
      <c r="M1250" s="320">
        <v>1</v>
      </c>
      <c r="N1250" s="320" t="s">
        <v>38</v>
      </c>
      <c r="O1250" s="320" t="s">
        <v>39</v>
      </c>
      <c r="Q1250" s="320" t="s">
        <v>937</v>
      </c>
      <c r="U1250" s="320" t="s">
        <v>46</v>
      </c>
      <c r="AA1250" s="362"/>
    </row>
    <row r="1251" spans="1:27" s="320" customFormat="1" ht="0.65" hidden="1" customHeight="1">
      <c r="A1251" s="320">
        <v>5144</v>
      </c>
      <c r="B1251" s="362"/>
      <c r="D1251" s="320">
        <v>2</v>
      </c>
      <c r="E1251" s="320" t="s">
        <v>42</v>
      </c>
      <c r="F1251" s="320" t="s">
        <v>43</v>
      </c>
      <c r="H1251" s="320" t="s">
        <v>38</v>
      </c>
      <c r="I1251" s="320">
        <v>4</v>
      </c>
      <c r="M1251" s="320">
        <v>2</v>
      </c>
      <c r="N1251" s="320" t="s">
        <v>42</v>
      </c>
      <c r="O1251" s="320" t="s">
        <v>43</v>
      </c>
      <c r="Q1251" s="320" t="s">
        <v>937</v>
      </c>
      <c r="AA1251" s="362"/>
    </row>
    <row r="1252" spans="1:27" s="320" customFormat="1" ht="0.65" hidden="1" customHeight="1">
      <c r="A1252" s="320">
        <v>5145</v>
      </c>
      <c r="B1252" s="362"/>
      <c r="D1252" s="320">
        <v>3</v>
      </c>
      <c r="E1252" s="320" t="s">
        <v>42</v>
      </c>
      <c r="F1252" s="320" t="s">
        <v>43</v>
      </c>
      <c r="H1252" s="320" t="s">
        <v>40</v>
      </c>
      <c r="I1252" s="320">
        <v>5</v>
      </c>
      <c r="M1252" s="320">
        <v>3</v>
      </c>
      <c r="N1252" s="320" t="s">
        <v>42</v>
      </c>
      <c r="O1252" s="320" t="s">
        <v>43</v>
      </c>
      <c r="Q1252" s="320" t="s">
        <v>937</v>
      </c>
      <c r="U1252" s="320" t="s">
        <v>47</v>
      </c>
      <c r="V1252" s="320">
        <v>20</v>
      </c>
      <c r="W1252" s="320">
        <v>1</v>
      </c>
      <c r="AA1252" s="362"/>
    </row>
    <row r="1253" spans="1:27" s="320" customFormat="1" ht="0.65" hidden="1" customHeight="1">
      <c r="A1253" s="320">
        <v>5146</v>
      </c>
      <c r="B1253" s="362"/>
      <c r="D1253" s="320">
        <v>4</v>
      </c>
      <c r="E1253" s="320" t="s">
        <v>40</v>
      </c>
      <c r="F1253" s="320" t="s">
        <v>41</v>
      </c>
      <c r="H1253" s="320" t="s">
        <v>42</v>
      </c>
      <c r="I1253" s="320">
        <v>5</v>
      </c>
      <c r="M1253" s="320">
        <v>4</v>
      </c>
      <c r="N1253" s="320" t="s">
        <v>40</v>
      </c>
      <c r="O1253" s="320" t="s">
        <v>41</v>
      </c>
      <c r="Q1253" s="320" t="s">
        <v>937</v>
      </c>
      <c r="AA1253" s="362"/>
    </row>
    <row r="1254" spans="1:27" s="320" customFormat="1" ht="0.65" hidden="1" customHeight="1">
      <c r="A1254" s="320">
        <v>5147</v>
      </c>
      <c r="B1254" s="362"/>
      <c r="D1254" s="320">
        <v>5</v>
      </c>
      <c r="E1254" s="320" t="s">
        <v>40</v>
      </c>
      <c r="F1254" s="320" t="s">
        <v>41</v>
      </c>
      <c r="H1254" s="320" t="s">
        <v>44</v>
      </c>
      <c r="I1254" s="320">
        <v>6</v>
      </c>
      <c r="M1254" s="320">
        <v>5</v>
      </c>
      <c r="N1254" s="320" t="s">
        <v>40</v>
      </c>
      <c r="O1254" s="320" t="s">
        <v>41</v>
      </c>
      <c r="Q1254" s="320" t="s">
        <v>937</v>
      </c>
      <c r="U1254" s="320" t="s">
        <v>48</v>
      </c>
      <c r="V1254" s="320">
        <v>0</v>
      </c>
      <c r="W1254" s="320">
        <v>0</v>
      </c>
      <c r="AA1254" s="362"/>
    </row>
    <row r="1255" spans="1:27" s="320" customFormat="1" ht="0.65" hidden="1" customHeight="1">
      <c r="A1255" s="320">
        <v>5148</v>
      </c>
      <c r="B1255" s="362"/>
      <c r="D1255" s="320">
        <v>6</v>
      </c>
      <c r="E1255" s="320" t="s">
        <v>44</v>
      </c>
      <c r="F1255" s="320" t="s">
        <v>45</v>
      </c>
      <c r="I1255" s="320">
        <v>20</v>
      </c>
      <c r="M1255" s="320">
        <v>6</v>
      </c>
      <c r="N1255" s="320" t="s">
        <v>44</v>
      </c>
      <c r="O1255" s="320" t="s">
        <v>45</v>
      </c>
      <c r="Q1255" s="320" t="s">
        <v>937</v>
      </c>
      <c r="AA1255" s="362"/>
    </row>
    <row r="1256" spans="1:27" s="320" customFormat="1" ht="0.65" hidden="1" customHeight="1">
      <c r="A1256" s="320">
        <v>5149</v>
      </c>
      <c r="B1256" s="362"/>
      <c r="D1256" s="320">
        <v>7</v>
      </c>
      <c r="E1256" s="320" t="s">
        <v>44</v>
      </c>
      <c r="F1256" s="320" t="s">
        <v>45</v>
      </c>
      <c r="M1256" s="320">
        <v>7</v>
      </c>
      <c r="N1256" s="320" t="s">
        <v>44</v>
      </c>
      <c r="O1256" s="320" t="s">
        <v>45</v>
      </c>
      <c r="Q1256" s="320" t="s">
        <v>937</v>
      </c>
      <c r="V1256" s="320" t="s">
        <v>49</v>
      </c>
      <c r="W1256" s="320">
        <v>10</v>
      </c>
      <c r="AA1256" s="362"/>
    </row>
    <row r="1257" spans="1:27" s="320" customFormat="1" ht="0.65" hidden="1" customHeight="1">
      <c r="A1257" s="320">
        <v>5150</v>
      </c>
      <c r="B1257" s="362"/>
      <c r="D1257" s="320">
        <v>8</v>
      </c>
      <c r="E1257" s="320" t="s">
        <v>44</v>
      </c>
      <c r="F1257" s="320" t="s">
        <v>45</v>
      </c>
      <c r="H1257" s="320" t="s">
        <v>38</v>
      </c>
      <c r="I1257" s="320" t="s">
        <v>39</v>
      </c>
      <c r="M1257" s="320">
        <v>8</v>
      </c>
      <c r="N1257" s="320" t="s">
        <v>44</v>
      </c>
      <c r="O1257" s="320" t="s">
        <v>45</v>
      </c>
      <c r="Q1257" s="320" t="s">
        <v>937</v>
      </c>
      <c r="AA1257" s="362"/>
    </row>
    <row r="1258" spans="1:27" s="320" customFormat="1" ht="0.65" hidden="1" customHeight="1">
      <c r="A1258" s="320">
        <v>5151</v>
      </c>
      <c r="B1258" s="362"/>
      <c r="D1258" s="320">
        <v>9</v>
      </c>
      <c r="E1258" s="320" t="s">
        <v>44</v>
      </c>
      <c r="F1258" s="320" t="s">
        <v>45</v>
      </c>
      <c r="H1258" s="320" t="s">
        <v>40</v>
      </c>
      <c r="I1258" s="320" t="s">
        <v>41</v>
      </c>
      <c r="M1258" s="320">
        <v>9</v>
      </c>
      <c r="N1258" s="320" t="s">
        <v>44</v>
      </c>
      <c r="O1258" s="320" t="s">
        <v>45</v>
      </c>
      <c r="Q1258" s="320" t="s">
        <v>937</v>
      </c>
      <c r="T1258" s="320" t="s">
        <v>938</v>
      </c>
      <c r="AA1258" s="362"/>
    </row>
    <row r="1259" spans="1:27" s="320" customFormat="1" ht="0.65" hidden="1" customHeight="1">
      <c r="A1259" s="320">
        <v>5152</v>
      </c>
      <c r="B1259" s="362"/>
      <c r="D1259" s="320">
        <v>10</v>
      </c>
      <c r="E1259" s="320" t="s">
        <v>40</v>
      </c>
      <c r="F1259" s="320" t="s">
        <v>41</v>
      </c>
      <c r="H1259" s="320" t="s">
        <v>42</v>
      </c>
      <c r="I1259" s="320" t="s">
        <v>43</v>
      </c>
      <c r="M1259" s="320">
        <v>10</v>
      </c>
      <c r="N1259" s="320" t="s">
        <v>40</v>
      </c>
      <c r="O1259" s="320" t="s">
        <v>41</v>
      </c>
      <c r="Q1259" s="320" t="s">
        <v>937</v>
      </c>
      <c r="AA1259" s="362"/>
    </row>
    <row r="1260" spans="1:27" s="320" customFormat="1" ht="0.65" hidden="1" customHeight="1">
      <c r="A1260" s="320">
        <v>5153</v>
      </c>
      <c r="B1260" s="362"/>
      <c r="D1260" s="320">
        <v>11</v>
      </c>
      <c r="E1260" s="320" t="s">
        <v>44</v>
      </c>
      <c r="F1260" s="320" t="s">
        <v>45</v>
      </c>
      <c r="H1260" s="320" t="s">
        <v>44</v>
      </c>
      <c r="I1260" s="320" t="s">
        <v>45</v>
      </c>
      <c r="M1260" s="320">
        <v>11</v>
      </c>
      <c r="N1260" s="320" t="s">
        <v>44</v>
      </c>
      <c r="O1260" s="320" t="s">
        <v>45</v>
      </c>
      <c r="Q1260" s="320" t="s">
        <v>937</v>
      </c>
      <c r="T1260" s="320" t="s">
        <v>86</v>
      </c>
      <c r="AA1260" s="362"/>
    </row>
    <row r="1261" spans="1:27" s="320" customFormat="1" ht="0.65" hidden="1" customHeight="1">
      <c r="A1261" s="320">
        <v>5154</v>
      </c>
      <c r="B1261" s="362"/>
      <c r="D1261" s="320">
        <v>12</v>
      </c>
      <c r="E1261" s="320" t="s">
        <v>44</v>
      </c>
      <c r="F1261" s="320" t="s">
        <v>45</v>
      </c>
      <c r="M1261" s="320">
        <v>12</v>
      </c>
      <c r="N1261" s="320" t="s">
        <v>44</v>
      </c>
      <c r="O1261" s="320" t="s">
        <v>45</v>
      </c>
      <c r="Q1261" s="320" t="s">
        <v>937</v>
      </c>
      <c r="T1261" s="320" t="s">
        <v>87</v>
      </c>
      <c r="AA1261" s="362"/>
    </row>
    <row r="1262" spans="1:27" s="320" customFormat="1" ht="0.65" hidden="1" customHeight="1">
      <c r="A1262" s="320">
        <v>5155</v>
      </c>
      <c r="B1262" s="362"/>
      <c r="D1262" s="320">
        <v>13</v>
      </c>
      <c r="E1262" s="320" t="s">
        <v>38</v>
      </c>
      <c r="F1262" s="320" t="s">
        <v>39</v>
      </c>
      <c r="H1262" s="320">
        <v>1.1000000000000001</v>
      </c>
      <c r="M1262" s="320">
        <v>13</v>
      </c>
      <c r="N1262" s="320" t="s">
        <v>38</v>
      </c>
      <c r="O1262" s="320" t="s">
        <v>39</v>
      </c>
      <c r="Q1262" s="320" t="s">
        <v>937</v>
      </c>
      <c r="T1262" s="320" t="s">
        <v>88</v>
      </c>
      <c r="V1262" s="320" t="s">
        <v>36</v>
      </c>
      <c r="W1262" s="320" t="s">
        <v>55</v>
      </c>
      <c r="AA1262" s="362"/>
    </row>
    <row r="1263" spans="1:27" s="320" customFormat="1" ht="0.65" hidden="1" customHeight="1">
      <c r="A1263" s="320">
        <v>5156</v>
      </c>
      <c r="B1263" s="362"/>
      <c r="D1263" s="320">
        <v>14</v>
      </c>
      <c r="E1263" s="320" t="s">
        <v>40</v>
      </c>
      <c r="F1263" s="320" t="s">
        <v>41</v>
      </c>
      <c r="H1263" s="320">
        <v>1.2</v>
      </c>
      <c r="M1263" s="320">
        <v>14</v>
      </c>
      <c r="N1263" s="320" t="s">
        <v>40</v>
      </c>
      <c r="O1263" s="320" t="s">
        <v>41</v>
      </c>
      <c r="Q1263" s="320" t="s">
        <v>937</v>
      </c>
      <c r="AA1263" s="362"/>
    </row>
    <row r="1264" spans="1:27" s="320" customFormat="1" ht="0.65" hidden="1" customHeight="1">
      <c r="A1264" s="320">
        <v>5157</v>
      </c>
      <c r="B1264" s="362"/>
      <c r="D1264" s="320">
        <v>15</v>
      </c>
      <c r="E1264" s="320" t="s">
        <v>38</v>
      </c>
      <c r="F1264" s="320" t="s">
        <v>39</v>
      </c>
      <c r="H1264" s="320">
        <v>1.3</v>
      </c>
      <c r="M1264" s="320">
        <v>15</v>
      </c>
      <c r="N1264" s="320" t="s">
        <v>38</v>
      </c>
      <c r="O1264" s="320" t="s">
        <v>39</v>
      </c>
      <c r="Q1264" s="320" t="s">
        <v>937</v>
      </c>
      <c r="AA1264" s="362"/>
    </row>
    <row r="1265" spans="1:27" s="320" customFormat="1" ht="0.65" hidden="1" customHeight="1">
      <c r="A1265" s="320">
        <v>5158</v>
      </c>
      <c r="B1265" s="362"/>
      <c r="D1265" s="320">
        <v>16</v>
      </c>
      <c r="E1265" s="320" t="s">
        <v>42</v>
      </c>
      <c r="F1265" s="320" t="s">
        <v>43</v>
      </c>
      <c r="H1265" s="320">
        <v>1.4</v>
      </c>
      <c r="M1265" s="320">
        <v>16</v>
      </c>
      <c r="N1265" s="320" t="s">
        <v>42</v>
      </c>
      <c r="O1265" s="320" t="s">
        <v>43</v>
      </c>
      <c r="Q1265" s="320" t="s">
        <v>937</v>
      </c>
      <c r="AA1265" s="362"/>
    </row>
    <row r="1266" spans="1:27" s="320" customFormat="1" ht="0.65" hidden="1" customHeight="1">
      <c r="A1266" s="320">
        <v>5159</v>
      </c>
      <c r="B1266" s="362"/>
      <c r="D1266" s="320">
        <v>17</v>
      </c>
      <c r="E1266" s="320" t="s">
        <v>38</v>
      </c>
      <c r="F1266" s="320" t="s">
        <v>39</v>
      </c>
      <c r="M1266" s="320">
        <v>17</v>
      </c>
      <c r="N1266" s="320" t="s">
        <v>38</v>
      </c>
      <c r="O1266" s="320" t="s">
        <v>39</v>
      </c>
      <c r="Q1266" s="320" t="s">
        <v>937</v>
      </c>
      <c r="AA1266" s="362"/>
    </row>
    <row r="1267" spans="1:27" s="320" customFormat="1" ht="0.65" hidden="1" customHeight="1">
      <c r="A1267" s="320">
        <v>5160</v>
      </c>
      <c r="B1267" s="362"/>
      <c r="D1267" s="320">
        <v>18</v>
      </c>
      <c r="E1267" s="320" t="s">
        <v>42</v>
      </c>
      <c r="F1267" s="320" t="s">
        <v>43</v>
      </c>
      <c r="M1267" s="320">
        <v>18</v>
      </c>
      <c r="N1267" s="320" t="s">
        <v>42</v>
      </c>
      <c r="O1267" s="320" t="s">
        <v>43</v>
      </c>
      <c r="Q1267" s="320" t="s">
        <v>937</v>
      </c>
      <c r="AA1267" s="362"/>
    </row>
    <row r="1268" spans="1:27" s="320" customFormat="1" ht="0.65" hidden="1" customHeight="1">
      <c r="A1268" s="320">
        <v>5161</v>
      </c>
      <c r="B1268" s="362"/>
      <c r="D1268" s="320">
        <v>19</v>
      </c>
      <c r="E1268" s="320" t="s">
        <v>42</v>
      </c>
      <c r="F1268" s="320" t="s">
        <v>43</v>
      </c>
      <c r="M1268" s="320">
        <v>19</v>
      </c>
      <c r="N1268" s="320" t="s">
        <v>42</v>
      </c>
      <c r="O1268" s="320" t="s">
        <v>43</v>
      </c>
      <c r="Q1268" s="320" t="s">
        <v>937</v>
      </c>
      <c r="AA1268" s="362"/>
    </row>
    <row r="1269" spans="1:27" s="320" customFormat="1" ht="0.65" hidden="1" customHeight="1">
      <c r="A1269" s="320">
        <v>5162</v>
      </c>
      <c r="B1269" s="362"/>
      <c r="D1269" s="320">
        <v>20</v>
      </c>
      <c r="E1269" s="320" t="s">
        <v>40</v>
      </c>
      <c r="F1269" s="320" t="s">
        <v>41</v>
      </c>
      <c r="M1269" s="320">
        <v>20</v>
      </c>
      <c r="N1269" s="320" t="s">
        <v>40</v>
      </c>
      <c r="O1269" s="320" t="s">
        <v>41</v>
      </c>
      <c r="Q1269" s="320" t="s">
        <v>937</v>
      </c>
      <c r="AA1269" s="362"/>
    </row>
    <row r="1270" spans="1:27" s="320" customFormat="1" ht="0.65" hidden="1" customHeight="1">
      <c r="A1270" s="320">
        <v>5163</v>
      </c>
      <c r="B1270" s="362"/>
      <c r="R1270" s="320" t="s">
        <v>465</v>
      </c>
      <c r="AA1270" s="362"/>
    </row>
    <row r="1271" spans="1:27" s="320" customFormat="1" ht="0.65" hidden="1" customHeight="1">
      <c r="A1271" s="320">
        <v>5164</v>
      </c>
      <c r="B1271" s="362"/>
      <c r="R1271" s="363" t="s">
        <v>5</v>
      </c>
      <c r="S1271" s="364">
        <v>2022</v>
      </c>
      <c r="AA1271" s="362"/>
    </row>
    <row r="1272" spans="1:27" s="320" customFormat="1" ht="0.65" hidden="1" customHeight="1">
      <c r="A1272" s="320">
        <v>5165</v>
      </c>
      <c r="B1272" s="362"/>
      <c r="AA1272" s="362"/>
    </row>
    <row r="1273" spans="1:27" s="320" customFormat="1" ht="0.65" hidden="1" customHeight="1">
      <c r="A1273" s="320">
        <v>5166</v>
      </c>
      <c r="B1273" s="362"/>
      <c r="R1273" s="363" t="s">
        <v>32</v>
      </c>
      <c r="AA1273" s="362"/>
    </row>
    <row r="1274" spans="1:27" s="320" customFormat="1" ht="0.65" hidden="1" customHeight="1">
      <c r="A1274" s="320">
        <v>5167</v>
      </c>
      <c r="B1274" s="362"/>
      <c r="R1274" s="363" t="s">
        <v>488</v>
      </c>
      <c r="S1274" s="363">
        <v>1200000</v>
      </c>
      <c r="AA1274" s="362"/>
    </row>
    <row r="1275" spans="1:27" s="320" customFormat="1" ht="0.65" hidden="1" customHeight="1">
      <c r="A1275" s="320">
        <v>5168</v>
      </c>
      <c r="B1275" s="362"/>
      <c r="R1275" s="363" t="s">
        <v>6</v>
      </c>
      <c r="S1275" s="363">
        <v>10</v>
      </c>
      <c r="AA1275" s="362"/>
    </row>
    <row r="1276" spans="1:27" s="320" customFormat="1" ht="0.65" hidden="1" customHeight="1">
      <c r="A1276" s="320">
        <v>5169</v>
      </c>
      <c r="B1276" s="362"/>
      <c r="R1276" s="363" t="s">
        <v>489</v>
      </c>
      <c r="S1276" s="363">
        <v>120000</v>
      </c>
      <c r="AA1276" s="362"/>
    </row>
    <row r="1277" spans="1:27" s="320" customFormat="1" ht="0.65" hidden="1" customHeight="1">
      <c r="A1277" s="320">
        <v>5170</v>
      </c>
      <c r="B1277" s="362"/>
      <c r="AA1277" s="362"/>
    </row>
    <row r="1278" spans="1:27" s="320" customFormat="1" ht="0.65" hidden="1" customHeight="1">
      <c r="A1278" s="320">
        <v>5171</v>
      </c>
      <c r="B1278" s="362"/>
      <c r="R1278" s="363" t="s">
        <v>34</v>
      </c>
      <c r="S1278" s="363">
        <v>600000</v>
      </c>
      <c r="AA1278" s="362"/>
    </row>
    <row r="1279" spans="1:27" s="320" customFormat="1" ht="0.65" hidden="1" customHeight="1">
      <c r="A1279" s="320">
        <v>5172</v>
      </c>
      <c r="B1279" s="362"/>
      <c r="R1279" s="363" t="s">
        <v>35</v>
      </c>
      <c r="S1279" s="363">
        <v>150000</v>
      </c>
      <c r="AA1279" s="362"/>
    </row>
    <row r="1280" spans="1:27" s="320" customFormat="1" ht="0.65" hidden="1" customHeight="1">
      <c r="A1280" s="320">
        <v>5173</v>
      </c>
      <c r="B1280" s="362"/>
      <c r="AA1280" s="362"/>
    </row>
    <row r="1281" spans="1:27" s="320" customFormat="1" ht="0.65" hidden="1" customHeight="1">
      <c r="A1281" s="320">
        <v>5174</v>
      </c>
      <c r="B1281" s="362"/>
      <c r="R1281" s="363" t="s">
        <v>7</v>
      </c>
      <c r="S1281" s="363">
        <v>60</v>
      </c>
      <c r="AA1281" s="362"/>
    </row>
    <row r="1282" spans="1:27" s="320" customFormat="1" ht="0.65" hidden="1" customHeight="1">
      <c r="A1282" s="320">
        <v>5175</v>
      </c>
      <c r="B1282" s="362"/>
      <c r="R1282" s="363" t="s">
        <v>8</v>
      </c>
      <c r="S1282" s="363">
        <v>90</v>
      </c>
      <c r="AA1282" s="362"/>
    </row>
    <row r="1283" spans="1:27" s="320" customFormat="1" ht="0.65" hidden="1" customHeight="1">
      <c r="A1283" s="320">
        <v>5176</v>
      </c>
      <c r="B1283" s="362"/>
      <c r="AA1283" s="362"/>
    </row>
    <row r="1284" spans="1:27" s="320" customFormat="1" ht="0.65" hidden="1" customHeight="1">
      <c r="A1284" s="320">
        <v>5177</v>
      </c>
      <c r="B1284" s="362"/>
      <c r="R1284" s="363" t="s">
        <v>33</v>
      </c>
      <c r="AA1284" s="362"/>
    </row>
    <row r="1285" spans="1:27" s="320" customFormat="1" ht="0.65" hidden="1" customHeight="1">
      <c r="A1285" s="320">
        <v>5178</v>
      </c>
      <c r="B1285" s="362"/>
      <c r="R1285" s="363" t="s">
        <v>492</v>
      </c>
      <c r="S1285" s="363">
        <v>210000</v>
      </c>
      <c r="AA1285" s="362"/>
    </row>
    <row r="1286" spans="1:27" s="320" customFormat="1" ht="0.65" hidden="1" customHeight="1">
      <c r="A1286" s="320">
        <v>5179</v>
      </c>
      <c r="B1286" s="362"/>
      <c r="R1286" s="363" t="s">
        <v>495</v>
      </c>
      <c r="S1286" s="363">
        <v>300000</v>
      </c>
      <c r="AA1286" s="362"/>
    </row>
    <row r="1287" spans="1:27" s="320" customFormat="1" ht="0.65" hidden="1" customHeight="1">
      <c r="A1287" s="320">
        <v>5180</v>
      </c>
      <c r="B1287" s="362"/>
      <c r="R1287" s="363" t="s">
        <v>6</v>
      </c>
      <c r="S1287" s="363">
        <v>2</v>
      </c>
      <c r="AA1287" s="362"/>
    </row>
    <row r="1288" spans="1:27" s="320" customFormat="1" ht="0.65" hidden="1" customHeight="1">
      <c r="A1288" s="320">
        <v>5181</v>
      </c>
      <c r="B1288" s="362"/>
      <c r="R1288" s="363" t="s">
        <v>489</v>
      </c>
      <c r="S1288" s="363">
        <v>30000</v>
      </c>
      <c r="AA1288" s="362"/>
    </row>
    <row r="1289" spans="1:27" s="320" customFormat="1" ht="0.65" hidden="1" customHeight="1">
      <c r="A1289" s="320">
        <v>5182</v>
      </c>
      <c r="B1289" s="362"/>
      <c r="AA1289" s="362"/>
    </row>
    <row r="1290" spans="1:27" s="320" customFormat="1" ht="0.65" hidden="1" customHeight="1">
      <c r="A1290" s="320">
        <v>5183</v>
      </c>
      <c r="B1290" s="362"/>
      <c r="R1290" s="363" t="s">
        <v>4</v>
      </c>
      <c r="S1290" s="365">
        <v>0.25</v>
      </c>
      <c r="AA1290" s="362"/>
    </row>
    <row r="1291" spans="1:27" s="320" customFormat="1" ht="0.65" hidden="1" customHeight="1">
      <c r="A1291" s="320">
        <v>5184</v>
      </c>
      <c r="B1291" s="362"/>
      <c r="S1291" s="363" t="s">
        <v>9</v>
      </c>
      <c r="AA1291" s="362"/>
    </row>
    <row r="1292" spans="1:27" s="320" customFormat="1" ht="0.65" hidden="1" customHeight="1">
      <c r="A1292" s="320">
        <v>5185</v>
      </c>
      <c r="B1292" s="362"/>
      <c r="AA1292" s="362"/>
    </row>
    <row r="1293" spans="1:27" s="320" customFormat="1" ht="0.65" hidden="1" customHeight="1">
      <c r="A1293" s="320">
        <v>5186</v>
      </c>
      <c r="B1293" s="362"/>
      <c r="R1293" s="363" t="s">
        <v>10</v>
      </c>
      <c r="S1293" s="363">
        <v>360000</v>
      </c>
      <c r="AA1293" s="362"/>
    </row>
    <row r="1294" spans="1:27" s="320" customFormat="1" ht="0.65" hidden="1" customHeight="1">
      <c r="A1294" s="320">
        <v>5187</v>
      </c>
      <c r="B1294" s="362"/>
      <c r="R1294" s="363" t="s">
        <v>11</v>
      </c>
      <c r="S1294" s="363">
        <v>1920000</v>
      </c>
      <c r="AA1294" s="362"/>
    </row>
    <row r="1295" spans="1:27" s="320" customFormat="1" ht="0.65" hidden="1" customHeight="1">
      <c r="A1295" s="320">
        <v>5188</v>
      </c>
      <c r="B1295" s="362"/>
      <c r="R1295" s="363" t="s">
        <v>12</v>
      </c>
      <c r="S1295" s="366">
        <v>0.02</v>
      </c>
      <c r="AA1295" s="362"/>
    </row>
    <row r="1296" spans="1:27" s="320" customFormat="1" ht="0.65" hidden="1" customHeight="1">
      <c r="A1296" s="320">
        <v>5189</v>
      </c>
      <c r="B1296" s="362"/>
      <c r="R1296" s="363" t="s">
        <v>2</v>
      </c>
      <c r="S1296" s="363">
        <v>6000000</v>
      </c>
      <c r="AA1296" s="362"/>
    </row>
    <row r="1297" spans="1:27" s="320" customFormat="1" ht="0.65" hidden="1" customHeight="1">
      <c r="A1297" s="320">
        <v>5190</v>
      </c>
      <c r="B1297" s="362"/>
      <c r="R1297" s="363" t="s">
        <v>3</v>
      </c>
      <c r="S1297" s="363">
        <v>24000000</v>
      </c>
      <c r="AA1297" s="362"/>
    </row>
    <row r="1298" spans="1:27" s="320" customFormat="1" ht="0.65" hidden="1" customHeight="1">
      <c r="A1298" s="320">
        <v>5191</v>
      </c>
      <c r="B1298" s="362"/>
      <c r="AA1298" s="362"/>
    </row>
    <row r="1299" spans="1:27" s="320" customFormat="1" ht="0.65" hidden="1" customHeight="1">
      <c r="A1299" s="320">
        <v>5192</v>
      </c>
      <c r="B1299" s="362"/>
      <c r="R1299" s="363" t="s">
        <v>14</v>
      </c>
      <c r="S1299" s="363" t="s">
        <v>16</v>
      </c>
      <c r="AA1299" s="362"/>
    </row>
    <row r="1300" spans="1:27" s="320" customFormat="1" ht="0.65" hidden="1" customHeight="1">
      <c r="A1300" s="320">
        <v>5193</v>
      </c>
      <c r="B1300" s="362"/>
      <c r="AA1300" s="362"/>
    </row>
    <row r="1301" spans="1:27" s="320" customFormat="1" ht="0.65" hidden="1" customHeight="1">
      <c r="A1301" s="320">
        <v>5194</v>
      </c>
      <c r="B1301" s="362"/>
      <c r="R1301" s="363" t="s">
        <v>0</v>
      </c>
      <c r="S1301" s="363" t="s">
        <v>69</v>
      </c>
      <c r="T1301" s="363" t="s">
        <v>70</v>
      </c>
      <c r="U1301" s="363" t="s">
        <v>71</v>
      </c>
      <c r="V1301" s="363" t="s">
        <v>72</v>
      </c>
      <c r="W1301" s="363" t="s">
        <v>73</v>
      </c>
      <c r="X1301" s="363" t="s">
        <v>74</v>
      </c>
      <c r="Y1301" s="363" t="s">
        <v>75</v>
      </c>
      <c r="AA1301" s="362"/>
    </row>
    <row r="1302" spans="1:27" s="320" customFormat="1" ht="0.65" hidden="1" customHeight="1">
      <c r="A1302" s="320">
        <v>5195</v>
      </c>
      <c r="B1302" s="362"/>
      <c r="R1302" s="364">
        <v>2023</v>
      </c>
      <c r="S1302" s="363">
        <v>600000</v>
      </c>
      <c r="T1302" s="363">
        <v>150000</v>
      </c>
      <c r="U1302" s="363">
        <v>-30000</v>
      </c>
      <c r="V1302" s="363">
        <v>480000</v>
      </c>
      <c r="W1302" s="363">
        <v>120000</v>
      </c>
      <c r="X1302" s="363">
        <v>360000</v>
      </c>
      <c r="Y1302" s="363">
        <v>330000</v>
      </c>
      <c r="AA1302" s="362"/>
    </row>
    <row r="1303" spans="1:27" s="320" customFormat="1" ht="0.65" hidden="1" customHeight="1">
      <c r="A1303" s="320">
        <v>5196</v>
      </c>
      <c r="B1303" s="362"/>
      <c r="R1303" s="364">
        <v>2024</v>
      </c>
      <c r="S1303" s="363">
        <v>600000</v>
      </c>
      <c r="T1303" s="363">
        <v>150000</v>
      </c>
      <c r="U1303" s="363">
        <v>-30000</v>
      </c>
      <c r="V1303" s="363">
        <v>480000</v>
      </c>
      <c r="W1303" s="363">
        <v>120000</v>
      </c>
      <c r="X1303" s="363">
        <v>360000</v>
      </c>
      <c r="Y1303" s="363">
        <v>330000</v>
      </c>
      <c r="AA1303" s="362"/>
    </row>
    <row r="1304" spans="1:27" s="320" customFormat="1" ht="0.65" hidden="1" customHeight="1">
      <c r="A1304" s="320">
        <v>5197</v>
      </c>
      <c r="B1304" s="362"/>
      <c r="R1304" s="364">
        <v>2025</v>
      </c>
      <c r="S1304" s="363">
        <v>600000</v>
      </c>
      <c r="T1304" s="363">
        <v>150000</v>
      </c>
      <c r="U1304" s="363">
        <v>120000</v>
      </c>
      <c r="V1304" s="363">
        <v>330000</v>
      </c>
      <c r="W1304" s="363">
        <v>82500</v>
      </c>
      <c r="X1304" s="363">
        <v>247500</v>
      </c>
      <c r="Y1304" s="363">
        <v>367500</v>
      </c>
      <c r="AA1304" s="362"/>
    </row>
    <row r="1305" spans="1:27" s="320" customFormat="1" ht="0.65" hidden="1" customHeight="1">
      <c r="A1305" s="320">
        <v>5198</v>
      </c>
      <c r="B1305" s="362"/>
      <c r="AA1305" s="362"/>
    </row>
    <row r="1306" spans="1:27" s="320" customFormat="1" ht="0.65" hidden="1" customHeight="1">
      <c r="A1306" s="320">
        <v>5199</v>
      </c>
      <c r="B1306" s="362"/>
      <c r="R1306" s="363" t="s">
        <v>0</v>
      </c>
      <c r="S1306" s="363" t="s">
        <v>76</v>
      </c>
      <c r="T1306" s="363" t="s">
        <v>77</v>
      </c>
      <c r="U1306" s="363" t="s">
        <v>78</v>
      </c>
      <c r="V1306" s="363" t="s">
        <v>79</v>
      </c>
      <c r="AA1306" s="362"/>
    </row>
    <row r="1307" spans="1:27" s="320" customFormat="1" ht="0.65" hidden="1" customHeight="1">
      <c r="A1307" s="320">
        <v>5200</v>
      </c>
      <c r="B1307" s="362"/>
      <c r="R1307" s="364">
        <v>2022</v>
      </c>
      <c r="S1307" s="363">
        <v>0</v>
      </c>
      <c r="T1307" s="363">
        <v>0</v>
      </c>
      <c r="U1307" s="363">
        <v>0</v>
      </c>
      <c r="V1307" s="363">
        <v>0</v>
      </c>
      <c r="AA1307" s="362"/>
    </row>
    <row r="1308" spans="1:27" s="320" customFormat="1" ht="0.65" hidden="1" customHeight="1">
      <c r="A1308" s="320">
        <v>5201</v>
      </c>
      <c r="B1308" s="362"/>
      <c r="R1308" s="364">
        <v>2023</v>
      </c>
      <c r="S1308" s="363">
        <v>100000</v>
      </c>
      <c r="T1308" s="363">
        <v>37500</v>
      </c>
      <c r="U1308" s="363">
        <v>62500</v>
      </c>
      <c r="V1308" s="363">
        <v>62500</v>
      </c>
      <c r="AA1308" s="362"/>
    </row>
    <row r="1309" spans="1:27" s="320" customFormat="1" ht="0.65" hidden="1" customHeight="1">
      <c r="A1309" s="320">
        <v>5202</v>
      </c>
      <c r="B1309" s="362"/>
      <c r="R1309" s="364">
        <v>2024</v>
      </c>
      <c r="S1309" s="363">
        <v>100000</v>
      </c>
      <c r="T1309" s="363">
        <v>37500</v>
      </c>
      <c r="U1309" s="363">
        <v>62500</v>
      </c>
      <c r="V1309" s="363">
        <v>0</v>
      </c>
      <c r="AA1309" s="362"/>
    </row>
    <row r="1310" spans="1:27" s="320" customFormat="1" ht="0.65" hidden="1" customHeight="1">
      <c r="A1310" s="320">
        <v>5203</v>
      </c>
      <c r="B1310" s="362"/>
      <c r="R1310" s="364">
        <v>2025</v>
      </c>
      <c r="S1310" s="363">
        <v>100000</v>
      </c>
      <c r="T1310" s="363">
        <v>37500</v>
      </c>
      <c r="U1310" s="363">
        <v>62500</v>
      </c>
      <c r="V1310" s="363">
        <v>0</v>
      </c>
      <c r="AA1310" s="362"/>
    </row>
    <row r="1311" spans="1:27" s="320" customFormat="1" ht="0.65" hidden="1" customHeight="1">
      <c r="A1311" s="320">
        <v>5204</v>
      </c>
      <c r="B1311" s="362"/>
      <c r="AA1311" s="362"/>
    </row>
    <row r="1312" spans="1:27" s="320" customFormat="1" ht="0.65" hidden="1" customHeight="1">
      <c r="A1312" s="320">
        <v>5205</v>
      </c>
      <c r="B1312" s="362"/>
      <c r="V1312" s="363" t="s">
        <v>81</v>
      </c>
      <c r="AA1312" s="362"/>
    </row>
    <row r="1313" spans="1:28" s="320" customFormat="1" ht="0.65" hidden="1" customHeight="1">
      <c r="A1313" s="320">
        <v>5206</v>
      </c>
      <c r="B1313" s="362"/>
      <c r="R1313" s="363" t="s">
        <v>0</v>
      </c>
      <c r="S1313" s="363" t="s">
        <v>75</v>
      </c>
      <c r="T1313" s="363" t="s">
        <v>79</v>
      </c>
      <c r="U1313" s="363" t="s">
        <v>80</v>
      </c>
      <c r="V1313" s="363" t="s">
        <v>1</v>
      </c>
      <c r="AA1313" s="362"/>
    </row>
    <row r="1314" spans="1:28" s="320" customFormat="1" ht="0.65" hidden="1" customHeight="1">
      <c r="A1314" s="320">
        <v>5207</v>
      </c>
      <c r="B1314" s="362"/>
      <c r="R1314" s="364">
        <v>2022</v>
      </c>
      <c r="S1314" s="363">
        <v>0</v>
      </c>
      <c r="T1314" s="363">
        <v>0</v>
      </c>
      <c r="U1314" s="363">
        <v>0</v>
      </c>
      <c r="V1314" s="363">
        <v>-967500</v>
      </c>
      <c r="AA1314" s="362"/>
    </row>
    <row r="1315" spans="1:28" s="320" customFormat="1" ht="0.65" hidden="1" customHeight="1">
      <c r="A1315" s="320">
        <v>5208</v>
      </c>
      <c r="B1315" s="362"/>
      <c r="R1315" s="364">
        <v>2023</v>
      </c>
      <c r="S1315" s="363">
        <v>330000</v>
      </c>
      <c r="T1315" s="363">
        <v>62500</v>
      </c>
      <c r="U1315" s="363">
        <v>267500</v>
      </c>
      <c r="V1315" s="363">
        <v>267500</v>
      </c>
      <c r="AA1315" s="362"/>
    </row>
    <row r="1316" spans="1:28" s="320" customFormat="1" ht="0.65" hidden="1" customHeight="1">
      <c r="A1316" s="320">
        <v>5209</v>
      </c>
      <c r="B1316" s="362"/>
      <c r="R1316" s="364">
        <v>2024</v>
      </c>
      <c r="S1316" s="363">
        <v>330000</v>
      </c>
      <c r="T1316" s="363">
        <v>0</v>
      </c>
      <c r="U1316" s="363">
        <v>330000</v>
      </c>
      <c r="V1316" s="363">
        <v>330000</v>
      </c>
      <c r="AA1316" s="362"/>
    </row>
    <row r="1317" spans="1:28" s="320" customFormat="1" ht="0.65" hidden="1" customHeight="1">
      <c r="A1317" s="320">
        <v>5210</v>
      </c>
      <c r="B1317" s="362"/>
      <c r="R1317" s="364">
        <v>2025</v>
      </c>
      <c r="S1317" s="363">
        <v>367500</v>
      </c>
      <c r="T1317" s="363">
        <v>0</v>
      </c>
      <c r="U1317" s="363">
        <v>367500</v>
      </c>
      <c r="V1317" s="363">
        <v>707500</v>
      </c>
      <c r="AA1317" s="362"/>
    </row>
    <row r="1318" spans="1:28" s="320" customFormat="1" ht="0.65" hidden="1" customHeight="1">
      <c r="A1318" s="320">
        <v>5211</v>
      </c>
      <c r="B1318" s="362"/>
      <c r="AA1318" s="362"/>
    </row>
    <row r="1319" spans="1:28" s="320" customFormat="1" ht="0.65" hidden="1" customHeight="1">
      <c r="A1319" s="320">
        <v>5212</v>
      </c>
      <c r="B1319" s="362"/>
      <c r="R1319" s="363" t="s">
        <v>490</v>
      </c>
      <c r="S1319" s="363">
        <v>967500</v>
      </c>
      <c r="U1319" s="363" t="s">
        <v>124</v>
      </c>
      <c r="V1319" s="366">
        <v>4.4999999999999998E-2</v>
      </c>
      <c r="X1319" s="363" t="s">
        <v>13</v>
      </c>
      <c r="Y1319" s="363">
        <v>104229.1490951411</v>
      </c>
      <c r="AA1319" s="362"/>
    </row>
    <row r="1320" spans="1:28" s="320" customFormat="1" ht="0.65" hidden="1" customHeight="1">
      <c r="A1320" s="320">
        <v>5213</v>
      </c>
      <c r="B1320" s="362"/>
      <c r="R1320" s="363" t="s">
        <v>491</v>
      </c>
      <c r="S1320" s="363">
        <v>277500</v>
      </c>
      <c r="U1320" s="363" t="s">
        <v>125</v>
      </c>
      <c r="V1320" s="366">
        <v>0.1</v>
      </c>
      <c r="X1320" s="320" t="s">
        <v>28</v>
      </c>
      <c r="Y1320" s="366">
        <v>0.13927532491339289</v>
      </c>
      <c r="AA1320" s="362"/>
    </row>
    <row r="1321" spans="1:28" s="320" customFormat="1" ht="0.65" hidden="1" customHeight="1">
      <c r="A1321" s="320">
        <v>5214</v>
      </c>
      <c r="B1321" s="362"/>
      <c r="R1321" s="363" t="s">
        <v>493</v>
      </c>
      <c r="S1321" s="363">
        <v>62500</v>
      </c>
      <c r="U1321" s="363" t="s">
        <v>126</v>
      </c>
      <c r="V1321" s="366">
        <v>8.8999999999999996E-2</v>
      </c>
      <c r="X1321" s="320" t="s">
        <v>29</v>
      </c>
      <c r="Y1321" s="367">
        <v>0.10773038666164454</v>
      </c>
      <c r="AA1321" s="362"/>
    </row>
    <row r="1322" spans="1:28" s="320" customFormat="1" ht="0.65" hidden="1" customHeight="1">
      <c r="A1322" s="320">
        <v>5215</v>
      </c>
      <c r="B1322" s="362"/>
      <c r="R1322" s="363" t="s">
        <v>494</v>
      </c>
      <c r="S1322" s="363">
        <v>340000</v>
      </c>
      <c r="X1322" s="320" t="s">
        <v>30</v>
      </c>
      <c r="Y1322" s="320">
        <v>3</v>
      </c>
      <c r="AA1322" s="362"/>
    </row>
    <row r="1323" spans="1:28" s="320" customFormat="1" ht="0.65" hidden="1" customHeight="1">
      <c r="B1323" s="362"/>
      <c r="AA1323" s="362"/>
    </row>
    <row r="1324" spans="1:28" s="320" customFormat="1" ht="0.65" hidden="1" customHeight="1">
      <c r="B1324" s="362"/>
      <c r="AA1324" s="362"/>
    </row>
    <row r="1325" spans="1:28" s="320" customFormat="1" ht="0.65" hidden="1" customHeight="1">
      <c r="B1325" s="362"/>
      <c r="AA1325" s="362"/>
    </row>
    <row r="1326" spans="1:28" s="320" customFormat="1" ht="0.65" hidden="1" customHeight="1">
      <c r="A1326" s="320">
        <v>6001</v>
      </c>
      <c r="B1326" s="362" t="s">
        <v>55</v>
      </c>
      <c r="D1326" s="320">
        <v>1</v>
      </c>
      <c r="E1326" s="320" t="s">
        <v>51</v>
      </c>
      <c r="Z1326" s="320" t="s">
        <v>38</v>
      </c>
      <c r="AA1326" s="362"/>
    </row>
    <row r="1327" spans="1:28" s="320" customFormat="1" ht="0.65" hidden="1" customHeight="1">
      <c r="A1327" s="320">
        <v>6002</v>
      </c>
      <c r="B1327" s="362"/>
      <c r="D1327" s="320" t="s">
        <v>38</v>
      </c>
      <c r="F1327" s="320" t="s">
        <v>800</v>
      </c>
      <c r="J1327" s="320" t="s">
        <v>1966</v>
      </c>
      <c r="AA1327" s="362"/>
    </row>
    <row r="1328" spans="1:28" s="320" customFormat="1" ht="0.65" hidden="1" customHeight="1">
      <c r="A1328" s="320">
        <v>6003</v>
      </c>
      <c r="B1328" s="362" t="s">
        <v>55</v>
      </c>
      <c r="C1328" s="320" t="s">
        <v>39</v>
      </c>
      <c r="D1328" s="320" t="s">
        <v>55</v>
      </c>
      <c r="E1328" s="320" t="s">
        <v>36</v>
      </c>
      <c r="F1328" s="320" t="s">
        <v>1967</v>
      </c>
      <c r="Z1328" s="320" t="s">
        <v>38</v>
      </c>
      <c r="AA1328" s="362">
        <v>534375</v>
      </c>
      <c r="AB1328" s="320" t="s">
        <v>1966</v>
      </c>
    </row>
    <row r="1329" spans="1:28" s="320" customFormat="1" ht="0.65" hidden="1" customHeight="1">
      <c r="A1329" s="320">
        <v>6004</v>
      </c>
      <c r="B1329" s="362" t="s">
        <v>55</v>
      </c>
      <c r="C1329" s="320" t="s">
        <v>41</v>
      </c>
      <c r="D1329" s="320" t="s">
        <v>55</v>
      </c>
      <c r="F1329" s="320" t="s">
        <v>1968</v>
      </c>
      <c r="Z1329" s="320" t="s">
        <v>40</v>
      </c>
      <c r="AA1329" s="362">
        <v>965625</v>
      </c>
      <c r="AB1329" s="320" t="s">
        <v>58</v>
      </c>
    </row>
    <row r="1330" spans="1:28" s="320" customFormat="1" ht="0.65" hidden="1" customHeight="1">
      <c r="A1330" s="320">
        <v>6005</v>
      </c>
      <c r="B1330" s="362" t="s">
        <v>55</v>
      </c>
      <c r="C1330" s="320" t="s">
        <v>43</v>
      </c>
      <c r="D1330" s="320" t="s">
        <v>55</v>
      </c>
      <c r="F1330" s="320" t="s">
        <v>1969</v>
      </c>
      <c r="Z1330" s="320" t="s">
        <v>42</v>
      </c>
      <c r="AA1330" s="362">
        <v>525000</v>
      </c>
      <c r="AB1330" s="320" t="s">
        <v>57</v>
      </c>
    </row>
    <row r="1331" spans="1:28" s="320" customFormat="1" ht="0.65" hidden="1" customHeight="1">
      <c r="A1331" s="320">
        <v>6006</v>
      </c>
      <c r="B1331" s="362" t="s">
        <v>55</v>
      </c>
      <c r="C1331" s="320" t="s">
        <v>45</v>
      </c>
      <c r="D1331" s="320" t="s">
        <v>55</v>
      </c>
      <c r="F1331" s="320" t="s">
        <v>1970</v>
      </c>
      <c r="Z1331" s="320" t="s">
        <v>44</v>
      </c>
      <c r="AA1331" s="362">
        <v>975000</v>
      </c>
      <c r="AB1331" s="320" t="s">
        <v>59</v>
      </c>
    </row>
    <row r="1332" spans="1:28" s="320" customFormat="1" ht="0.65" hidden="1" customHeight="1">
      <c r="A1332" s="320">
        <v>6007</v>
      </c>
      <c r="B1332" s="362"/>
      <c r="AA1332" s="362"/>
    </row>
    <row r="1333" spans="1:28" s="320" customFormat="1" ht="0.65" hidden="1" customHeight="1">
      <c r="A1333" s="320">
        <v>6008</v>
      </c>
      <c r="B1333" s="362" t="s">
        <v>55</v>
      </c>
      <c r="D1333" s="320">
        <v>2</v>
      </c>
      <c r="E1333" s="320" t="s">
        <v>829</v>
      </c>
      <c r="Z1333" s="320" t="s">
        <v>42</v>
      </c>
      <c r="AA1333" s="362"/>
    </row>
    <row r="1334" spans="1:28" s="320" customFormat="1" ht="0.65" hidden="1" customHeight="1">
      <c r="A1334" s="320">
        <v>6009</v>
      </c>
      <c r="B1334" s="362"/>
      <c r="D1334" s="320" t="s">
        <v>42</v>
      </c>
      <c r="F1334" s="320" t="s">
        <v>800</v>
      </c>
      <c r="J1334" s="320" t="s">
        <v>1971</v>
      </c>
      <c r="AA1334" s="362"/>
    </row>
    <row r="1335" spans="1:28" s="320" customFormat="1" ht="0.65" hidden="1" customHeight="1">
      <c r="A1335" s="320">
        <v>6010</v>
      </c>
      <c r="B1335" s="362" t="s">
        <v>55</v>
      </c>
      <c r="C1335" s="320" t="s">
        <v>39</v>
      </c>
      <c r="D1335" s="320" t="s">
        <v>55</v>
      </c>
      <c r="F1335" s="320" t="s">
        <v>1972</v>
      </c>
      <c r="Z1335" s="320" t="s">
        <v>38</v>
      </c>
      <c r="AA1335" s="362">
        <v>187500</v>
      </c>
      <c r="AB1335" s="320" t="s">
        <v>60</v>
      </c>
    </row>
    <row r="1336" spans="1:28" s="320" customFormat="1" ht="0.65" hidden="1" customHeight="1">
      <c r="A1336" s="320">
        <v>6011</v>
      </c>
      <c r="B1336" s="362" t="s">
        <v>55</v>
      </c>
      <c r="C1336" s="320" t="s">
        <v>41</v>
      </c>
      <c r="D1336" s="320" t="s">
        <v>55</v>
      </c>
      <c r="F1336" s="320" t="s">
        <v>1973</v>
      </c>
      <c r="Z1336" s="320" t="s">
        <v>40</v>
      </c>
      <c r="AA1336" s="362">
        <v>225000</v>
      </c>
      <c r="AB1336" s="320" t="s">
        <v>61</v>
      </c>
    </row>
    <row r="1337" spans="1:28" s="320" customFormat="1" ht="0.65" hidden="1" customHeight="1">
      <c r="A1337" s="320">
        <v>6012</v>
      </c>
      <c r="B1337" s="362" t="s">
        <v>55</v>
      </c>
      <c r="C1337" s="320" t="s">
        <v>43</v>
      </c>
      <c r="D1337" s="320" t="s">
        <v>55</v>
      </c>
      <c r="E1337" s="320" t="s">
        <v>36</v>
      </c>
      <c r="F1337" s="320" t="s">
        <v>1974</v>
      </c>
      <c r="Z1337" s="320" t="s">
        <v>42</v>
      </c>
      <c r="AA1337" s="362">
        <v>215625</v>
      </c>
      <c r="AB1337" s="320" t="s">
        <v>1971</v>
      </c>
    </row>
    <row r="1338" spans="1:28" s="320" customFormat="1" ht="0.65" hidden="1" customHeight="1">
      <c r="A1338" s="320">
        <v>6013</v>
      </c>
      <c r="B1338" s="362" t="s">
        <v>55</v>
      </c>
      <c r="C1338" s="320" t="s">
        <v>45</v>
      </c>
      <c r="D1338" s="320" t="s">
        <v>55</v>
      </c>
      <c r="F1338" s="320" t="s">
        <v>834</v>
      </c>
      <c r="Z1338" s="320" t="s">
        <v>44</v>
      </c>
      <c r="AA1338" s="362"/>
      <c r="AB1338" s="320" t="s">
        <v>1971</v>
      </c>
    </row>
    <row r="1339" spans="1:28" s="320" customFormat="1" ht="0.65" hidden="1" customHeight="1">
      <c r="A1339" s="320">
        <v>6014</v>
      </c>
      <c r="B1339" s="362"/>
      <c r="AA1339" s="362"/>
    </row>
    <row r="1340" spans="1:28" s="320" customFormat="1" ht="0.65" hidden="1" customHeight="1">
      <c r="A1340" s="320">
        <v>6015</v>
      </c>
      <c r="B1340" s="362" t="s">
        <v>55</v>
      </c>
      <c r="D1340" s="320">
        <v>3</v>
      </c>
      <c r="E1340" s="320" t="s">
        <v>835</v>
      </c>
      <c r="Z1340" s="320" t="s">
        <v>42</v>
      </c>
      <c r="AA1340" s="362"/>
    </row>
    <row r="1341" spans="1:28" s="320" customFormat="1" ht="0.65" hidden="1" customHeight="1">
      <c r="A1341" s="320">
        <v>6016</v>
      </c>
      <c r="B1341" s="362"/>
      <c r="D1341" s="320" t="s">
        <v>42</v>
      </c>
      <c r="F1341" s="320" t="s">
        <v>800</v>
      </c>
      <c r="J1341" s="320" t="s">
        <v>63</v>
      </c>
      <c r="AA1341" s="362"/>
    </row>
    <row r="1342" spans="1:28" s="320" customFormat="1" ht="0.65" hidden="1" customHeight="1">
      <c r="A1342" s="320">
        <v>6017</v>
      </c>
      <c r="B1342" s="362" t="s">
        <v>55</v>
      </c>
      <c r="C1342" s="320" t="s">
        <v>39</v>
      </c>
      <c r="D1342" s="320" t="s">
        <v>55</v>
      </c>
      <c r="F1342" s="320" t="s">
        <v>1975</v>
      </c>
      <c r="Z1342" s="320" t="s">
        <v>38</v>
      </c>
      <c r="AA1342" s="362">
        <v>750000</v>
      </c>
      <c r="AB1342" s="320" t="s">
        <v>62</v>
      </c>
    </row>
    <row r="1343" spans="1:28" s="320" customFormat="1" ht="0.65" hidden="1" customHeight="1">
      <c r="A1343" s="320">
        <v>6018</v>
      </c>
      <c r="B1343" s="362" t="s">
        <v>55</v>
      </c>
      <c r="C1343" s="320" t="s">
        <v>41</v>
      </c>
      <c r="D1343" s="320" t="s">
        <v>55</v>
      </c>
      <c r="F1343" s="320" t="s">
        <v>1976</v>
      </c>
      <c r="Z1343" s="320" t="s">
        <v>40</v>
      </c>
      <c r="AA1343" s="362">
        <v>500000</v>
      </c>
      <c r="AB1343" s="320" t="s">
        <v>62</v>
      </c>
    </row>
    <row r="1344" spans="1:28" s="320" customFormat="1" ht="0.65" hidden="1" customHeight="1">
      <c r="A1344" s="320">
        <v>6019</v>
      </c>
      <c r="B1344" s="362" t="s">
        <v>55</v>
      </c>
      <c r="C1344" s="320" t="s">
        <v>43</v>
      </c>
      <c r="D1344" s="320" t="s">
        <v>55</v>
      </c>
      <c r="E1344" s="320" t="s">
        <v>36</v>
      </c>
      <c r="F1344" s="320" t="s">
        <v>1977</v>
      </c>
      <c r="Z1344" s="320" t="s">
        <v>42</v>
      </c>
      <c r="AA1344" s="362">
        <v>250000</v>
      </c>
      <c r="AB1344" s="320" t="s">
        <v>63</v>
      </c>
    </row>
    <row r="1345" spans="1:28" s="320" customFormat="1" ht="0.65" hidden="1" customHeight="1">
      <c r="A1345" s="320">
        <v>6020</v>
      </c>
      <c r="B1345" s="362" t="s">
        <v>55</v>
      </c>
      <c r="C1345" s="320" t="s">
        <v>45</v>
      </c>
      <c r="D1345" s="320" t="s">
        <v>55</v>
      </c>
      <c r="F1345" s="320" t="s">
        <v>834</v>
      </c>
      <c r="Z1345" s="320" t="s">
        <v>44</v>
      </c>
      <c r="AA1345" s="362"/>
      <c r="AB1345" s="320" t="s">
        <v>63</v>
      </c>
    </row>
    <row r="1346" spans="1:28" s="320" customFormat="1" ht="0.65" hidden="1" customHeight="1">
      <c r="A1346" s="320">
        <v>6021</v>
      </c>
      <c r="B1346" s="362"/>
      <c r="AA1346" s="362"/>
    </row>
    <row r="1347" spans="1:28" s="320" customFormat="1" ht="0.65" hidden="1" customHeight="1">
      <c r="A1347" s="320">
        <v>6022</v>
      </c>
      <c r="B1347" s="362" t="s">
        <v>55</v>
      </c>
      <c r="D1347" s="320">
        <v>4</v>
      </c>
      <c r="E1347" s="320" t="s">
        <v>839</v>
      </c>
      <c r="Z1347" s="320" t="s">
        <v>40</v>
      </c>
      <c r="AA1347" s="362"/>
    </row>
    <row r="1348" spans="1:28" s="320" customFormat="1" ht="0.65" hidden="1" customHeight="1">
      <c r="A1348" s="320">
        <v>6023</v>
      </c>
      <c r="B1348" s="362"/>
      <c r="D1348" s="320" t="s">
        <v>40</v>
      </c>
      <c r="F1348" s="320" t="s">
        <v>800</v>
      </c>
      <c r="J1348" s="320" t="s">
        <v>1978</v>
      </c>
      <c r="AA1348" s="362"/>
    </row>
    <row r="1349" spans="1:28" s="320" customFormat="1" ht="0.65" hidden="1" customHeight="1">
      <c r="A1349" s="320">
        <v>6024</v>
      </c>
      <c r="B1349" s="362" t="s">
        <v>55</v>
      </c>
      <c r="C1349" s="320" t="s">
        <v>39</v>
      </c>
      <c r="D1349" s="320" t="s">
        <v>55</v>
      </c>
      <c r="F1349" s="320" t="s">
        <v>1979</v>
      </c>
      <c r="Z1349" s="320" t="s">
        <v>38</v>
      </c>
      <c r="AA1349" s="362">
        <v>121875</v>
      </c>
      <c r="AB1349" s="320" t="s">
        <v>64</v>
      </c>
    </row>
    <row r="1350" spans="1:28" s="320" customFormat="1" ht="0.65" hidden="1" customHeight="1">
      <c r="A1350" s="320">
        <v>6025</v>
      </c>
      <c r="B1350" s="362" t="s">
        <v>55</v>
      </c>
      <c r="C1350" s="320" t="s">
        <v>41</v>
      </c>
      <c r="D1350" s="320" t="s">
        <v>55</v>
      </c>
      <c r="E1350" s="320" t="s">
        <v>36</v>
      </c>
      <c r="F1350" s="320" t="s">
        <v>1980</v>
      </c>
      <c r="Z1350" s="320" t="s">
        <v>40</v>
      </c>
      <c r="AA1350" s="362">
        <v>28125</v>
      </c>
      <c r="AB1350" s="320" t="s">
        <v>1978</v>
      </c>
    </row>
    <row r="1351" spans="1:28" s="320" customFormat="1" ht="0.65" hidden="1" customHeight="1">
      <c r="A1351" s="320">
        <v>6026</v>
      </c>
      <c r="B1351" s="362" t="s">
        <v>55</v>
      </c>
      <c r="C1351" s="320" t="s">
        <v>43</v>
      </c>
      <c r="D1351" s="320" t="s">
        <v>55</v>
      </c>
      <c r="F1351" s="320" t="s">
        <v>1981</v>
      </c>
      <c r="Z1351" s="320" t="s">
        <v>42</v>
      </c>
      <c r="AA1351" s="362">
        <v>75000</v>
      </c>
      <c r="AB1351" s="320" t="s">
        <v>65</v>
      </c>
    </row>
    <row r="1352" spans="1:28" s="320" customFormat="1" ht="0.65" hidden="1" customHeight="1">
      <c r="A1352" s="320">
        <v>6027</v>
      </c>
      <c r="B1352" s="362" t="s">
        <v>55</v>
      </c>
      <c r="C1352" s="320" t="s">
        <v>45</v>
      </c>
      <c r="D1352" s="320" t="s">
        <v>55</v>
      </c>
      <c r="F1352" s="320" t="s">
        <v>834</v>
      </c>
      <c r="Z1352" s="320" t="s">
        <v>44</v>
      </c>
      <c r="AA1352" s="362"/>
      <c r="AB1352" s="320" t="s">
        <v>1978</v>
      </c>
    </row>
    <row r="1353" spans="1:28" s="320" customFormat="1" ht="0.65" hidden="1" customHeight="1">
      <c r="A1353" s="320">
        <v>6028</v>
      </c>
      <c r="B1353" s="362"/>
      <c r="AA1353" s="362"/>
    </row>
    <row r="1354" spans="1:28" s="320" customFormat="1" ht="0.65" hidden="1" customHeight="1">
      <c r="A1354" s="320">
        <v>6029</v>
      </c>
      <c r="B1354" s="362" t="s">
        <v>55</v>
      </c>
      <c r="D1354" s="320">
        <v>5</v>
      </c>
      <c r="E1354" s="320" t="s">
        <v>844</v>
      </c>
      <c r="Z1354" s="320" t="s">
        <v>40</v>
      </c>
      <c r="AA1354" s="362"/>
    </row>
    <row r="1355" spans="1:28" s="320" customFormat="1" ht="0.65" hidden="1" customHeight="1">
      <c r="A1355" s="320">
        <v>6030</v>
      </c>
      <c r="B1355" s="362"/>
      <c r="D1355" s="320" t="s">
        <v>40</v>
      </c>
      <c r="F1355" s="320" t="s">
        <v>800</v>
      </c>
      <c r="J1355" s="320" t="s">
        <v>1978</v>
      </c>
      <c r="AA1355" s="362"/>
    </row>
    <row r="1356" spans="1:28" s="320" customFormat="1" ht="0.65" hidden="1" customHeight="1">
      <c r="A1356" s="320">
        <v>6031</v>
      </c>
      <c r="B1356" s="362" t="s">
        <v>55</v>
      </c>
      <c r="C1356" s="320" t="s">
        <v>39</v>
      </c>
      <c r="D1356" s="320" t="s">
        <v>55</v>
      </c>
      <c r="F1356" s="320" t="s">
        <v>1982</v>
      </c>
      <c r="Z1356" s="320" t="s">
        <v>38</v>
      </c>
      <c r="AA1356" s="362">
        <v>28125</v>
      </c>
      <c r="AB1356" s="320" t="s">
        <v>1099</v>
      </c>
    </row>
    <row r="1357" spans="1:28" s="320" customFormat="1" ht="0.65" hidden="1" customHeight="1">
      <c r="A1357" s="320">
        <v>6032</v>
      </c>
      <c r="B1357" s="362" t="s">
        <v>55</v>
      </c>
      <c r="C1357" s="320" t="s">
        <v>41</v>
      </c>
      <c r="D1357" s="320" t="s">
        <v>55</v>
      </c>
      <c r="E1357" s="320" t="s">
        <v>36</v>
      </c>
      <c r="F1357" s="320" t="s">
        <v>1983</v>
      </c>
      <c r="Z1357" s="320" t="s">
        <v>40</v>
      </c>
      <c r="AA1357" s="362">
        <v>75000</v>
      </c>
      <c r="AB1357" s="320" t="s">
        <v>1978</v>
      </c>
    </row>
    <row r="1358" spans="1:28" s="320" customFormat="1" ht="0.65" hidden="1" customHeight="1">
      <c r="A1358" s="320">
        <v>6033</v>
      </c>
      <c r="B1358" s="362" t="s">
        <v>55</v>
      </c>
      <c r="C1358" s="320" t="s">
        <v>43</v>
      </c>
      <c r="D1358" s="320" t="s">
        <v>55</v>
      </c>
      <c r="F1358" s="320" t="s">
        <v>1984</v>
      </c>
      <c r="Z1358" s="320" t="s">
        <v>42</v>
      </c>
      <c r="AA1358" s="362">
        <v>121875</v>
      </c>
      <c r="AB1358" s="320" t="s">
        <v>1102</v>
      </c>
    </row>
    <row r="1359" spans="1:28" s="320" customFormat="1" ht="0.65" hidden="1" customHeight="1">
      <c r="A1359" s="320">
        <v>6034</v>
      </c>
      <c r="B1359" s="362" t="s">
        <v>55</v>
      </c>
      <c r="C1359" s="320" t="s">
        <v>45</v>
      </c>
      <c r="D1359" s="320" t="s">
        <v>55</v>
      </c>
      <c r="F1359" s="320" t="s">
        <v>834</v>
      </c>
      <c r="Z1359" s="320" t="s">
        <v>44</v>
      </c>
      <c r="AA1359" s="362"/>
      <c r="AB1359" s="320" t="s">
        <v>1978</v>
      </c>
    </row>
    <row r="1360" spans="1:28" s="320" customFormat="1" ht="0.65" hidden="1" customHeight="1">
      <c r="A1360" s="320">
        <v>6035</v>
      </c>
      <c r="B1360" s="362"/>
      <c r="AA1360" s="362"/>
    </row>
    <row r="1361" spans="1:28" s="320" customFormat="1" ht="0.65" hidden="1" customHeight="1">
      <c r="A1361" s="320">
        <v>6036</v>
      </c>
      <c r="B1361" s="362" t="s">
        <v>55</v>
      </c>
      <c r="D1361" s="320">
        <v>6</v>
      </c>
      <c r="E1361" s="320" t="s">
        <v>851</v>
      </c>
      <c r="Z1361" s="320" t="s">
        <v>44</v>
      </c>
      <c r="AA1361" s="362"/>
    </row>
    <row r="1362" spans="1:28" s="320" customFormat="1" ht="0.65" hidden="1" customHeight="1">
      <c r="A1362" s="320">
        <v>6037</v>
      </c>
      <c r="B1362" s="362"/>
      <c r="D1362" s="320" t="s">
        <v>44</v>
      </c>
      <c r="F1362" s="320" t="s">
        <v>800</v>
      </c>
      <c r="J1362" s="320" t="s">
        <v>1985</v>
      </c>
      <c r="AA1362" s="362"/>
    </row>
    <row r="1363" spans="1:28" s="320" customFormat="1" ht="0.65" hidden="1" customHeight="1">
      <c r="A1363" s="320">
        <v>6038</v>
      </c>
      <c r="B1363" s="362" t="s">
        <v>55</v>
      </c>
      <c r="C1363" s="320" t="s">
        <v>39</v>
      </c>
      <c r="D1363" s="320" t="s">
        <v>55</v>
      </c>
      <c r="F1363" s="320" t="s">
        <v>1986</v>
      </c>
      <c r="Z1363" s="320" t="s">
        <v>38</v>
      </c>
      <c r="AA1363" s="362">
        <v>50000</v>
      </c>
      <c r="AB1363" s="320" t="s">
        <v>478</v>
      </c>
    </row>
    <row r="1364" spans="1:28" s="320" customFormat="1" ht="0.65" hidden="1" customHeight="1">
      <c r="A1364" s="320">
        <v>6039</v>
      </c>
      <c r="B1364" s="362" t="s">
        <v>55</v>
      </c>
      <c r="C1364" s="320" t="s">
        <v>41</v>
      </c>
      <c r="D1364" s="320" t="s">
        <v>55</v>
      </c>
      <c r="F1364" s="320" t="s">
        <v>1987</v>
      </c>
      <c r="Z1364" s="320" t="s">
        <v>40</v>
      </c>
      <c r="AA1364" s="362">
        <v>49218.75</v>
      </c>
      <c r="AB1364" s="320" t="s">
        <v>90</v>
      </c>
    </row>
    <row r="1365" spans="1:28" s="320" customFormat="1" ht="0.65" hidden="1" customHeight="1">
      <c r="A1365" s="320">
        <v>6040</v>
      </c>
      <c r="B1365" s="362" t="s">
        <v>55</v>
      </c>
      <c r="C1365" s="320" t="s">
        <v>43</v>
      </c>
      <c r="D1365" s="320" t="s">
        <v>55</v>
      </c>
      <c r="F1365" s="320" t="s">
        <v>1988</v>
      </c>
      <c r="Z1365" s="320" t="s">
        <v>42</v>
      </c>
      <c r="AA1365" s="362">
        <v>68750</v>
      </c>
      <c r="AB1365" s="320" t="s">
        <v>91</v>
      </c>
    </row>
    <row r="1366" spans="1:28" s="320" customFormat="1" ht="0.65" hidden="1" customHeight="1">
      <c r="A1366" s="320">
        <v>6041</v>
      </c>
      <c r="B1366" s="362" t="s">
        <v>55</v>
      </c>
      <c r="C1366" s="320" t="s">
        <v>45</v>
      </c>
      <c r="D1366" s="320" t="s">
        <v>55</v>
      </c>
      <c r="E1366" s="320" t="s">
        <v>36</v>
      </c>
      <c r="F1366" s="320" t="s">
        <v>1989</v>
      </c>
      <c r="Z1366" s="320" t="s">
        <v>44</v>
      </c>
      <c r="AA1366" s="362">
        <v>61718.75</v>
      </c>
      <c r="AB1366" s="320" t="s">
        <v>1985</v>
      </c>
    </row>
    <row r="1367" spans="1:28" s="320" customFormat="1" ht="0.65" hidden="1" customHeight="1">
      <c r="A1367" s="320">
        <v>6042</v>
      </c>
      <c r="B1367" s="362"/>
      <c r="AA1367" s="362"/>
    </row>
    <row r="1368" spans="1:28" s="320" customFormat="1" ht="0.65" hidden="1" customHeight="1">
      <c r="A1368" s="320">
        <v>6043</v>
      </c>
      <c r="B1368" s="362" t="s">
        <v>55</v>
      </c>
      <c r="D1368" s="320">
        <v>7</v>
      </c>
      <c r="E1368" s="320" t="s">
        <v>857</v>
      </c>
      <c r="Z1368" s="320" t="s">
        <v>44</v>
      </c>
      <c r="AA1368" s="362"/>
    </row>
    <row r="1369" spans="1:28" s="320" customFormat="1" ht="0.65" hidden="1" customHeight="1">
      <c r="A1369" s="320">
        <v>6044</v>
      </c>
      <c r="B1369" s="362"/>
      <c r="D1369" s="320" t="s">
        <v>44</v>
      </c>
      <c r="F1369" s="320" t="s">
        <v>800</v>
      </c>
      <c r="J1369" s="320" t="s">
        <v>1990</v>
      </c>
      <c r="AA1369" s="362"/>
    </row>
    <row r="1370" spans="1:28" s="320" customFormat="1" ht="0.65" hidden="1" customHeight="1">
      <c r="A1370" s="320">
        <v>6045</v>
      </c>
      <c r="B1370" s="362" t="s">
        <v>1108</v>
      </c>
      <c r="C1370" s="320" t="s">
        <v>39</v>
      </c>
      <c r="D1370" s="320" t="s">
        <v>55</v>
      </c>
      <c r="F1370" s="320" t="s">
        <v>1991</v>
      </c>
      <c r="Z1370" s="320" t="s">
        <v>38</v>
      </c>
      <c r="AA1370" s="362">
        <v>185156.25</v>
      </c>
      <c r="AB1370" s="320" t="s">
        <v>120</v>
      </c>
    </row>
    <row r="1371" spans="1:28" s="320" customFormat="1" ht="0.65" hidden="1" customHeight="1">
      <c r="A1371" s="320">
        <v>6046</v>
      </c>
      <c r="B1371" s="362" t="s">
        <v>55</v>
      </c>
      <c r="C1371" s="320" t="s">
        <v>41</v>
      </c>
      <c r="D1371" s="320" t="s">
        <v>55</v>
      </c>
      <c r="F1371" s="320" t="s">
        <v>1992</v>
      </c>
      <c r="Z1371" s="320" t="s">
        <v>40</v>
      </c>
      <c r="AA1371" s="362">
        <v>157031.25</v>
      </c>
      <c r="AB1371" s="320" t="s">
        <v>121</v>
      </c>
    </row>
    <row r="1372" spans="1:28" s="320" customFormat="1" ht="0.65" hidden="1" customHeight="1">
      <c r="A1372" s="320">
        <v>6047</v>
      </c>
      <c r="B1372" s="362" t="s">
        <v>1108</v>
      </c>
      <c r="C1372" s="320" t="s">
        <v>43</v>
      </c>
      <c r="D1372" s="320" t="s">
        <v>55</v>
      </c>
      <c r="F1372" s="320" t="s">
        <v>1993</v>
      </c>
      <c r="Z1372" s="320" t="s">
        <v>42</v>
      </c>
      <c r="AA1372" s="362">
        <v>185156.25</v>
      </c>
      <c r="AB1372" s="320" t="s">
        <v>862</v>
      </c>
    </row>
    <row r="1373" spans="1:28" s="320" customFormat="1" ht="0.65" hidden="1" customHeight="1">
      <c r="A1373" s="320">
        <v>6048</v>
      </c>
      <c r="B1373" s="362" t="s">
        <v>55</v>
      </c>
      <c r="C1373" s="320" t="s">
        <v>45</v>
      </c>
      <c r="D1373" s="320" t="s">
        <v>55</v>
      </c>
      <c r="E1373" s="320" t="s">
        <v>36</v>
      </c>
      <c r="F1373" s="320" t="s">
        <v>1994</v>
      </c>
      <c r="Z1373" s="320" t="s">
        <v>44</v>
      </c>
      <c r="AA1373" s="362">
        <v>213281.25</v>
      </c>
      <c r="AB1373" s="320" t="s">
        <v>1990</v>
      </c>
    </row>
    <row r="1374" spans="1:28" s="320" customFormat="1" ht="0.65" hidden="1" customHeight="1">
      <c r="A1374" s="320">
        <v>6049</v>
      </c>
      <c r="B1374" s="362"/>
      <c r="AA1374" s="362"/>
    </row>
    <row r="1375" spans="1:28" s="320" customFormat="1" ht="0.65" hidden="1" customHeight="1">
      <c r="A1375" s="320">
        <v>6050</v>
      </c>
      <c r="B1375" s="362" t="s">
        <v>55</v>
      </c>
      <c r="D1375" s="320">
        <v>8</v>
      </c>
      <c r="E1375" s="320" t="s">
        <v>864</v>
      </c>
      <c r="Z1375" s="320" t="s">
        <v>44</v>
      </c>
      <c r="AA1375" s="362"/>
    </row>
    <row r="1376" spans="1:28" s="320" customFormat="1" ht="0.65" hidden="1" customHeight="1">
      <c r="A1376" s="320">
        <v>6051</v>
      </c>
      <c r="B1376" s="362"/>
      <c r="D1376" s="320" t="s">
        <v>44</v>
      </c>
      <c r="F1376" s="320" t="s">
        <v>800</v>
      </c>
      <c r="J1376" s="320" t="s">
        <v>1995</v>
      </c>
      <c r="AA1376" s="362"/>
    </row>
    <row r="1377" spans="1:28" s="320" customFormat="1" ht="0.65" hidden="1" customHeight="1">
      <c r="A1377" s="320">
        <v>6052</v>
      </c>
      <c r="B1377" s="362" t="s">
        <v>55</v>
      </c>
      <c r="C1377" s="320" t="s">
        <v>39</v>
      </c>
      <c r="D1377" s="320" t="s">
        <v>55</v>
      </c>
      <c r="F1377" s="320" t="s">
        <v>1996</v>
      </c>
      <c r="Z1377" s="320" t="s">
        <v>38</v>
      </c>
      <c r="AA1377" s="362">
        <v>125000</v>
      </c>
      <c r="AB1377" s="320" t="s">
        <v>99</v>
      </c>
    </row>
    <row r="1378" spans="1:28" s="320" customFormat="1" ht="0.65" hidden="1" customHeight="1">
      <c r="A1378" s="320">
        <v>6053</v>
      </c>
      <c r="B1378" s="362" t="s">
        <v>55</v>
      </c>
      <c r="C1378" s="320" t="s">
        <v>41</v>
      </c>
      <c r="D1378" s="320" t="s">
        <v>55</v>
      </c>
      <c r="F1378" s="320" t="s">
        <v>1997</v>
      </c>
      <c r="Z1378" s="320" t="s">
        <v>40</v>
      </c>
      <c r="AA1378" s="362">
        <v>187500</v>
      </c>
      <c r="AB1378" s="320" t="s">
        <v>100</v>
      </c>
    </row>
    <row r="1379" spans="1:28" s="320" customFormat="1" ht="0.65" hidden="1" customHeight="1">
      <c r="A1379" s="320">
        <v>6054</v>
      </c>
      <c r="B1379" s="362" t="s">
        <v>55</v>
      </c>
      <c r="C1379" s="320" t="s">
        <v>43</v>
      </c>
      <c r="D1379" s="320" t="s">
        <v>55</v>
      </c>
      <c r="F1379" s="320" t="s">
        <v>1998</v>
      </c>
      <c r="Z1379" s="320" t="s">
        <v>42</v>
      </c>
      <c r="AA1379" s="362">
        <v>250000</v>
      </c>
      <c r="AB1379" s="320" t="s">
        <v>101</v>
      </c>
    </row>
    <row r="1380" spans="1:28" s="320" customFormat="1" ht="0.65" hidden="1" customHeight="1">
      <c r="A1380" s="320">
        <v>6055</v>
      </c>
      <c r="B1380" s="362" t="s">
        <v>55</v>
      </c>
      <c r="C1380" s="320" t="s">
        <v>45</v>
      </c>
      <c r="D1380" s="320" t="s">
        <v>55</v>
      </c>
      <c r="E1380" s="320" t="s">
        <v>36</v>
      </c>
      <c r="F1380" s="320" t="s">
        <v>1999</v>
      </c>
      <c r="Z1380" s="320" t="s">
        <v>44</v>
      </c>
      <c r="AA1380" s="362">
        <v>62500</v>
      </c>
      <c r="AB1380" s="320" t="s">
        <v>1995</v>
      </c>
    </row>
    <row r="1381" spans="1:28" s="320" customFormat="1" ht="0.65" hidden="1" customHeight="1">
      <c r="A1381" s="320">
        <v>6056</v>
      </c>
      <c r="B1381" s="362"/>
      <c r="AA1381" s="362"/>
    </row>
    <row r="1382" spans="1:28" s="320" customFormat="1" ht="0.65" hidden="1" customHeight="1">
      <c r="A1382" s="320">
        <v>6057</v>
      </c>
      <c r="B1382" s="362" t="s">
        <v>55</v>
      </c>
      <c r="D1382" s="320">
        <v>9</v>
      </c>
      <c r="E1382" s="320" t="s">
        <v>870</v>
      </c>
      <c r="Z1382" s="320" t="s">
        <v>44</v>
      </c>
      <c r="AA1382" s="362"/>
    </row>
    <row r="1383" spans="1:28" s="320" customFormat="1" ht="0.65" hidden="1" customHeight="1">
      <c r="A1383" s="320">
        <v>6058</v>
      </c>
      <c r="B1383" s="362"/>
      <c r="D1383" s="320" t="s">
        <v>44</v>
      </c>
      <c r="F1383" s="320" t="s">
        <v>800</v>
      </c>
      <c r="J1383" s="320" t="s">
        <v>2000</v>
      </c>
      <c r="AA1383" s="362"/>
    </row>
    <row r="1384" spans="1:28" s="320" customFormat="1" ht="0.65" hidden="1" customHeight="1">
      <c r="A1384" s="320">
        <v>6059</v>
      </c>
      <c r="B1384" s="362" t="s">
        <v>1108</v>
      </c>
      <c r="C1384" s="320" t="s">
        <v>39</v>
      </c>
      <c r="D1384" s="320" t="s">
        <v>55</v>
      </c>
      <c r="F1384" s="320" t="s">
        <v>2001</v>
      </c>
      <c r="Z1384" s="320" t="s">
        <v>38</v>
      </c>
      <c r="AA1384" s="362">
        <v>-6250</v>
      </c>
      <c r="AB1384" s="320" t="s">
        <v>102</v>
      </c>
    </row>
    <row r="1385" spans="1:28" s="320" customFormat="1" ht="0.65" hidden="1" customHeight="1">
      <c r="A1385" s="320">
        <v>6060</v>
      </c>
      <c r="B1385" s="362" t="s">
        <v>1108</v>
      </c>
      <c r="C1385" s="320" t="s">
        <v>41</v>
      </c>
      <c r="D1385" s="320" t="s">
        <v>55</v>
      </c>
      <c r="F1385" s="320" t="s">
        <v>2002</v>
      </c>
      <c r="Z1385" s="320" t="s">
        <v>40</v>
      </c>
      <c r="AA1385" s="362">
        <v>-18750</v>
      </c>
      <c r="AB1385" s="320" t="s">
        <v>103</v>
      </c>
    </row>
    <row r="1386" spans="1:28" s="320" customFormat="1" ht="0.65" hidden="1" customHeight="1">
      <c r="A1386" s="320">
        <v>6061</v>
      </c>
      <c r="B1386" s="362" t="s">
        <v>1108</v>
      </c>
      <c r="C1386" s="320" t="s">
        <v>43</v>
      </c>
      <c r="D1386" s="320" t="s">
        <v>55</v>
      </c>
      <c r="F1386" s="320" t="s">
        <v>2003</v>
      </c>
      <c r="Z1386" s="320" t="s">
        <v>42</v>
      </c>
      <c r="AA1386" s="362">
        <v>-18750</v>
      </c>
      <c r="AB1386" s="320" t="s">
        <v>2004</v>
      </c>
    </row>
    <row r="1387" spans="1:28" s="320" customFormat="1" ht="0.65" hidden="1" customHeight="1">
      <c r="A1387" s="320">
        <v>6062</v>
      </c>
      <c r="B1387" s="362" t="s">
        <v>1359</v>
      </c>
      <c r="C1387" s="320" t="s">
        <v>45</v>
      </c>
      <c r="D1387" s="320" t="s">
        <v>55</v>
      </c>
      <c r="E1387" s="320" t="s">
        <v>36</v>
      </c>
      <c r="F1387" s="320" t="s">
        <v>2005</v>
      </c>
      <c r="Z1387" s="320" t="s">
        <v>44</v>
      </c>
      <c r="AA1387" s="362">
        <v>-6250</v>
      </c>
      <c r="AB1387" s="320" t="s">
        <v>2000</v>
      </c>
    </row>
    <row r="1388" spans="1:28" s="320" customFormat="1" ht="0.65" hidden="1" customHeight="1">
      <c r="A1388" s="320">
        <v>6063</v>
      </c>
      <c r="B1388" s="362"/>
      <c r="AA1388" s="362"/>
    </row>
    <row r="1389" spans="1:28" s="320" customFormat="1" ht="0.65" hidden="1" customHeight="1">
      <c r="A1389" s="320">
        <v>6064</v>
      </c>
      <c r="B1389" s="362" t="s">
        <v>55</v>
      </c>
      <c r="D1389" s="320">
        <v>10</v>
      </c>
      <c r="E1389" s="320" t="s">
        <v>877</v>
      </c>
      <c r="Z1389" s="320" t="s">
        <v>40</v>
      </c>
      <c r="AA1389" s="362"/>
    </row>
    <row r="1390" spans="1:28" s="320" customFormat="1" ht="0.65" hidden="1" customHeight="1">
      <c r="A1390" s="320">
        <v>6065</v>
      </c>
      <c r="B1390" s="362"/>
      <c r="D1390" s="320" t="s">
        <v>40</v>
      </c>
      <c r="F1390" s="320" t="s">
        <v>800</v>
      </c>
      <c r="J1390" s="320" t="s">
        <v>2006</v>
      </c>
      <c r="AA1390" s="362"/>
    </row>
    <row r="1391" spans="1:28" s="320" customFormat="1" ht="0.65" hidden="1" customHeight="1">
      <c r="A1391" s="320">
        <v>6066</v>
      </c>
      <c r="B1391" s="362" t="s">
        <v>55</v>
      </c>
      <c r="C1391" s="320" t="s">
        <v>39</v>
      </c>
      <c r="D1391" s="320" t="s">
        <v>55</v>
      </c>
      <c r="F1391" s="320" t="s">
        <v>1553</v>
      </c>
      <c r="Z1391" s="320" t="s">
        <v>38</v>
      </c>
      <c r="AA1391" s="362">
        <v>275000</v>
      </c>
      <c r="AB1391" s="320" t="s">
        <v>104</v>
      </c>
    </row>
    <row r="1392" spans="1:28" s="320" customFormat="1" ht="0.65" hidden="1" customHeight="1">
      <c r="A1392" s="320">
        <v>6067</v>
      </c>
      <c r="B1392" s="362" t="s">
        <v>55</v>
      </c>
      <c r="C1392" s="320" t="s">
        <v>41</v>
      </c>
      <c r="D1392" s="320" t="s">
        <v>55</v>
      </c>
      <c r="E1392" s="320" t="s">
        <v>36</v>
      </c>
      <c r="F1392" s="320" t="s">
        <v>2007</v>
      </c>
      <c r="Z1392" s="320" t="s">
        <v>40</v>
      </c>
      <c r="AA1392" s="362">
        <v>68750</v>
      </c>
      <c r="AB1392" s="320" t="s">
        <v>2006</v>
      </c>
    </row>
    <row r="1393" spans="1:28" s="320" customFormat="1" ht="0.65" hidden="1" customHeight="1">
      <c r="A1393" s="320">
        <v>6068</v>
      </c>
      <c r="B1393" s="362" t="s">
        <v>55</v>
      </c>
      <c r="C1393" s="320" t="s">
        <v>43</v>
      </c>
      <c r="D1393" s="320" t="s">
        <v>55</v>
      </c>
      <c r="F1393" s="320" t="s">
        <v>2008</v>
      </c>
      <c r="Z1393" s="320" t="s">
        <v>42</v>
      </c>
      <c r="AA1393" s="362">
        <v>56250</v>
      </c>
      <c r="AB1393" s="320" t="s">
        <v>105</v>
      </c>
    </row>
    <row r="1394" spans="1:28" s="320" customFormat="1" ht="0.65" hidden="1" customHeight="1">
      <c r="A1394" s="320">
        <v>6069</v>
      </c>
      <c r="B1394" s="362" t="s">
        <v>55</v>
      </c>
      <c r="C1394" s="320" t="s">
        <v>45</v>
      </c>
      <c r="D1394" s="320" t="s">
        <v>55</v>
      </c>
      <c r="F1394" s="320" t="s">
        <v>882</v>
      </c>
      <c r="Z1394" s="320" t="s">
        <v>44</v>
      </c>
      <c r="AA1394" s="362">
        <v>0</v>
      </c>
      <c r="AB1394" s="320" t="s">
        <v>2006</v>
      </c>
    </row>
    <row r="1395" spans="1:28" s="320" customFormat="1" ht="0.65" hidden="1" customHeight="1">
      <c r="A1395" s="320">
        <v>6070</v>
      </c>
      <c r="B1395" s="362"/>
      <c r="AA1395" s="362"/>
    </row>
    <row r="1396" spans="1:28" s="320" customFormat="1" ht="0.65" hidden="1" customHeight="1">
      <c r="A1396" s="320">
        <v>6071</v>
      </c>
      <c r="B1396" s="362" t="s">
        <v>55</v>
      </c>
      <c r="D1396" s="320">
        <v>11</v>
      </c>
      <c r="E1396" s="320" t="s">
        <v>883</v>
      </c>
      <c r="Z1396" s="320" t="s">
        <v>44</v>
      </c>
      <c r="AA1396" s="362"/>
    </row>
    <row r="1397" spans="1:28" s="320" customFormat="1" ht="0.65" hidden="1" customHeight="1">
      <c r="A1397" s="320">
        <v>6072</v>
      </c>
      <c r="B1397" s="362"/>
      <c r="D1397" s="320" t="s">
        <v>44</v>
      </c>
      <c r="F1397" s="320" t="s">
        <v>800</v>
      </c>
      <c r="J1397" s="320" t="s">
        <v>119</v>
      </c>
      <c r="AA1397" s="362"/>
    </row>
    <row r="1398" spans="1:28" s="320" customFormat="1" ht="0.65" hidden="1" customHeight="1">
      <c r="A1398" s="320">
        <v>6073</v>
      </c>
      <c r="B1398" s="362" t="s">
        <v>55</v>
      </c>
      <c r="C1398" s="320" t="s">
        <v>39</v>
      </c>
      <c r="D1398" s="320" t="s">
        <v>55</v>
      </c>
      <c r="F1398" s="320" t="s">
        <v>2009</v>
      </c>
      <c r="Z1398" s="320" t="s">
        <v>38</v>
      </c>
      <c r="AA1398" s="362">
        <v>68750</v>
      </c>
      <c r="AB1398" s="320" t="s">
        <v>106</v>
      </c>
    </row>
    <row r="1399" spans="1:28" s="320" customFormat="1" ht="0.65" hidden="1" customHeight="1">
      <c r="A1399" s="320">
        <v>6074</v>
      </c>
      <c r="B1399" s="362" t="s">
        <v>55</v>
      </c>
      <c r="C1399" s="320" t="s">
        <v>41</v>
      </c>
      <c r="D1399" s="320" t="s">
        <v>55</v>
      </c>
      <c r="F1399" s="320" t="s">
        <v>2010</v>
      </c>
      <c r="Z1399" s="320" t="s">
        <v>40</v>
      </c>
      <c r="AA1399" s="362">
        <v>56250</v>
      </c>
      <c r="AB1399" s="320" t="s">
        <v>107</v>
      </c>
    </row>
    <row r="1400" spans="1:28" s="320" customFormat="1" ht="0.65" hidden="1" customHeight="1">
      <c r="A1400" s="320">
        <v>6075</v>
      </c>
      <c r="B1400" s="362" t="s">
        <v>55</v>
      </c>
      <c r="C1400" s="320" t="s">
        <v>43</v>
      </c>
      <c r="D1400" s="320" t="s">
        <v>55</v>
      </c>
      <c r="F1400" s="320" t="s">
        <v>1789</v>
      </c>
      <c r="Z1400" s="320" t="s">
        <v>42</v>
      </c>
      <c r="AA1400" s="362">
        <v>62500</v>
      </c>
      <c r="AB1400" s="320" t="s">
        <v>118</v>
      </c>
    </row>
    <row r="1401" spans="1:28" s="320" customFormat="1" ht="0.65" hidden="1" customHeight="1">
      <c r="A1401" s="320">
        <v>6076</v>
      </c>
      <c r="B1401" s="362" t="s">
        <v>55</v>
      </c>
      <c r="C1401" s="320" t="s">
        <v>45</v>
      </c>
      <c r="D1401" s="320" t="s">
        <v>55</v>
      </c>
      <c r="E1401" s="320" t="s">
        <v>36</v>
      </c>
      <c r="F1401" s="320" t="s">
        <v>887</v>
      </c>
      <c r="Z1401" s="320" t="s">
        <v>44</v>
      </c>
      <c r="AA1401" s="362">
        <v>0</v>
      </c>
      <c r="AB1401" s="320" t="s">
        <v>119</v>
      </c>
    </row>
    <row r="1402" spans="1:28" s="320" customFormat="1" ht="0.65" hidden="1" customHeight="1">
      <c r="A1402" s="320">
        <v>6077</v>
      </c>
      <c r="B1402" s="362"/>
      <c r="AA1402" s="362"/>
    </row>
    <row r="1403" spans="1:28" s="320" customFormat="1" ht="0.65" hidden="1" customHeight="1">
      <c r="A1403" s="320">
        <v>6078</v>
      </c>
      <c r="B1403" s="362" t="s">
        <v>55</v>
      </c>
      <c r="D1403" s="320">
        <v>12</v>
      </c>
      <c r="E1403" s="320" t="s">
        <v>888</v>
      </c>
      <c r="Z1403" s="320" t="s">
        <v>44</v>
      </c>
      <c r="AA1403" s="362"/>
    </row>
    <row r="1404" spans="1:28" s="320" customFormat="1" ht="0.65" hidden="1" customHeight="1">
      <c r="A1404" s="320">
        <v>6079</v>
      </c>
      <c r="B1404" s="362"/>
      <c r="D1404" s="320" t="s">
        <v>44</v>
      </c>
      <c r="F1404" s="320" t="s">
        <v>800</v>
      </c>
      <c r="J1404" s="320" t="s">
        <v>2011</v>
      </c>
      <c r="AA1404" s="362"/>
    </row>
    <row r="1405" spans="1:28" s="320" customFormat="1" ht="0.65" hidden="1" customHeight="1">
      <c r="A1405" s="320">
        <v>6080</v>
      </c>
      <c r="B1405" s="362" t="s">
        <v>55</v>
      </c>
      <c r="C1405" s="320" t="s">
        <v>39</v>
      </c>
      <c r="D1405" s="320" t="s">
        <v>55</v>
      </c>
      <c r="F1405" s="320" t="s">
        <v>2012</v>
      </c>
      <c r="Z1405" s="320" t="s">
        <v>38</v>
      </c>
      <c r="AA1405" s="362">
        <v>213281.25</v>
      </c>
      <c r="AB1405" s="320" t="s">
        <v>115</v>
      </c>
    </row>
    <row r="1406" spans="1:28" s="320" customFormat="1" ht="0.65" hidden="1" customHeight="1">
      <c r="A1406" s="320">
        <v>6081</v>
      </c>
      <c r="B1406" s="362" t="s">
        <v>55</v>
      </c>
      <c r="C1406" s="320" t="s">
        <v>41</v>
      </c>
      <c r="D1406" s="320" t="s">
        <v>55</v>
      </c>
      <c r="F1406" s="320" t="s">
        <v>2013</v>
      </c>
      <c r="Z1406" s="320" t="s">
        <v>40</v>
      </c>
      <c r="AA1406" s="362">
        <v>185156.25</v>
      </c>
      <c r="AB1406" s="320" t="s">
        <v>116</v>
      </c>
    </row>
    <row r="1407" spans="1:28" s="320" customFormat="1" ht="0.65" hidden="1" customHeight="1">
      <c r="A1407" s="320">
        <v>6082</v>
      </c>
      <c r="B1407" s="362" t="s">
        <v>55</v>
      </c>
      <c r="C1407" s="320" t="s">
        <v>43</v>
      </c>
      <c r="D1407" s="320" t="s">
        <v>55</v>
      </c>
      <c r="F1407" s="320" t="s">
        <v>2014</v>
      </c>
      <c r="Z1407" s="320" t="s">
        <v>42</v>
      </c>
      <c r="AA1407" s="362">
        <v>88281.25</v>
      </c>
      <c r="AB1407" s="320" t="s">
        <v>117</v>
      </c>
    </row>
    <row r="1408" spans="1:28" s="320" customFormat="1" ht="0.65" hidden="1" customHeight="1">
      <c r="A1408" s="320">
        <v>6083</v>
      </c>
      <c r="B1408" s="362" t="s">
        <v>55</v>
      </c>
      <c r="C1408" s="320" t="s">
        <v>45</v>
      </c>
      <c r="D1408" s="320" t="s">
        <v>55</v>
      </c>
      <c r="E1408" s="320" t="s">
        <v>36</v>
      </c>
      <c r="F1408" s="320" t="s">
        <v>2015</v>
      </c>
      <c r="Z1408" s="320" t="s">
        <v>44</v>
      </c>
      <c r="AA1408" s="362">
        <v>144531.25</v>
      </c>
      <c r="AB1408" s="320" t="s">
        <v>2011</v>
      </c>
    </row>
    <row r="1409" spans="1:28" s="320" customFormat="1" ht="0.65" hidden="1" customHeight="1">
      <c r="A1409" s="320">
        <v>6084</v>
      </c>
      <c r="B1409" s="362"/>
      <c r="AA1409" s="362"/>
    </row>
    <row r="1410" spans="1:28" s="320" customFormat="1" ht="0.65" hidden="1" customHeight="1">
      <c r="A1410" s="320">
        <v>6085</v>
      </c>
      <c r="B1410" s="362" t="s">
        <v>55</v>
      </c>
      <c r="D1410" s="320">
        <v>13</v>
      </c>
      <c r="E1410" s="320" t="s">
        <v>894</v>
      </c>
      <c r="Z1410" s="320" t="s">
        <v>38</v>
      </c>
      <c r="AA1410" s="362"/>
    </row>
    <row r="1411" spans="1:28" s="320" customFormat="1" ht="0.65" hidden="1" customHeight="1">
      <c r="A1411" s="320">
        <v>6086</v>
      </c>
      <c r="B1411" s="362"/>
      <c r="D1411" s="320" t="s">
        <v>38</v>
      </c>
      <c r="F1411" s="320" t="s">
        <v>800</v>
      </c>
      <c r="J1411" s="320" t="s">
        <v>2016</v>
      </c>
      <c r="AA1411" s="362"/>
    </row>
    <row r="1412" spans="1:28" s="320" customFormat="1" ht="0.65" hidden="1" customHeight="1">
      <c r="A1412" s="320">
        <v>6087</v>
      </c>
      <c r="B1412" s="362" t="s">
        <v>55</v>
      </c>
      <c r="C1412" s="320" t="s">
        <v>39</v>
      </c>
      <c r="D1412" s="320" t="s">
        <v>55</v>
      </c>
      <c r="E1412" s="320" t="s">
        <v>36</v>
      </c>
      <c r="F1412" s="320" t="s">
        <v>2017</v>
      </c>
      <c r="Z1412" s="320" t="s">
        <v>38</v>
      </c>
      <c r="AA1412" s="362">
        <v>142031.25</v>
      </c>
      <c r="AB1412" s="320" t="s">
        <v>2078</v>
      </c>
    </row>
    <row r="1413" spans="1:28" s="320" customFormat="1" ht="0.65" hidden="1" customHeight="1">
      <c r="A1413" s="320">
        <v>6088</v>
      </c>
      <c r="B1413" s="362" t="s">
        <v>55</v>
      </c>
      <c r="C1413" s="320" t="s">
        <v>41</v>
      </c>
      <c r="D1413" s="320" t="s">
        <v>55</v>
      </c>
      <c r="F1413" s="320" t="s">
        <v>2018</v>
      </c>
      <c r="Z1413" s="320" t="s">
        <v>40</v>
      </c>
      <c r="AA1413" s="362">
        <v>225000</v>
      </c>
      <c r="AB1413" s="320" t="s">
        <v>92</v>
      </c>
    </row>
    <row r="1414" spans="1:28" s="320" customFormat="1" ht="0.65" hidden="1" customHeight="1">
      <c r="A1414" s="320">
        <v>6089</v>
      </c>
      <c r="B1414" s="362" t="s">
        <v>55</v>
      </c>
      <c r="C1414" s="320" t="s">
        <v>43</v>
      </c>
      <c r="D1414" s="320" t="s">
        <v>55</v>
      </c>
      <c r="F1414" s="320" t="s">
        <v>2019</v>
      </c>
      <c r="Z1414" s="320" t="s">
        <v>42</v>
      </c>
      <c r="AA1414" s="362">
        <v>33750</v>
      </c>
      <c r="AB1414" s="320" t="s">
        <v>94</v>
      </c>
    </row>
    <row r="1415" spans="1:28" s="320" customFormat="1" ht="0.65" hidden="1" customHeight="1">
      <c r="A1415" s="320">
        <v>6090</v>
      </c>
      <c r="B1415" s="362" t="s">
        <v>55</v>
      </c>
      <c r="C1415" s="320" t="s">
        <v>45</v>
      </c>
      <c r="D1415" s="320" t="s">
        <v>55</v>
      </c>
      <c r="F1415" s="320" t="s">
        <v>2020</v>
      </c>
      <c r="Z1415" s="320" t="s">
        <v>44</v>
      </c>
      <c r="AA1415" s="362">
        <v>187500</v>
      </c>
      <c r="AB1415" s="320" t="s">
        <v>93</v>
      </c>
    </row>
    <row r="1416" spans="1:28" s="320" customFormat="1" ht="0.65" hidden="1" customHeight="1">
      <c r="A1416" s="320">
        <v>6091</v>
      </c>
      <c r="B1416" s="362"/>
      <c r="AA1416" s="362"/>
    </row>
    <row r="1417" spans="1:28" s="320" customFormat="1" ht="0.65" hidden="1" customHeight="1">
      <c r="A1417" s="320">
        <v>6092</v>
      </c>
      <c r="B1417" s="362" t="s">
        <v>55</v>
      </c>
      <c r="D1417" s="320">
        <v>14</v>
      </c>
      <c r="E1417" s="320" t="s">
        <v>900</v>
      </c>
      <c r="Z1417" s="320" t="s">
        <v>40</v>
      </c>
      <c r="AA1417" s="362"/>
    </row>
    <row r="1418" spans="1:28" s="320" customFormat="1" ht="0.65" hidden="1" customHeight="1">
      <c r="A1418" s="320">
        <v>6093</v>
      </c>
      <c r="B1418" s="362"/>
      <c r="D1418" s="320" t="s">
        <v>40</v>
      </c>
      <c r="F1418" s="320" t="s">
        <v>800</v>
      </c>
      <c r="J1418" s="320" t="s">
        <v>2021</v>
      </c>
      <c r="AA1418" s="362"/>
    </row>
    <row r="1419" spans="1:28" s="320" customFormat="1" ht="0.65" hidden="1" customHeight="1">
      <c r="A1419" s="320">
        <v>6094</v>
      </c>
      <c r="B1419" s="362" t="s">
        <v>55</v>
      </c>
      <c r="C1419" s="320" t="s">
        <v>39</v>
      </c>
      <c r="D1419" s="320" t="s">
        <v>55</v>
      </c>
      <c r="F1419" s="320" t="s">
        <v>2022</v>
      </c>
      <c r="Z1419" s="320" t="s">
        <v>38</v>
      </c>
      <c r="AA1419" s="362">
        <v>56250</v>
      </c>
      <c r="AB1419" s="320" t="s">
        <v>122</v>
      </c>
    </row>
    <row r="1420" spans="1:28" s="320" customFormat="1" ht="0.65" hidden="1" customHeight="1">
      <c r="A1420" s="320">
        <v>6095</v>
      </c>
      <c r="B1420" s="362" t="s">
        <v>55</v>
      </c>
      <c r="C1420" s="320" t="s">
        <v>41</v>
      </c>
      <c r="D1420" s="320" t="s">
        <v>55</v>
      </c>
      <c r="E1420" s="320" t="s">
        <v>36</v>
      </c>
      <c r="F1420" s="320" t="s">
        <v>2023</v>
      </c>
      <c r="Z1420" s="320" t="s">
        <v>40</v>
      </c>
      <c r="AA1420" s="362">
        <v>68750</v>
      </c>
      <c r="AB1420" s="320" t="s">
        <v>2021</v>
      </c>
    </row>
    <row r="1421" spans="1:28" s="320" customFormat="1" ht="0.65" hidden="1" customHeight="1">
      <c r="A1421" s="320">
        <v>6096</v>
      </c>
      <c r="B1421" s="362" t="s">
        <v>55</v>
      </c>
      <c r="C1421" s="320" t="s">
        <v>43</v>
      </c>
      <c r="D1421" s="320" t="s">
        <v>55</v>
      </c>
      <c r="F1421" s="320" t="s">
        <v>2024</v>
      </c>
      <c r="Z1421" s="320" t="s">
        <v>42</v>
      </c>
      <c r="AA1421" s="362">
        <v>206250</v>
      </c>
      <c r="AB1421" s="320" t="s">
        <v>2021</v>
      </c>
    </row>
    <row r="1422" spans="1:28" s="320" customFormat="1" ht="0.65" hidden="1" customHeight="1">
      <c r="A1422" s="320">
        <v>6097</v>
      </c>
      <c r="B1422" s="362" t="s">
        <v>55</v>
      </c>
      <c r="C1422" s="320" t="s">
        <v>45</v>
      </c>
      <c r="D1422" s="320" t="s">
        <v>55</v>
      </c>
      <c r="F1422" s="320" t="s">
        <v>905</v>
      </c>
      <c r="Z1422" s="320" t="s">
        <v>44</v>
      </c>
      <c r="AA1422" s="362">
        <v>0</v>
      </c>
      <c r="AB1422" s="320" t="s">
        <v>108</v>
      </c>
    </row>
    <row r="1423" spans="1:28" s="320" customFormat="1" ht="0.65" hidden="1" customHeight="1">
      <c r="A1423" s="320">
        <v>6098</v>
      </c>
      <c r="B1423" s="362"/>
      <c r="AA1423" s="362"/>
    </row>
    <row r="1424" spans="1:28" s="320" customFormat="1" ht="0.65" hidden="1" customHeight="1">
      <c r="A1424" s="320">
        <v>6099</v>
      </c>
      <c r="B1424" s="362" t="s">
        <v>55</v>
      </c>
      <c r="D1424" s="320">
        <v>15</v>
      </c>
      <c r="E1424" s="320" t="s">
        <v>52</v>
      </c>
      <c r="Z1424" s="320" t="s">
        <v>38</v>
      </c>
      <c r="AA1424" s="362"/>
    </row>
    <row r="1425" spans="1:28" s="320" customFormat="1" ht="0.65" hidden="1" customHeight="1">
      <c r="A1425" s="320">
        <v>6100</v>
      </c>
      <c r="B1425" s="362"/>
      <c r="D1425" s="320" t="s">
        <v>38</v>
      </c>
      <c r="F1425" s="320" t="s">
        <v>800</v>
      </c>
      <c r="J1425" s="320" t="s">
        <v>2025</v>
      </c>
      <c r="AA1425" s="362"/>
    </row>
    <row r="1426" spans="1:28" s="320" customFormat="1" ht="0.65" hidden="1" customHeight="1">
      <c r="A1426" s="320">
        <v>6101</v>
      </c>
      <c r="B1426" s="362" t="s">
        <v>55</v>
      </c>
      <c r="C1426" s="320" t="s">
        <v>39</v>
      </c>
      <c r="D1426" s="320" t="s">
        <v>55</v>
      </c>
      <c r="E1426" s="320" t="s">
        <v>36</v>
      </c>
      <c r="F1426" s="320" t="s">
        <v>2026</v>
      </c>
      <c r="Z1426" s="320" t="s">
        <v>38</v>
      </c>
      <c r="AA1426" s="362">
        <v>5.2500000000000009</v>
      </c>
      <c r="AB1426" s="320" t="s">
        <v>2025</v>
      </c>
    </row>
    <row r="1427" spans="1:28" s="320" customFormat="1" ht="0.65" hidden="1" customHeight="1">
      <c r="A1427" s="320">
        <v>6102</v>
      </c>
      <c r="B1427" s="362" t="s">
        <v>55</v>
      </c>
      <c r="C1427" s="320" t="s">
        <v>41</v>
      </c>
      <c r="D1427" s="320" t="s">
        <v>55</v>
      </c>
      <c r="F1427" s="320" t="s">
        <v>2027</v>
      </c>
      <c r="Z1427" s="320" t="s">
        <v>40</v>
      </c>
      <c r="AA1427" s="362">
        <v>7.0000000000000009</v>
      </c>
      <c r="AB1427" s="320" t="s">
        <v>109</v>
      </c>
    </row>
    <row r="1428" spans="1:28" s="320" customFormat="1" ht="0.65" hidden="1" customHeight="1">
      <c r="A1428" s="320">
        <v>6103</v>
      </c>
      <c r="B1428" s="362" t="s">
        <v>55</v>
      </c>
      <c r="C1428" s="320" t="s">
        <v>43</v>
      </c>
      <c r="D1428" s="320" t="s">
        <v>55</v>
      </c>
      <c r="F1428" s="320" t="s">
        <v>2028</v>
      </c>
      <c r="Z1428" s="320" t="s">
        <v>42</v>
      </c>
      <c r="AA1428" s="362">
        <v>8.75</v>
      </c>
      <c r="AB1428" s="320" t="s">
        <v>110</v>
      </c>
    </row>
    <row r="1429" spans="1:28" s="320" customFormat="1" ht="0.65" hidden="1" customHeight="1">
      <c r="A1429" s="320">
        <v>6104</v>
      </c>
      <c r="B1429" s="362" t="s">
        <v>55</v>
      </c>
      <c r="C1429" s="320" t="s">
        <v>45</v>
      </c>
      <c r="D1429" s="320" t="s">
        <v>55</v>
      </c>
      <c r="F1429" s="320" t="s">
        <v>2029</v>
      </c>
      <c r="Z1429" s="320" t="s">
        <v>44</v>
      </c>
      <c r="AA1429" s="362">
        <v>5.2500000000000012E-2</v>
      </c>
      <c r="AB1429" s="320" t="s">
        <v>111</v>
      </c>
    </row>
    <row r="1430" spans="1:28" s="320" customFormat="1" ht="0.65" hidden="1" customHeight="1">
      <c r="A1430" s="320">
        <v>6105</v>
      </c>
      <c r="B1430" s="362"/>
      <c r="AA1430" s="362"/>
    </row>
    <row r="1431" spans="1:28" s="320" customFormat="1" ht="0.65" hidden="1" customHeight="1">
      <c r="A1431" s="320">
        <v>6106</v>
      </c>
      <c r="B1431" s="362" t="s">
        <v>55</v>
      </c>
      <c r="D1431" s="320">
        <v>16</v>
      </c>
      <c r="E1431" s="320" t="s">
        <v>53</v>
      </c>
      <c r="Z1431" s="320" t="s">
        <v>42</v>
      </c>
      <c r="AA1431" s="362"/>
    </row>
    <row r="1432" spans="1:28" s="320" customFormat="1" ht="0.65" hidden="1" customHeight="1">
      <c r="A1432" s="320">
        <v>6107</v>
      </c>
      <c r="B1432" s="362"/>
      <c r="D1432" s="320" t="s">
        <v>42</v>
      </c>
      <c r="F1432" s="320" t="s">
        <v>800</v>
      </c>
      <c r="J1432" s="320" t="s">
        <v>2030</v>
      </c>
      <c r="AA1432" s="362"/>
    </row>
    <row r="1433" spans="1:28" s="320" customFormat="1" ht="0.65" hidden="1" customHeight="1">
      <c r="A1433" s="320">
        <v>6108</v>
      </c>
      <c r="B1433" s="362" t="s">
        <v>55</v>
      </c>
      <c r="C1433" s="320" t="s">
        <v>39</v>
      </c>
      <c r="D1433" s="320" t="s">
        <v>55</v>
      </c>
      <c r="F1433" s="320" t="s">
        <v>2031</v>
      </c>
      <c r="Z1433" s="320" t="s">
        <v>38</v>
      </c>
      <c r="AA1433" s="362">
        <v>0.12000000000000001</v>
      </c>
      <c r="AB1433" s="320" t="s">
        <v>111</v>
      </c>
    </row>
    <row r="1434" spans="1:28" s="320" customFormat="1" ht="0.65" hidden="1" customHeight="1">
      <c r="A1434" s="320">
        <v>6109</v>
      </c>
      <c r="B1434" s="362" t="s">
        <v>55</v>
      </c>
      <c r="C1434" s="320" t="s">
        <v>41</v>
      </c>
      <c r="D1434" s="320" t="s">
        <v>55</v>
      </c>
      <c r="F1434" s="320" t="s">
        <v>1152</v>
      </c>
      <c r="Z1434" s="320" t="s">
        <v>40</v>
      </c>
      <c r="AA1434" s="362">
        <v>8</v>
      </c>
      <c r="AB1434" s="320" t="s">
        <v>2032</v>
      </c>
    </row>
    <row r="1435" spans="1:28" s="320" customFormat="1" ht="0.65" hidden="1" customHeight="1">
      <c r="A1435" s="320">
        <v>6110</v>
      </c>
      <c r="B1435" s="362" t="s">
        <v>55</v>
      </c>
      <c r="C1435" s="320" t="s">
        <v>43</v>
      </c>
      <c r="D1435" s="320" t="s">
        <v>55</v>
      </c>
      <c r="E1435" s="320" t="s">
        <v>36</v>
      </c>
      <c r="F1435" s="320" t="s">
        <v>2033</v>
      </c>
      <c r="Z1435" s="320" t="s">
        <v>42</v>
      </c>
      <c r="AA1435" s="362">
        <v>12.000000000000002</v>
      </c>
      <c r="AB1435" s="320" t="s">
        <v>2030</v>
      </c>
    </row>
    <row r="1436" spans="1:28" s="320" customFormat="1" ht="0.65" hidden="1" customHeight="1">
      <c r="A1436" s="320">
        <v>6111</v>
      </c>
      <c r="B1436" s="362" t="s">
        <v>55</v>
      </c>
      <c r="C1436" s="320" t="s">
        <v>45</v>
      </c>
      <c r="D1436" s="320" t="s">
        <v>55</v>
      </c>
      <c r="F1436" s="320" t="s">
        <v>834</v>
      </c>
      <c r="Z1436" s="320" t="s">
        <v>44</v>
      </c>
      <c r="AA1436" s="362"/>
      <c r="AB1436" s="320" t="s">
        <v>2030</v>
      </c>
    </row>
    <row r="1437" spans="1:28" s="320" customFormat="1" ht="0.65" hidden="1" customHeight="1">
      <c r="A1437" s="320">
        <v>6112</v>
      </c>
      <c r="B1437" s="362"/>
      <c r="AA1437" s="362"/>
    </row>
    <row r="1438" spans="1:28" s="320" customFormat="1" ht="0.65" hidden="1" customHeight="1">
      <c r="A1438" s="320">
        <v>6113</v>
      </c>
      <c r="B1438" s="362" t="s">
        <v>55</v>
      </c>
      <c r="D1438" s="320">
        <v>17</v>
      </c>
      <c r="E1438" s="320" t="s">
        <v>54</v>
      </c>
      <c r="Z1438" s="320" t="s">
        <v>38</v>
      </c>
      <c r="AA1438" s="362"/>
    </row>
    <row r="1439" spans="1:28" s="320" customFormat="1" ht="0.65" hidden="1" customHeight="1">
      <c r="A1439" s="320">
        <v>6114</v>
      </c>
      <c r="B1439" s="362"/>
      <c r="D1439" s="320" t="s">
        <v>38</v>
      </c>
      <c r="F1439" s="320" t="s">
        <v>800</v>
      </c>
      <c r="J1439" s="320" t="s">
        <v>2034</v>
      </c>
      <c r="AA1439" s="362"/>
    </row>
    <row r="1440" spans="1:28" s="320" customFormat="1" ht="0.65" hidden="1" customHeight="1">
      <c r="A1440" s="320">
        <v>6115</v>
      </c>
      <c r="B1440" s="362" t="s">
        <v>55</v>
      </c>
      <c r="C1440" s="320" t="s">
        <v>39</v>
      </c>
      <c r="D1440" s="320" t="s">
        <v>55</v>
      </c>
      <c r="E1440" s="320" t="s">
        <v>36</v>
      </c>
      <c r="F1440" s="320" t="s">
        <v>2035</v>
      </c>
      <c r="Z1440" s="320" t="s">
        <v>38</v>
      </c>
      <c r="AA1440" s="362">
        <v>10.3125</v>
      </c>
      <c r="AB1440" s="320" t="s">
        <v>2034</v>
      </c>
    </row>
    <row r="1441" spans="1:28" s="320" customFormat="1" ht="0.65" hidden="1" customHeight="1">
      <c r="A1441" s="320">
        <v>6116</v>
      </c>
      <c r="B1441" s="362" t="s">
        <v>55</v>
      </c>
      <c r="C1441" s="320" t="s">
        <v>41</v>
      </c>
      <c r="D1441" s="320" t="s">
        <v>55</v>
      </c>
      <c r="F1441" s="320" t="s">
        <v>2036</v>
      </c>
      <c r="Z1441" s="320" t="s">
        <v>40</v>
      </c>
      <c r="AA1441" s="362">
        <v>9.2499999999999999E-2</v>
      </c>
      <c r="AB1441" s="320" t="s">
        <v>113</v>
      </c>
    </row>
    <row r="1442" spans="1:28" s="320" customFormat="1" ht="0.65" hidden="1" customHeight="1">
      <c r="A1442" s="320">
        <v>6117</v>
      </c>
      <c r="B1442" s="362" t="s">
        <v>55</v>
      </c>
      <c r="C1442" s="320" t="s">
        <v>43</v>
      </c>
      <c r="D1442" s="320" t="s">
        <v>55</v>
      </c>
      <c r="F1442" s="320" t="s">
        <v>2037</v>
      </c>
      <c r="Z1442" s="320" t="s">
        <v>42</v>
      </c>
      <c r="AA1442" s="362">
        <v>9.25</v>
      </c>
      <c r="AB1442" s="320" t="s">
        <v>112</v>
      </c>
    </row>
    <row r="1443" spans="1:28" s="320" customFormat="1" ht="0.65" hidden="1" customHeight="1">
      <c r="A1443" s="320">
        <v>6118</v>
      </c>
      <c r="B1443" s="362" t="s">
        <v>55</v>
      </c>
      <c r="C1443" s="320" t="s">
        <v>45</v>
      </c>
      <c r="D1443" s="320" t="s">
        <v>55</v>
      </c>
      <c r="F1443" s="320" t="s">
        <v>2038</v>
      </c>
      <c r="Z1443" s="320" t="s">
        <v>44</v>
      </c>
      <c r="AA1443" s="362">
        <v>8.8125</v>
      </c>
      <c r="AB1443" s="320" t="s">
        <v>114</v>
      </c>
    </row>
    <row r="1444" spans="1:28" s="320" customFormat="1" ht="0.65" hidden="1" customHeight="1">
      <c r="A1444" s="320">
        <v>6119</v>
      </c>
      <c r="B1444" s="362"/>
      <c r="AA1444" s="362"/>
    </row>
    <row r="1445" spans="1:28" s="320" customFormat="1" ht="0.65" hidden="1" customHeight="1">
      <c r="A1445" s="320">
        <v>6120</v>
      </c>
      <c r="B1445" s="362" t="s">
        <v>55</v>
      </c>
      <c r="D1445" s="320">
        <v>18</v>
      </c>
      <c r="E1445" s="320" t="s">
        <v>2039</v>
      </c>
      <c r="Z1445" s="320" t="s">
        <v>42</v>
      </c>
      <c r="AA1445" s="362"/>
    </row>
    <row r="1446" spans="1:28" s="320" customFormat="1" ht="0.65" hidden="1" customHeight="1">
      <c r="A1446" s="320">
        <v>6121</v>
      </c>
      <c r="B1446" s="362"/>
      <c r="D1446" s="320" t="s">
        <v>42</v>
      </c>
      <c r="F1446" s="320" t="s">
        <v>800</v>
      </c>
      <c r="J1446" s="320" t="s">
        <v>2040</v>
      </c>
      <c r="AA1446" s="362"/>
    </row>
    <row r="1447" spans="1:28" s="320" customFormat="1" ht="0.65" hidden="1" customHeight="1">
      <c r="A1447" s="320">
        <v>6122</v>
      </c>
      <c r="B1447" s="362" t="s">
        <v>55</v>
      </c>
      <c r="C1447" s="320" t="s">
        <v>39</v>
      </c>
      <c r="D1447" s="320" t="s">
        <v>55</v>
      </c>
      <c r="F1447" s="320" t="s">
        <v>2041</v>
      </c>
      <c r="Z1447" s="320" t="s">
        <v>38</v>
      </c>
      <c r="AA1447" s="362">
        <v>66536.576963374508</v>
      </c>
      <c r="AB1447" s="320" t="s">
        <v>95</v>
      </c>
    </row>
    <row r="1448" spans="1:28" s="320" customFormat="1" ht="0.65" hidden="1" customHeight="1">
      <c r="A1448" s="320">
        <v>6123</v>
      </c>
      <c r="B1448" s="362" t="s">
        <v>55</v>
      </c>
      <c r="C1448" s="320" t="s">
        <v>41</v>
      </c>
      <c r="D1448" s="320" t="s">
        <v>55</v>
      </c>
      <c r="F1448" s="320" t="s">
        <v>2042</v>
      </c>
      <c r="Z1448" s="320" t="s">
        <v>40</v>
      </c>
      <c r="AA1448" s="362">
        <v>159198.27421293233</v>
      </c>
      <c r="AB1448" s="320" t="s">
        <v>96</v>
      </c>
    </row>
    <row r="1449" spans="1:28" s="320" customFormat="1" ht="0.65" hidden="1" customHeight="1">
      <c r="A1449" s="320">
        <v>6124</v>
      </c>
      <c r="B1449" s="362" t="s">
        <v>55</v>
      </c>
      <c r="C1449" s="320" t="s">
        <v>43</v>
      </c>
      <c r="D1449" s="320" t="s">
        <v>55</v>
      </c>
      <c r="E1449" s="320" t="s">
        <v>36</v>
      </c>
      <c r="F1449" s="320" t="s">
        <v>2043</v>
      </c>
      <c r="Z1449" s="320" t="s">
        <v>42</v>
      </c>
      <c r="AA1449" s="362">
        <v>87817.478696592501</v>
      </c>
      <c r="AB1449" s="320" t="s">
        <v>2040</v>
      </c>
    </row>
    <row r="1450" spans="1:28" s="320" customFormat="1" ht="0.65" hidden="1" customHeight="1">
      <c r="A1450" s="320">
        <v>6125</v>
      </c>
      <c r="B1450" s="362" t="s">
        <v>55</v>
      </c>
      <c r="C1450" s="320" t="s">
        <v>45</v>
      </c>
      <c r="D1450" s="320" t="s">
        <v>55</v>
      </c>
      <c r="F1450" s="320" t="s">
        <v>834</v>
      </c>
      <c r="Z1450" s="320" t="s">
        <v>44</v>
      </c>
      <c r="AA1450" s="362"/>
      <c r="AB1450" s="320" t="s">
        <v>2040</v>
      </c>
    </row>
    <row r="1451" spans="1:28" s="320" customFormat="1" ht="0.65" hidden="1" customHeight="1">
      <c r="A1451" s="320">
        <v>6126</v>
      </c>
      <c r="B1451" s="362"/>
      <c r="AA1451" s="362"/>
    </row>
    <row r="1452" spans="1:28" s="320" customFormat="1" ht="0.65" hidden="1" customHeight="1">
      <c r="A1452" s="320">
        <v>6127</v>
      </c>
      <c r="B1452" s="362" t="s">
        <v>55</v>
      </c>
      <c r="D1452" s="320">
        <v>19</v>
      </c>
      <c r="E1452" s="320" t="s">
        <v>2039</v>
      </c>
      <c r="Z1452" s="320" t="s">
        <v>42</v>
      </c>
      <c r="AA1452" s="362"/>
    </row>
    <row r="1453" spans="1:28" s="320" customFormat="1" ht="0.65" hidden="1" customHeight="1">
      <c r="A1453" s="320">
        <v>6128</v>
      </c>
      <c r="B1453" s="362"/>
      <c r="D1453" s="320" t="s">
        <v>42</v>
      </c>
      <c r="F1453" s="320" t="s">
        <v>800</v>
      </c>
      <c r="J1453" s="320" t="s">
        <v>1161</v>
      </c>
      <c r="AA1453" s="362"/>
    </row>
    <row r="1454" spans="1:28" s="320" customFormat="1" ht="0.65" hidden="1" customHeight="1">
      <c r="A1454" s="320">
        <v>6129</v>
      </c>
      <c r="B1454" s="362" t="s">
        <v>55</v>
      </c>
      <c r="C1454" s="320" t="s">
        <v>39</v>
      </c>
      <c r="D1454" s="320" t="s">
        <v>55</v>
      </c>
      <c r="F1454" s="320" t="s">
        <v>2044</v>
      </c>
      <c r="Z1454" s="320" t="s">
        <v>38</v>
      </c>
      <c r="AA1454" s="362">
        <v>5.2500000000000009</v>
      </c>
      <c r="AB1454" s="320" t="s">
        <v>97</v>
      </c>
    </row>
    <row r="1455" spans="1:28" s="320" customFormat="1" ht="0.65" hidden="1" customHeight="1">
      <c r="A1455" s="320">
        <v>6130</v>
      </c>
      <c r="B1455" s="362" t="s">
        <v>55</v>
      </c>
      <c r="C1455" s="320" t="s">
        <v>41</v>
      </c>
      <c r="D1455" s="320" t="s">
        <v>55</v>
      </c>
      <c r="F1455" s="320" t="s">
        <v>2045</v>
      </c>
      <c r="Z1455" s="320" t="s">
        <v>40</v>
      </c>
      <c r="AA1455" s="362">
        <v>9.5000000000000018</v>
      </c>
      <c r="AB1455" s="320" t="s">
        <v>98</v>
      </c>
    </row>
    <row r="1456" spans="1:28" s="320" customFormat="1" ht="0.65" hidden="1" customHeight="1">
      <c r="A1456" s="320">
        <v>6131</v>
      </c>
      <c r="B1456" s="362" t="s">
        <v>55</v>
      </c>
      <c r="C1456" s="320" t="s">
        <v>43</v>
      </c>
      <c r="D1456" s="320" t="s">
        <v>55</v>
      </c>
      <c r="E1456" s="320" t="s">
        <v>36</v>
      </c>
      <c r="F1456" s="320" t="s">
        <v>2046</v>
      </c>
      <c r="Z1456" s="320" t="s">
        <v>42</v>
      </c>
      <c r="AA1456" s="362">
        <v>10.3125</v>
      </c>
      <c r="AB1456" s="320" t="s">
        <v>1161</v>
      </c>
    </row>
    <row r="1457" spans="1:28" s="320" customFormat="1" ht="0.65" hidden="1" customHeight="1">
      <c r="A1457" s="320">
        <v>6132</v>
      </c>
      <c r="B1457" s="362" t="s">
        <v>55</v>
      </c>
      <c r="C1457" s="320" t="s">
        <v>45</v>
      </c>
      <c r="D1457" s="320" t="s">
        <v>55</v>
      </c>
      <c r="F1457" s="320" t="s">
        <v>834</v>
      </c>
      <c r="Z1457" s="320" t="s">
        <v>44</v>
      </c>
      <c r="AA1457" s="362"/>
      <c r="AB1457" s="320" t="s">
        <v>2047</v>
      </c>
    </row>
    <row r="1458" spans="1:28" s="320" customFormat="1" ht="0.65" hidden="1" customHeight="1">
      <c r="A1458" s="320">
        <v>6133</v>
      </c>
      <c r="B1458" s="362"/>
      <c r="AA1458" s="362"/>
    </row>
    <row r="1459" spans="1:28" s="320" customFormat="1" ht="0.65" hidden="1" customHeight="1">
      <c r="A1459" s="320">
        <v>6134</v>
      </c>
      <c r="B1459" s="362" t="s">
        <v>55</v>
      </c>
      <c r="D1459" s="320">
        <v>20</v>
      </c>
      <c r="E1459" s="320" t="s">
        <v>2048</v>
      </c>
      <c r="Z1459" s="320" t="s">
        <v>40</v>
      </c>
      <c r="AA1459" s="362"/>
    </row>
    <row r="1460" spans="1:28" s="320" customFormat="1" ht="0.65" hidden="1" customHeight="1">
      <c r="A1460" s="320">
        <v>6135</v>
      </c>
      <c r="B1460" s="362"/>
      <c r="D1460" s="320" t="s">
        <v>40</v>
      </c>
      <c r="F1460" s="320" t="s">
        <v>800</v>
      </c>
      <c r="J1460" s="320" t="s">
        <v>1167</v>
      </c>
      <c r="AA1460" s="362"/>
    </row>
    <row r="1461" spans="1:28" s="320" customFormat="1" ht="0.65" hidden="1" customHeight="1">
      <c r="A1461" s="320">
        <v>6136</v>
      </c>
      <c r="B1461" s="362" t="s">
        <v>55</v>
      </c>
      <c r="C1461" s="320" t="s">
        <v>39</v>
      </c>
      <c r="D1461" s="320" t="s">
        <v>55</v>
      </c>
      <c r="F1461" s="320" t="s">
        <v>935</v>
      </c>
      <c r="Z1461" s="320" t="s">
        <v>38</v>
      </c>
      <c r="AA1461" s="362" t="s">
        <v>935</v>
      </c>
      <c r="AB1461" s="320" t="s">
        <v>2049</v>
      </c>
    </row>
    <row r="1462" spans="1:28" s="320" customFormat="1" ht="0.65" hidden="1" customHeight="1">
      <c r="A1462" s="320">
        <v>6137</v>
      </c>
      <c r="B1462" s="362" t="s">
        <v>55</v>
      </c>
      <c r="C1462" s="320" t="s">
        <v>41</v>
      </c>
      <c r="D1462" s="320" t="s">
        <v>55</v>
      </c>
      <c r="E1462" s="320" t="s">
        <v>36</v>
      </c>
      <c r="F1462" s="320" t="s">
        <v>1169</v>
      </c>
      <c r="Z1462" s="320" t="s">
        <v>40</v>
      </c>
      <c r="AA1462" s="362" t="s">
        <v>1169</v>
      </c>
      <c r="AB1462" s="320" t="s">
        <v>1167</v>
      </c>
    </row>
    <row r="1463" spans="1:28" s="320" customFormat="1" ht="0.65" hidden="1" customHeight="1">
      <c r="A1463" s="320">
        <v>6138</v>
      </c>
      <c r="B1463" s="362" t="s">
        <v>55</v>
      </c>
      <c r="C1463" s="320" t="s">
        <v>43</v>
      </c>
      <c r="D1463" s="320" t="s">
        <v>55</v>
      </c>
      <c r="F1463" s="320" t="s">
        <v>933</v>
      </c>
      <c r="Z1463" s="320" t="s">
        <v>42</v>
      </c>
      <c r="AA1463" s="362" t="s">
        <v>933</v>
      </c>
      <c r="AB1463" s="320" t="s">
        <v>2049</v>
      </c>
    </row>
    <row r="1464" spans="1:28" s="320" customFormat="1" ht="0.65" hidden="1" customHeight="1">
      <c r="A1464" s="320">
        <v>6139</v>
      </c>
      <c r="B1464" s="362" t="s">
        <v>55</v>
      </c>
      <c r="C1464" s="320" t="s">
        <v>45</v>
      </c>
      <c r="D1464" s="320" t="s">
        <v>55</v>
      </c>
      <c r="F1464" s="320" t="s">
        <v>834</v>
      </c>
      <c r="Z1464" s="320" t="s">
        <v>44</v>
      </c>
      <c r="AA1464" s="362"/>
      <c r="AB1464" s="320" t="s">
        <v>2049</v>
      </c>
    </row>
    <row r="1465" spans="1:28" s="320" customFormat="1" ht="0.65" hidden="1" customHeight="1">
      <c r="A1465" s="320">
        <v>6140</v>
      </c>
      <c r="B1465" s="362"/>
      <c r="AA1465" s="362"/>
    </row>
    <row r="1466" spans="1:28" s="320" customFormat="1" ht="0.65" hidden="1" customHeight="1">
      <c r="A1466" s="320">
        <v>6141</v>
      </c>
      <c r="B1466" s="362"/>
      <c r="AA1466" s="362"/>
    </row>
    <row r="1467" spans="1:28" s="320" customFormat="1" ht="0.65" hidden="1" customHeight="1">
      <c r="A1467" s="320">
        <v>6142</v>
      </c>
      <c r="B1467" s="362"/>
      <c r="D1467" s="320" t="s">
        <v>50</v>
      </c>
      <c r="M1467" s="320" t="s">
        <v>85</v>
      </c>
      <c r="AA1467" s="362"/>
    </row>
    <row r="1468" spans="1:28" s="320" customFormat="1" ht="0.65" hidden="1" customHeight="1">
      <c r="A1468" s="320">
        <v>6143</v>
      </c>
      <c r="B1468" s="362"/>
      <c r="D1468" s="320">
        <v>1</v>
      </c>
      <c r="E1468" s="320" t="s">
        <v>38</v>
      </c>
      <c r="F1468" s="320" t="s">
        <v>39</v>
      </c>
      <c r="M1468" s="320">
        <v>1</v>
      </c>
      <c r="N1468" s="320" t="s">
        <v>38</v>
      </c>
      <c r="O1468" s="320" t="s">
        <v>39</v>
      </c>
      <c r="Q1468" s="320" t="s">
        <v>937</v>
      </c>
      <c r="U1468" s="320" t="s">
        <v>46</v>
      </c>
      <c r="AA1468" s="362"/>
    </row>
    <row r="1469" spans="1:28" s="320" customFormat="1" ht="0.65" hidden="1" customHeight="1">
      <c r="A1469" s="320">
        <v>6144</v>
      </c>
      <c r="B1469" s="362"/>
      <c r="D1469" s="320">
        <v>2</v>
      </c>
      <c r="E1469" s="320" t="s">
        <v>42</v>
      </c>
      <c r="F1469" s="320" t="s">
        <v>43</v>
      </c>
      <c r="H1469" s="320" t="s">
        <v>38</v>
      </c>
      <c r="I1469" s="320">
        <v>4</v>
      </c>
      <c r="M1469" s="320">
        <v>2</v>
      </c>
      <c r="N1469" s="320" t="s">
        <v>42</v>
      </c>
      <c r="O1469" s="320" t="s">
        <v>43</v>
      </c>
      <c r="Q1469" s="320" t="s">
        <v>937</v>
      </c>
      <c r="AA1469" s="362"/>
    </row>
    <row r="1470" spans="1:28" s="320" customFormat="1" ht="0.65" hidden="1" customHeight="1">
      <c r="A1470" s="320">
        <v>6145</v>
      </c>
      <c r="B1470" s="362"/>
      <c r="D1470" s="320">
        <v>3</v>
      </c>
      <c r="E1470" s="320" t="s">
        <v>42</v>
      </c>
      <c r="F1470" s="320" t="s">
        <v>43</v>
      </c>
      <c r="H1470" s="320" t="s">
        <v>40</v>
      </c>
      <c r="I1470" s="320">
        <v>5</v>
      </c>
      <c r="M1470" s="320">
        <v>3</v>
      </c>
      <c r="N1470" s="320" t="s">
        <v>42</v>
      </c>
      <c r="O1470" s="320" t="s">
        <v>43</v>
      </c>
      <c r="Q1470" s="320" t="s">
        <v>937</v>
      </c>
      <c r="U1470" s="320" t="s">
        <v>47</v>
      </c>
      <c r="V1470" s="320">
        <v>20</v>
      </c>
      <c r="W1470" s="320">
        <v>1</v>
      </c>
      <c r="AA1470" s="362"/>
    </row>
    <row r="1471" spans="1:28" s="320" customFormat="1" ht="0.65" hidden="1" customHeight="1">
      <c r="A1471" s="320">
        <v>6146</v>
      </c>
      <c r="B1471" s="362"/>
      <c r="D1471" s="320">
        <v>4</v>
      </c>
      <c r="E1471" s="320" t="s">
        <v>40</v>
      </c>
      <c r="F1471" s="320" t="s">
        <v>41</v>
      </c>
      <c r="H1471" s="320" t="s">
        <v>42</v>
      </c>
      <c r="I1471" s="320">
        <v>5</v>
      </c>
      <c r="M1471" s="320">
        <v>4</v>
      </c>
      <c r="N1471" s="320" t="s">
        <v>40</v>
      </c>
      <c r="O1471" s="320" t="s">
        <v>41</v>
      </c>
      <c r="Q1471" s="320" t="s">
        <v>937</v>
      </c>
      <c r="AA1471" s="362"/>
    </row>
    <row r="1472" spans="1:28" s="320" customFormat="1" ht="0.65" hidden="1" customHeight="1">
      <c r="A1472" s="320">
        <v>6147</v>
      </c>
      <c r="B1472" s="362"/>
      <c r="D1472" s="320">
        <v>5</v>
      </c>
      <c r="E1472" s="320" t="s">
        <v>40</v>
      </c>
      <c r="F1472" s="320" t="s">
        <v>41</v>
      </c>
      <c r="H1472" s="320" t="s">
        <v>44</v>
      </c>
      <c r="I1472" s="320">
        <v>6</v>
      </c>
      <c r="M1472" s="320">
        <v>5</v>
      </c>
      <c r="N1472" s="320" t="s">
        <v>40</v>
      </c>
      <c r="O1472" s="320" t="s">
        <v>41</v>
      </c>
      <c r="Q1472" s="320" t="s">
        <v>937</v>
      </c>
      <c r="U1472" s="320" t="s">
        <v>48</v>
      </c>
      <c r="V1472" s="320">
        <v>0</v>
      </c>
      <c r="W1472" s="320">
        <v>0</v>
      </c>
      <c r="AA1472" s="362"/>
    </row>
    <row r="1473" spans="1:27" s="320" customFormat="1" ht="0.65" hidden="1" customHeight="1">
      <c r="A1473" s="320">
        <v>6148</v>
      </c>
      <c r="B1473" s="362"/>
      <c r="D1473" s="320">
        <v>6</v>
      </c>
      <c r="E1473" s="320" t="s">
        <v>44</v>
      </c>
      <c r="F1473" s="320" t="s">
        <v>45</v>
      </c>
      <c r="I1473" s="320">
        <v>20</v>
      </c>
      <c r="M1473" s="320">
        <v>6</v>
      </c>
      <c r="N1473" s="320" t="s">
        <v>44</v>
      </c>
      <c r="O1473" s="320" t="s">
        <v>45</v>
      </c>
      <c r="Q1473" s="320" t="s">
        <v>937</v>
      </c>
      <c r="AA1473" s="362"/>
    </row>
    <row r="1474" spans="1:27" s="320" customFormat="1" ht="0.65" hidden="1" customHeight="1">
      <c r="A1474" s="320">
        <v>6149</v>
      </c>
      <c r="B1474" s="362"/>
      <c r="D1474" s="320">
        <v>7</v>
      </c>
      <c r="E1474" s="320" t="s">
        <v>44</v>
      </c>
      <c r="F1474" s="320" t="s">
        <v>45</v>
      </c>
      <c r="M1474" s="320">
        <v>7</v>
      </c>
      <c r="N1474" s="320" t="s">
        <v>44</v>
      </c>
      <c r="O1474" s="320" t="s">
        <v>45</v>
      </c>
      <c r="Q1474" s="320" t="s">
        <v>937</v>
      </c>
      <c r="V1474" s="320" t="s">
        <v>49</v>
      </c>
      <c r="W1474" s="320">
        <v>10</v>
      </c>
      <c r="AA1474" s="362"/>
    </row>
    <row r="1475" spans="1:27" s="320" customFormat="1" ht="0.65" hidden="1" customHeight="1">
      <c r="A1475" s="320">
        <v>6150</v>
      </c>
      <c r="B1475" s="362"/>
      <c r="D1475" s="320">
        <v>8</v>
      </c>
      <c r="E1475" s="320" t="s">
        <v>44</v>
      </c>
      <c r="F1475" s="320" t="s">
        <v>45</v>
      </c>
      <c r="H1475" s="320" t="s">
        <v>38</v>
      </c>
      <c r="I1475" s="320" t="s">
        <v>39</v>
      </c>
      <c r="M1475" s="320">
        <v>8</v>
      </c>
      <c r="N1475" s="320" t="s">
        <v>44</v>
      </c>
      <c r="O1475" s="320" t="s">
        <v>45</v>
      </c>
      <c r="Q1475" s="320" t="s">
        <v>937</v>
      </c>
      <c r="AA1475" s="362"/>
    </row>
    <row r="1476" spans="1:27" s="320" customFormat="1" ht="0.65" hidden="1" customHeight="1">
      <c r="A1476" s="320">
        <v>6151</v>
      </c>
      <c r="B1476" s="362"/>
      <c r="D1476" s="320">
        <v>9</v>
      </c>
      <c r="E1476" s="320" t="s">
        <v>44</v>
      </c>
      <c r="F1476" s="320" t="s">
        <v>45</v>
      </c>
      <c r="H1476" s="320" t="s">
        <v>40</v>
      </c>
      <c r="I1476" s="320" t="s">
        <v>41</v>
      </c>
      <c r="M1476" s="320">
        <v>9</v>
      </c>
      <c r="N1476" s="320" t="s">
        <v>44</v>
      </c>
      <c r="O1476" s="320" t="s">
        <v>45</v>
      </c>
      <c r="Q1476" s="320" t="s">
        <v>937</v>
      </c>
      <c r="T1476" s="320" t="s">
        <v>938</v>
      </c>
      <c r="AA1476" s="362"/>
    </row>
    <row r="1477" spans="1:27" s="320" customFormat="1" ht="0.65" hidden="1" customHeight="1">
      <c r="A1477" s="320">
        <v>6152</v>
      </c>
      <c r="B1477" s="362"/>
      <c r="D1477" s="320">
        <v>10</v>
      </c>
      <c r="E1477" s="320" t="s">
        <v>40</v>
      </c>
      <c r="F1477" s="320" t="s">
        <v>41</v>
      </c>
      <c r="H1477" s="320" t="s">
        <v>42</v>
      </c>
      <c r="I1477" s="320" t="s">
        <v>43</v>
      </c>
      <c r="M1477" s="320">
        <v>10</v>
      </c>
      <c r="N1477" s="320" t="s">
        <v>40</v>
      </c>
      <c r="O1477" s="320" t="s">
        <v>41</v>
      </c>
      <c r="Q1477" s="320" t="s">
        <v>937</v>
      </c>
      <c r="AA1477" s="362"/>
    </row>
    <row r="1478" spans="1:27" s="320" customFormat="1" ht="0.65" hidden="1" customHeight="1">
      <c r="A1478" s="320">
        <v>6153</v>
      </c>
      <c r="B1478" s="362"/>
      <c r="D1478" s="320">
        <v>11</v>
      </c>
      <c r="E1478" s="320" t="s">
        <v>44</v>
      </c>
      <c r="F1478" s="320" t="s">
        <v>45</v>
      </c>
      <c r="H1478" s="320" t="s">
        <v>44</v>
      </c>
      <c r="I1478" s="320" t="s">
        <v>45</v>
      </c>
      <c r="M1478" s="320">
        <v>11</v>
      </c>
      <c r="N1478" s="320" t="s">
        <v>44</v>
      </c>
      <c r="O1478" s="320" t="s">
        <v>45</v>
      </c>
      <c r="Q1478" s="320" t="s">
        <v>937</v>
      </c>
      <c r="T1478" s="320" t="s">
        <v>86</v>
      </c>
      <c r="AA1478" s="362"/>
    </row>
    <row r="1479" spans="1:27" s="320" customFormat="1" ht="0.65" hidden="1" customHeight="1">
      <c r="A1479" s="320">
        <v>6154</v>
      </c>
      <c r="B1479" s="362"/>
      <c r="D1479" s="320">
        <v>12</v>
      </c>
      <c r="E1479" s="320" t="s">
        <v>44</v>
      </c>
      <c r="F1479" s="320" t="s">
        <v>45</v>
      </c>
      <c r="M1479" s="320">
        <v>12</v>
      </c>
      <c r="N1479" s="320" t="s">
        <v>44</v>
      </c>
      <c r="O1479" s="320" t="s">
        <v>45</v>
      </c>
      <c r="Q1479" s="320" t="s">
        <v>937</v>
      </c>
      <c r="T1479" s="320" t="s">
        <v>87</v>
      </c>
      <c r="AA1479" s="362"/>
    </row>
    <row r="1480" spans="1:27" s="320" customFormat="1" ht="0.65" hidden="1" customHeight="1">
      <c r="A1480" s="320">
        <v>6155</v>
      </c>
      <c r="B1480" s="362"/>
      <c r="D1480" s="320">
        <v>13</v>
      </c>
      <c r="E1480" s="320" t="s">
        <v>38</v>
      </c>
      <c r="F1480" s="320" t="s">
        <v>39</v>
      </c>
      <c r="H1480" s="320">
        <v>1.1000000000000001</v>
      </c>
      <c r="M1480" s="320">
        <v>13</v>
      </c>
      <c r="N1480" s="320" t="s">
        <v>38</v>
      </c>
      <c r="O1480" s="320" t="s">
        <v>39</v>
      </c>
      <c r="Q1480" s="320" t="s">
        <v>937</v>
      </c>
      <c r="T1480" s="320" t="s">
        <v>88</v>
      </c>
      <c r="V1480" s="320" t="s">
        <v>36</v>
      </c>
      <c r="W1480" s="320" t="s">
        <v>55</v>
      </c>
      <c r="AA1480" s="362"/>
    </row>
    <row r="1481" spans="1:27" s="320" customFormat="1" ht="0.65" hidden="1" customHeight="1">
      <c r="A1481" s="320">
        <v>6156</v>
      </c>
      <c r="B1481" s="362"/>
      <c r="D1481" s="320">
        <v>14</v>
      </c>
      <c r="E1481" s="320" t="s">
        <v>40</v>
      </c>
      <c r="F1481" s="320" t="s">
        <v>41</v>
      </c>
      <c r="H1481" s="320">
        <v>1.2</v>
      </c>
      <c r="M1481" s="320">
        <v>14</v>
      </c>
      <c r="N1481" s="320" t="s">
        <v>40</v>
      </c>
      <c r="O1481" s="320" t="s">
        <v>41</v>
      </c>
      <c r="Q1481" s="320" t="s">
        <v>937</v>
      </c>
      <c r="AA1481" s="362"/>
    </row>
    <row r="1482" spans="1:27" s="320" customFormat="1" ht="0.65" hidden="1" customHeight="1">
      <c r="A1482" s="320">
        <v>6157</v>
      </c>
      <c r="B1482" s="362"/>
      <c r="D1482" s="320">
        <v>15</v>
      </c>
      <c r="E1482" s="320" t="s">
        <v>38</v>
      </c>
      <c r="F1482" s="320" t="s">
        <v>39</v>
      </c>
      <c r="H1482" s="320">
        <v>1.3</v>
      </c>
      <c r="M1482" s="320">
        <v>15</v>
      </c>
      <c r="N1482" s="320" t="s">
        <v>38</v>
      </c>
      <c r="O1482" s="320" t="s">
        <v>39</v>
      </c>
      <c r="Q1482" s="320" t="s">
        <v>937</v>
      </c>
      <c r="AA1482" s="362"/>
    </row>
    <row r="1483" spans="1:27" s="320" customFormat="1" ht="0.65" hidden="1" customHeight="1">
      <c r="A1483" s="320">
        <v>6158</v>
      </c>
      <c r="B1483" s="362"/>
      <c r="D1483" s="320">
        <v>16</v>
      </c>
      <c r="E1483" s="320" t="s">
        <v>42</v>
      </c>
      <c r="F1483" s="320" t="s">
        <v>43</v>
      </c>
      <c r="H1483" s="320">
        <v>1.4</v>
      </c>
      <c r="M1483" s="320">
        <v>16</v>
      </c>
      <c r="N1483" s="320" t="s">
        <v>42</v>
      </c>
      <c r="O1483" s="320" t="s">
        <v>43</v>
      </c>
      <c r="Q1483" s="320" t="s">
        <v>937</v>
      </c>
      <c r="AA1483" s="362"/>
    </row>
    <row r="1484" spans="1:27" s="320" customFormat="1" ht="0.65" hidden="1" customHeight="1">
      <c r="A1484" s="320">
        <v>6159</v>
      </c>
      <c r="B1484" s="362"/>
      <c r="D1484" s="320">
        <v>17</v>
      </c>
      <c r="E1484" s="320" t="s">
        <v>38</v>
      </c>
      <c r="F1484" s="320" t="s">
        <v>39</v>
      </c>
      <c r="M1484" s="320">
        <v>17</v>
      </c>
      <c r="N1484" s="320" t="s">
        <v>38</v>
      </c>
      <c r="O1484" s="320" t="s">
        <v>39</v>
      </c>
      <c r="Q1484" s="320" t="s">
        <v>937</v>
      </c>
      <c r="AA1484" s="362"/>
    </row>
    <row r="1485" spans="1:27" s="320" customFormat="1" ht="0.65" hidden="1" customHeight="1">
      <c r="A1485" s="320">
        <v>6160</v>
      </c>
      <c r="B1485" s="362"/>
      <c r="D1485" s="320">
        <v>18</v>
      </c>
      <c r="E1485" s="320" t="s">
        <v>42</v>
      </c>
      <c r="F1485" s="320" t="s">
        <v>43</v>
      </c>
      <c r="M1485" s="320">
        <v>18</v>
      </c>
      <c r="N1485" s="320" t="s">
        <v>42</v>
      </c>
      <c r="O1485" s="320" t="s">
        <v>43</v>
      </c>
      <c r="Q1485" s="320" t="s">
        <v>937</v>
      </c>
      <c r="AA1485" s="362"/>
    </row>
    <row r="1486" spans="1:27" s="320" customFormat="1" ht="0.65" hidden="1" customHeight="1">
      <c r="A1486" s="320">
        <v>6161</v>
      </c>
      <c r="B1486" s="362"/>
      <c r="D1486" s="320">
        <v>19</v>
      </c>
      <c r="E1486" s="320" t="s">
        <v>42</v>
      </c>
      <c r="F1486" s="320" t="s">
        <v>43</v>
      </c>
      <c r="M1486" s="320">
        <v>19</v>
      </c>
      <c r="N1486" s="320" t="s">
        <v>42</v>
      </c>
      <c r="O1486" s="320" t="s">
        <v>43</v>
      </c>
      <c r="Q1486" s="320" t="s">
        <v>937</v>
      </c>
      <c r="AA1486" s="362"/>
    </row>
    <row r="1487" spans="1:27" s="320" customFormat="1" ht="0.65" hidden="1" customHeight="1">
      <c r="A1487" s="320">
        <v>6162</v>
      </c>
      <c r="B1487" s="362"/>
      <c r="D1487" s="320">
        <v>20</v>
      </c>
      <c r="E1487" s="320" t="s">
        <v>40</v>
      </c>
      <c r="F1487" s="320" t="s">
        <v>41</v>
      </c>
      <c r="M1487" s="320">
        <v>20</v>
      </c>
      <c r="N1487" s="320" t="s">
        <v>40</v>
      </c>
      <c r="O1487" s="320" t="s">
        <v>41</v>
      </c>
      <c r="Q1487" s="320" t="s">
        <v>937</v>
      </c>
      <c r="AA1487" s="362"/>
    </row>
    <row r="1488" spans="1:27" s="320" customFormat="1" ht="0.65" hidden="1" customHeight="1">
      <c r="A1488" s="320">
        <v>6163</v>
      </c>
      <c r="B1488" s="362"/>
      <c r="R1488" s="320" t="s">
        <v>465</v>
      </c>
      <c r="AA1488" s="362"/>
    </row>
    <row r="1489" spans="1:27" s="320" customFormat="1" ht="0.65" hidden="1" customHeight="1">
      <c r="A1489" s="320">
        <v>6164</v>
      </c>
      <c r="B1489" s="362"/>
      <c r="R1489" s="363" t="s">
        <v>5</v>
      </c>
      <c r="S1489" s="364">
        <v>2022</v>
      </c>
      <c r="AA1489" s="362"/>
    </row>
    <row r="1490" spans="1:27" s="320" customFormat="1" ht="0.65" hidden="1" customHeight="1">
      <c r="A1490" s="320">
        <v>6165</v>
      </c>
      <c r="B1490" s="362"/>
      <c r="AA1490" s="362"/>
    </row>
    <row r="1491" spans="1:27" s="320" customFormat="1" ht="0.65" hidden="1" customHeight="1">
      <c r="A1491" s="320">
        <v>6166</v>
      </c>
      <c r="B1491" s="362"/>
      <c r="R1491" s="363" t="s">
        <v>32</v>
      </c>
      <c r="AA1491" s="362"/>
    </row>
    <row r="1492" spans="1:27" s="320" customFormat="1" ht="0.65" hidden="1" customHeight="1">
      <c r="A1492" s="320">
        <v>6167</v>
      </c>
      <c r="B1492" s="362"/>
      <c r="R1492" s="363" t="s">
        <v>488</v>
      </c>
      <c r="S1492" s="363">
        <v>750000</v>
      </c>
      <c r="AA1492" s="362"/>
    </row>
    <row r="1493" spans="1:27" s="320" customFormat="1" ht="0.65" hidden="1" customHeight="1">
      <c r="A1493" s="320">
        <v>6168</v>
      </c>
      <c r="B1493" s="362"/>
      <c r="R1493" s="363" t="s">
        <v>6</v>
      </c>
      <c r="S1493" s="363">
        <v>10</v>
      </c>
      <c r="AA1493" s="362"/>
    </row>
    <row r="1494" spans="1:27" s="320" customFormat="1" ht="0.65" hidden="1" customHeight="1">
      <c r="A1494" s="320">
        <v>6169</v>
      </c>
      <c r="B1494" s="362"/>
      <c r="R1494" s="363" t="s">
        <v>489</v>
      </c>
      <c r="S1494" s="363">
        <v>75000</v>
      </c>
      <c r="AA1494" s="362"/>
    </row>
    <row r="1495" spans="1:27" s="320" customFormat="1" ht="0.65" hidden="1" customHeight="1">
      <c r="A1495" s="320">
        <v>6170</v>
      </c>
      <c r="B1495" s="362"/>
      <c r="AA1495" s="362"/>
    </row>
    <row r="1496" spans="1:27" s="320" customFormat="1" ht="0.65" hidden="1" customHeight="1">
      <c r="A1496" s="320">
        <v>6171</v>
      </c>
      <c r="B1496" s="362"/>
      <c r="R1496" s="363" t="s">
        <v>34</v>
      </c>
      <c r="S1496" s="363">
        <v>250000</v>
      </c>
      <c r="AA1496" s="362"/>
    </row>
    <row r="1497" spans="1:27" s="320" customFormat="1" ht="0.65" hidden="1" customHeight="1">
      <c r="A1497" s="320">
        <v>6172</v>
      </c>
      <c r="B1497" s="362"/>
      <c r="R1497" s="363" t="s">
        <v>35</v>
      </c>
      <c r="S1497" s="363">
        <v>-25000</v>
      </c>
      <c r="AA1497" s="362"/>
    </row>
    <row r="1498" spans="1:27" s="320" customFormat="1" ht="0.65" hidden="1" customHeight="1">
      <c r="A1498" s="320">
        <v>6173</v>
      </c>
      <c r="B1498" s="362"/>
      <c r="AA1498" s="362"/>
    </row>
    <row r="1499" spans="1:27" s="320" customFormat="1" ht="0.65" hidden="1" customHeight="1">
      <c r="A1499" s="320">
        <v>6174</v>
      </c>
      <c r="B1499" s="362"/>
      <c r="R1499" s="363" t="s">
        <v>7</v>
      </c>
      <c r="S1499" s="363">
        <v>90</v>
      </c>
      <c r="AA1499" s="362"/>
    </row>
    <row r="1500" spans="1:27" s="320" customFormat="1" ht="0.65" hidden="1" customHeight="1">
      <c r="A1500" s="320">
        <v>6175</v>
      </c>
      <c r="B1500" s="362"/>
      <c r="R1500" s="363" t="s">
        <v>8</v>
      </c>
      <c r="S1500" s="363">
        <v>90</v>
      </c>
      <c r="AA1500" s="362"/>
    </row>
    <row r="1501" spans="1:27" s="320" customFormat="1" ht="0.65" hidden="1" customHeight="1">
      <c r="A1501" s="320">
        <v>6176</v>
      </c>
      <c r="B1501" s="362"/>
      <c r="AA1501" s="362"/>
    </row>
    <row r="1502" spans="1:27" s="320" customFormat="1" ht="0.65" hidden="1" customHeight="1">
      <c r="A1502" s="320">
        <v>6177</v>
      </c>
      <c r="B1502" s="362"/>
      <c r="R1502" s="363" t="s">
        <v>33</v>
      </c>
      <c r="AA1502" s="362"/>
    </row>
    <row r="1503" spans="1:27" s="320" customFormat="1" ht="0.65" hidden="1" customHeight="1">
      <c r="A1503" s="320">
        <v>6178</v>
      </c>
      <c r="B1503" s="362"/>
      <c r="R1503" s="363" t="s">
        <v>492</v>
      </c>
      <c r="S1503" s="363">
        <v>225000</v>
      </c>
      <c r="AA1503" s="362"/>
    </row>
    <row r="1504" spans="1:27" s="320" customFormat="1" ht="0.65" hidden="1" customHeight="1">
      <c r="A1504" s="320">
        <v>6179</v>
      </c>
      <c r="B1504" s="362"/>
      <c r="R1504" s="363" t="s">
        <v>495</v>
      </c>
      <c r="S1504" s="363">
        <v>187500</v>
      </c>
      <c r="AA1504" s="362"/>
    </row>
    <row r="1505" spans="1:27" s="320" customFormat="1" ht="0.65" hidden="1" customHeight="1">
      <c r="A1505" s="320">
        <v>6180</v>
      </c>
      <c r="B1505" s="362"/>
      <c r="R1505" s="363" t="s">
        <v>6</v>
      </c>
      <c r="S1505" s="363">
        <v>4</v>
      </c>
      <c r="AA1505" s="362"/>
    </row>
    <row r="1506" spans="1:27" s="320" customFormat="1" ht="0.65" hidden="1" customHeight="1">
      <c r="A1506" s="320">
        <v>6181</v>
      </c>
      <c r="B1506" s="362"/>
      <c r="R1506" s="363" t="s">
        <v>489</v>
      </c>
      <c r="S1506" s="363">
        <v>45000</v>
      </c>
      <c r="AA1506" s="362"/>
    </row>
    <row r="1507" spans="1:27" s="320" customFormat="1" ht="0.65" hidden="1" customHeight="1">
      <c r="A1507" s="320">
        <v>6182</v>
      </c>
      <c r="B1507" s="362"/>
      <c r="AA1507" s="362"/>
    </row>
    <row r="1508" spans="1:27" s="320" customFormat="1" ht="0.65" hidden="1" customHeight="1">
      <c r="A1508" s="320">
        <v>6183</v>
      </c>
      <c r="B1508" s="362"/>
      <c r="R1508" s="363" t="s">
        <v>4</v>
      </c>
      <c r="S1508" s="365">
        <v>0.25</v>
      </c>
      <c r="AA1508" s="362"/>
    </row>
    <row r="1509" spans="1:27" s="320" customFormat="1" ht="0.65" hidden="1" customHeight="1">
      <c r="A1509" s="320">
        <v>6184</v>
      </c>
      <c r="B1509" s="362"/>
      <c r="S1509" s="363" t="s">
        <v>9</v>
      </c>
      <c r="AA1509" s="362"/>
    </row>
    <row r="1510" spans="1:27" s="320" customFormat="1" ht="0.65" hidden="1" customHeight="1">
      <c r="A1510" s="320">
        <v>6185</v>
      </c>
      <c r="B1510" s="362"/>
      <c r="AA1510" s="362"/>
    </row>
    <row r="1511" spans="1:27" s="320" customFormat="1" ht="0.65" hidden="1" customHeight="1">
      <c r="A1511" s="320">
        <v>6186</v>
      </c>
      <c r="B1511" s="362"/>
      <c r="R1511" s="363" t="s">
        <v>10</v>
      </c>
      <c r="S1511" s="363">
        <v>420000.00000000006</v>
      </c>
      <c r="AA1511" s="362"/>
    </row>
    <row r="1512" spans="1:27" s="320" customFormat="1" ht="0.65" hidden="1" customHeight="1">
      <c r="A1512" s="320">
        <v>6187</v>
      </c>
      <c r="B1512" s="362"/>
      <c r="R1512" s="363" t="s">
        <v>11</v>
      </c>
      <c r="S1512" s="363">
        <v>1800000</v>
      </c>
      <c r="AA1512" s="362"/>
    </row>
    <row r="1513" spans="1:27" s="320" customFormat="1" ht="0.65" hidden="1" customHeight="1">
      <c r="A1513" s="320">
        <v>6188</v>
      </c>
      <c r="B1513" s="362"/>
      <c r="R1513" s="363" t="s">
        <v>12</v>
      </c>
      <c r="S1513" s="366">
        <v>0.02</v>
      </c>
      <c r="AA1513" s="362"/>
    </row>
    <row r="1514" spans="1:27" s="320" customFormat="1" ht="0.65" hidden="1" customHeight="1">
      <c r="A1514" s="320">
        <v>6189</v>
      </c>
      <c r="B1514" s="362"/>
      <c r="R1514" s="363" t="s">
        <v>2</v>
      </c>
      <c r="S1514" s="363">
        <v>6000000</v>
      </c>
      <c r="AA1514" s="362"/>
    </row>
    <row r="1515" spans="1:27" s="320" customFormat="1" ht="0.65" hidden="1" customHeight="1">
      <c r="A1515" s="320">
        <v>6190</v>
      </c>
      <c r="B1515" s="362"/>
      <c r="R1515" s="363" t="s">
        <v>3</v>
      </c>
      <c r="S1515" s="363">
        <v>18000000</v>
      </c>
      <c r="AA1515" s="362"/>
    </row>
    <row r="1516" spans="1:27" s="320" customFormat="1" ht="0.65" hidden="1" customHeight="1">
      <c r="A1516" s="320">
        <v>6191</v>
      </c>
      <c r="B1516" s="362"/>
      <c r="AA1516" s="362"/>
    </row>
    <row r="1517" spans="1:27" s="320" customFormat="1" ht="0.65" hidden="1" customHeight="1">
      <c r="A1517" s="320">
        <v>6192</v>
      </c>
      <c r="B1517" s="362"/>
      <c r="R1517" s="363" t="s">
        <v>14</v>
      </c>
      <c r="S1517" s="363" t="s">
        <v>16</v>
      </c>
      <c r="AA1517" s="362"/>
    </row>
    <row r="1518" spans="1:27" s="320" customFormat="1" ht="0.65" hidden="1" customHeight="1">
      <c r="A1518" s="320">
        <v>6193</v>
      </c>
      <c r="B1518" s="362"/>
      <c r="AA1518" s="362"/>
    </row>
    <row r="1519" spans="1:27" s="320" customFormat="1" ht="0.65" hidden="1" customHeight="1">
      <c r="A1519" s="320">
        <v>6194</v>
      </c>
      <c r="B1519" s="362"/>
      <c r="R1519" s="363" t="s">
        <v>0</v>
      </c>
      <c r="S1519" s="363" t="s">
        <v>69</v>
      </c>
      <c r="T1519" s="363" t="s">
        <v>70</v>
      </c>
      <c r="U1519" s="363" t="s">
        <v>71</v>
      </c>
      <c r="V1519" s="363" t="s">
        <v>72</v>
      </c>
      <c r="W1519" s="363" t="s">
        <v>73</v>
      </c>
      <c r="X1519" s="363" t="s">
        <v>74</v>
      </c>
      <c r="Y1519" s="363" t="s">
        <v>75</v>
      </c>
      <c r="AA1519" s="362"/>
    </row>
    <row r="1520" spans="1:27" s="320" customFormat="1" ht="0.65" hidden="1" customHeight="1">
      <c r="A1520" s="320">
        <v>6195</v>
      </c>
      <c r="B1520" s="362"/>
      <c r="R1520" s="364">
        <v>2023</v>
      </c>
      <c r="S1520" s="363">
        <v>250000</v>
      </c>
      <c r="T1520" s="363">
        <v>-25000</v>
      </c>
      <c r="U1520" s="363">
        <v>28125</v>
      </c>
      <c r="V1520" s="363">
        <v>246875</v>
      </c>
      <c r="W1520" s="363">
        <v>61718.75</v>
      </c>
      <c r="X1520" s="363">
        <v>185156.25</v>
      </c>
      <c r="Y1520" s="363">
        <v>213281.25</v>
      </c>
      <c r="AA1520" s="362"/>
    </row>
    <row r="1521" spans="1:27" s="320" customFormat="1" ht="0.65" hidden="1" customHeight="1">
      <c r="A1521" s="320">
        <v>6196</v>
      </c>
      <c r="B1521" s="362"/>
      <c r="R1521" s="364">
        <v>2024</v>
      </c>
      <c r="S1521" s="363">
        <v>250000</v>
      </c>
      <c r="T1521" s="363">
        <v>-25000</v>
      </c>
      <c r="U1521" s="363">
        <v>28125</v>
      </c>
      <c r="V1521" s="363">
        <v>246875</v>
      </c>
      <c r="W1521" s="363">
        <v>61718.75</v>
      </c>
      <c r="X1521" s="363">
        <v>185156.25</v>
      </c>
      <c r="Y1521" s="363">
        <v>213281.25</v>
      </c>
      <c r="AA1521" s="362"/>
    </row>
    <row r="1522" spans="1:27" s="320" customFormat="1" ht="0.65" hidden="1" customHeight="1">
      <c r="A1522" s="320">
        <v>6197</v>
      </c>
      <c r="B1522" s="362"/>
      <c r="R1522" s="364">
        <v>2025</v>
      </c>
      <c r="S1522" s="363">
        <v>250000</v>
      </c>
      <c r="T1522" s="363">
        <v>-25000</v>
      </c>
      <c r="U1522" s="363">
        <v>28125</v>
      </c>
      <c r="V1522" s="363">
        <v>246875</v>
      </c>
      <c r="W1522" s="363">
        <v>61718.75</v>
      </c>
      <c r="X1522" s="363">
        <v>185156.25</v>
      </c>
      <c r="Y1522" s="363">
        <v>213281.25</v>
      </c>
      <c r="AA1522" s="362"/>
    </row>
    <row r="1523" spans="1:27" s="320" customFormat="1" ht="0.65" hidden="1" customHeight="1">
      <c r="A1523" s="320">
        <v>6198</v>
      </c>
      <c r="B1523" s="362"/>
      <c r="AA1523" s="362"/>
    </row>
    <row r="1524" spans="1:27" s="320" customFormat="1" ht="0.65" hidden="1" customHeight="1">
      <c r="A1524" s="320">
        <v>6199</v>
      </c>
      <c r="B1524" s="362"/>
      <c r="R1524" s="363" t="s">
        <v>0</v>
      </c>
      <c r="S1524" s="363" t="s">
        <v>76</v>
      </c>
      <c r="T1524" s="363" t="s">
        <v>77</v>
      </c>
      <c r="U1524" s="363" t="s">
        <v>78</v>
      </c>
      <c r="V1524" s="363" t="s">
        <v>79</v>
      </c>
      <c r="AA1524" s="362"/>
    </row>
    <row r="1525" spans="1:27" s="320" customFormat="1" ht="0.65" hidden="1" customHeight="1">
      <c r="A1525" s="320">
        <v>6200</v>
      </c>
      <c r="B1525" s="362"/>
      <c r="R1525" s="364">
        <v>2022</v>
      </c>
      <c r="S1525" s="363">
        <v>0</v>
      </c>
      <c r="T1525" s="363">
        <v>0</v>
      </c>
      <c r="U1525" s="363">
        <v>0</v>
      </c>
      <c r="V1525" s="363">
        <v>0</v>
      </c>
      <c r="AA1525" s="362"/>
    </row>
    <row r="1526" spans="1:27" s="320" customFormat="1" ht="0.65" hidden="1" customHeight="1">
      <c r="A1526" s="320">
        <v>6201</v>
      </c>
      <c r="B1526" s="362"/>
      <c r="R1526" s="364">
        <v>2023</v>
      </c>
      <c r="S1526" s="363">
        <v>62500</v>
      </c>
      <c r="T1526" s="363">
        <v>-6250</v>
      </c>
      <c r="U1526" s="363">
        <v>68750</v>
      </c>
      <c r="V1526" s="363">
        <v>68750</v>
      </c>
      <c r="AA1526" s="362"/>
    </row>
    <row r="1527" spans="1:27" s="320" customFormat="1" ht="0.65" hidden="1" customHeight="1">
      <c r="A1527" s="320">
        <v>6202</v>
      </c>
      <c r="B1527" s="362"/>
      <c r="R1527" s="364">
        <v>2024</v>
      </c>
      <c r="S1527" s="363">
        <v>62500</v>
      </c>
      <c r="T1527" s="363">
        <v>-6250</v>
      </c>
      <c r="U1527" s="363">
        <v>68750</v>
      </c>
      <c r="V1527" s="363">
        <v>0</v>
      </c>
      <c r="AA1527" s="362"/>
    </row>
    <row r="1528" spans="1:27" s="320" customFormat="1" ht="0.65" hidden="1" customHeight="1">
      <c r="A1528" s="320">
        <v>6203</v>
      </c>
      <c r="B1528" s="362"/>
      <c r="R1528" s="364">
        <v>2025</v>
      </c>
      <c r="S1528" s="363">
        <v>62500</v>
      </c>
      <c r="T1528" s="363">
        <v>-6250</v>
      </c>
      <c r="U1528" s="363">
        <v>68750</v>
      </c>
      <c r="V1528" s="363">
        <v>0</v>
      </c>
      <c r="AA1528" s="362"/>
    </row>
    <row r="1529" spans="1:27" s="320" customFormat="1" ht="0.65" hidden="1" customHeight="1">
      <c r="A1529" s="320">
        <v>6204</v>
      </c>
      <c r="B1529" s="362"/>
      <c r="AA1529" s="362"/>
    </row>
    <row r="1530" spans="1:27" s="320" customFormat="1" ht="0.65" hidden="1" customHeight="1">
      <c r="A1530" s="320">
        <v>6205</v>
      </c>
      <c r="B1530" s="362"/>
      <c r="V1530" s="363" t="s">
        <v>81</v>
      </c>
      <c r="AA1530" s="362"/>
    </row>
    <row r="1531" spans="1:27" s="320" customFormat="1" ht="0.65" hidden="1" customHeight="1">
      <c r="A1531" s="320">
        <v>6206</v>
      </c>
      <c r="B1531" s="362"/>
      <c r="R1531" s="363" t="s">
        <v>0</v>
      </c>
      <c r="S1531" s="363" t="s">
        <v>75</v>
      </c>
      <c r="T1531" s="363" t="s">
        <v>79</v>
      </c>
      <c r="U1531" s="363" t="s">
        <v>80</v>
      </c>
      <c r="V1531" s="363" t="s">
        <v>1</v>
      </c>
      <c r="AA1531" s="362"/>
    </row>
    <row r="1532" spans="1:27" s="320" customFormat="1" ht="0.65" hidden="1" customHeight="1">
      <c r="A1532" s="320">
        <v>6207</v>
      </c>
      <c r="B1532" s="362"/>
      <c r="R1532" s="364">
        <v>2022</v>
      </c>
      <c r="S1532" s="363">
        <v>0</v>
      </c>
      <c r="T1532" s="363">
        <v>0</v>
      </c>
      <c r="U1532" s="363">
        <v>0</v>
      </c>
      <c r="V1532" s="363">
        <v>-534375</v>
      </c>
      <c r="AA1532" s="362"/>
    </row>
    <row r="1533" spans="1:27" s="320" customFormat="1" ht="0.65" hidden="1" customHeight="1">
      <c r="A1533" s="320">
        <v>6208</v>
      </c>
      <c r="B1533" s="362"/>
      <c r="R1533" s="364">
        <v>2023</v>
      </c>
      <c r="S1533" s="363">
        <v>213281.25</v>
      </c>
      <c r="T1533" s="363">
        <v>68750</v>
      </c>
      <c r="U1533" s="363">
        <v>144531.25</v>
      </c>
      <c r="V1533" s="363">
        <v>144531.25</v>
      </c>
      <c r="AA1533" s="362"/>
    </row>
    <row r="1534" spans="1:27" s="320" customFormat="1" ht="0.65" hidden="1" customHeight="1">
      <c r="A1534" s="320">
        <v>6209</v>
      </c>
      <c r="B1534" s="362"/>
      <c r="R1534" s="364">
        <v>2024</v>
      </c>
      <c r="S1534" s="363">
        <v>213281.25</v>
      </c>
      <c r="T1534" s="363">
        <v>0</v>
      </c>
      <c r="U1534" s="363">
        <v>213281.25</v>
      </c>
      <c r="V1534" s="363">
        <v>213281.25</v>
      </c>
      <c r="AA1534" s="362"/>
    </row>
    <row r="1535" spans="1:27" s="320" customFormat="1" ht="0.65" hidden="1" customHeight="1">
      <c r="A1535" s="320">
        <v>6210</v>
      </c>
      <c r="B1535" s="362"/>
      <c r="R1535" s="364">
        <v>2025</v>
      </c>
      <c r="S1535" s="363">
        <v>213281.25</v>
      </c>
      <c r="T1535" s="363">
        <v>0</v>
      </c>
      <c r="U1535" s="363">
        <v>213281.25</v>
      </c>
      <c r="V1535" s="363">
        <v>424062.5</v>
      </c>
      <c r="AA1535" s="362"/>
    </row>
    <row r="1536" spans="1:27" s="320" customFormat="1" ht="0.65" hidden="1" customHeight="1">
      <c r="A1536" s="320">
        <v>6211</v>
      </c>
      <c r="B1536" s="362"/>
      <c r="AA1536" s="362"/>
    </row>
    <row r="1537" spans="1:27" s="320" customFormat="1" ht="0.65" hidden="1" customHeight="1">
      <c r="A1537" s="320">
        <v>6212</v>
      </c>
      <c r="B1537" s="362"/>
      <c r="R1537" s="363" t="s">
        <v>490</v>
      </c>
      <c r="S1537" s="363">
        <v>534375</v>
      </c>
      <c r="U1537" s="363" t="s">
        <v>124</v>
      </c>
      <c r="V1537" s="366">
        <v>5.2500000000000012E-2</v>
      </c>
      <c r="X1537" s="363" t="s">
        <v>13</v>
      </c>
      <c r="Y1537" s="363">
        <v>87817.478696592501</v>
      </c>
      <c r="AA1537" s="362"/>
    </row>
    <row r="1538" spans="1:27" s="320" customFormat="1" ht="0.65" hidden="1" customHeight="1">
      <c r="A1538" s="320">
        <v>6213</v>
      </c>
      <c r="B1538" s="362"/>
      <c r="R1538" s="363" t="s">
        <v>491</v>
      </c>
      <c r="S1538" s="363">
        <v>142031.25</v>
      </c>
      <c r="U1538" s="363" t="s">
        <v>125</v>
      </c>
      <c r="V1538" s="366">
        <v>0.12000000000000001</v>
      </c>
      <c r="X1538" s="320" t="s">
        <v>28</v>
      </c>
      <c r="Y1538" s="366">
        <v>0.17939434472028948</v>
      </c>
      <c r="AA1538" s="362"/>
    </row>
    <row r="1539" spans="1:27" s="320" customFormat="1" ht="0.65" hidden="1" customHeight="1">
      <c r="A1539" s="320">
        <v>6214</v>
      </c>
      <c r="B1539" s="362"/>
      <c r="R1539" s="363" t="s">
        <v>493</v>
      </c>
      <c r="S1539" s="363">
        <v>68750</v>
      </c>
      <c r="U1539" s="363" t="s">
        <v>126</v>
      </c>
      <c r="V1539" s="366">
        <v>0.10312499999999999</v>
      </c>
      <c r="X1539" s="320" t="s">
        <v>29</v>
      </c>
      <c r="Y1539" s="367">
        <v>0.16433680223923744</v>
      </c>
      <c r="AA1539" s="362"/>
    </row>
    <row r="1540" spans="1:27" s="320" customFormat="1" ht="0.65" hidden="1" customHeight="1">
      <c r="A1540" s="320">
        <v>6215</v>
      </c>
      <c r="B1540" s="362"/>
      <c r="R1540" s="363" t="s">
        <v>494</v>
      </c>
      <c r="S1540" s="363">
        <v>210781.25</v>
      </c>
      <c r="X1540" s="320" t="s">
        <v>30</v>
      </c>
      <c r="Y1540" s="320">
        <v>3</v>
      </c>
      <c r="AA1540" s="362"/>
    </row>
    <row r="1541" spans="1:27" s="61" customFormat="1" hidden="1">
      <c r="B1541" s="368"/>
      <c r="AA1541" s="368"/>
    </row>
  </sheetData>
  <sheetProtection algorithmName="SHA-512" hashValue="AXhTNG0+zGIzwFgoHhZQA9h36LDKtmpoW+hMJHoZbaXzWTa6X87WwUPMC5g6WAJE+akG+xnSySPO9NjuvY14vA==" saltValue="23NH2A7KfEQQ/tQqqM4J0Q==" spinCount="100000" sheet="1" selectLockedCells="1"/>
  <conditionalFormatting sqref="U156:W158 U160:W160 V162:W162 T166:Y168">
    <cfRule type="expression" dxfId="207" priority="11" stopIfTrue="1">
      <formula>NOT(COUNTIF($Q$156:$Q$175,"")=0)</formula>
    </cfRule>
  </conditionalFormatting>
  <conditionalFormatting sqref="B153">
    <cfRule type="expression" dxfId="206" priority="39" stopIfTrue="1">
      <formula>B153=AA153</formula>
    </cfRule>
  </conditionalFormatting>
  <conditionalFormatting sqref="T164:X164">
    <cfRule type="expression" dxfId="205" priority="38" stopIfTrue="1">
      <formula>$T$164=""</formula>
    </cfRule>
  </conditionalFormatting>
  <conditionalFormatting sqref="F15 F22 F29 F36 F43 F50 F57 F64 F71 F78 F85 F92 F99 F106 F113 F120 F127 F134 F141 F148">
    <cfRule type="expression" dxfId="204" priority="14" stopIfTrue="1">
      <formula>F15="INCORRECTO"</formula>
    </cfRule>
  </conditionalFormatting>
  <conditionalFormatting sqref="J134">
    <cfRule type="expression" dxfId="203" priority="10" stopIfTrue="1">
      <formula>OR(F134="INCORRECTO",J134="ERROR")</formula>
    </cfRule>
  </conditionalFormatting>
  <conditionalFormatting sqref="J141">
    <cfRule type="expression" dxfId="202" priority="9" stopIfTrue="1">
      <formula>OR(F141="INCORRECTO",J141="ERROR")</formula>
    </cfRule>
  </conditionalFormatting>
  <conditionalFormatting sqref="J148">
    <cfRule type="expression" dxfId="201" priority="8" stopIfTrue="1">
      <formula>OR(F148="INCORRECTO",J148="ERROR")</formula>
    </cfRule>
  </conditionalFormatting>
  <conditionalFormatting sqref="C14:Y175">
    <cfRule type="expression" dxfId="200" priority="2" stopIfTrue="1">
      <formula>NOT($U$1="x")</formula>
    </cfRule>
  </conditionalFormatting>
  <conditionalFormatting sqref="D155:R175">
    <cfRule type="expression" dxfId="199" priority="35" stopIfTrue="1">
      <formula>OR(AND($U$2="",NOT($V$168="x")),NOT(COUNTIF($Q$156:$Q$175,"")=0))</formula>
    </cfRule>
  </conditionalFormatting>
  <conditionalFormatting sqref="Q156:Q175">
    <cfRule type="expression" dxfId="198" priority="36" stopIfTrue="1">
      <formula>Q156="BIEN"</formula>
    </cfRule>
    <cfRule type="expression" dxfId="197" priority="37" stopIfTrue="1">
      <formula>Q156="MAL"</formula>
    </cfRule>
  </conditionalFormatting>
  <conditionalFormatting sqref="G29:I29 G36:I36 G43:I43 G50:I50 G57:I57 G64:I64 G71:I71 G78:I78 G85:I85 G92:I92 G99:I99 G106:I106 G113:I113 G120:I120 G127:I127 G134:I134 G141:I141 G148:I148 G15:I15 G22:I22">
    <cfRule type="expression" dxfId="196" priority="34" stopIfTrue="1">
      <formula>NOT($V$168="x")</formula>
    </cfRule>
  </conditionalFormatting>
  <conditionalFormatting sqref="J148 J141 J134 J127 J120 J113 J106 J99 J92 J85 J78 J71 J64 J57 J50 J43 J36 J29 J22 J15">
    <cfRule type="expression" dxfId="195" priority="33" stopIfTrue="1">
      <formula>OR(F15="INCORRECTO",J15="ERROR")</formula>
    </cfRule>
  </conditionalFormatting>
  <conditionalFormatting sqref="J15">
    <cfRule type="expression" dxfId="194" priority="31" stopIfTrue="1">
      <formula>OR(F15="INCORRECTO",J15="ERROR")</formula>
    </cfRule>
  </conditionalFormatting>
  <conditionalFormatting sqref="J22">
    <cfRule type="expression" dxfId="193" priority="30" stopIfTrue="1">
      <formula>OR(F22="INCORRECTO",J22="ERROR")</formula>
    </cfRule>
  </conditionalFormatting>
  <conditionalFormatting sqref="J29">
    <cfRule type="expression" dxfId="192" priority="29" stopIfTrue="1">
      <formula>OR(F29="INCORRECTO",J29="ERROR")</formula>
    </cfRule>
  </conditionalFormatting>
  <conditionalFormatting sqref="J15">
    <cfRule type="expression" dxfId="191" priority="28" stopIfTrue="1">
      <formula>OR(F15="INCORRECTO",J15="ERROR")</formula>
    </cfRule>
  </conditionalFormatting>
  <conditionalFormatting sqref="J22">
    <cfRule type="expression" dxfId="190" priority="27" stopIfTrue="1">
      <formula>OR(F22="INCORRECTO",J22="ERROR")</formula>
    </cfRule>
  </conditionalFormatting>
  <conditionalFormatting sqref="J29">
    <cfRule type="expression" dxfId="189" priority="26" stopIfTrue="1">
      <formula>OR(F29="INCORRECTO",J29="ERROR")</formula>
    </cfRule>
  </conditionalFormatting>
  <conditionalFormatting sqref="J36">
    <cfRule type="expression" dxfId="188" priority="25" stopIfTrue="1">
      <formula>OR(F36="INCORRECTO",J36="ERROR")</formula>
    </cfRule>
  </conditionalFormatting>
  <conditionalFormatting sqref="J43">
    <cfRule type="expression" dxfId="187" priority="24" stopIfTrue="1">
      <formula>OR(F43="INCORRECTO",J43="ERROR")</formula>
    </cfRule>
  </conditionalFormatting>
  <conditionalFormatting sqref="J50">
    <cfRule type="expression" dxfId="186" priority="23" stopIfTrue="1">
      <formula>OR(F50="INCORRECTO",J50="ERROR")</formula>
    </cfRule>
  </conditionalFormatting>
  <conditionalFormatting sqref="J57">
    <cfRule type="expression" dxfId="185" priority="22" stopIfTrue="1">
      <formula>OR(F57="INCORRECTO",J57="ERROR")</formula>
    </cfRule>
  </conditionalFormatting>
  <conditionalFormatting sqref="J64">
    <cfRule type="expression" dxfId="184" priority="21" stopIfTrue="1">
      <formula>OR(F64="INCORRECTO",J64="ERROR")</formula>
    </cfRule>
  </conditionalFormatting>
  <conditionalFormatting sqref="J71">
    <cfRule type="expression" dxfId="183" priority="20" stopIfTrue="1">
      <formula>OR(F71="INCORRECTO",J71="ERROR")</formula>
    </cfRule>
  </conditionalFormatting>
  <conditionalFormatting sqref="J78">
    <cfRule type="expression" dxfId="182" priority="19" stopIfTrue="1">
      <formula>OR(F78="INCORRECTO",J78="ERROR")</formula>
    </cfRule>
  </conditionalFormatting>
  <conditionalFormatting sqref="J85">
    <cfRule type="expression" dxfId="181" priority="18" stopIfTrue="1">
      <formula>OR(F85="INCORRECTO",J85="ERROR")</formula>
    </cfRule>
  </conditionalFormatting>
  <conditionalFormatting sqref="J92">
    <cfRule type="expression" dxfId="180" priority="17" stopIfTrue="1">
      <formula>OR(F92="INCORRECTO",J92="ERROR")</formula>
    </cfRule>
  </conditionalFormatting>
  <conditionalFormatting sqref="J99">
    <cfRule type="expression" dxfId="179" priority="16" stopIfTrue="1">
      <formula>OR(F99="INCORRECTO",J99="ERROR")</formula>
    </cfRule>
  </conditionalFormatting>
  <conditionalFormatting sqref="J106">
    <cfRule type="expression" dxfId="178" priority="15" stopIfTrue="1">
      <formula>OR(F106="INCORRECTO",J106="ERROR")</formula>
    </cfRule>
  </conditionalFormatting>
  <conditionalFormatting sqref="J113">
    <cfRule type="expression" dxfId="177" priority="13" stopIfTrue="1">
      <formula>OR(F113="INCORRECTO",J113="ERROR")</formula>
    </cfRule>
  </conditionalFormatting>
  <conditionalFormatting sqref="J120">
    <cfRule type="expression" dxfId="176" priority="12" stopIfTrue="1">
      <formula>OR(F120="INCORRECTO",J120="ERROR")</formula>
    </cfRule>
  </conditionalFormatting>
  <conditionalFormatting sqref="J127">
    <cfRule type="expression" dxfId="175" priority="32" stopIfTrue="1">
      <formula>OR(F127="INCORRECTO",J127="ERROR")</formula>
    </cfRule>
  </conditionalFormatting>
  <conditionalFormatting sqref="B14:B147">
    <cfRule type="expression" dxfId="174" priority="5" stopIfTrue="1">
      <formula>B14="*"</formula>
    </cfRule>
  </conditionalFormatting>
  <conditionalFormatting sqref="B14:B152">
    <cfRule type="expression" dxfId="173" priority="6" stopIfTrue="1">
      <formula>B14="+"</formula>
    </cfRule>
    <cfRule type="expression" dxfId="172" priority="7" stopIfTrue="1">
      <formula>B14="++"</formula>
    </cfRule>
  </conditionalFormatting>
  <conditionalFormatting sqref="U2">
    <cfRule type="expression" dxfId="171" priority="3" stopIfTrue="1">
      <formula>$U$1="x"</formula>
    </cfRule>
  </conditionalFormatting>
  <conditionalFormatting sqref="A1:XFD1048576">
    <cfRule type="expression" dxfId="170" priority="1" stopIfTrue="1">
      <formula>OR($AA$1="",NOT($Z$1=$Z$2),NOT($B$1="SI"))</formula>
    </cfRule>
  </conditionalFormatting>
  <conditionalFormatting sqref="B1:C1 Z1:AA2 A14:B175 Z14:AB152 A176:XFD1540 D15 D22 D29 D36 D43 D50 D57 D64 D71 D78 D85 D92 D99 D106 D113 D120 D127 D134 D141 D148 H157:I175 E156:E175 N156:N175">
    <cfRule type="expression" dxfId="169" priority="4" stopIfTrue="1">
      <formula>NOT($U$3="javi")</formula>
    </cfRule>
  </conditionalFormatting>
  <conditionalFormatting sqref="T166:Y169">
    <cfRule type="expression" dxfId="168" priority="40" stopIfTrue="1">
      <formula>$U$2="x"</formula>
    </cfRule>
  </conditionalFormatting>
  <pageMargins left="0.70866141732283472" right="0.70866141732283472" top="0.74803149606299213" bottom="0.74803149606299213" header="0.31496062992125984" footer="0.31496062992125984"/>
  <pageSetup paperSize="9" scale="80" orientation="landscape" r:id="rId1"/>
  <headerFooter>
    <oddHeader>&amp;CCaso práctico de inversión en condiciones de certeza sin inflación: Sustitución de maquinaria con inversiones en fondo de maniobra - Test de conocimientos</oddHeader>
    <oddFooter>&amp;CPágina &amp;P de &amp;N</oddFooter>
  </headerFooter>
  <rowBreaks count="5" manualBreakCount="5">
    <brk id="40" max="16383" man="1"/>
    <brk id="68" max="16383" man="1"/>
    <brk id="96" max="16383" man="1"/>
    <brk id="124" max="16383" man="1"/>
    <brk id="152"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5216-65FA-414C-957E-A50520F87EC5}">
  <dimension ref="A1:X1443"/>
  <sheetViews>
    <sheetView showGridLines="0" topLeftCell="B1" workbookViewId="0">
      <selection activeCell="H31" sqref="H31"/>
    </sheetView>
  </sheetViews>
  <sheetFormatPr baseColWidth="10" defaultColWidth="11.453125" defaultRowHeight="14.5"/>
  <cols>
    <col min="1" max="1" width="0" style="60" hidden="1" customWidth="1"/>
    <col min="2" max="2" width="6.453125" style="60" customWidth="1"/>
    <col min="3" max="3" width="15.81640625" style="60" customWidth="1"/>
    <col min="4" max="4" width="11.453125" style="60"/>
    <col min="5" max="5" width="9.54296875" style="60" customWidth="1"/>
    <col min="6" max="8" width="11.453125" style="60"/>
    <col min="9" max="9" width="11.54296875" style="60" customWidth="1"/>
    <col min="10" max="11" width="11.453125" style="60"/>
    <col min="12" max="12" width="13.1796875" style="60" customWidth="1"/>
    <col min="13" max="13" width="5.81640625" style="60" customWidth="1"/>
    <col min="14" max="14" width="12.1796875" style="65" hidden="1" customWidth="1"/>
    <col min="15" max="23" width="0" style="65" hidden="1" customWidth="1"/>
    <col min="24" max="24" width="0" style="14" hidden="1" customWidth="1"/>
    <col min="25" max="16384" width="11.453125" style="60"/>
  </cols>
  <sheetData>
    <row r="1" spans="1:22">
      <c r="A1" s="376"/>
      <c r="B1" s="210" t="s">
        <v>19</v>
      </c>
      <c r="C1" s="210"/>
      <c r="D1" s="210"/>
      <c r="E1" s="14" t="str">
        <f>'Instrucciones de uso'!$H$15</f>
        <v>contraseña</v>
      </c>
      <c r="F1" s="14" t="str">
        <f>IF(OR('Enunciado (sin infla)'!$G$2="",NOT('Enunciado (sin infla)'!$H$2="")),"",'Enunciado (sin infla)'!$G$2)</f>
        <v/>
      </c>
    </row>
    <row r="2" spans="1:22">
      <c r="A2" s="376"/>
      <c r="B2" s="286" t="s">
        <v>3951</v>
      </c>
      <c r="E2" s="14" t="str">
        <f>'Instrucciones de uso'!$J$15</f>
        <v>contraseña</v>
      </c>
      <c r="F2" s="345" t="str">
        <f>'Instrucciones de uso'!$I$33</f>
        <v/>
      </c>
    </row>
    <row r="3" spans="1:22">
      <c r="A3" s="376" t="e">
        <f>$F$1*1000+1</f>
        <v>#VALUE!</v>
      </c>
      <c r="C3" s="257" t="e">
        <f>VLOOKUP($A3,$A$216:$X$1442,C$208,FALSE)</f>
        <v>#VALUE!</v>
      </c>
      <c r="D3" s="258" t="e">
        <f>VLOOKUP($A3,$A$216:$X$1442,D$208,FALSE)</f>
        <v>#VALUE!</v>
      </c>
      <c r="F3" s="314" t="s">
        <v>374</v>
      </c>
      <c r="G3" s="314"/>
      <c r="H3" s="314"/>
      <c r="I3" s="314"/>
      <c r="J3" s="314"/>
      <c r="K3" s="314"/>
      <c r="L3" s="314"/>
    </row>
    <row r="4" spans="1:22">
      <c r="A4" s="376" t="e">
        <f>1+A3</f>
        <v>#VALUE!</v>
      </c>
      <c r="C4" s="20"/>
      <c r="D4" s="20"/>
    </row>
    <row r="5" spans="1:22">
      <c r="A5" s="376" t="e">
        <f t="shared" ref="A5:A68" si="0">1+A4</f>
        <v>#VALUE!</v>
      </c>
      <c r="C5" s="255" t="e">
        <f t="shared" ref="C5:D8" si="1">VLOOKUP($A5,$A$216:$X$1442,C$208,FALSE)</f>
        <v>#VALUE!</v>
      </c>
      <c r="D5" s="256"/>
    </row>
    <row r="6" spans="1:22">
      <c r="A6" s="376" t="e">
        <f t="shared" si="0"/>
        <v>#VALUE!</v>
      </c>
      <c r="C6" s="110" t="e">
        <f t="shared" si="1"/>
        <v>#VALUE!</v>
      </c>
      <c r="D6" s="20" t="e">
        <f t="shared" si="1"/>
        <v>#VALUE!</v>
      </c>
      <c r="G6" s="193"/>
      <c r="H6" s="193" t="s">
        <v>338</v>
      </c>
    </row>
    <row r="7" spans="1:22">
      <c r="A7" s="376" t="e">
        <f t="shared" si="0"/>
        <v>#VALUE!</v>
      </c>
      <c r="C7" s="110" t="e">
        <f t="shared" si="1"/>
        <v>#VALUE!</v>
      </c>
      <c r="D7" s="190" t="e">
        <f t="shared" si="1"/>
        <v>#VALUE!</v>
      </c>
      <c r="G7" s="194" t="s">
        <v>0</v>
      </c>
      <c r="H7" s="194" t="s">
        <v>1</v>
      </c>
    </row>
    <row r="8" spans="1:22">
      <c r="A8" s="376" t="e">
        <f t="shared" si="0"/>
        <v>#VALUE!</v>
      </c>
      <c r="C8" s="110" t="e">
        <f t="shared" si="1"/>
        <v>#VALUE!</v>
      </c>
      <c r="D8" s="20" t="e">
        <f t="shared" si="1"/>
        <v>#VALUE!</v>
      </c>
      <c r="G8" s="195" t="e">
        <f t="shared" ref="G8:L11" si="2">VLOOKUP($A8,$A$216:$X$1442,G$208,FALSE)</f>
        <v>#VALUE!</v>
      </c>
      <c r="H8" s="20" t="e">
        <f t="shared" si="2"/>
        <v>#VALUE!</v>
      </c>
    </row>
    <row r="9" spans="1:22">
      <c r="A9" s="376" t="e">
        <f t="shared" si="0"/>
        <v>#VALUE!</v>
      </c>
      <c r="C9" s="110"/>
      <c r="D9" s="20"/>
      <c r="G9" s="196" t="e">
        <f t="shared" si="2"/>
        <v>#VALUE!</v>
      </c>
      <c r="H9" s="20" t="e">
        <f t="shared" si="2"/>
        <v>#VALUE!</v>
      </c>
    </row>
    <row r="10" spans="1:22">
      <c r="A10" s="376" t="e">
        <f t="shared" si="0"/>
        <v>#VALUE!</v>
      </c>
      <c r="C10" s="110" t="e">
        <f t="shared" ref="C10:D11" si="3">VLOOKUP($A10,$A$216:$X$1442,C$208,FALSE)</f>
        <v>#VALUE!</v>
      </c>
      <c r="D10" s="20" t="e">
        <f t="shared" si="3"/>
        <v>#VALUE!</v>
      </c>
      <c r="G10" s="196" t="e">
        <f t="shared" si="2"/>
        <v>#VALUE!</v>
      </c>
      <c r="H10" s="20" t="e">
        <f t="shared" si="2"/>
        <v>#VALUE!</v>
      </c>
      <c r="I10" s="63"/>
      <c r="J10" s="63"/>
      <c r="K10" s="63"/>
      <c r="L10" s="115"/>
    </row>
    <row r="11" spans="1:22">
      <c r="A11" s="376" t="e">
        <f t="shared" si="0"/>
        <v>#VALUE!</v>
      </c>
      <c r="C11" s="110" t="e">
        <f t="shared" si="3"/>
        <v>#VALUE!</v>
      </c>
      <c r="D11" s="20" t="e">
        <f t="shared" si="3"/>
        <v>#VALUE!</v>
      </c>
      <c r="G11" s="196" t="e">
        <f t="shared" si="2"/>
        <v>#VALUE!</v>
      </c>
      <c r="H11" s="20" t="e">
        <f t="shared" si="2"/>
        <v>#VALUE!</v>
      </c>
      <c r="I11" s="377" t="e">
        <f t="shared" si="2"/>
        <v>#VALUE!</v>
      </c>
      <c r="J11" s="378" t="e">
        <f t="shared" si="2"/>
        <v>#VALUE!</v>
      </c>
      <c r="K11" s="345" t="e">
        <f t="shared" si="2"/>
        <v>#VALUE!</v>
      </c>
      <c r="L11" s="379" t="e">
        <f t="shared" si="2"/>
        <v>#VALUE!</v>
      </c>
    </row>
    <row r="12" spans="1:22">
      <c r="A12" s="376" t="e">
        <f t="shared" si="0"/>
        <v>#VALUE!</v>
      </c>
      <c r="C12" s="110"/>
      <c r="D12" s="20"/>
    </row>
    <row r="13" spans="1:22">
      <c r="A13" s="376" t="e">
        <f t="shared" si="0"/>
        <v>#VALUE!</v>
      </c>
      <c r="C13" s="110" t="e">
        <f t="shared" ref="C13:D14" si="4">VLOOKUP($A13,$A$216:$X$1442,C$208,FALSE)</f>
        <v>#VALUE!</v>
      </c>
      <c r="D13" s="190" t="e">
        <f t="shared" si="4"/>
        <v>#VALUE!</v>
      </c>
    </row>
    <row r="14" spans="1:22">
      <c r="A14" s="376" t="e">
        <f t="shared" si="0"/>
        <v>#VALUE!</v>
      </c>
      <c r="C14" s="110" t="e">
        <f t="shared" si="4"/>
        <v>#VALUE!</v>
      </c>
      <c r="D14" s="190" t="e">
        <f t="shared" si="4"/>
        <v>#VALUE!</v>
      </c>
      <c r="F14" s="314" t="s">
        <v>375</v>
      </c>
      <c r="G14" s="314"/>
      <c r="H14" s="314"/>
      <c r="I14" s="314"/>
      <c r="J14" s="314"/>
      <c r="K14" s="314"/>
      <c r="L14" s="314"/>
    </row>
    <row r="15" spans="1:22" ht="16.5">
      <c r="A15" s="376" t="e">
        <f t="shared" si="0"/>
        <v>#VALUE!</v>
      </c>
      <c r="C15" s="110"/>
      <c r="D15" s="20"/>
      <c r="F15" s="314" t="s">
        <v>364</v>
      </c>
      <c r="G15" s="314"/>
      <c r="H15" s="314"/>
      <c r="I15" s="314"/>
      <c r="J15" s="314"/>
      <c r="K15" s="314"/>
      <c r="L15" s="314"/>
    </row>
    <row r="16" spans="1:22">
      <c r="A16" s="376" t="e">
        <f t="shared" si="0"/>
        <v>#VALUE!</v>
      </c>
      <c r="C16" s="255" t="e">
        <f t="shared" ref="C16:D20" si="5">VLOOKUP($A16,$A$216:$X$1442,C$208,FALSE)</f>
        <v>#VALUE!</v>
      </c>
      <c r="D16" s="256"/>
      <c r="V16" s="381"/>
    </row>
    <row r="17" spans="1:24">
      <c r="A17" s="376" t="e">
        <f t="shared" si="0"/>
        <v>#VALUE!</v>
      </c>
      <c r="C17" s="110" t="e">
        <f t="shared" si="5"/>
        <v>#VALUE!</v>
      </c>
      <c r="D17" s="20" t="e">
        <f t="shared" si="5"/>
        <v>#VALUE!</v>
      </c>
    </row>
    <row r="18" spans="1:24">
      <c r="A18" s="376" t="e">
        <f t="shared" si="0"/>
        <v>#VALUE!</v>
      </c>
      <c r="C18" s="110" t="e">
        <f t="shared" si="5"/>
        <v>#VALUE!</v>
      </c>
      <c r="D18" s="20" t="e">
        <f t="shared" si="5"/>
        <v>#VALUE!</v>
      </c>
      <c r="G18" s="162" t="s">
        <v>339</v>
      </c>
      <c r="H18" s="266" t="e">
        <f>VLOOKUP($A18,$A$216:$X$1442,H$208,FALSE)</f>
        <v>#VALUE!</v>
      </c>
      <c r="V18" s="65" t="e">
        <f t="shared" ref="V18" si="6">VLOOKUP($A18,$A$216:$X$1442,V$208,FALSE)</f>
        <v>#VALUE!</v>
      </c>
      <c r="W18" s="65" t="e">
        <f>H18</f>
        <v>#VALUE!</v>
      </c>
      <c r="X18" s="14" t="e">
        <f>IF(V18=W18,1,0)</f>
        <v>#VALUE!</v>
      </c>
    </row>
    <row r="19" spans="1:24">
      <c r="A19" s="376" t="e">
        <f t="shared" si="0"/>
        <v>#VALUE!</v>
      </c>
      <c r="C19" s="110" t="e">
        <f t="shared" si="5"/>
        <v>#VALUE!</v>
      </c>
      <c r="D19" s="190" t="e">
        <f t="shared" si="5"/>
        <v>#VALUE!</v>
      </c>
    </row>
    <row r="20" spans="1:24">
      <c r="A20" s="376" t="e">
        <f t="shared" si="0"/>
        <v>#VALUE!</v>
      </c>
      <c r="C20" s="110" t="e">
        <f t="shared" si="5"/>
        <v>#VALUE!</v>
      </c>
      <c r="D20" s="20" t="e">
        <f t="shared" si="5"/>
        <v>#VALUE!</v>
      </c>
    </row>
    <row r="21" spans="1:24">
      <c r="A21" s="376" t="e">
        <f t="shared" si="0"/>
        <v>#VALUE!</v>
      </c>
      <c r="C21" s="110"/>
      <c r="D21" s="20"/>
      <c r="F21" s="197" t="s">
        <v>376</v>
      </c>
      <c r="G21" s="314"/>
      <c r="H21" s="314"/>
      <c r="I21" s="314"/>
      <c r="J21" s="314"/>
      <c r="K21" s="314"/>
      <c r="L21" s="314"/>
    </row>
    <row r="22" spans="1:24">
      <c r="A22" s="376" t="e">
        <f t="shared" si="0"/>
        <v>#VALUE!</v>
      </c>
      <c r="C22" s="110" t="e">
        <f>VLOOKUP($A22,$A$216:$X$1442,C$208,FALSE)</f>
        <v>#VALUE!</v>
      </c>
      <c r="D22" s="191" t="e">
        <f t="shared" ref="D22:D23" si="7">VLOOKUP($A22,$A$216:$X$1442,D$208,FALSE)</f>
        <v>#VALUE!</v>
      </c>
    </row>
    <row r="23" spans="1:24">
      <c r="A23" s="376" t="e">
        <f t="shared" si="0"/>
        <v>#VALUE!</v>
      </c>
      <c r="C23" s="314"/>
      <c r="D23" s="110" t="e">
        <f t="shared" si="7"/>
        <v>#VALUE!</v>
      </c>
    </row>
    <row r="24" spans="1:24">
      <c r="A24" s="376" t="e">
        <f t="shared" si="0"/>
        <v>#VALUE!</v>
      </c>
      <c r="C24" s="110"/>
      <c r="D24" s="20"/>
      <c r="G24" s="193"/>
      <c r="H24" s="193" t="s">
        <v>338</v>
      </c>
      <c r="I24" s="961" t="str">
        <f>IF($X$183="SI","Uso indebido de la Excel: no puede modificarse el enunciado. 
Deshaga operación (Ctrl-Z) para continuar","")</f>
        <v/>
      </c>
      <c r="J24" s="961"/>
      <c r="K24" s="961"/>
      <c r="L24" s="63"/>
    </row>
    <row r="25" spans="1:24">
      <c r="A25" s="376" t="e">
        <f t="shared" si="0"/>
        <v>#VALUE!</v>
      </c>
      <c r="C25" s="110" t="e">
        <f t="shared" ref="C25:D29" si="8">VLOOKUP($A25,$A$216:$X$1442,C$208,FALSE)</f>
        <v>#VALUE!</v>
      </c>
      <c r="D25" s="20" t="e">
        <f t="shared" si="8"/>
        <v>#VALUE!</v>
      </c>
      <c r="G25" s="194" t="s">
        <v>0</v>
      </c>
      <c r="H25" s="194" t="s">
        <v>1</v>
      </c>
      <c r="I25" s="961"/>
      <c r="J25" s="961"/>
      <c r="K25" s="961"/>
      <c r="L25" s="14">
        <f>IF(AND(I36="x",I38=0,COUNTIF(J31:J33,"CORRECTO")=3),1,0)</f>
        <v>0</v>
      </c>
    </row>
    <row r="26" spans="1:24">
      <c r="A26" s="376" t="e">
        <f t="shared" si="0"/>
        <v>#VALUE!</v>
      </c>
      <c r="C26" s="110" t="e">
        <f t="shared" si="8"/>
        <v>#VALUE!</v>
      </c>
      <c r="D26" s="20" t="e">
        <f t="shared" si="8"/>
        <v>#VALUE!</v>
      </c>
      <c r="G26" s="195" t="e">
        <f t="shared" ref="G26:H29" si="9">VLOOKUP($A26,$A$216:$X$1442,G$208,FALSE)</f>
        <v>#VALUE!</v>
      </c>
      <c r="H26" s="263" t="e">
        <f t="shared" si="9"/>
        <v>#VALUE!</v>
      </c>
      <c r="I26" s="961"/>
      <c r="J26" s="961"/>
      <c r="K26" s="961"/>
      <c r="V26" s="352" t="e">
        <f t="shared" ref="V26:V29" si="10">VLOOKUP($A26,$A$216:$X$1442,V$208,FALSE)</f>
        <v>#VALUE!</v>
      </c>
      <c r="W26" s="65" t="e">
        <f>H26</f>
        <v>#VALUE!</v>
      </c>
      <c r="X26" s="14" t="e">
        <f>IF(V26=W26,1,0)</f>
        <v>#VALUE!</v>
      </c>
    </row>
    <row r="27" spans="1:24">
      <c r="A27" s="376" t="e">
        <f t="shared" si="0"/>
        <v>#VALUE!</v>
      </c>
      <c r="C27" s="110" t="e">
        <f t="shared" si="8"/>
        <v>#VALUE!</v>
      </c>
      <c r="D27" s="192" t="e">
        <f t="shared" si="8"/>
        <v>#VALUE!</v>
      </c>
      <c r="G27" s="195" t="e">
        <f t="shared" si="9"/>
        <v>#VALUE!</v>
      </c>
      <c r="H27" s="263" t="e">
        <f t="shared" si="9"/>
        <v>#VALUE!</v>
      </c>
      <c r="I27" s="961"/>
      <c r="J27" s="961"/>
      <c r="K27" s="961"/>
      <c r="V27" s="65" t="e">
        <f t="shared" si="10"/>
        <v>#VALUE!</v>
      </c>
      <c r="W27" s="65" t="e">
        <f>H27</f>
        <v>#VALUE!</v>
      </c>
      <c r="X27" s="14" t="e">
        <f>IF(V27=W27,1,0)</f>
        <v>#VALUE!</v>
      </c>
    </row>
    <row r="28" spans="1:24">
      <c r="A28" s="376" t="e">
        <f t="shared" si="0"/>
        <v>#VALUE!</v>
      </c>
      <c r="C28" s="110" t="e">
        <f t="shared" si="8"/>
        <v>#VALUE!</v>
      </c>
      <c r="D28" s="20" t="e">
        <f t="shared" si="8"/>
        <v>#VALUE!</v>
      </c>
      <c r="G28" s="195" t="e">
        <f t="shared" si="9"/>
        <v>#VALUE!</v>
      </c>
      <c r="H28" s="263" t="e">
        <f t="shared" si="9"/>
        <v>#VALUE!</v>
      </c>
      <c r="I28" s="961"/>
      <c r="J28" s="961"/>
      <c r="K28" s="961"/>
      <c r="V28" s="65" t="e">
        <f t="shared" si="10"/>
        <v>#VALUE!</v>
      </c>
      <c r="W28" s="65" t="e">
        <f>H28</f>
        <v>#VALUE!</v>
      </c>
      <c r="X28" s="14" t="e">
        <f>IF(V28=W28,1,0)</f>
        <v>#VALUE!</v>
      </c>
    </row>
    <row r="29" spans="1:24">
      <c r="A29" s="376" t="e">
        <f t="shared" si="0"/>
        <v>#VALUE!</v>
      </c>
      <c r="C29" s="110" t="e">
        <f t="shared" si="8"/>
        <v>#VALUE!</v>
      </c>
      <c r="D29" s="20" t="e">
        <f t="shared" si="8"/>
        <v>#VALUE!</v>
      </c>
      <c r="G29" s="195" t="e">
        <f t="shared" si="9"/>
        <v>#VALUE!</v>
      </c>
      <c r="H29" s="263" t="e">
        <f t="shared" si="9"/>
        <v>#VALUE!</v>
      </c>
      <c r="I29" s="961"/>
      <c r="J29" s="961"/>
      <c r="K29" s="961"/>
      <c r="V29" s="65" t="e">
        <f t="shared" si="10"/>
        <v>#VALUE!</v>
      </c>
      <c r="W29" s="65" t="e">
        <f>H29</f>
        <v>#VALUE!</v>
      </c>
      <c r="X29" s="14" t="e">
        <f>IF(V29=W29,1,0)</f>
        <v>#VALUE!</v>
      </c>
    </row>
    <row r="30" spans="1:24">
      <c r="A30" s="376" t="e">
        <f t="shared" si="0"/>
        <v>#VALUE!</v>
      </c>
      <c r="C30" s="20"/>
      <c r="D30" s="20"/>
    </row>
    <row r="31" spans="1:24">
      <c r="A31" s="376" t="e">
        <f t="shared" si="0"/>
        <v>#VALUE!</v>
      </c>
      <c r="C31" s="110" t="e">
        <f>VLOOKUP($A31,$A$216:$X$1442,C$208,FALSE)</f>
        <v>#VALUE!</v>
      </c>
      <c r="D31" s="190" t="e">
        <f>VLOOKUP($A31,$A$216:$X$1442,D$208,FALSE)</f>
        <v>#VALUE!</v>
      </c>
      <c r="G31" s="149" t="e">
        <f>CONCATENATE("VAN (K=",TEXT($H$18*100,"0,00"),"%) = ")</f>
        <v>#VALUE!</v>
      </c>
      <c r="H31" s="204"/>
      <c r="I31" s="26" t="str">
        <f>IF(OR(H31="",ISNUMBER(H31)),"","ERROR")</f>
        <v/>
      </c>
      <c r="J31" s="116" t="str">
        <f>IF(OR(NOT(I36="x"),NOT(I38=0)),"",IF(ABS($H$31-(NPV($H$18,$H$27:$H$29)+$H$26))&lt;0.01,"CORRECTO",NPV($H$18,$H$27:$H$29)+$H$26))</f>
        <v/>
      </c>
      <c r="K31" s="198"/>
      <c r="N31" s="65" t="e">
        <f t="shared" ref="N31:N33" si="11">VLOOKUP($A31,$A$216:$X$1442,N$208,FALSE)</f>
        <v>#VALUE!</v>
      </c>
    </row>
    <row r="32" spans="1:24">
      <c r="A32" s="376" t="e">
        <f t="shared" si="0"/>
        <v>#VALUE!</v>
      </c>
      <c r="D32" s="44"/>
      <c r="G32" s="149" t="e">
        <f>CONCATENATE("IR (K=",TEXT($H$18*100,"0,00"),"%) = ")</f>
        <v>#VALUE!</v>
      </c>
      <c r="H32" s="204"/>
      <c r="I32" s="26" t="str">
        <f>IF(OR(H32="",ISNUMBER(H32)),"","ERROR")</f>
        <v/>
      </c>
      <c r="J32" s="63" t="str">
        <f>IF(OR(NOT(I36="x"),NOT(I38=0)),"",IF(ABS(H32-((NPV($H$18,H$27:H$29)+H$26)/-H26))&lt;0.01,"CORRECTO",(NPV($H$18,H$27:H$29)+H$26)/-H26))</f>
        <v/>
      </c>
      <c r="K32" s="198"/>
      <c r="N32" s="65" t="e">
        <f t="shared" si="11"/>
        <v>#VALUE!</v>
      </c>
    </row>
    <row r="33" spans="1:24">
      <c r="A33" s="376" t="e">
        <f t="shared" si="0"/>
        <v>#VALUE!</v>
      </c>
      <c r="D33" s="44"/>
      <c r="G33" s="149" t="s">
        <v>358</v>
      </c>
      <c r="H33" s="94"/>
      <c r="I33" s="26" t="str">
        <f>IF(OR(H33="",ISNUMBER(H33)),"","ERROR")</f>
        <v/>
      </c>
      <c r="J33" s="63" t="str">
        <f>IF(OR(NOT(I36="x"),NOT(I38=0)),"",IF(ABS($H$33-IRR(H26:H29))&lt;0.0001,"CORRECTO",IRR(H26:H29)))</f>
        <v/>
      </c>
      <c r="K33" s="198"/>
      <c r="N33" s="65" t="e">
        <f t="shared" si="11"/>
        <v>#VALUE!</v>
      </c>
    </row>
    <row r="34" spans="1:24">
      <c r="A34" s="376" t="e">
        <f t="shared" si="0"/>
        <v>#VALUE!</v>
      </c>
      <c r="B34" s="277"/>
      <c r="H34" s="205"/>
      <c r="I34" s="147"/>
    </row>
    <row r="35" spans="1:24">
      <c r="A35" s="376" t="e">
        <f t="shared" si="0"/>
        <v>#VALUE!</v>
      </c>
      <c r="B35" s="277"/>
      <c r="H35" s="147"/>
      <c r="I35" s="147"/>
    </row>
    <row r="36" spans="1:24">
      <c r="A36" s="376" t="e">
        <f t="shared" si="0"/>
        <v>#VALUE!</v>
      </c>
      <c r="H36" s="149" t="s">
        <v>360</v>
      </c>
      <c r="I36" s="206"/>
      <c r="J36" s="26" t="str">
        <f>IF(OR(I36="",I36="x"),"","ERROR")</f>
        <v/>
      </c>
    </row>
    <row r="37" spans="1:24">
      <c r="A37" s="376" t="e">
        <f t="shared" si="0"/>
        <v>#VALUE!</v>
      </c>
      <c r="I37" s="44"/>
    </row>
    <row r="38" spans="1:24">
      <c r="A38" s="376" t="e">
        <f t="shared" si="0"/>
        <v>#VALUE!</v>
      </c>
      <c r="H38" s="157"/>
      <c r="I38" s="14">
        <f>COUNTIF(I31:I33,"ERROR")</f>
        <v>0</v>
      </c>
    </row>
    <row r="39" spans="1:24">
      <c r="A39" s="376" t="e">
        <f t="shared" si="0"/>
        <v>#VALUE!</v>
      </c>
    </row>
    <row r="40" spans="1:24">
      <c r="A40" s="376" t="e">
        <f t="shared" si="0"/>
        <v>#VALUE!</v>
      </c>
      <c r="F40" s="210" t="str">
        <f>IF(I36="x",IF(L25=1,"DESPLÁCESE HACIA ABAJO PARA CONTINUAR","CORRIJA LOS ERRORES ANTES DE CONTINUAR"),"")</f>
        <v/>
      </c>
      <c r="G40" s="210"/>
      <c r="H40" s="210"/>
      <c r="I40" s="210"/>
      <c r="J40" s="210"/>
      <c r="K40" s="210"/>
      <c r="L40" s="210"/>
    </row>
    <row r="41" spans="1:24">
      <c r="A41" s="376" t="e">
        <f t="shared" si="0"/>
        <v>#VALUE!</v>
      </c>
    </row>
    <row r="42" spans="1:24" ht="120" customHeight="1">
      <c r="A42" s="376" t="e">
        <f t="shared" si="0"/>
        <v>#VALUE!</v>
      </c>
      <c r="F42" s="972" t="s">
        <v>448</v>
      </c>
      <c r="G42" s="972"/>
      <c r="H42" s="972"/>
      <c r="I42" s="972"/>
      <c r="J42" s="972"/>
      <c r="K42" s="972"/>
      <c r="L42" s="972"/>
    </row>
    <row r="43" spans="1:24">
      <c r="A43" s="376" t="e">
        <f t="shared" si="0"/>
        <v>#VALUE!</v>
      </c>
    </row>
    <row r="44" spans="1:24" ht="30" customHeight="1">
      <c r="A44" s="376" t="e">
        <f t="shared" si="0"/>
        <v>#VALUE!</v>
      </c>
      <c r="F44" s="972" t="s">
        <v>377</v>
      </c>
      <c r="G44" s="972"/>
      <c r="H44" s="972"/>
      <c r="I44" s="972"/>
      <c r="J44" s="972"/>
      <c r="K44" s="972"/>
      <c r="L44" s="972"/>
    </row>
    <row r="45" spans="1:24">
      <c r="A45" s="376" t="e">
        <f t="shared" si="0"/>
        <v>#VALUE!</v>
      </c>
    </row>
    <row r="46" spans="1:24">
      <c r="A46" s="376" t="e">
        <f t="shared" si="0"/>
        <v>#VALUE!</v>
      </c>
      <c r="G46" s="208"/>
      <c r="H46" s="209" t="s">
        <v>406</v>
      </c>
      <c r="I46" s="272" t="e">
        <f t="shared" ref="I46:J46" si="12">VLOOKUP($A46,$A$216:$X$1442,I$208,FALSE)</f>
        <v>#VALUE!</v>
      </c>
      <c r="J46" s="272" t="e">
        <f t="shared" si="12"/>
        <v>#VALUE!</v>
      </c>
      <c r="V46" s="65" t="e">
        <f t="shared" ref="V46:V47" si="13">VLOOKUP($A46,$A$216:$X$1442,V$208,FALSE)</f>
        <v>#VALUE!</v>
      </c>
      <c r="W46" s="65" t="e">
        <f>I46</f>
        <v>#VALUE!</v>
      </c>
      <c r="X46" s="14" t="e">
        <f>IF(V46=W46,1,0)</f>
        <v>#VALUE!</v>
      </c>
    </row>
    <row r="47" spans="1:24">
      <c r="A47" s="376" t="e">
        <f t="shared" si="0"/>
        <v>#VALUE!</v>
      </c>
      <c r="V47" s="65" t="e">
        <f t="shared" si="13"/>
        <v>#VALUE!</v>
      </c>
      <c r="W47" s="65" t="e">
        <f>J46</f>
        <v>#VALUE!</v>
      </c>
      <c r="X47" s="14">
        <f>IF(OR(ISERROR(V47),ISERROR(W47)),0,IF(V47=W47,1,0))</f>
        <v>0</v>
      </c>
    </row>
    <row r="48" spans="1:24">
      <c r="A48" s="376" t="e">
        <f t="shared" si="0"/>
        <v>#VALUE!</v>
      </c>
      <c r="G48" s="199"/>
      <c r="H48" s="199" t="s">
        <v>338</v>
      </c>
      <c r="I48" s="199" t="s">
        <v>362</v>
      </c>
      <c r="J48" s="199" t="s">
        <v>363</v>
      </c>
      <c r="L48" s="63"/>
    </row>
    <row r="49" spans="1:24">
      <c r="A49" s="376" t="e">
        <f t="shared" si="0"/>
        <v>#VALUE!</v>
      </c>
      <c r="C49" s="961" t="str">
        <f>IF($X$183="SI","Uso indebido de la Excel: no puede modificarse el enunciado. 
Introduzca Ctrl-Z para continuar","")</f>
        <v/>
      </c>
      <c r="D49" s="961"/>
      <c r="E49" s="961"/>
      <c r="G49" s="200" t="s">
        <v>0</v>
      </c>
      <c r="H49" s="200" t="s">
        <v>1</v>
      </c>
      <c r="I49" s="200" t="s">
        <v>1</v>
      </c>
      <c r="J49" s="200" t="s">
        <v>1</v>
      </c>
      <c r="L49" s="14">
        <f>IF(AND(I57="x",I59=0,COUNTIF(I55:J55,"CORRECTO")=2),1+L25,L25)</f>
        <v>0</v>
      </c>
    </row>
    <row r="50" spans="1:24">
      <c r="A50" s="376" t="e">
        <f t="shared" si="0"/>
        <v>#VALUE!</v>
      </c>
      <c r="C50" s="961"/>
      <c r="D50" s="961"/>
      <c r="E50" s="961"/>
      <c r="G50" s="195" t="e">
        <f t="shared" ref="G50:J53" si="14">VLOOKUP($A50,$A$216:$X$1442,G$208,FALSE)</f>
        <v>#VALUE!</v>
      </c>
      <c r="H50" s="263" t="e">
        <f t="shared" si="14"/>
        <v>#VALUE!</v>
      </c>
      <c r="I50" s="263" t="e">
        <f t="shared" si="14"/>
        <v>#VALUE!</v>
      </c>
      <c r="J50" s="263" t="e">
        <f t="shared" si="14"/>
        <v>#VALUE!</v>
      </c>
      <c r="V50" s="65" t="e">
        <f t="shared" ref="V50:V53" si="15">VLOOKUP($A50,$A$216:$X$1442,V$208,FALSE)</f>
        <v>#VALUE!</v>
      </c>
      <c r="W50" s="65" t="e">
        <f>H50</f>
        <v>#VALUE!</v>
      </c>
      <c r="X50" s="14" t="e">
        <f>IF(V50=W50,1,0)</f>
        <v>#VALUE!</v>
      </c>
    </row>
    <row r="51" spans="1:24">
      <c r="A51" s="376" t="e">
        <f t="shared" si="0"/>
        <v>#VALUE!</v>
      </c>
      <c r="C51" s="961"/>
      <c r="D51" s="961"/>
      <c r="E51" s="961"/>
      <c r="G51" s="195" t="e">
        <f t="shared" si="14"/>
        <v>#VALUE!</v>
      </c>
      <c r="H51" s="263" t="e">
        <f t="shared" si="14"/>
        <v>#VALUE!</v>
      </c>
      <c r="I51" s="263" t="e">
        <f t="shared" si="14"/>
        <v>#VALUE!</v>
      </c>
      <c r="J51" s="263" t="e">
        <f t="shared" si="14"/>
        <v>#VALUE!</v>
      </c>
      <c r="K51" s="198"/>
      <c r="N51" s="65" t="e">
        <f t="shared" ref="N51:N52" si="16">VLOOKUP($A51,$A$216:$X$1442,N$208,FALSE)</f>
        <v>#VALUE!</v>
      </c>
      <c r="V51" s="65" t="e">
        <f t="shared" si="15"/>
        <v>#VALUE!</v>
      </c>
      <c r="W51" s="65" t="e">
        <f>H51</f>
        <v>#VALUE!</v>
      </c>
      <c r="X51" s="14" t="e">
        <f>IF(V51=W51,1,0)</f>
        <v>#VALUE!</v>
      </c>
    </row>
    <row r="52" spans="1:24">
      <c r="A52" s="376" t="e">
        <f t="shared" si="0"/>
        <v>#VALUE!</v>
      </c>
      <c r="C52" s="961"/>
      <c r="D52" s="961"/>
      <c r="E52" s="961"/>
      <c r="G52" s="195" t="e">
        <f t="shared" si="14"/>
        <v>#VALUE!</v>
      </c>
      <c r="H52" s="263" t="e">
        <f t="shared" si="14"/>
        <v>#VALUE!</v>
      </c>
      <c r="I52" s="263" t="e">
        <f t="shared" si="14"/>
        <v>#VALUE!</v>
      </c>
      <c r="J52" s="263" t="e">
        <f t="shared" si="14"/>
        <v>#VALUE!</v>
      </c>
      <c r="K52" s="198"/>
      <c r="N52" s="65" t="e">
        <f t="shared" si="16"/>
        <v>#VALUE!</v>
      </c>
      <c r="V52" s="65" t="e">
        <f t="shared" si="15"/>
        <v>#VALUE!</v>
      </c>
      <c r="W52" s="65" t="e">
        <f>H52</f>
        <v>#VALUE!</v>
      </c>
      <c r="X52" s="14" t="e">
        <f>IF(V52=W52,1,0)</f>
        <v>#VALUE!</v>
      </c>
    </row>
    <row r="53" spans="1:24">
      <c r="A53" s="376" t="e">
        <f t="shared" si="0"/>
        <v>#VALUE!</v>
      </c>
      <c r="C53" s="961"/>
      <c r="D53" s="961"/>
      <c r="E53" s="961"/>
      <c r="G53" s="195" t="e">
        <f t="shared" si="14"/>
        <v>#VALUE!</v>
      </c>
      <c r="H53" s="263" t="e">
        <f t="shared" si="14"/>
        <v>#VALUE!</v>
      </c>
      <c r="I53" s="169"/>
      <c r="J53" s="169"/>
      <c r="K53" s="26" t="str">
        <f>IF(AND(OR(I53="",ISNUMBER(I53)),OR(J53="",ISNUMBER(J53))),"","ERROR")</f>
        <v/>
      </c>
      <c r="V53" s="65" t="e">
        <f t="shared" si="15"/>
        <v>#VALUE!</v>
      </c>
      <c r="W53" s="65" t="e">
        <f>H53</f>
        <v>#VALUE!</v>
      </c>
      <c r="X53" s="14" t="e">
        <f>IF(V53=W53,1,0)</f>
        <v>#VALUE!</v>
      </c>
    </row>
    <row r="54" spans="1:24">
      <c r="A54" s="376" t="e">
        <f t="shared" si="0"/>
        <v>#VALUE!</v>
      </c>
      <c r="I54" s="44"/>
      <c r="J54" s="44"/>
    </row>
    <row r="55" spans="1:24">
      <c r="A55" s="376" t="e">
        <f t="shared" si="0"/>
        <v>#VALUE!</v>
      </c>
      <c r="I55" s="116" t="str">
        <f>IF(OR(NOT(I57="x"),NOT(I59=0)),"",IF(ABS(I53-($H51*(1+$H$18)^2+$H52*(1+$H$18)+$H53))&lt;0.01,"CORRECTO",$H51*(1+$H$18)^2+$H52*(1+$H$18)+$H53))</f>
        <v/>
      </c>
      <c r="J55" s="116" t="str">
        <f>IF(OR(NOT(I57="x"),NOT(I59=0)),"",IF(ABS(J53-($H51*(1+$J$46)^2+$H52*(1+$J$46)+$H53))&lt;0.01,"CORRECTO",$H51*(1+$J$46)^2+$H52*(1+$J$46)+$H53))</f>
        <v/>
      </c>
      <c r="V55" s="65" t="e">
        <f t="shared" ref="V55:V57" si="17">VLOOKUP($A55,$A$216:$X$1442,V$208,FALSE)</f>
        <v>#VALUE!</v>
      </c>
      <c r="W55" s="65" t="e">
        <f>I50</f>
        <v>#VALUE!</v>
      </c>
      <c r="X55" s="14" t="e">
        <f>IF(V55=W55,1,0)</f>
        <v>#VALUE!</v>
      </c>
    </row>
    <row r="56" spans="1:24">
      <c r="A56" s="376" t="e">
        <f t="shared" si="0"/>
        <v>#VALUE!</v>
      </c>
      <c r="V56" s="65" t="e">
        <f t="shared" si="17"/>
        <v>#VALUE!</v>
      </c>
      <c r="W56" s="65" t="e">
        <f>I51</f>
        <v>#VALUE!</v>
      </c>
      <c r="X56" s="14" t="e">
        <f>IF(V56=W56,1,0)</f>
        <v>#VALUE!</v>
      </c>
    </row>
    <row r="57" spans="1:24">
      <c r="A57" s="376" t="e">
        <f t="shared" si="0"/>
        <v>#VALUE!</v>
      </c>
      <c r="H57" s="149" t="s">
        <v>360</v>
      </c>
      <c r="I57" s="206"/>
      <c r="J57" s="26" t="str">
        <f>IF(OR(I57="",I57="x"),"","ERROR")</f>
        <v/>
      </c>
      <c r="V57" s="65" t="e">
        <f t="shared" si="17"/>
        <v>#VALUE!</v>
      </c>
      <c r="W57" s="65" t="e">
        <f>I52</f>
        <v>#VALUE!</v>
      </c>
      <c r="X57" s="14" t="e">
        <f>IF(V57=W57,1,0)</f>
        <v>#VALUE!</v>
      </c>
    </row>
    <row r="58" spans="1:24">
      <c r="A58" s="376" t="e">
        <f t="shared" si="0"/>
        <v>#VALUE!</v>
      </c>
      <c r="I58" s="44"/>
    </row>
    <row r="59" spans="1:24">
      <c r="A59" s="376" t="e">
        <f t="shared" si="0"/>
        <v>#VALUE!</v>
      </c>
      <c r="H59" s="157"/>
      <c r="I59" s="14">
        <f>COUNTIF(K53,"ERROR")</f>
        <v>0</v>
      </c>
      <c r="V59" s="65" t="e">
        <f t="shared" ref="V59:V61" si="18">VLOOKUP($A59,$A$216:$X$1442,V$208,FALSE)</f>
        <v>#VALUE!</v>
      </c>
      <c r="W59" s="65" t="e">
        <f>J50</f>
        <v>#VALUE!</v>
      </c>
      <c r="X59" s="14" t="e">
        <f>IF(V59=W59,1,0)</f>
        <v>#VALUE!</v>
      </c>
    </row>
    <row r="60" spans="1:24">
      <c r="A60" s="376" t="e">
        <f t="shared" si="0"/>
        <v>#VALUE!</v>
      </c>
      <c r="F60" s="60" t="e">
        <f>IF(AND(I57="x",J53=H51*(1+ROUND(J46,4))^2+H52*(1+ROUND(J46,4))+H53),"En los cálculos que implican a la TRI, es conveniente que haga referencia a la celdilla I46,","")</f>
        <v>#VALUE!</v>
      </c>
      <c r="V60" s="65" t="e">
        <f t="shared" si="18"/>
        <v>#VALUE!</v>
      </c>
      <c r="W60" s="65" t="e">
        <f>J51</f>
        <v>#VALUE!</v>
      </c>
      <c r="X60" s="14" t="e">
        <f>IF(V60=W60,1,0)</f>
        <v>#VALUE!</v>
      </c>
    </row>
    <row r="61" spans="1:24">
      <c r="A61" s="376" t="e">
        <f t="shared" si="0"/>
        <v>#VALUE!</v>
      </c>
      <c r="F61" s="60" t="e">
        <f>IF(AND(I57="x",J53=H51*(1+ROUND(J46,4))^2+H52*(1+ROUND(J46,4))+H53),"ya que hay decimales adicionales que no resultan visibles en dicha celdilla.","")</f>
        <v>#VALUE!</v>
      </c>
      <c r="V61" s="65" t="e">
        <f t="shared" si="18"/>
        <v>#VALUE!</v>
      </c>
      <c r="W61" s="65" t="e">
        <f>J52</f>
        <v>#VALUE!</v>
      </c>
      <c r="X61" s="14" t="e">
        <f>IF(V61=W61,1,0)</f>
        <v>#VALUE!</v>
      </c>
    </row>
    <row r="62" spans="1:24">
      <c r="A62" s="376" t="e">
        <f t="shared" si="0"/>
        <v>#VALUE!</v>
      </c>
      <c r="F62" s="210" t="str">
        <f>IF(I57="x",IF(L49=2,"DESPLÁCESE HACIA ABAJO PARA CONTINUAR","CORRIJA LOS ERRORES ANTES DE CONTINUAR"),"")</f>
        <v/>
      </c>
      <c r="G62" s="210"/>
      <c r="H62" s="210"/>
      <c r="I62" s="210"/>
      <c r="J62" s="210"/>
      <c r="K62" s="210"/>
      <c r="L62" s="210"/>
    </row>
    <row r="63" spans="1:24">
      <c r="A63" s="376" t="e">
        <f t="shared" si="0"/>
        <v>#VALUE!</v>
      </c>
    </row>
    <row r="64" spans="1:24" ht="75" customHeight="1">
      <c r="A64" s="376" t="e">
        <f t="shared" si="0"/>
        <v>#VALUE!</v>
      </c>
      <c r="F64" s="972" t="s">
        <v>378</v>
      </c>
      <c r="G64" s="972"/>
      <c r="H64" s="972"/>
      <c r="I64" s="972"/>
      <c r="J64" s="972"/>
      <c r="K64" s="972"/>
      <c r="L64" s="972"/>
    </row>
    <row r="65" spans="1:24">
      <c r="A65" s="376" t="e">
        <f t="shared" si="0"/>
        <v>#VALUE!</v>
      </c>
    </row>
    <row r="66" spans="1:24">
      <c r="A66" s="376" t="e">
        <f t="shared" si="0"/>
        <v>#VALUE!</v>
      </c>
    </row>
    <row r="67" spans="1:24">
      <c r="A67" s="376" t="e">
        <f t="shared" si="0"/>
        <v>#VALUE!</v>
      </c>
      <c r="F67" s="971" t="s">
        <v>379</v>
      </c>
      <c r="G67" s="971"/>
      <c r="H67" s="971"/>
      <c r="I67" s="971"/>
      <c r="J67" s="971"/>
      <c r="K67" s="971"/>
      <c r="L67" s="971"/>
    </row>
    <row r="68" spans="1:24">
      <c r="A68" s="376" t="e">
        <f t="shared" si="0"/>
        <v>#VALUE!</v>
      </c>
    </row>
    <row r="69" spans="1:24">
      <c r="A69" s="376" t="e">
        <f t="shared" ref="A69:A132" si="19">1+A68</f>
        <v>#VALUE!</v>
      </c>
      <c r="G69" s="199"/>
      <c r="H69" s="199" t="str">
        <f t="shared" ref="H69:J70" si="20">H48</f>
        <v>Proyecto A</v>
      </c>
      <c r="I69" s="199" t="str">
        <f t="shared" si="20"/>
        <v>Proyecto A(1)</v>
      </c>
      <c r="J69" s="199" t="str">
        <f t="shared" si="20"/>
        <v>Proyecto A(2)</v>
      </c>
      <c r="L69" s="63"/>
    </row>
    <row r="70" spans="1:24">
      <c r="A70" s="376" t="e">
        <f t="shared" si="19"/>
        <v>#VALUE!</v>
      </c>
      <c r="C70" s="961" t="str">
        <f>IF($X$183="SI","Uso indebido de la Excel: no puede modificarse el enunciado. 
Introduzca Ctrl-Z para continuar","")</f>
        <v/>
      </c>
      <c r="D70" s="961"/>
      <c r="E70" s="961"/>
      <c r="G70" s="200" t="str">
        <f>G49</f>
        <v>Año</v>
      </c>
      <c r="H70" s="200" t="str">
        <f t="shared" si="20"/>
        <v>TINV</v>
      </c>
      <c r="I70" s="200" t="str">
        <f t="shared" si="20"/>
        <v>TINV</v>
      </c>
      <c r="J70" s="200" t="str">
        <f t="shared" si="20"/>
        <v>TINV</v>
      </c>
      <c r="L70" s="14">
        <f>IF(AND(I87="x",L87=0,COUNTIF(K78:L84,"CORRECTO")=10),1+L49,L49)</f>
        <v>0</v>
      </c>
    </row>
    <row r="71" spans="1:24">
      <c r="A71" s="376" t="e">
        <f t="shared" si="19"/>
        <v>#VALUE!</v>
      </c>
      <c r="C71" s="961"/>
      <c r="D71" s="961"/>
      <c r="E71" s="961"/>
      <c r="G71" s="195" t="e">
        <f t="shared" ref="G71:J76" si="21">VLOOKUP($A71,$A$216:$X$1442,G$208,FALSE)</f>
        <v>#VALUE!</v>
      </c>
      <c r="H71" s="263" t="e">
        <f t="shared" si="21"/>
        <v>#VALUE!</v>
      </c>
      <c r="I71" s="263" t="e">
        <f t="shared" si="21"/>
        <v>#VALUE!</v>
      </c>
      <c r="J71" s="263" t="e">
        <f t="shared" si="21"/>
        <v>#VALUE!</v>
      </c>
      <c r="V71" s="65" t="e">
        <f t="shared" ref="V71:V76" si="22">VLOOKUP($A71,$A$216:$X$1442,V$208,FALSE)</f>
        <v>#VALUE!</v>
      </c>
      <c r="W71" s="65" t="e">
        <f t="shared" ref="W71:W76" si="23">H71</f>
        <v>#VALUE!</v>
      </c>
      <c r="X71" s="14" t="e">
        <f t="shared" ref="X71:X76" si="24">IF(V71=W71,1,0)</f>
        <v>#VALUE!</v>
      </c>
    </row>
    <row r="72" spans="1:24">
      <c r="A72" s="376" t="e">
        <f t="shared" si="19"/>
        <v>#VALUE!</v>
      </c>
      <c r="C72" s="961"/>
      <c r="D72" s="961"/>
      <c r="E72" s="961"/>
      <c r="G72" s="195" t="e">
        <f t="shared" si="21"/>
        <v>#VALUE!</v>
      </c>
      <c r="H72" s="263" t="e">
        <f t="shared" si="21"/>
        <v>#VALUE!</v>
      </c>
      <c r="I72" s="263" t="e">
        <f t="shared" si="21"/>
        <v>#VALUE!</v>
      </c>
      <c r="J72" s="263" t="e">
        <f t="shared" si="21"/>
        <v>#VALUE!</v>
      </c>
      <c r="V72" s="65" t="e">
        <f t="shared" si="22"/>
        <v>#VALUE!</v>
      </c>
      <c r="W72" s="65" t="e">
        <f t="shared" si="23"/>
        <v>#VALUE!</v>
      </c>
      <c r="X72" s="14" t="e">
        <f t="shared" si="24"/>
        <v>#VALUE!</v>
      </c>
    </row>
    <row r="73" spans="1:24">
      <c r="A73" s="376" t="e">
        <f t="shared" si="19"/>
        <v>#VALUE!</v>
      </c>
      <c r="C73" s="961"/>
      <c r="D73" s="961"/>
      <c r="E73" s="961"/>
      <c r="G73" s="195" t="e">
        <f t="shared" si="21"/>
        <v>#VALUE!</v>
      </c>
      <c r="H73" s="263" t="e">
        <f t="shared" si="21"/>
        <v>#VALUE!</v>
      </c>
      <c r="I73" s="263" t="e">
        <f t="shared" si="21"/>
        <v>#VALUE!</v>
      </c>
      <c r="J73" s="263" t="e">
        <f t="shared" si="21"/>
        <v>#VALUE!</v>
      </c>
      <c r="V73" s="65" t="e">
        <f t="shared" si="22"/>
        <v>#VALUE!</v>
      </c>
      <c r="W73" s="65" t="e">
        <f t="shared" si="23"/>
        <v>#VALUE!</v>
      </c>
      <c r="X73" s="14" t="e">
        <f t="shared" si="24"/>
        <v>#VALUE!</v>
      </c>
    </row>
    <row r="74" spans="1:24">
      <c r="A74" s="376" t="e">
        <f t="shared" si="19"/>
        <v>#VALUE!</v>
      </c>
      <c r="C74" s="961"/>
      <c r="D74" s="961"/>
      <c r="E74" s="961"/>
      <c r="G74" s="195" t="e">
        <f t="shared" si="21"/>
        <v>#VALUE!</v>
      </c>
      <c r="H74" s="263" t="e">
        <f t="shared" si="21"/>
        <v>#VALUE!</v>
      </c>
      <c r="I74" s="263" t="e">
        <f t="shared" si="21"/>
        <v>#VALUE!</v>
      </c>
      <c r="J74" s="263" t="e">
        <f t="shared" si="21"/>
        <v>#VALUE!</v>
      </c>
      <c r="V74" s="65" t="e">
        <f t="shared" si="22"/>
        <v>#VALUE!</v>
      </c>
      <c r="W74" s="65" t="e">
        <f t="shared" si="23"/>
        <v>#VALUE!</v>
      </c>
      <c r="X74" s="14" t="e">
        <f t="shared" si="24"/>
        <v>#VALUE!</v>
      </c>
    </row>
    <row r="75" spans="1:24">
      <c r="A75" s="376" t="e">
        <f t="shared" si="19"/>
        <v>#VALUE!</v>
      </c>
      <c r="G75" s="209" t="e">
        <f t="shared" si="21"/>
        <v>#VALUE!</v>
      </c>
      <c r="H75" s="272" t="e">
        <f t="shared" si="21"/>
        <v>#VALUE!</v>
      </c>
      <c r="V75" s="65" t="e">
        <f t="shared" si="22"/>
        <v>#VALUE!</v>
      </c>
      <c r="W75" s="65" t="e">
        <f t="shared" si="23"/>
        <v>#VALUE!</v>
      </c>
      <c r="X75" s="14" t="e">
        <f t="shared" si="24"/>
        <v>#VALUE!</v>
      </c>
    </row>
    <row r="76" spans="1:24">
      <c r="A76" s="376" t="e">
        <f t="shared" si="19"/>
        <v>#VALUE!</v>
      </c>
      <c r="G76" s="209" t="e">
        <f t="shared" si="21"/>
        <v>#VALUE!</v>
      </c>
      <c r="H76" s="272" t="e">
        <f t="shared" si="21"/>
        <v>#VALUE!</v>
      </c>
      <c r="V76" s="65" t="e">
        <f t="shared" si="22"/>
        <v>#VALUE!</v>
      </c>
      <c r="W76" s="65" t="e">
        <f t="shared" si="23"/>
        <v>#VALUE!</v>
      </c>
      <c r="X76" s="14" t="e">
        <f t="shared" si="24"/>
        <v>#VALUE!</v>
      </c>
    </row>
    <row r="77" spans="1:24">
      <c r="A77" s="376" t="e">
        <f t="shared" si="19"/>
        <v>#VALUE!</v>
      </c>
      <c r="I77" s="201" t="str">
        <f>IF(AND(OR(I78="",ISNUMBER(I78)),OR(I81="",ISNUMBER(I81)),OR(I79="",ISNUMBER(I79)),OR(I82="",ISNUMBER(I82)),OR(I84="",ISNUMBER(I84))),"","ERROR")</f>
        <v/>
      </c>
      <c r="J77" s="201" t="str">
        <f>IF(AND(OR(J78="",ISNUMBER(J78)),OR(J81="",ISNUMBER(J81)),OR(J79="",ISNUMBER(J79)),OR(J82="",ISNUMBER(J82)),OR(J84="",ISNUMBER(J84))),"","ERROR")</f>
        <v/>
      </c>
    </row>
    <row r="78" spans="1:24">
      <c r="A78" s="376" t="e">
        <f t="shared" si="19"/>
        <v>#VALUE!</v>
      </c>
      <c r="G78" s="149" t="e">
        <f t="shared" ref="G78:H79" si="25">VLOOKUP($A78,$A$216:$X$1442,G$208,FALSE)</f>
        <v>#VALUE!</v>
      </c>
      <c r="H78" s="202" t="e">
        <f t="shared" si="25"/>
        <v>#VALUE!</v>
      </c>
      <c r="I78" s="204"/>
      <c r="J78" s="204"/>
      <c r="K78" s="116" t="str">
        <f>IF(OR(NOT(I87="x"),NOT(L87=0)),"",IF(ABS(I78-(NPV($H$18,I$72:I$74)+I$71))&lt;0.01,"CORRECTO",NPV($H$18,I$72:I$74)+I$71))</f>
        <v/>
      </c>
      <c r="L78" s="116" t="str">
        <f>IF(OR(NOT(I87="x"),NOT(L87=0)),"",IF(ABS(J78-(NPV($H$18,J$72:J$74)+J$71))&lt;0.01,"CORRECTO",NPV($H$18,J$72:J$74)+J$71))</f>
        <v/>
      </c>
      <c r="N78" s="65" t="e">
        <f t="shared" ref="N78:N79" si="26">VLOOKUP($A78,$A$216:$X$1442,N$208,FALSE)</f>
        <v>#VALUE!</v>
      </c>
      <c r="O78" s="65" t="e">
        <f>CONCATENATE("=",TEXT(J71,"#.###"),"+",TEXT(J74,"#.###"),"/",TEXT(1+$H$18,"0,00"),"^3")</f>
        <v>#VALUE!</v>
      </c>
      <c r="V78" s="65" t="e">
        <f t="shared" ref="V78:V81" si="27">VLOOKUP($A78,$A$216:$X$1442,V$208,FALSE)</f>
        <v>#VALUE!</v>
      </c>
      <c r="W78" s="65" t="e">
        <f>I71</f>
        <v>#VALUE!</v>
      </c>
      <c r="X78" s="14" t="e">
        <f>IF(V78=W78,1,0)</f>
        <v>#VALUE!</v>
      </c>
    </row>
    <row r="79" spans="1:24">
      <c r="A79" s="376" t="e">
        <f t="shared" si="19"/>
        <v>#VALUE!</v>
      </c>
      <c r="G79" s="149" t="e">
        <f t="shared" si="25"/>
        <v>#VALUE!</v>
      </c>
      <c r="H79" s="202" t="e">
        <f t="shared" si="25"/>
        <v>#VALUE!</v>
      </c>
      <c r="I79" s="204"/>
      <c r="J79" s="204"/>
      <c r="K79" s="63" t="str">
        <f>IF(OR(NOT(I87="x"),NOT(L87=0)),"",IF(ABS(I79-((NPV($H$18,I$72:I$74)+I$71)/-I$71))&lt;0.01,"CORRECTO",(NPV($H$18,I$72:I$74)+I$71)/-I$71))</f>
        <v/>
      </c>
      <c r="L79" s="63" t="str">
        <f>IF(OR(NOT(I87="x"),NOT(L87=0)),"",IF(ABS(J79-((NPV($H$18,J$72:J$74)+J$71)/-J$71))&lt;0.01,"CORRECTO",(NPV($H$18,J$72:J$74)+J$71)/-J$71))</f>
        <v/>
      </c>
      <c r="N79" s="65" t="e">
        <f t="shared" si="26"/>
        <v>#VALUE!</v>
      </c>
      <c r="O79" s="65" t="e">
        <f>CONCATENATE("=[",TEXT(J71,"#.###"),"+",TEXT(J74,"#.###"),"/",TEXT(1+$H$18,"0,00"),"^3] / ",TEXT(-J71,"#.###"))</f>
        <v>#VALUE!</v>
      </c>
      <c r="V79" s="65" t="e">
        <f t="shared" si="27"/>
        <v>#VALUE!</v>
      </c>
      <c r="W79" s="65" t="e">
        <f>I72</f>
        <v>#VALUE!</v>
      </c>
      <c r="X79" s="14" t="e">
        <f>IF(V79=W79,1,0)</f>
        <v>#VALUE!</v>
      </c>
    </row>
    <row r="80" spans="1:24">
      <c r="A80" s="376" t="e">
        <f t="shared" si="19"/>
        <v>#VALUE!</v>
      </c>
      <c r="H80" s="63"/>
      <c r="I80" s="63"/>
      <c r="J80" s="63"/>
      <c r="V80" s="65" t="e">
        <f t="shared" si="27"/>
        <v>#VALUE!</v>
      </c>
      <c r="W80" s="65" t="e">
        <f>I73</f>
        <v>#VALUE!</v>
      </c>
      <c r="X80" s="14" t="e">
        <f>IF(V80=W80,1,0)</f>
        <v>#VALUE!</v>
      </c>
    </row>
    <row r="81" spans="1:24">
      <c r="A81" s="376" t="e">
        <f t="shared" si="19"/>
        <v>#VALUE!</v>
      </c>
      <c r="G81" s="149" t="e">
        <f t="shared" ref="G81:H82" si="28">VLOOKUP($A81,$A$216:$X$1442,G$208,FALSE)</f>
        <v>#VALUE!</v>
      </c>
      <c r="H81" s="202" t="e">
        <f t="shared" si="28"/>
        <v>#VALUE!</v>
      </c>
      <c r="I81" s="204"/>
      <c r="J81" s="204"/>
      <c r="K81" s="116" t="str">
        <f>IF(OR(NOT(I87="x"),NOT(L87=0)),"",IF(ABS(I81-(NPV($J$46,I$72:I$74)+I$71))&lt;0.01,"CORRECTO",NPV($J$46,I$72:I$74)+I$71))</f>
        <v/>
      </c>
      <c r="L81" s="116" t="str">
        <f>IF(OR(NOT(I87="x"),NOT(L87=0)),"",IF(ABS(J81-(NPV($J$46,J$72:J$74)+J$71))&lt;0.01,"CORRECTO",NPV($J$46,J$72:J$74)+J$71))</f>
        <v/>
      </c>
      <c r="N81" s="65" t="e">
        <f t="shared" ref="N81:N82" si="29">VLOOKUP($A81,$A$216:$X$1442,N$208,FALSE)</f>
        <v>#VALUE!</v>
      </c>
      <c r="O81" s="65" t="e">
        <f>CONCATENATE("=",TEXT(J71,"#.###"),"+",TEXT(J74,"#.###"),"/",TEXT(1+$H$84,"0,00"),"^3")</f>
        <v>#VALUE!</v>
      </c>
      <c r="V81" s="65" t="e">
        <f t="shared" si="27"/>
        <v>#VALUE!</v>
      </c>
      <c r="W81" s="65" t="e">
        <f>I74</f>
        <v>#VALUE!</v>
      </c>
      <c r="X81" s="14" t="e">
        <f>IF(V81=W81,1,0)</f>
        <v>#VALUE!</v>
      </c>
    </row>
    <row r="82" spans="1:24">
      <c r="A82" s="376" t="e">
        <f t="shared" si="19"/>
        <v>#VALUE!</v>
      </c>
      <c r="G82" s="149" t="e">
        <f t="shared" si="28"/>
        <v>#VALUE!</v>
      </c>
      <c r="H82" s="202" t="e">
        <f t="shared" si="28"/>
        <v>#VALUE!</v>
      </c>
      <c r="I82" s="204"/>
      <c r="J82" s="204"/>
      <c r="K82" s="63" t="str">
        <f>IF(OR(NOT(I87="x"),NOT(L87=0)),"",IF(ABS(I82-((NPV($J$46,I$72:I$74)+I$71)/-I$71))&lt;0.01,"CORRECTO",(NPV($J$46,I$72:I$74)+I$71)/-I$71))</f>
        <v/>
      </c>
      <c r="L82" s="63" t="str">
        <f>IF(OR(NOT(I87="x"),NOT(L87=0)),"",IF(ABS(J82-((NPV($J$46,J$72:J$74)+J$71)/-J$71))&lt;0.01,"CORRECTO",(NPV($J$46,J$72:J$74)+J$71)/-J$71))</f>
        <v/>
      </c>
      <c r="N82" s="65" t="e">
        <f t="shared" si="29"/>
        <v>#VALUE!</v>
      </c>
      <c r="O82" s="65" t="e">
        <f>CONCATENATE("=[",TEXT(J71,"#.###"),"+",TEXT(J74,"#.###"),"/",TEXT(1+$H$84,"0,00"),"^3] / ",TEXT(-J71,"#.###"))</f>
        <v>#VALUE!</v>
      </c>
    </row>
    <row r="83" spans="1:24">
      <c r="A83" s="376" t="e">
        <f t="shared" si="19"/>
        <v>#VALUE!</v>
      </c>
      <c r="H83" s="63"/>
      <c r="I83" s="63"/>
      <c r="J83" s="63"/>
      <c r="V83" s="65" t="e">
        <f t="shared" ref="V83:V86" si="30">VLOOKUP($A83,$A$216:$X$1442,V$208,FALSE)</f>
        <v>#VALUE!</v>
      </c>
      <c r="W83" s="65" t="e">
        <f>J71</f>
        <v>#VALUE!</v>
      </c>
      <c r="X83" s="14" t="e">
        <f>IF(V83=W83,1,0)</f>
        <v>#VALUE!</v>
      </c>
    </row>
    <row r="84" spans="1:24">
      <c r="A84" s="376" t="e">
        <f t="shared" si="19"/>
        <v>#VALUE!</v>
      </c>
      <c r="G84" s="149" t="e">
        <f t="shared" ref="G84:H84" si="31">VLOOKUP($A84,$A$216:$X$1442,G$208,FALSE)</f>
        <v>#VALUE!</v>
      </c>
      <c r="H84" s="203" t="e">
        <f t="shared" si="31"/>
        <v>#VALUE!</v>
      </c>
      <c r="I84" s="94"/>
      <c r="J84" s="94"/>
      <c r="K84" s="63" t="str">
        <f>IF(OR(NOT(I87="x"),NOT(L87=0)),"",IF(ABS(I84-IRR(I71:I74))&lt;0.0001,"CORRECTO",IRR(I71:I74)))</f>
        <v/>
      </c>
      <c r="L84" s="63" t="str">
        <f>IF(OR(NOT(I87="x"),NOT(L87=0)),"",IF(ABS(J84-IRR(J71:J74))&lt;0.0001,"CORRECTO",IRR(J71:J74)))</f>
        <v/>
      </c>
      <c r="N84" s="65" t="e">
        <f>VLOOKUP($A84,$A$216:$X$1442,N$208,FALSE)</f>
        <v>#VALUE!</v>
      </c>
      <c r="O84" s="65" t="e">
        <f>CONCATENATE("0 = ",TEXT(J71,"#.###"),"+",TEXT(J74,"#.###"),"/(1+TRI)^3")</f>
        <v>#VALUE!</v>
      </c>
      <c r="V84" s="65" t="e">
        <f t="shared" si="30"/>
        <v>#VALUE!</v>
      </c>
      <c r="W84" s="65" t="e">
        <f>J72</f>
        <v>#VALUE!</v>
      </c>
      <c r="X84" s="14" t="e">
        <f>IF(V84=W84,1,0)</f>
        <v>#VALUE!</v>
      </c>
    </row>
    <row r="85" spans="1:24">
      <c r="A85" s="376" t="e">
        <f t="shared" si="19"/>
        <v>#VALUE!</v>
      </c>
      <c r="I85" s="44"/>
      <c r="J85" s="44"/>
      <c r="V85" s="65" t="e">
        <f t="shared" si="30"/>
        <v>#VALUE!</v>
      </c>
      <c r="W85" s="65" t="e">
        <f>J73</f>
        <v>#VALUE!</v>
      </c>
      <c r="X85" s="14" t="e">
        <f>IF(V85=W85,1,0)</f>
        <v>#VALUE!</v>
      </c>
    </row>
    <row r="86" spans="1:24">
      <c r="A86" s="376" t="e">
        <f t="shared" si="19"/>
        <v>#VALUE!</v>
      </c>
      <c r="V86" s="65" t="e">
        <f t="shared" si="30"/>
        <v>#VALUE!</v>
      </c>
      <c r="W86" s="65" t="e">
        <f>J74</f>
        <v>#VALUE!</v>
      </c>
      <c r="X86" s="14" t="e">
        <f>IF(V86=W86,1,0)</f>
        <v>#VALUE!</v>
      </c>
    </row>
    <row r="87" spans="1:24">
      <c r="A87" s="376" t="e">
        <f t="shared" si="19"/>
        <v>#VALUE!</v>
      </c>
      <c r="H87" s="149" t="s">
        <v>360</v>
      </c>
      <c r="I87" s="206"/>
      <c r="J87" s="26" t="str">
        <f>IF(OR(I87="",I87="x"),"","ERROR")</f>
        <v/>
      </c>
      <c r="K87" s="157"/>
      <c r="L87" s="14">
        <f>COUNTIF(I77:J77,"ERROR")</f>
        <v>0</v>
      </c>
    </row>
    <row r="88" spans="1:24">
      <c r="A88" s="376" t="e">
        <f t="shared" si="19"/>
        <v>#VALUE!</v>
      </c>
      <c r="I88" s="44"/>
    </row>
    <row r="89" spans="1:24">
      <c r="A89" s="376" t="e">
        <f t="shared" si="19"/>
        <v>#VALUE!</v>
      </c>
      <c r="F89" s="60" t="e">
        <f>IF(AND(I87="x",OR(I81=NPV(ROUND(H75,4),I72:I74)+I71,J81=NPV(ROUND(H75,4),J72:J74)+J71)),"En los cálculos que implican a la TRI, es conveniente que haga referencia a la celdilla G75,","")</f>
        <v>#VALUE!</v>
      </c>
    </row>
    <row r="90" spans="1:24">
      <c r="A90" s="376" t="e">
        <f t="shared" si="19"/>
        <v>#VALUE!</v>
      </c>
      <c r="F90" s="60" t="e">
        <f>IF(AND(I87="x",OR(I81=NPV(ROUND(H75,4),I72:I74)+I71,J81=NPV(ROUND(H75,4),J72:J74)+J71)),"ya que hay decimales adicionales que no resultan visibles en dicha celdilla.","")</f>
        <v>#VALUE!</v>
      </c>
    </row>
    <row r="91" spans="1:24">
      <c r="A91" s="376" t="e">
        <f t="shared" si="19"/>
        <v>#VALUE!</v>
      </c>
      <c r="F91" s="210" t="str">
        <f>IF(I87="x",IF(L70=3,"DESPLÁCESE HACIA ABAJO PARA CONTINUAR","CORRIJA LOS ERRORES ANTES DE CONTINUAR"),"")</f>
        <v/>
      </c>
      <c r="G91" s="210"/>
      <c r="H91" s="210"/>
      <c r="I91" s="210"/>
      <c r="J91" s="210"/>
      <c r="K91" s="210"/>
      <c r="L91" s="210"/>
    </row>
    <row r="92" spans="1:24">
      <c r="A92" s="376" t="e">
        <f t="shared" si="19"/>
        <v>#VALUE!</v>
      </c>
    </row>
    <row r="93" spans="1:24" ht="30" customHeight="1">
      <c r="A93" s="376" t="e">
        <f t="shared" si="19"/>
        <v>#VALUE!</v>
      </c>
      <c r="F93" s="972" t="s">
        <v>449</v>
      </c>
      <c r="G93" s="972"/>
      <c r="H93" s="972"/>
      <c r="I93" s="972"/>
      <c r="J93" s="972"/>
      <c r="K93" s="972"/>
      <c r="L93" s="972"/>
    </row>
    <row r="94" spans="1:24">
      <c r="A94" s="376" t="e">
        <f t="shared" si="19"/>
        <v>#VALUE!</v>
      </c>
    </row>
    <row r="95" spans="1:24">
      <c r="A95" s="376" t="e">
        <f t="shared" si="19"/>
        <v>#VALUE!</v>
      </c>
      <c r="F95" s="973" t="s">
        <v>380</v>
      </c>
      <c r="G95" s="973"/>
      <c r="H95" s="973"/>
      <c r="I95" s="973"/>
      <c r="J95" s="973"/>
      <c r="K95" s="973"/>
      <c r="L95" s="973"/>
    </row>
    <row r="96" spans="1:24">
      <c r="A96" s="376" t="e">
        <f t="shared" si="19"/>
        <v>#VALUE!</v>
      </c>
      <c r="F96" s="973" t="s">
        <v>381</v>
      </c>
      <c r="G96" s="973"/>
      <c r="H96" s="973"/>
      <c r="I96" s="973"/>
      <c r="J96" s="973"/>
      <c r="K96" s="973"/>
      <c r="L96" s="973"/>
    </row>
    <row r="97" spans="1:12">
      <c r="A97" s="376" t="e">
        <f t="shared" si="19"/>
        <v>#VALUE!</v>
      </c>
    </row>
    <row r="98" spans="1:12" ht="120" customHeight="1">
      <c r="A98" s="376" t="e">
        <f t="shared" si="19"/>
        <v>#VALUE!</v>
      </c>
      <c r="F98" s="972" t="s">
        <v>402</v>
      </c>
      <c r="G98" s="972"/>
      <c r="H98" s="972"/>
      <c r="I98" s="972"/>
      <c r="J98" s="972"/>
      <c r="K98" s="972"/>
      <c r="L98" s="972"/>
    </row>
    <row r="99" spans="1:12">
      <c r="A99" s="376" t="e">
        <f t="shared" si="19"/>
        <v>#VALUE!</v>
      </c>
    </row>
    <row r="100" spans="1:12" ht="75" customHeight="1">
      <c r="A100" s="376" t="e">
        <f t="shared" si="19"/>
        <v>#VALUE!</v>
      </c>
      <c r="F100" s="972" t="s">
        <v>382</v>
      </c>
      <c r="G100" s="972"/>
      <c r="H100" s="972"/>
      <c r="I100" s="972"/>
      <c r="J100" s="972"/>
      <c r="K100" s="972"/>
      <c r="L100" s="972"/>
    </row>
    <row r="101" spans="1:12">
      <c r="A101" s="376" t="e">
        <f t="shared" si="19"/>
        <v>#VALUE!</v>
      </c>
    </row>
    <row r="102" spans="1:12" ht="45" customHeight="1">
      <c r="A102" s="376" t="e">
        <f t="shared" si="19"/>
        <v>#VALUE!</v>
      </c>
      <c r="F102" s="972" t="s">
        <v>403</v>
      </c>
      <c r="G102" s="972"/>
      <c r="H102" s="972"/>
      <c r="I102" s="972"/>
      <c r="J102" s="972"/>
      <c r="K102" s="972"/>
      <c r="L102" s="972"/>
    </row>
    <row r="103" spans="1:12">
      <c r="A103" s="376" t="e">
        <f t="shared" si="19"/>
        <v>#VALUE!</v>
      </c>
    </row>
    <row r="104" spans="1:12" ht="30" customHeight="1">
      <c r="A104" s="376" t="e">
        <f t="shared" si="19"/>
        <v>#VALUE!</v>
      </c>
      <c r="F104" s="974" t="s">
        <v>370</v>
      </c>
      <c r="G104" s="972"/>
      <c r="H104" s="972"/>
      <c r="I104" s="972"/>
      <c r="J104" s="972"/>
      <c r="K104" s="972"/>
      <c r="L104" s="972"/>
    </row>
    <row r="105" spans="1:12">
      <c r="A105" s="376" t="e">
        <f t="shared" si="19"/>
        <v>#VALUE!</v>
      </c>
    </row>
    <row r="106" spans="1:12" ht="45" customHeight="1">
      <c r="A106" s="376" t="e">
        <f t="shared" si="19"/>
        <v>#VALUE!</v>
      </c>
      <c r="F106" s="972" t="s">
        <v>443</v>
      </c>
      <c r="G106" s="972"/>
      <c r="H106" s="972"/>
      <c r="I106" s="972"/>
      <c r="J106" s="972"/>
      <c r="K106" s="972"/>
      <c r="L106" s="972"/>
    </row>
    <row r="107" spans="1:12">
      <c r="A107" s="376" t="e">
        <f t="shared" si="19"/>
        <v>#VALUE!</v>
      </c>
    </row>
    <row r="108" spans="1:12" ht="30" customHeight="1">
      <c r="A108" s="376" t="e">
        <f t="shared" si="19"/>
        <v>#VALUE!</v>
      </c>
      <c r="F108" s="975" t="s">
        <v>404</v>
      </c>
      <c r="G108" s="976"/>
      <c r="H108" s="976"/>
      <c r="I108" s="976"/>
      <c r="J108" s="976"/>
      <c r="K108" s="976"/>
      <c r="L108" s="977"/>
    </row>
    <row r="109" spans="1:12">
      <c r="A109" s="376" t="e">
        <f t="shared" si="19"/>
        <v>#VALUE!</v>
      </c>
    </row>
    <row r="110" spans="1:12">
      <c r="A110" s="376" t="e">
        <f t="shared" si="19"/>
        <v>#VALUE!</v>
      </c>
      <c r="F110" s="974" t="s">
        <v>365</v>
      </c>
      <c r="G110" s="978"/>
      <c r="H110" s="978"/>
      <c r="I110" s="978"/>
      <c r="J110" s="978"/>
      <c r="K110" s="978"/>
      <c r="L110" s="978"/>
    </row>
    <row r="111" spans="1:12">
      <c r="A111" s="376" t="e">
        <f t="shared" si="19"/>
        <v>#VALUE!</v>
      </c>
    </row>
    <row r="112" spans="1:12" ht="30" customHeight="1">
      <c r="A112" s="376" t="e">
        <f t="shared" si="19"/>
        <v>#VALUE!</v>
      </c>
      <c r="F112" s="972" t="s">
        <v>383</v>
      </c>
      <c r="G112" s="972"/>
      <c r="H112" s="972"/>
      <c r="I112" s="972"/>
      <c r="J112" s="972"/>
      <c r="K112" s="972"/>
      <c r="L112" s="972"/>
    </row>
    <row r="113" spans="1:12">
      <c r="A113" s="376" t="e">
        <f t="shared" si="19"/>
        <v>#VALUE!</v>
      </c>
    </row>
    <row r="114" spans="1:12">
      <c r="A114" s="376" t="e">
        <f t="shared" si="19"/>
        <v>#VALUE!</v>
      </c>
      <c r="F114" s="974" t="s">
        <v>366</v>
      </c>
      <c r="G114" s="974"/>
      <c r="H114" s="974"/>
      <c r="I114" s="974"/>
      <c r="J114" s="974"/>
      <c r="K114" s="974"/>
      <c r="L114" s="974"/>
    </row>
    <row r="115" spans="1:12">
      <c r="A115" s="376" t="e">
        <f t="shared" si="19"/>
        <v>#VALUE!</v>
      </c>
    </row>
    <row r="116" spans="1:12" ht="30" customHeight="1">
      <c r="A116" s="376" t="e">
        <f t="shared" si="19"/>
        <v>#VALUE!</v>
      </c>
      <c r="F116" s="972" t="s">
        <v>418</v>
      </c>
      <c r="G116" s="972"/>
      <c r="H116" s="972"/>
      <c r="I116" s="972"/>
      <c r="J116" s="972"/>
      <c r="K116" s="972"/>
      <c r="L116" s="972"/>
    </row>
    <row r="117" spans="1:12">
      <c r="A117" s="376" t="e">
        <f t="shared" si="19"/>
        <v>#VALUE!</v>
      </c>
    </row>
    <row r="118" spans="1:12" ht="30" customHeight="1">
      <c r="A118" s="376" t="e">
        <f t="shared" si="19"/>
        <v>#VALUE!</v>
      </c>
      <c r="F118" s="979" t="s">
        <v>371</v>
      </c>
      <c r="G118" s="979"/>
      <c r="H118" s="979"/>
      <c r="I118" s="979"/>
      <c r="J118" s="979"/>
      <c r="K118" s="979"/>
      <c r="L118" s="979"/>
    </row>
    <row r="119" spans="1:12">
      <c r="A119" s="376" t="e">
        <f t="shared" si="19"/>
        <v>#VALUE!</v>
      </c>
    </row>
    <row r="120" spans="1:12">
      <c r="A120" s="376" t="e">
        <f t="shared" si="19"/>
        <v>#VALUE!</v>
      </c>
      <c r="H120" s="149" t="s">
        <v>359</v>
      </c>
      <c r="I120" s="206"/>
      <c r="J120" s="26" t="str">
        <f>IF(OR(I120="",I120="x"),"","ERROR")</f>
        <v/>
      </c>
      <c r="L120" s="63"/>
    </row>
    <row r="121" spans="1:12">
      <c r="A121" s="376" t="e">
        <f t="shared" si="19"/>
        <v>#VALUE!</v>
      </c>
      <c r="I121" s="44"/>
      <c r="L121" s="14">
        <f>IF(I120="x",1+L70,L70)</f>
        <v>0</v>
      </c>
    </row>
    <row r="122" spans="1:12">
      <c r="A122" s="376" t="e">
        <f t="shared" si="19"/>
        <v>#VALUE!</v>
      </c>
    </row>
    <row r="123" spans="1:12" ht="45" customHeight="1">
      <c r="A123" s="376" t="e">
        <f t="shared" si="19"/>
        <v>#VALUE!</v>
      </c>
      <c r="F123" s="972" t="s">
        <v>384</v>
      </c>
      <c r="G123" s="972"/>
      <c r="H123" s="972"/>
      <c r="I123" s="972"/>
      <c r="J123" s="972"/>
      <c r="K123" s="972"/>
      <c r="L123" s="972"/>
    </row>
    <row r="124" spans="1:12">
      <c r="A124" s="376" t="e">
        <f t="shared" si="19"/>
        <v>#VALUE!</v>
      </c>
      <c r="F124" s="163"/>
      <c r="G124" s="163"/>
      <c r="H124" s="163"/>
      <c r="I124" s="163"/>
      <c r="J124" s="163"/>
      <c r="K124" s="163"/>
      <c r="L124" s="163"/>
    </row>
    <row r="125" spans="1:12">
      <c r="A125" s="376" t="e">
        <f t="shared" si="19"/>
        <v>#VALUE!</v>
      </c>
    </row>
    <row r="126" spans="1:12">
      <c r="A126" s="376" t="e">
        <f t="shared" si="19"/>
        <v>#VALUE!</v>
      </c>
      <c r="G126" s="193"/>
      <c r="H126" s="193" t="s">
        <v>340</v>
      </c>
    </row>
    <row r="127" spans="1:12">
      <c r="A127" s="376" t="e">
        <f t="shared" si="19"/>
        <v>#VALUE!</v>
      </c>
      <c r="G127" s="194" t="s">
        <v>0</v>
      </c>
      <c r="H127" s="194" t="s">
        <v>1</v>
      </c>
    </row>
    <row r="128" spans="1:12">
      <c r="A128" s="376" t="e">
        <f t="shared" si="19"/>
        <v>#VALUE!</v>
      </c>
      <c r="G128" s="195" t="e">
        <f t="shared" ref="G128:L131" si="32">VLOOKUP($A128,$A$216:$X$1442,G$208,FALSE)</f>
        <v>#VALUE!</v>
      </c>
      <c r="H128" s="20" t="e">
        <f t="shared" si="32"/>
        <v>#VALUE!</v>
      </c>
    </row>
    <row r="129" spans="1:24">
      <c r="A129" s="376" t="e">
        <f t="shared" si="19"/>
        <v>#VALUE!</v>
      </c>
      <c r="G129" s="196" t="e">
        <f t="shared" si="32"/>
        <v>#VALUE!</v>
      </c>
      <c r="H129" s="20" t="e">
        <f t="shared" si="32"/>
        <v>#VALUE!</v>
      </c>
    </row>
    <row r="130" spans="1:24">
      <c r="A130" s="376" t="e">
        <f t="shared" si="19"/>
        <v>#VALUE!</v>
      </c>
      <c r="G130" s="196" t="e">
        <f t="shared" si="32"/>
        <v>#VALUE!</v>
      </c>
      <c r="H130" s="20" t="e">
        <f t="shared" si="32"/>
        <v>#VALUE!</v>
      </c>
      <c r="I130" s="63"/>
      <c r="J130" s="63"/>
      <c r="K130" s="63"/>
      <c r="L130" s="63"/>
    </row>
    <row r="131" spans="1:24">
      <c r="A131" s="376" t="e">
        <f t="shared" si="19"/>
        <v>#VALUE!</v>
      </c>
      <c r="G131" s="196" t="e">
        <f t="shared" si="32"/>
        <v>#VALUE!</v>
      </c>
      <c r="H131" s="20" t="e">
        <f t="shared" si="32"/>
        <v>#VALUE!</v>
      </c>
      <c r="I131" s="380" t="e">
        <f t="shared" si="32"/>
        <v>#VALUE!</v>
      </c>
      <c r="J131" s="378" t="e">
        <f t="shared" si="32"/>
        <v>#VALUE!</v>
      </c>
      <c r="K131" s="345" t="e">
        <f t="shared" si="32"/>
        <v>#VALUE!</v>
      </c>
      <c r="L131" s="379" t="e">
        <f t="shared" si="32"/>
        <v>#VALUE!</v>
      </c>
    </row>
    <row r="132" spans="1:24">
      <c r="A132" s="376" t="e">
        <f t="shared" si="19"/>
        <v>#VALUE!</v>
      </c>
    </row>
    <row r="133" spans="1:24">
      <c r="A133" s="376" t="e">
        <f t="shared" ref="A133:A196" si="33">1+A132</f>
        <v>#VALUE!</v>
      </c>
    </row>
    <row r="134" spans="1:24" ht="30" customHeight="1">
      <c r="A134" s="376" t="e">
        <f t="shared" si="33"/>
        <v>#VALUE!</v>
      </c>
      <c r="F134" s="972" t="e">
        <f t="shared" ref="F134:L134" si="34">VLOOKUP($A134,$A$216:$X$1442,F$208,FALSE)</f>
        <v>#VALUE!</v>
      </c>
      <c r="G134" s="972" t="e">
        <f t="shared" si="34"/>
        <v>#VALUE!</v>
      </c>
      <c r="H134" s="972" t="e">
        <f t="shared" si="34"/>
        <v>#VALUE!</v>
      </c>
      <c r="I134" s="972" t="e">
        <f t="shared" si="34"/>
        <v>#VALUE!</v>
      </c>
      <c r="J134" s="972" t="e">
        <f t="shared" si="34"/>
        <v>#VALUE!</v>
      </c>
      <c r="K134" s="972" t="e">
        <f t="shared" si="34"/>
        <v>#VALUE!</v>
      </c>
      <c r="L134" s="972" t="e">
        <f t="shared" si="34"/>
        <v>#VALUE!</v>
      </c>
    </row>
    <row r="135" spans="1:24">
      <c r="A135" s="376" t="e">
        <f t="shared" si="33"/>
        <v>#VALUE!</v>
      </c>
    </row>
    <row r="136" spans="1:24" ht="30" customHeight="1">
      <c r="A136" s="376" t="e">
        <f t="shared" si="33"/>
        <v>#VALUE!</v>
      </c>
      <c r="F136" s="974" t="s">
        <v>428</v>
      </c>
      <c r="G136" s="974"/>
      <c r="H136" s="974"/>
      <c r="I136" s="974"/>
      <c r="J136" s="974"/>
      <c r="K136" s="974"/>
      <c r="L136" s="974"/>
    </row>
    <row r="137" spans="1:24">
      <c r="A137" s="376" t="e">
        <f t="shared" si="33"/>
        <v>#VALUE!</v>
      </c>
    </row>
    <row r="138" spans="1:24">
      <c r="A138" s="376" t="e">
        <f t="shared" si="33"/>
        <v>#VALUE!</v>
      </c>
    </row>
    <row r="139" spans="1:24">
      <c r="A139" s="376" t="e">
        <f t="shared" si="33"/>
        <v>#VALUE!</v>
      </c>
      <c r="B139" s="65"/>
      <c r="C139" s="14"/>
      <c r="D139" s="65"/>
      <c r="F139" s="193"/>
      <c r="G139" s="193" t="s">
        <v>338</v>
      </c>
      <c r="H139" s="193" t="s">
        <v>340</v>
      </c>
      <c r="I139" s="961" t="str">
        <f>IF($X$183="SI","Uso indebido de la Excel: no puede modificarse el enunciado. 
Introduzca Ctrl-Z para continuar","")</f>
        <v/>
      </c>
      <c r="J139" s="961"/>
      <c r="K139" s="961"/>
      <c r="L139" s="63"/>
    </row>
    <row r="140" spans="1:24">
      <c r="A140" s="376" t="e">
        <f t="shared" si="33"/>
        <v>#VALUE!</v>
      </c>
      <c r="B140" s="65"/>
      <c r="C140" s="95"/>
      <c r="D140" s="65"/>
      <c r="F140" s="194" t="s">
        <v>0</v>
      </c>
      <c r="G140" s="194" t="s">
        <v>1</v>
      </c>
      <c r="H140" s="194" t="s">
        <v>1</v>
      </c>
      <c r="I140" s="961"/>
      <c r="J140" s="961"/>
      <c r="K140" s="961"/>
      <c r="L140" s="14">
        <f>IF(AND(H151="x",H153=0,COUNTIF(J147:K149,"CORRECTO")=6),1+L121,L121)</f>
        <v>0</v>
      </c>
    </row>
    <row r="141" spans="1:24">
      <c r="A141" s="376" t="e">
        <f t="shared" si="33"/>
        <v>#VALUE!</v>
      </c>
      <c r="B141" s="65"/>
      <c r="C141" s="383" t="e">
        <f t="shared" ref="C141:C144" si="35">VLOOKUP($A141,$A$216:$X$1442,C$208,FALSE)</f>
        <v>#VALUE!</v>
      </c>
      <c r="D141" s="65"/>
      <c r="F141" s="195" t="e">
        <f t="shared" ref="F141:H144" si="36">VLOOKUP($A141,$A$216:$X$1442,F$208,FALSE)</f>
        <v>#VALUE!</v>
      </c>
      <c r="G141" s="263" t="e">
        <f t="shared" si="36"/>
        <v>#VALUE!</v>
      </c>
      <c r="H141" s="263" t="e">
        <f t="shared" si="36"/>
        <v>#VALUE!</v>
      </c>
      <c r="I141" s="961"/>
      <c r="J141" s="961"/>
      <c r="K141" s="961"/>
      <c r="V141" s="65" t="e">
        <f t="shared" ref="V141:V144" si="37">VLOOKUP($A141,$A$216:$X$1442,V$208,FALSE)</f>
        <v>#VALUE!</v>
      </c>
      <c r="W141" s="65" t="e">
        <f>G141</f>
        <v>#VALUE!</v>
      </c>
      <c r="X141" s="14" t="e">
        <f>IF(V141=W141,1,0)</f>
        <v>#VALUE!</v>
      </c>
    </row>
    <row r="142" spans="1:24">
      <c r="A142" s="376" t="e">
        <f t="shared" si="33"/>
        <v>#VALUE!</v>
      </c>
      <c r="B142" s="65"/>
      <c r="C142" s="383" t="e">
        <f t="shared" si="35"/>
        <v>#VALUE!</v>
      </c>
      <c r="D142" s="65"/>
      <c r="F142" s="195" t="e">
        <f t="shared" si="36"/>
        <v>#VALUE!</v>
      </c>
      <c r="G142" s="263" t="e">
        <f t="shared" si="36"/>
        <v>#VALUE!</v>
      </c>
      <c r="H142" s="263" t="e">
        <f t="shared" si="36"/>
        <v>#VALUE!</v>
      </c>
      <c r="I142" s="961"/>
      <c r="J142" s="961"/>
      <c r="K142" s="961"/>
      <c r="V142" s="65" t="e">
        <f t="shared" si="37"/>
        <v>#VALUE!</v>
      </c>
      <c r="W142" s="65" t="e">
        <f>G142</f>
        <v>#VALUE!</v>
      </c>
      <c r="X142" s="14" t="e">
        <f>IF(V142=W142,1,0)</f>
        <v>#VALUE!</v>
      </c>
    </row>
    <row r="143" spans="1:24">
      <c r="A143" s="376" t="e">
        <f t="shared" si="33"/>
        <v>#VALUE!</v>
      </c>
      <c r="B143" s="65"/>
      <c r="C143" s="383" t="e">
        <f t="shared" si="35"/>
        <v>#VALUE!</v>
      </c>
      <c r="D143" s="65"/>
      <c r="F143" s="195" t="e">
        <f t="shared" si="36"/>
        <v>#VALUE!</v>
      </c>
      <c r="G143" s="263" t="e">
        <f t="shared" si="36"/>
        <v>#VALUE!</v>
      </c>
      <c r="H143" s="263" t="e">
        <f t="shared" si="36"/>
        <v>#VALUE!</v>
      </c>
      <c r="I143" s="961"/>
      <c r="J143" s="961"/>
      <c r="K143" s="961"/>
      <c r="V143" s="65" t="e">
        <f t="shared" si="37"/>
        <v>#VALUE!</v>
      </c>
      <c r="W143" s="65" t="e">
        <f>G143</f>
        <v>#VALUE!</v>
      </c>
      <c r="X143" s="14" t="e">
        <f>IF(V143=W143,1,0)</f>
        <v>#VALUE!</v>
      </c>
    </row>
    <row r="144" spans="1:24">
      <c r="A144" s="376" t="e">
        <f t="shared" si="33"/>
        <v>#VALUE!</v>
      </c>
      <c r="B144" s="65"/>
      <c r="C144" s="383" t="e">
        <f t="shared" si="35"/>
        <v>#VALUE!</v>
      </c>
      <c r="D144" s="65"/>
      <c r="F144" s="195" t="e">
        <f t="shared" si="36"/>
        <v>#VALUE!</v>
      </c>
      <c r="G144" s="263" t="e">
        <f t="shared" si="36"/>
        <v>#VALUE!</v>
      </c>
      <c r="H144" s="263" t="e">
        <f t="shared" si="36"/>
        <v>#VALUE!</v>
      </c>
      <c r="V144" s="65" t="e">
        <f t="shared" si="37"/>
        <v>#VALUE!</v>
      </c>
      <c r="W144" s="65" t="e">
        <f>G144</f>
        <v>#VALUE!</v>
      </c>
      <c r="X144" s="14" t="e">
        <f>IF(V144=W144,1,0)</f>
        <v>#VALUE!</v>
      </c>
    </row>
    <row r="145" spans="1:24">
      <c r="A145" s="376" t="e">
        <f t="shared" si="33"/>
        <v>#VALUE!</v>
      </c>
      <c r="B145" s="65"/>
      <c r="C145" s="95"/>
      <c r="D145" s="65"/>
    </row>
    <row r="146" spans="1:24">
      <c r="A146" s="376" t="e">
        <f t="shared" si="33"/>
        <v>#VALUE!</v>
      </c>
      <c r="B146" s="65"/>
      <c r="C146" s="95"/>
      <c r="D146" s="65"/>
      <c r="V146" s="65" t="e">
        <f t="shared" ref="V146:V149" si="38">VLOOKUP($A146,$A$216:$X$1442,V$208,FALSE)</f>
        <v>#VALUE!</v>
      </c>
      <c r="W146" s="65" t="e">
        <f>H141</f>
        <v>#VALUE!</v>
      </c>
      <c r="X146" s="14" t="e">
        <f>IF(V146=W146,1,0)</f>
        <v>#VALUE!</v>
      </c>
    </row>
    <row r="147" spans="1:24">
      <c r="A147" s="376" t="e">
        <f t="shared" si="33"/>
        <v>#VALUE!</v>
      </c>
      <c r="B147" s="65"/>
      <c r="C147" s="384"/>
      <c r="D147" s="65"/>
      <c r="F147" s="157" t="e">
        <f t="shared" ref="F147:F149" si="39">VLOOKUP($A147,$A$216:$X$1442,F$208,FALSE)</f>
        <v>#VALUE!</v>
      </c>
      <c r="G147" s="169"/>
      <c r="H147" s="169"/>
      <c r="I147" s="26" t="str">
        <f>IF(AND(OR(G147="",ISNUMBER(G147)),OR(H147="",ISNUMBER(H147))),"","ERROR")</f>
        <v/>
      </c>
      <c r="J147" s="116" t="str">
        <f>IF(OR(NOT($H$151="x"),NOT($H$153=0)),"",IF(ABS(G147-(NPV(C148,G142:G144)+G141))&lt;0.01,"CORRECTO",NPV(C148,G142:G144)+G141))</f>
        <v/>
      </c>
      <c r="K147" s="116" t="str">
        <f>IF(OR(NOT($H$151="x"),NOT($H$153=0)),"",IF(ABS(H147-(NPV(C148,H142:H144)+H141))&lt;0.01,"CORRECTO",NPV(C148,H142:H144)+H141))</f>
        <v/>
      </c>
      <c r="N147" s="382" t="e">
        <f t="shared" ref="N147:O150" si="40">VLOOKUP($A147,$A$216:$X$1442,N$208,FALSE)</f>
        <v>#VALUE!</v>
      </c>
      <c r="O147" s="382" t="e">
        <f t="shared" si="40"/>
        <v>#VALUE!</v>
      </c>
      <c r="V147" s="65" t="e">
        <f t="shared" si="38"/>
        <v>#VALUE!</v>
      </c>
      <c r="W147" s="65" t="e">
        <f>H142</f>
        <v>#VALUE!</v>
      </c>
      <c r="X147" s="14" t="e">
        <f>IF(V147=W147,1,0)</f>
        <v>#VALUE!</v>
      </c>
    </row>
    <row r="148" spans="1:24">
      <c r="A148" s="376" t="e">
        <f t="shared" si="33"/>
        <v>#VALUE!</v>
      </c>
      <c r="B148" s="65"/>
      <c r="C148" s="358" t="e">
        <f t="shared" ref="C148:C150" si="41">VLOOKUP($A148,$A$216:$X$1442,C$208,FALSE)</f>
        <v>#VALUE!</v>
      </c>
      <c r="D148" s="65"/>
      <c r="F148" s="157" t="e">
        <f t="shared" si="39"/>
        <v>#VALUE!</v>
      </c>
      <c r="G148" s="169"/>
      <c r="H148" s="169"/>
      <c r="I148" s="26" t="str">
        <f>IF(AND(OR(G148="",ISNUMBER(G148)),OR(H148="",ISNUMBER(H148))),"","ERROR")</f>
        <v/>
      </c>
      <c r="J148" s="116" t="str">
        <f>IF(OR(NOT($H$151="x"),NOT($H$153=0)),"",IF(ABS(G148-(NPV(C150,G142:G144)+G141))&lt;0.01,"CORRECTO",NPV(C150,G142:G144)+G141))</f>
        <v/>
      </c>
      <c r="K148" s="116" t="str">
        <f>IF(OR(NOT($H$151="x"),NOT($H$153=0)),"",IF(ABS(H148-(NPV(C150,H142:H144)+H141))&lt;0.01,"CORRECTO",NPV(C150,H142:H144)+H141))</f>
        <v/>
      </c>
      <c r="N148" s="382" t="e">
        <f t="shared" si="40"/>
        <v>#VALUE!</v>
      </c>
      <c r="O148" s="382" t="e">
        <f t="shared" si="40"/>
        <v>#VALUE!</v>
      </c>
      <c r="V148" s="65" t="e">
        <f t="shared" si="38"/>
        <v>#VALUE!</v>
      </c>
      <c r="W148" s="65" t="e">
        <f>H143</f>
        <v>#VALUE!</v>
      </c>
      <c r="X148" s="14" t="e">
        <f>IF(V148=W148,1,0)</f>
        <v>#VALUE!</v>
      </c>
    </row>
    <row r="149" spans="1:24">
      <c r="A149" s="376" t="e">
        <f t="shared" si="33"/>
        <v>#VALUE!</v>
      </c>
      <c r="B149" s="65"/>
      <c r="C149" s="358" t="e">
        <f t="shared" si="41"/>
        <v>#VALUE!</v>
      </c>
      <c r="D149" s="65"/>
      <c r="F149" s="157" t="e">
        <f t="shared" si="39"/>
        <v>#VALUE!</v>
      </c>
      <c r="G149" s="207"/>
      <c r="H149" s="207"/>
      <c r="I149" s="26" t="str">
        <f>IF(AND(OR(G149="",ISNUMBER(G149)),OR(H149="",ISNUMBER(H149))),"","ERROR")</f>
        <v/>
      </c>
      <c r="J149" s="115" t="str">
        <f>IF(OR(NOT($H$151="x"),NOT($H$153=0)),"",IF(ABS(G149-IRR(G141:G144))&lt;0.0001,"CORRECTO",IRR(G141:G144)))</f>
        <v/>
      </c>
      <c r="K149" s="115" t="str">
        <f>IF(OR(NOT($H$151="x"),NOT($H$153=0)),"",IF(ABS(H149-IRR(H141:H144))&lt;0.0001,"CORRECTO",IRR(H141:H144)))</f>
        <v/>
      </c>
      <c r="N149" s="381" t="e">
        <f t="shared" si="40"/>
        <v>#VALUE!</v>
      </c>
      <c r="O149" s="381" t="e">
        <f t="shared" si="40"/>
        <v>#VALUE!</v>
      </c>
      <c r="V149" s="65" t="e">
        <f t="shared" si="38"/>
        <v>#VALUE!</v>
      </c>
      <c r="W149" s="65" t="e">
        <f>H144</f>
        <v>#VALUE!</v>
      </c>
      <c r="X149" s="14" t="e">
        <f>IF(V149=W149,1,0)</f>
        <v>#VALUE!</v>
      </c>
    </row>
    <row r="150" spans="1:24">
      <c r="A150" s="376" t="e">
        <f t="shared" si="33"/>
        <v>#VALUE!</v>
      </c>
      <c r="B150" s="65"/>
      <c r="C150" s="385" t="e">
        <f t="shared" si="41"/>
        <v>#VALUE!</v>
      </c>
      <c r="D150" s="65"/>
      <c r="G150" s="205"/>
      <c r="H150" s="205"/>
      <c r="N150" s="65" t="e">
        <f t="shared" si="40"/>
        <v>#VALUE!</v>
      </c>
    </row>
    <row r="151" spans="1:24">
      <c r="A151" s="376" t="e">
        <f t="shared" si="33"/>
        <v>#VALUE!</v>
      </c>
      <c r="B151" s="65"/>
      <c r="C151" s="65"/>
      <c r="D151" s="65"/>
      <c r="G151" s="149" t="s">
        <v>360</v>
      </c>
      <c r="H151" s="206"/>
      <c r="I151" s="26" t="str">
        <f>IF(OR(H151="",H151="x"),"","ERROR")</f>
        <v/>
      </c>
    </row>
    <row r="152" spans="1:24">
      <c r="A152" s="376" t="e">
        <f t="shared" si="33"/>
        <v>#VALUE!</v>
      </c>
      <c r="B152" s="65"/>
      <c r="C152" s="65"/>
      <c r="D152" s="65"/>
      <c r="H152" s="44"/>
    </row>
    <row r="153" spans="1:24">
      <c r="A153" s="376" t="e">
        <f t="shared" si="33"/>
        <v>#VALUE!</v>
      </c>
      <c r="B153" s="65"/>
      <c r="C153" s="381"/>
      <c r="D153" s="65"/>
      <c r="G153" s="157"/>
      <c r="H153" s="14">
        <f>COUNTIF(I147:I149,"ERROR")</f>
        <v>0</v>
      </c>
    </row>
    <row r="154" spans="1:24">
      <c r="A154" s="376" t="e">
        <f t="shared" si="33"/>
        <v>#VALUE!</v>
      </c>
      <c r="C154" s="64"/>
      <c r="D154" s="64"/>
    </row>
    <row r="155" spans="1:24">
      <c r="A155" s="376" t="e">
        <f t="shared" si="33"/>
        <v>#VALUE!</v>
      </c>
      <c r="C155" s="64"/>
      <c r="D155" s="64"/>
      <c r="F155" s="210" t="str">
        <f>IF(H151="x",IF(L140=5,"DESPLÁCESE HACIA ABAJO PARA CONTINUAR","CORRIJA LOS ERRORES ANTES DE CONTINUAR"),"")</f>
        <v/>
      </c>
      <c r="G155" s="210"/>
      <c r="H155" s="210"/>
      <c r="I155" s="210"/>
      <c r="J155" s="210"/>
      <c r="K155" s="210"/>
      <c r="L155" s="210"/>
    </row>
    <row r="156" spans="1:24">
      <c r="A156" s="376" t="e">
        <f t="shared" si="33"/>
        <v>#VALUE!</v>
      </c>
    </row>
    <row r="157" spans="1:24" ht="60" customHeight="1">
      <c r="A157" s="376" t="e">
        <f t="shared" si="33"/>
        <v>#VALUE!</v>
      </c>
      <c r="F157" s="972" t="e">
        <f t="shared" ref="F157:L157" si="42">VLOOKUP($A157,$A$216:$X$1442,F$208,FALSE)</f>
        <v>#VALUE!</v>
      </c>
      <c r="G157" s="972" t="e">
        <f t="shared" si="42"/>
        <v>#VALUE!</v>
      </c>
      <c r="H157" s="972" t="e">
        <f t="shared" si="42"/>
        <v>#VALUE!</v>
      </c>
      <c r="I157" s="972" t="e">
        <f t="shared" si="42"/>
        <v>#VALUE!</v>
      </c>
      <c r="J157" s="972" t="e">
        <f t="shared" si="42"/>
        <v>#VALUE!</v>
      </c>
      <c r="K157" s="972" t="e">
        <f t="shared" si="42"/>
        <v>#VALUE!</v>
      </c>
      <c r="L157" s="972" t="e">
        <f t="shared" si="42"/>
        <v>#VALUE!</v>
      </c>
    </row>
    <row r="158" spans="1:24">
      <c r="A158" s="376" t="e">
        <f t="shared" si="33"/>
        <v>#VALUE!</v>
      </c>
    </row>
    <row r="159" spans="1:24" ht="150" customHeight="1">
      <c r="A159" s="376" t="e">
        <f t="shared" si="33"/>
        <v>#VALUE!</v>
      </c>
      <c r="F159" s="972" t="s">
        <v>2072</v>
      </c>
      <c r="G159" s="972"/>
      <c r="H159" s="972"/>
      <c r="I159" s="972"/>
      <c r="J159" s="972"/>
      <c r="K159" s="972"/>
      <c r="L159" s="972"/>
    </row>
    <row r="160" spans="1:24">
      <c r="A160" s="376" t="e">
        <f t="shared" si="33"/>
        <v>#VALUE!</v>
      </c>
    </row>
    <row r="161" spans="1:24" ht="150" customHeight="1">
      <c r="A161" s="376" t="e">
        <f t="shared" si="33"/>
        <v>#VALUE!</v>
      </c>
      <c r="F161" s="972" t="s">
        <v>444</v>
      </c>
      <c r="G161" s="972"/>
      <c r="H161" s="972"/>
      <c r="I161" s="972"/>
      <c r="J161" s="972"/>
      <c r="K161" s="972"/>
      <c r="L161" s="972"/>
    </row>
    <row r="162" spans="1:24">
      <c r="A162" s="376" t="e">
        <f t="shared" si="33"/>
        <v>#VALUE!</v>
      </c>
    </row>
    <row r="163" spans="1:24" ht="150" customHeight="1">
      <c r="A163" s="376" t="e">
        <f t="shared" si="33"/>
        <v>#VALUE!</v>
      </c>
      <c r="F163" s="972" t="s">
        <v>450</v>
      </c>
      <c r="G163" s="972"/>
      <c r="H163" s="972"/>
      <c r="I163" s="972"/>
      <c r="J163" s="972"/>
      <c r="K163" s="972"/>
      <c r="L163" s="972"/>
    </row>
    <row r="164" spans="1:24">
      <c r="A164" s="376" t="e">
        <f t="shared" si="33"/>
        <v>#VALUE!</v>
      </c>
    </row>
    <row r="165" spans="1:24" ht="90" customHeight="1">
      <c r="A165" s="376" t="e">
        <f t="shared" si="33"/>
        <v>#VALUE!</v>
      </c>
      <c r="F165" s="972" t="s">
        <v>451</v>
      </c>
      <c r="G165" s="972"/>
      <c r="H165" s="972"/>
      <c r="I165" s="972"/>
      <c r="J165" s="972"/>
      <c r="K165" s="972"/>
      <c r="L165" s="972"/>
    </row>
    <row r="166" spans="1:24">
      <c r="A166" s="376" t="e">
        <f t="shared" si="33"/>
        <v>#VALUE!</v>
      </c>
    </row>
    <row r="167" spans="1:24" ht="30" customHeight="1">
      <c r="A167" s="376" t="e">
        <f t="shared" si="33"/>
        <v>#VALUE!</v>
      </c>
      <c r="F167" s="972" t="s">
        <v>373</v>
      </c>
      <c r="G167" s="972"/>
      <c r="H167" s="972"/>
      <c r="I167" s="972"/>
      <c r="J167" s="972"/>
      <c r="K167" s="972"/>
      <c r="L167" s="972"/>
    </row>
    <row r="168" spans="1:24">
      <c r="A168" s="376" t="e">
        <f t="shared" si="33"/>
        <v>#VALUE!</v>
      </c>
    </row>
    <row r="169" spans="1:24" ht="60" customHeight="1">
      <c r="A169" s="376" t="e">
        <f t="shared" si="33"/>
        <v>#VALUE!</v>
      </c>
      <c r="F169" s="972" t="s">
        <v>445</v>
      </c>
      <c r="G169" s="972"/>
      <c r="H169" s="972"/>
      <c r="I169" s="972"/>
      <c r="J169" s="972"/>
      <c r="K169" s="972"/>
      <c r="L169" s="972"/>
    </row>
    <row r="170" spans="1:24">
      <c r="A170" s="376" t="e">
        <f t="shared" si="33"/>
        <v>#VALUE!</v>
      </c>
    </row>
    <row r="171" spans="1:24">
      <c r="A171" s="376" t="e">
        <f t="shared" si="33"/>
        <v>#VALUE!</v>
      </c>
      <c r="L171" s="63"/>
    </row>
    <row r="172" spans="1:24">
      <c r="A172" s="376" t="e">
        <f t="shared" si="33"/>
        <v>#VALUE!</v>
      </c>
      <c r="C172" s="961" t="str">
        <f>IF($X$183="SI","Uso indebido de la Excel: no puede modificarse el enunciado. 
Introduzca Ctrl-Z para continuar","")</f>
        <v/>
      </c>
      <c r="D172" s="961"/>
      <c r="E172" s="961"/>
      <c r="G172" s="193"/>
      <c r="H172" s="193" t="s">
        <v>338</v>
      </c>
      <c r="I172" s="193" t="s">
        <v>386</v>
      </c>
      <c r="L172" s="14">
        <f>IF(AND(I181="x",L181=0,COUNTIF(K174:K177,"CORRECTO")=4),1+L140,L140)</f>
        <v>0</v>
      </c>
    </row>
    <row r="173" spans="1:24">
      <c r="A173" s="376" t="e">
        <f t="shared" si="33"/>
        <v>#VALUE!</v>
      </c>
      <c r="C173" s="961"/>
      <c r="D173" s="961"/>
      <c r="E173" s="961"/>
      <c r="G173" s="194" t="s">
        <v>0</v>
      </c>
      <c r="H173" s="194" t="s">
        <v>1</v>
      </c>
      <c r="I173" s="193" t="s">
        <v>387</v>
      </c>
      <c r="P173" s="65" t="s">
        <v>390</v>
      </c>
      <c r="Q173" s="65" t="s">
        <v>390</v>
      </c>
    </row>
    <row r="174" spans="1:24">
      <c r="A174" s="376" t="e">
        <f t="shared" si="33"/>
        <v>#VALUE!</v>
      </c>
      <c r="C174" s="961"/>
      <c r="D174" s="961"/>
      <c r="E174" s="961"/>
      <c r="G174" s="195" t="e">
        <f t="shared" ref="G174:H177" si="43">VLOOKUP($A174,$A$216:$X$1442,G$208,FALSE)</f>
        <v>#VALUE!</v>
      </c>
      <c r="H174" s="263" t="e">
        <f t="shared" si="43"/>
        <v>#VALUE!</v>
      </c>
      <c r="I174" s="169"/>
      <c r="J174" s="26" t="str">
        <f>IF(OR(I174="",ISNUMBER(I174)),"","ERROR")</f>
        <v/>
      </c>
      <c r="K174" s="116" t="str">
        <f>IF(OR(NOT(I181="x"),NOT(L181=0)),"",IF(ABS(I174-H174)&lt;0.01,"CORRECTO",H174))</f>
        <v/>
      </c>
      <c r="L174" s="6"/>
      <c r="M174" s="63"/>
      <c r="N174" s="352" t="e">
        <f t="shared" ref="N174:N177" si="44">VLOOKUP($A174,$A$216:$X$1442,N$208,FALSE)</f>
        <v>#VALUE!</v>
      </c>
      <c r="P174" s="65" t="s">
        <v>391</v>
      </c>
      <c r="Q174" s="65" t="s">
        <v>392</v>
      </c>
      <c r="V174" s="65" t="e">
        <f t="shared" ref="V174:V177" si="45">VLOOKUP($A174,$A$216:$X$1442,V$208,FALSE)</f>
        <v>#VALUE!</v>
      </c>
      <c r="W174" s="65" t="e">
        <f>H174</f>
        <v>#VALUE!</v>
      </c>
      <c r="X174" s="14" t="e">
        <f>IF(V174=W174,1,0)</f>
        <v>#VALUE!</v>
      </c>
    </row>
    <row r="175" spans="1:24">
      <c r="A175" s="376" t="e">
        <f t="shared" si="33"/>
        <v>#VALUE!</v>
      </c>
      <c r="C175" s="961"/>
      <c r="D175" s="961"/>
      <c r="E175" s="961"/>
      <c r="F175" s="63"/>
      <c r="G175" s="195" t="e">
        <f t="shared" si="43"/>
        <v>#VALUE!</v>
      </c>
      <c r="H175" s="263" t="e">
        <f t="shared" si="43"/>
        <v>#VALUE!</v>
      </c>
      <c r="I175" s="169"/>
      <c r="J175" s="26" t="str">
        <f>IF(OR(I175="",ISNUMBER(I175)),"","ERROR")</f>
        <v/>
      </c>
      <c r="K175" s="116" t="str">
        <f>IF(OR(NOT(I181="x"),NOT(L181=0)),"",IF(ABS(I175-(H174*(1+$H$179)+H175))&lt;0.01,"CORRECTO",H174*(1+$H$179)+H175))</f>
        <v/>
      </c>
      <c r="L175" s="6"/>
      <c r="M175" s="63"/>
      <c r="N175" s="352" t="e">
        <f t="shared" si="44"/>
        <v>#VALUE!</v>
      </c>
      <c r="P175" s="14" t="e">
        <f t="shared" ref="P175:Q178" si="46">VLOOKUP($A175,$A$216:$X$1442,P$208,FALSE)</f>
        <v>#VALUE!</v>
      </c>
      <c r="Q175" s="14" t="e">
        <f t="shared" si="46"/>
        <v>#VALUE!</v>
      </c>
      <c r="V175" s="65" t="e">
        <f t="shared" si="45"/>
        <v>#VALUE!</v>
      </c>
      <c r="W175" s="65" t="e">
        <f>H175</f>
        <v>#VALUE!</v>
      </c>
      <c r="X175" s="14" t="e">
        <f>IF(V175=W175,1,0)</f>
        <v>#VALUE!</v>
      </c>
    </row>
    <row r="176" spans="1:24">
      <c r="A176" s="376" t="e">
        <f t="shared" si="33"/>
        <v>#VALUE!</v>
      </c>
      <c r="C176" s="961"/>
      <c r="D176" s="961"/>
      <c r="E176" s="961"/>
      <c r="F176" s="63"/>
      <c r="G176" s="195" t="e">
        <f t="shared" si="43"/>
        <v>#VALUE!</v>
      </c>
      <c r="H176" s="263" t="e">
        <f t="shared" si="43"/>
        <v>#VALUE!</v>
      </c>
      <c r="I176" s="169"/>
      <c r="J176" s="26" t="str">
        <f>IF(OR(I176="",ISNUMBER(I176)),"","ERROR")</f>
        <v/>
      </c>
      <c r="K176" s="116" t="str">
        <f>IF(OR(NOT(I181="x"),NOT(L181=0)),"",IF(ABS(I176-(H174*(1+$H$179)^2+H175*(1+$H$179)+H176))&lt;0.01,"CORRECTO",H174*(1+$H$179)^2+H175*(1+$H$179)+H176))</f>
        <v/>
      </c>
      <c r="L176" s="6"/>
      <c r="M176" s="63"/>
      <c r="N176" s="352" t="e">
        <f t="shared" si="44"/>
        <v>#VALUE!</v>
      </c>
      <c r="P176" s="14" t="e">
        <f t="shared" si="46"/>
        <v>#VALUE!</v>
      </c>
      <c r="Q176" s="14" t="e">
        <f t="shared" si="46"/>
        <v>#VALUE!</v>
      </c>
      <c r="V176" s="65" t="e">
        <f t="shared" si="45"/>
        <v>#VALUE!</v>
      </c>
      <c r="W176" s="65" t="e">
        <f>H176</f>
        <v>#VALUE!</v>
      </c>
      <c r="X176" s="14" t="e">
        <f>IF(V176=W176,1,0)</f>
        <v>#VALUE!</v>
      </c>
    </row>
    <row r="177" spans="1:24">
      <c r="A177" s="376" t="e">
        <f t="shared" si="33"/>
        <v>#VALUE!</v>
      </c>
      <c r="F177" s="63"/>
      <c r="G177" s="195" t="e">
        <f t="shared" si="43"/>
        <v>#VALUE!</v>
      </c>
      <c r="H177" s="263" t="e">
        <f t="shared" si="43"/>
        <v>#VALUE!</v>
      </c>
      <c r="I177" s="169"/>
      <c r="J177" s="26" t="str">
        <f>IF(OR(I177="",ISNUMBER(I177)),"","ERROR")</f>
        <v/>
      </c>
      <c r="K177" s="116" t="str">
        <f>IF(OR(NOT(I181="x"),NOT(L181=0)),"",IF(ABS(I177-(H174*(1+$H$179)^3+H175*(1+$H$179)^2+H176*(1+$H$179)+H177))&lt;0.01,"CORRECTO",H174*(1+$H$179)^3+H175*(1+$H$179)^2+H176*(1+$H$179)+H177))</f>
        <v/>
      </c>
      <c r="L177" s="6"/>
      <c r="M177" s="63"/>
      <c r="N177" s="352" t="e">
        <f t="shared" si="44"/>
        <v>#VALUE!</v>
      </c>
      <c r="P177" s="14" t="e">
        <f t="shared" si="46"/>
        <v>#VALUE!</v>
      </c>
      <c r="Q177" s="14"/>
      <c r="V177" s="65" t="e">
        <f t="shared" si="45"/>
        <v>#VALUE!</v>
      </c>
      <c r="W177" s="65" t="e">
        <f>H177</f>
        <v>#VALUE!</v>
      </c>
      <c r="X177" s="14" t="e">
        <f>IF(V177=W177,1,0)</f>
        <v>#VALUE!</v>
      </c>
    </row>
    <row r="178" spans="1:24">
      <c r="A178" s="376" t="e">
        <f t="shared" si="33"/>
        <v>#VALUE!</v>
      </c>
      <c r="F178" s="63"/>
      <c r="I178" s="90"/>
      <c r="L178" s="63"/>
      <c r="M178" s="63"/>
      <c r="P178" s="14" t="e">
        <f t="shared" si="46"/>
        <v>#VALUE!</v>
      </c>
      <c r="Q178" s="14" t="e">
        <f t="shared" si="46"/>
        <v>#VALUE!</v>
      </c>
    </row>
    <row r="179" spans="1:24">
      <c r="A179" s="376" t="e">
        <f t="shared" si="33"/>
        <v>#VALUE!</v>
      </c>
      <c r="G179" s="209" t="e">
        <f t="shared" ref="G179:H179" si="47">VLOOKUP($A179,$A$216:$X$1442,G$208,FALSE)</f>
        <v>#VALUE!</v>
      </c>
      <c r="H179" s="272" t="e">
        <f t="shared" si="47"/>
        <v>#VALUE!</v>
      </c>
      <c r="V179" s="65" t="e">
        <f t="shared" ref="V179" si="48">VLOOKUP($A179,$A$216:$X$1442,V$208,FALSE)</f>
        <v>#VALUE!</v>
      </c>
      <c r="W179" s="65" t="e">
        <f>H179</f>
        <v>#VALUE!</v>
      </c>
      <c r="X179" s="14" t="e">
        <f>IF(V179=W179,1,0)</f>
        <v>#VALUE!</v>
      </c>
    </row>
    <row r="180" spans="1:24">
      <c r="A180" s="376" t="e">
        <f t="shared" si="33"/>
        <v>#VALUE!</v>
      </c>
      <c r="O180" s="65" t="s">
        <v>388</v>
      </c>
      <c r="P180" s="65" t="e">
        <f t="shared" ref="P180:P181" si="49">VLOOKUP($A180,$A$216:$X$1442,P$208,FALSE)</f>
        <v>#VALUE!</v>
      </c>
    </row>
    <row r="181" spans="1:24">
      <c r="A181" s="376" t="e">
        <f t="shared" si="33"/>
        <v>#VALUE!</v>
      </c>
      <c r="H181" s="149" t="s">
        <v>360</v>
      </c>
      <c r="I181" s="144"/>
      <c r="J181" s="26" t="str">
        <f>IF(OR(I181="",I181="x"),"","ERROR")</f>
        <v/>
      </c>
      <c r="K181" s="157"/>
      <c r="L181" s="14">
        <f>COUNTIF(J174:J177,"ERROR")</f>
        <v>0</v>
      </c>
      <c r="P181" s="65" t="e">
        <f t="shared" si="49"/>
        <v>#VALUE!</v>
      </c>
    </row>
    <row r="182" spans="1:24">
      <c r="A182" s="376" t="e">
        <f t="shared" si="33"/>
        <v>#VALUE!</v>
      </c>
      <c r="I182" s="44"/>
      <c r="W182" s="319" t="s">
        <v>422</v>
      </c>
      <c r="X182" s="14">
        <f>IF(ISERROR(SUM(X18:X179)),0,SUM(X18:X179))</f>
        <v>0</v>
      </c>
    </row>
    <row r="183" spans="1:24">
      <c r="A183" s="376" t="e">
        <f t="shared" si="33"/>
        <v>#VALUE!</v>
      </c>
      <c r="F183" s="60" t="e">
        <f>IF(AND(I181="x",OR(I175=H174*(1+ROUND(H179,4))+H175,I176=H174*(1+ROUND(H179,4))^2+H175*(1+ROUND(H179,4))+H176,I177=H174*(1+ROUND(H179,4))^3+H175*(1+ROUND(H179,4))^2+H176*(1+ROUND(H179,4))+H177)),"En los cálculos que implican a la TRI, es conveniente que haga referencia a la celdilla G75,","")</f>
        <v>#VALUE!</v>
      </c>
      <c r="W183" s="319" t="s">
        <v>423</v>
      </c>
      <c r="X183" s="14" t="str">
        <f>IF(F1="","NO",IF(X182=44,"NO","SI"))</f>
        <v>NO</v>
      </c>
    </row>
    <row r="184" spans="1:24">
      <c r="A184" s="376" t="e">
        <f t="shared" si="33"/>
        <v>#VALUE!</v>
      </c>
      <c r="F184" s="60" t="e">
        <f>IF(AND(I181="x",OR(I175=H174*(1+ROUND(H179,4))+H175,I176=H174*(1+ROUND(H179,4))^2+H175*(1+ROUND(H179,4))+H176,I177=H174*(1+ROUND(H179,4))^3+H175*(1+ROUND(H179,4))^2+H176*(1+ROUND(H179,4))+H177)),"ya que hay decimales adicionales que no resultan visibles en dicha celdilla.","")</f>
        <v>#VALUE!</v>
      </c>
    </row>
    <row r="185" spans="1:24">
      <c r="A185" s="376" t="e">
        <f t="shared" si="33"/>
        <v>#VALUE!</v>
      </c>
      <c r="F185" s="210" t="str">
        <f>IF(I181="x",IF(L172=6,"DESPLÁCESE HACIA ABAJO PARA CONTINUAR","CORRIJA LOS ERRORES ANTES DE CONTINUAR"),"")</f>
        <v/>
      </c>
      <c r="G185" s="210"/>
      <c r="H185" s="210"/>
      <c r="I185" s="210"/>
      <c r="J185" s="210"/>
      <c r="K185" s="210"/>
      <c r="L185" s="210"/>
    </row>
    <row r="186" spans="1:24">
      <c r="A186" s="376" t="e">
        <f t="shared" si="33"/>
        <v>#VALUE!</v>
      </c>
    </row>
    <row r="187" spans="1:24" ht="120" customHeight="1">
      <c r="A187" s="376" t="e">
        <f t="shared" si="33"/>
        <v>#VALUE!</v>
      </c>
      <c r="F187" s="972" t="s">
        <v>446</v>
      </c>
      <c r="G187" s="972"/>
      <c r="H187" s="972"/>
      <c r="I187" s="972"/>
      <c r="J187" s="972"/>
      <c r="K187" s="972"/>
      <c r="L187" s="972"/>
    </row>
    <row r="188" spans="1:24">
      <c r="A188" s="376" t="e">
        <f t="shared" si="33"/>
        <v>#VALUE!</v>
      </c>
      <c r="O188" s="14" t="s">
        <v>40</v>
      </c>
      <c r="P188" s="65" t="s">
        <v>398</v>
      </c>
    </row>
    <row r="189" spans="1:24">
      <c r="A189" s="376" t="e">
        <f t="shared" si="33"/>
        <v>#VALUE!</v>
      </c>
      <c r="F189" s="971" t="s">
        <v>393</v>
      </c>
      <c r="G189" s="971"/>
      <c r="H189" s="971"/>
      <c r="I189" s="971"/>
      <c r="J189" s="971"/>
      <c r="K189" s="971"/>
      <c r="L189" s="971"/>
      <c r="O189" s="14" t="s">
        <v>38</v>
      </c>
      <c r="P189" s="65" t="s">
        <v>399</v>
      </c>
    </row>
    <row r="190" spans="1:24">
      <c r="A190" s="376" t="e">
        <f t="shared" si="33"/>
        <v>#VALUE!</v>
      </c>
      <c r="O190" s="14" t="s">
        <v>397</v>
      </c>
      <c r="P190" s="65" t="s">
        <v>400</v>
      </c>
    </row>
    <row r="191" spans="1:24">
      <c r="A191" s="376" t="e">
        <f t="shared" si="33"/>
        <v>#VALUE!</v>
      </c>
      <c r="F191" s="62" t="s">
        <v>394</v>
      </c>
      <c r="J191" s="144"/>
      <c r="K191" s="26" t="str">
        <f>IF(OR(J191="",J191="S",J191="N"),"","ERROR")</f>
        <v/>
      </c>
      <c r="L191" s="63" t="str">
        <f>IF(OR(NOT($J$194="x"),NOT($J$196=0)),"",IF(ISERROR(VLOOKUP(J191,$O$188:$P$191,2,FALSE)),P180,IF(VLOOKUP(J191,$O$188:$P$191,2,FALSE)=P180,"CORRECTO",P180)))</f>
        <v/>
      </c>
      <c r="O191" s="14" t="s">
        <v>396</v>
      </c>
      <c r="P191" s="65" t="s">
        <v>401</v>
      </c>
    </row>
    <row r="192" spans="1:24">
      <c r="A192" s="376" t="e">
        <f t="shared" si="33"/>
        <v>#VALUE!</v>
      </c>
      <c r="F192" s="62" t="s">
        <v>395</v>
      </c>
      <c r="J192" s="144"/>
      <c r="K192" s="26" t="str">
        <f>IF(OR(J192="",J192="P",J192="M"),"","ERROR")</f>
        <v/>
      </c>
      <c r="L192" s="63" t="str">
        <f>IF(OR(NOT($J$194="x"),NOT($J$196=0)),"",IF(ISERROR(VLOOKUP(J192,$O$188:$P$191,2,FALSE)),P181,IF(VLOOKUP(J192,$O$188:$P$191,2,FALSE)=P181,"CORRECTO",P181)))</f>
        <v/>
      </c>
    </row>
    <row r="193" spans="1:24">
      <c r="A193" s="376" t="e">
        <f t="shared" si="33"/>
        <v>#VALUE!</v>
      </c>
      <c r="J193" s="63"/>
    </row>
    <row r="194" spans="1:24">
      <c r="A194" s="376" t="e">
        <f t="shared" si="33"/>
        <v>#VALUE!</v>
      </c>
      <c r="I194" s="149" t="s">
        <v>360</v>
      </c>
      <c r="J194" s="144"/>
      <c r="K194" s="26" t="str">
        <f>IF(OR(J194="",J194="x"),"","ERROR")</f>
        <v/>
      </c>
      <c r="L194" s="63"/>
    </row>
    <row r="195" spans="1:24">
      <c r="A195" s="376" t="e">
        <f t="shared" si="33"/>
        <v>#VALUE!</v>
      </c>
      <c r="J195" s="44"/>
      <c r="L195" s="14">
        <f>IF(AND(J194="x",J196=0,COUNTIF(L191:L192,"CORRECTO")=2),1+L172,L172)</f>
        <v>0</v>
      </c>
    </row>
    <row r="196" spans="1:24">
      <c r="A196" s="376" t="e">
        <f t="shared" si="33"/>
        <v>#VALUE!</v>
      </c>
      <c r="I196" s="157"/>
      <c r="J196" s="14">
        <f>COUNTIF(K191:K192,"ERROR")</f>
        <v>0</v>
      </c>
    </row>
    <row r="197" spans="1:24">
      <c r="A197" s="376" t="e">
        <f t="shared" ref="A197:A202" si="50">1+A196</f>
        <v>#VALUE!</v>
      </c>
    </row>
    <row r="198" spans="1:24">
      <c r="A198" s="376" t="e">
        <f t="shared" si="50"/>
        <v>#VALUE!</v>
      </c>
      <c r="F198" s="210" t="str">
        <f>IF(J194="x",IF(L195=7,"DESPLÁCESE HACIA ABAJO PARA CONTINUAR","CORRIJA LOS ERRORES ANTES DE CONTINUAR"),"")</f>
        <v/>
      </c>
      <c r="G198" s="210"/>
      <c r="H198" s="210"/>
      <c r="I198" s="210"/>
      <c r="J198" s="210"/>
      <c r="K198" s="210"/>
      <c r="L198" s="210"/>
    </row>
    <row r="199" spans="1:24">
      <c r="A199" s="376" t="e">
        <f t="shared" si="50"/>
        <v>#VALUE!</v>
      </c>
      <c r="I199" s="157"/>
      <c r="J199" s="63"/>
    </row>
    <row r="200" spans="1:24" ht="135" customHeight="1">
      <c r="A200" s="376" t="e">
        <f t="shared" si="50"/>
        <v>#VALUE!</v>
      </c>
      <c r="F200" s="972" t="s">
        <v>419</v>
      </c>
      <c r="G200" s="972"/>
      <c r="H200" s="972"/>
      <c r="I200" s="972"/>
      <c r="J200" s="972"/>
      <c r="K200" s="972"/>
      <c r="L200" s="972"/>
    </row>
    <row r="201" spans="1:24">
      <c r="A201" s="376" t="e">
        <f t="shared" si="50"/>
        <v>#VALUE!</v>
      </c>
    </row>
    <row r="202" spans="1:24" ht="166.5" customHeight="1">
      <c r="A202" s="376" t="e">
        <f t="shared" si="50"/>
        <v>#VALUE!</v>
      </c>
      <c r="F202" s="972" t="s">
        <v>447</v>
      </c>
      <c r="G202" s="972"/>
      <c r="H202" s="972"/>
      <c r="I202" s="972"/>
      <c r="J202" s="972"/>
      <c r="K202" s="972"/>
      <c r="L202" s="972"/>
    </row>
    <row r="203" spans="1:24">
      <c r="A203" s="65"/>
    </row>
    <row r="204" spans="1:24">
      <c r="A204" s="65"/>
    </row>
    <row r="205" spans="1:24">
      <c r="A205" s="65"/>
    </row>
    <row r="206" spans="1:24">
      <c r="A206" s="65"/>
    </row>
    <row r="207" spans="1:24" hidden="1">
      <c r="A207" s="65"/>
    </row>
    <row r="208" spans="1:24" s="324" customFormat="1" ht="0.65" hidden="1" customHeight="1">
      <c r="A208" s="326"/>
      <c r="B208" s="326">
        <v>2</v>
      </c>
      <c r="C208" s="326">
        <v>3</v>
      </c>
      <c r="D208" s="326">
        <v>4</v>
      </c>
      <c r="E208" s="326">
        <v>5</v>
      </c>
      <c r="F208" s="326">
        <v>6</v>
      </c>
      <c r="G208" s="326">
        <v>7</v>
      </c>
      <c r="H208" s="326">
        <v>8</v>
      </c>
      <c r="I208" s="326">
        <v>9</v>
      </c>
      <c r="J208" s="326">
        <v>10</v>
      </c>
      <c r="K208" s="326">
        <v>11</v>
      </c>
      <c r="L208" s="326">
        <v>12</v>
      </c>
      <c r="M208" s="326">
        <v>13</v>
      </c>
      <c r="N208" s="326">
        <v>14</v>
      </c>
      <c r="O208" s="326">
        <v>15</v>
      </c>
      <c r="P208" s="326">
        <v>16</v>
      </c>
      <c r="Q208" s="326">
        <v>17</v>
      </c>
      <c r="R208" s="326">
        <v>18</v>
      </c>
      <c r="S208" s="326">
        <v>19</v>
      </c>
      <c r="T208" s="326">
        <v>20</v>
      </c>
      <c r="U208" s="326">
        <v>21</v>
      </c>
      <c r="V208" s="326">
        <v>22</v>
      </c>
      <c r="W208" s="326">
        <v>23</v>
      </c>
      <c r="X208" s="326">
        <v>24</v>
      </c>
    </row>
    <row r="209" spans="1:24" s="324" customFormat="1" ht="0.65" hidden="1" customHeight="1">
      <c r="X209" s="326"/>
    </row>
    <row r="210" spans="1:24" s="324" customFormat="1" ht="0.65" hidden="1" customHeight="1">
      <c r="X210" s="326"/>
    </row>
    <row r="211" spans="1:24" s="324" customFormat="1" ht="0.65" hidden="1" customHeight="1">
      <c r="X211" s="326"/>
    </row>
    <row r="212" spans="1:24" s="324" customFormat="1" ht="0.65" hidden="1" customHeight="1">
      <c r="X212" s="326"/>
    </row>
    <row r="213" spans="1:24" s="324" customFormat="1" ht="0.65" hidden="1" customHeight="1">
      <c r="X213" s="326"/>
    </row>
    <row r="214" spans="1:24" s="324" customFormat="1" ht="0.65" hidden="1" customHeight="1">
      <c r="X214" s="326"/>
    </row>
    <row r="215" spans="1:24" s="324" customFormat="1" ht="0.65" hidden="1" customHeight="1">
      <c r="X215" s="326"/>
    </row>
    <row r="216" spans="1:24" s="324" customFormat="1" ht="0.65" hidden="1" customHeight="1">
      <c r="B216" s="324" t="s">
        <v>19</v>
      </c>
      <c r="E216" s="324" t="s">
        <v>336</v>
      </c>
      <c r="F216" s="324">
        <v>1</v>
      </c>
      <c r="X216" s="326"/>
    </row>
    <row r="217" spans="1:24" s="324" customFormat="1" ht="0.65" hidden="1" customHeight="1">
      <c r="B217" s="324" t="s">
        <v>3951</v>
      </c>
      <c r="E217" s="324" t="s">
        <v>336</v>
      </c>
      <c r="F217" s="324" t="s">
        <v>486</v>
      </c>
      <c r="X217" s="326"/>
    </row>
    <row r="218" spans="1:24" s="324" customFormat="1" ht="0.65" hidden="1" customHeight="1">
      <c r="A218" s="324">
        <v>1001</v>
      </c>
      <c r="C218" s="324" t="s">
        <v>5</v>
      </c>
      <c r="D218" s="324">
        <v>2022</v>
      </c>
      <c r="F218" s="324" t="s">
        <v>374</v>
      </c>
      <c r="X218" s="326"/>
    </row>
    <row r="219" spans="1:24" s="324" customFormat="1" ht="0.65" hidden="1" customHeight="1">
      <c r="A219" s="324">
        <v>1002</v>
      </c>
      <c r="X219" s="326"/>
    </row>
    <row r="220" spans="1:24" s="324" customFormat="1" ht="0.65" hidden="1" customHeight="1">
      <c r="A220" s="324">
        <v>1003</v>
      </c>
      <c r="C220" s="324" t="s">
        <v>32</v>
      </c>
      <c r="X220" s="326"/>
    </row>
    <row r="221" spans="1:24" s="324" customFormat="1" ht="0.65" hidden="1" customHeight="1">
      <c r="A221" s="324">
        <v>1004</v>
      </c>
      <c r="C221" s="324" t="s">
        <v>488</v>
      </c>
      <c r="D221" s="324">
        <v>1000000</v>
      </c>
      <c r="H221" s="324" t="s">
        <v>338</v>
      </c>
      <c r="X221" s="326"/>
    </row>
    <row r="222" spans="1:24" s="324" customFormat="1" ht="0.65" hidden="1" customHeight="1">
      <c r="A222" s="324">
        <v>1005</v>
      </c>
      <c r="C222" s="324" t="s">
        <v>6</v>
      </c>
      <c r="D222" s="324">
        <v>10</v>
      </c>
      <c r="G222" s="324" t="s">
        <v>0</v>
      </c>
      <c r="H222" s="324" t="s">
        <v>1</v>
      </c>
      <c r="X222" s="326"/>
    </row>
    <row r="223" spans="1:24" s="324" customFormat="1" ht="0.65" hidden="1" customHeight="1">
      <c r="A223" s="324">
        <v>1006</v>
      </c>
      <c r="C223" s="324" t="s">
        <v>489</v>
      </c>
      <c r="D223" s="324">
        <v>400000</v>
      </c>
      <c r="G223" s="324">
        <v>2022</v>
      </c>
      <c r="H223" s="324">
        <v>-825000</v>
      </c>
      <c r="X223" s="326"/>
    </row>
    <row r="224" spans="1:24" s="324" customFormat="1" ht="0.65" hidden="1" customHeight="1">
      <c r="A224" s="324">
        <v>1007</v>
      </c>
      <c r="G224" s="324">
        <v>2023</v>
      </c>
      <c r="H224" s="324">
        <v>47500</v>
      </c>
      <c r="X224" s="326"/>
    </row>
    <row r="225" spans="1:24" s="324" customFormat="1" ht="0.65" hidden="1" customHeight="1">
      <c r="A225" s="324">
        <v>1008</v>
      </c>
      <c r="C225" s="324" t="s">
        <v>34</v>
      </c>
      <c r="D225" s="324">
        <v>420000</v>
      </c>
      <c r="G225" s="324">
        <v>2024</v>
      </c>
      <c r="H225" s="324">
        <v>102500</v>
      </c>
      <c r="I225" s="324" t="s">
        <v>354</v>
      </c>
      <c r="J225" s="324" t="s">
        <v>355</v>
      </c>
      <c r="K225" s="324" t="s">
        <v>356</v>
      </c>
      <c r="L225" s="324" t="s">
        <v>28</v>
      </c>
      <c r="X225" s="326"/>
    </row>
    <row r="226" spans="1:24" s="324" customFormat="1" ht="0.65" hidden="1" customHeight="1">
      <c r="A226" s="324">
        <v>1009</v>
      </c>
      <c r="C226" s="324" t="s">
        <v>35</v>
      </c>
      <c r="D226" s="324">
        <v>300000</v>
      </c>
      <c r="G226" s="324">
        <v>2025</v>
      </c>
      <c r="H226" s="324">
        <v>570000</v>
      </c>
      <c r="I226" s="324">
        <v>614618.94718458864</v>
      </c>
      <c r="J226" s="324">
        <v>2.7057570752751623</v>
      </c>
      <c r="K226" s="324">
        <v>720000</v>
      </c>
      <c r="L226" s="324">
        <v>-4.8576778446782765E-2</v>
      </c>
      <c r="X226" s="326"/>
    </row>
    <row r="227" spans="1:24" s="324" customFormat="1" ht="0.65" hidden="1" customHeight="1">
      <c r="A227" s="324">
        <v>1010</v>
      </c>
      <c r="X227" s="326"/>
    </row>
    <row r="228" spans="1:24" s="324" customFormat="1" ht="0.65" hidden="1" customHeight="1">
      <c r="A228" s="324">
        <v>1011</v>
      </c>
      <c r="C228" s="324" t="s">
        <v>7</v>
      </c>
      <c r="D228" s="324">
        <v>90</v>
      </c>
      <c r="X228" s="326"/>
    </row>
    <row r="229" spans="1:24" s="324" customFormat="1" ht="0.65" hidden="1" customHeight="1">
      <c r="A229" s="324">
        <v>1012</v>
      </c>
      <c r="C229" s="324" t="s">
        <v>8</v>
      </c>
      <c r="D229" s="324">
        <v>60</v>
      </c>
      <c r="F229" s="324" t="s">
        <v>375</v>
      </c>
      <c r="X229" s="326"/>
    </row>
    <row r="230" spans="1:24" s="324" customFormat="1" ht="0.65" hidden="1" customHeight="1">
      <c r="A230" s="324">
        <v>1013</v>
      </c>
      <c r="F230" s="324" t="s">
        <v>477</v>
      </c>
      <c r="X230" s="326"/>
    </row>
    <row r="231" spans="1:24" s="324" customFormat="1" ht="0.65" hidden="1" customHeight="1">
      <c r="A231" s="324">
        <v>1014</v>
      </c>
      <c r="C231" s="324" t="s">
        <v>33</v>
      </c>
      <c r="X231" s="326"/>
    </row>
    <row r="232" spans="1:24" s="324" customFormat="1" ht="0.65" hidden="1" customHeight="1">
      <c r="A232" s="324">
        <v>1015</v>
      </c>
      <c r="C232" s="324" t="s">
        <v>492</v>
      </c>
      <c r="D232" s="324">
        <v>200000</v>
      </c>
      <c r="X232" s="326"/>
    </row>
    <row r="233" spans="1:24" s="324" customFormat="1" ht="0.65" hidden="1" customHeight="1">
      <c r="A233" s="324">
        <v>1016</v>
      </c>
      <c r="C233" s="324" t="s">
        <v>495</v>
      </c>
      <c r="D233" s="324">
        <v>100000</v>
      </c>
      <c r="G233" s="324" t="s">
        <v>339</v>
      </c>
      <c r="H233" s="324">
        <v>0.06</v>
      </c>
      <c r="V233" s="324">
        <v>5.9999999999999991E-2</v>
      </c>
      <c r="W233" s="324">
        <v>0.06</v>
      </c>
      <c r="X233" s="326">
        <v>1</v>
      </c>
    </row>
    <row r="234" spans="1:24" s="324" customFormat="1" ht="0.65" hidden="1" customHeight="1">
      <c r="A234" s="324">
        <v>1017</v>
      </c>
      <c r="C234" s="324" t="s">
        <v>6</v>
      </c>
      <c r="D234" s="324">
        <v>2</v>
      </c>
      <c r="X234" s="326"/>
    </row>
    <row r="235" spans="1:24" s="324" customFormat="1" ht="0.65" hidden="1" customHeight="1">
      <c r="A235" s="324">
        <v>1018</v>
      </c>
      <c r="C235" s="324" t="s">
        <v>489</v>
      </c>
      <c r="D235" s="324">
        <v>100000</v>
      </c>
      <c r="X235" s="326"/>
    </row>
    <row r="236" spans="1:24" s="324" customFormat="1" ht="0.65" hidden="1" customHeight="1">
      <c r="A236" s="324">
        <v>1019</v>
      </c>
      <c r="F236" s="324" t="s">
        <v>376</v>
      </c>
      <c r="X236" s="326"/>
    </row>
    <row r="237" spans="1:24" s="324" customFormat="1" ht="0.65" hidden="1" customHeight="1">
      <c r="A237" s="324">
        <v>1020</v>
      </c>
      <c r="C237" s="324" t="s">
        <v>4</v>
      </c>
      <c r="D237" s="324">
        <v>0.25</v>
      </c>
      <c r="X237" s="326"/>
    </row>
    <row r="238" spans="1:24" s="324" customFormat="1" ht="0.65" hidden="1" customHeight="1">
      <c r="A238" s="324">
        <v>1021</v>
      </c>
      <c r="D238" s="324" t="s">
        <v>9</v>
      </c>
      <c r="X238" s="326"/>
    </row>
    <row r="239" spans="1:24" s="324" customFormat="1" ht="0.65" hidden="1" customHeight="1">
      <c r="A239" s="324">
        <v>1022</v>
      </c>
      <c r="H239" s="324" t="s">
        <v>338</v>
      </c>
      <c r="I239" s="324" t="s">
        <v>55</v>
      </c>
      <c r="L239" s="324" t="s">
        <v>367</v>
      </c>
      <c r="X239" s="326"/>
    </row>
    <row r="240" spans="1:24" s="324" customFormat="1" ht="0.65" hidden="1" customHeight="1">
      <c r="A240" s="324">
        <v>1023</v>
      </c>
      <c r="C240" s="324" t="s">
        <v>10</v>
      </c>
      <c r="D240" s="324">
        <v>350000</v>
      </c>
      <c r="G240" s="324" t="s">
        <v>0</v>
      </c>
      <c r="H240" s="324" t="s">
        <v>1</v>
      </c>
      <c r="L240" s="324">
        <v>1</v>
      </c>
      <c r="X240" s="326"/>
    </row>
    <row r="241" spans="1:24" s="324" customFormat="1" ht="0.65" hidden="1" customHeight="1">
      <c r="A241" s="324">
        <v>1024</v>
      </c>
      <c r="C241" s="324" t="s">
        <v>11</v>
      </c>
      <c r="D241" s="324">
        <v>420000</v>
      </c>
      <c r="G241" s="324">
        <v>2022</v>
      </c>
      <c r="H241" s="324">
        <v>-825000</v>
      </c>
      <c r="V241" s="324">
        <v>-825000</v>
      </c>
      <c r="W241" s="324">
        <v>-825000</v>
      </c>
      <c r="X241" s="326">
        <v>1</v>
      </c>
    </row>
    <row r="242" spans="1:24" s="324" customFormat="1" ht="0.65" hidden="1" customHeight="1">
      <c r="A242" s="324">
        <v>1025</v>
      </c>
      <c r="C242" s="324" t="s">
        <v>12</v>
      </c>
      <c r="D242" s="324">
        <v>2.2499999999999999E-2</v>
      </c>
      <c r="G242" s="324">
        <v>2023</v>
      </c>
      <c r="H242" s="324">
        <v>47500</v>
      </c>
      <c r="V242" s="324">
        <v>47500</v>
      </c>
      <c r="W242" s="324">
        <v>47500</v>
      </c>
      <c r="X242" s="326">
        <v>1</v>
      </c>
    </row>
    <row r="243" spans="1:24" s="324" customFormat="1" ht="0.65" hidden="1" customHeight="1">
      <c r="A243" s="324">
        <v>1026</v>
      </c>
      <c r="C243" s="324" t="s">
        <v>2</v>
      </c>
      <c r="D243" s="324">
        <v>7000000</v>
      </c>
      <c r="G243" s="324">
        <v>2024</v>
      </c>
      <c r="H243" s="324">
        <v>102500</v>
      </c>
      <c r="V243" s="324">
        <v>102500</v>
      </c>
      <c r="W243" s="324">
        <v>102500</v>
      </c>
      <c r="X243" s="326">
        <v>1</v>
      </c>
    </row>
    <row r="244" spans="1:24" s="324" customFormat="1" ht="0.65" hidden="1" customHeight="1">
      <c r="A244" s="324">
        <v>1027</v>
      </c>
      <c r="C244" s="324" t="s">
        <v>3</v>
      </c>
      <c r="D244" s="324">
        <v>7000000</v>
      </c>
      <c r="G244" s="324">
        <v>2025</v>
      </c>
      <c r="H244" s="324">
        <v>570000</v>
      </c>
      <c r="V244" s="324">
        <v>570000</v>
      </c>
      <c r="W244" s="324">
        <v>570000</v>
      </c>
      <c r="X244" s="326">
        <v>1</v>
      </c>
    </row>
    <row r="245" spans="1:24" s="324" customFormat="1" ht="0.65" hidden="1" customHeight="1">
      <c r="A245" s="324">
        <v>1028</v>
      </c>
      <c r="X245" s="326"/>
    </row>
    <row r="246" spans="1:24" s="324" customFormat="1" ht="0.65" hidden="1" customHeight="1">
      <c r="A246" s="324">
        <v>1029</v>
      </c>
      <c r="C246" s="324" t="s">
        <v>14</v>
      </c>
      <c r="D246" s="324" t="s">
        <v>16</v>
      </c>
      <c r="G246" s="324" t="s">
        <v>939</v>
      </c>
      <c r="H246" s="324">
        <v>-210381.05281541136</v>
      </c>
      <c r="I246" s="324" t="s">
        <v>55</v>
      </c>
      <c r="J246" s="324" t="s">
        <v>800</v>
      </c>
      <c r="N246" s="324" t="s">
        <v>940</v>
      </c>
      <c r="X246" s="326"/>
    </row>
    <row r="247" spans="1:24" s="324" customFormat="1" ht="0.65" hidden="1" customHeight="1">
      <c r="A247" s="324">
        <v>1030</v>
      </c>
      <c r="D247" s="324" t="s">
        <v>424</v>
      </c>
      <c r="G247" s="324" t="s">
        <v>941</v>
      </c>
      <c r="H247" s="324">
        <v>-0.25500733674595316</v>
      </c>
      <c r="I247" s="324" t="s">
        <v>55</v>
      </c>
      <c r="J247" s="324" t="s">
        <v>800</v>
      </c>
      <c r="N247" s="324" t="s">
        <v>942</v>
      </c>
      <c r="X247" s="326"/>
    </row>
    <row r="248" spans="1:24" s="324" customFormat="1" ht="0.65" hidden="1" customHeight="1">
      <c r="A248" s="324">
        <v>1031</v>
      </c>
      <c r="G248" s="324" t="s">
        <v>358</v>
      </c>
      <c r="H248" s="324">
        <v>-4.8576778446782765E-2</v>
      </c>
      <c r="I248" s="324" t="s">
        <v>55</v>
      </c>
      <c r="J248" s="324" t="s">
        <v>800</v>
      </c>
      <c r="N248" s="324" t="s">
        <v>943</v>
      </c>
      <c r="X248" s="326"/>
    </row>
    <row r="249" spans="1:24" s="324" customFormat="1" ht="0.65" hidden="1" customHeight="1">
      <c r="A249" s="324">
        <v>1032</v>
      </c>
      <c r="B249" s="324" t="s">
        <v>460</v>
      </c>
      <c r="X249" s="326"/>
    </row>
    <row r="250" spans="1:24" s="324" customFormat="1" ht="0.65" hidden="1" customHeight="1">
      <c r="A250" s="324">
        <v>1033</v>
      </c>
      <c r="B250" s="324" t="s">
        <v>464</v>
      </c>
      <c r="X250" s="326"/>
    </row>
    <row r="251" spans="1:24" s="324" customFormat="1" ht="0.65" hidden="1" customHeight="1">
      <c r="A251" s="324">
        <v>1034</v>
      </c>
      <c r="H251" s="324" t="s">
        <v>360</v>
      </c>
      <c r="I251" s="324" t="s">
        <v>36</v>
      </c>
      <c r="J251" s="324" t="s">
        <v>55</v>
      </c>
      <c r="X251" s="326"/>
    </row>
    <row r="252" spans="1:24" s="324" customFormat="1" ht="0.65" hidden="1" customHeight="1">
      <c r="A252" s="324">
        <v>1035</v>
      </c>
      <c r="X252" s="326"/>
    </row>
    <row r="253" spans="1:24" s="324" customFormat="1" ht="0.65" hidden="1" customHeight="1">
      <c r="A253" s="324">
        <v>1036</v>
      </c>
      <c r="H253" s="324" t="s">
        <v>361</v>
      </c>
      <c r="I253" s="324">
        <v>0</v>
      </c>
      <c r="X253" s="326"/>
    </row>
    <row r="254" spans="1:24" s="324" customFormat="1" ht="0.65" hidden="1" customHeight="1">
      <c r="A254" s="324">
        <v>1037</v>
      </c>
      <c r="X254" s="326"/>
    </row>
    <row r="255" spans="1:24" s="324" customFormat="1" ht="0.65" hidden="1" customHeight="1">
      <c r="A255" s="324">
        <v>1038</v>
      </c>
      <c r="F255" s="324" t="s">
        <v>944</v>
      </c>
      <c r="X255" s="326"/>
    </row>
    <row r="256" spans="1:24" s="324" customFormat="1" ht="0.65" hidden="1" customHeight="1">
      <c r="A256" s="324">
        <v>1039</v>
      </c>
      <c r="X256" s="326"/>
    </row>
    <row r="257" spans="1:24" s="324" customFormat="1" ht="0.65" hidden="1" customHeight="1">
      <c r="A257" s="324">
        <v>1040</v>
      </c>
      <c r="F257" s="324" t="s">
        <v>448</v>
      </c>
      <c r="X257" s="326"/>
    </row>
    <row r="258" spans="1:24" s="324" customFormat="1" ht="0.65" hidden="1" customHeight="1">
      <c r="A258" s="324">
        <v>1041</v>
      </c>
      <c r="X258" s="326"/>
    </row>
    <row r="259" spans="1:24" s="324" customFormat="1" ht="0.65" hidden="1" customHeight="1">
      <c r="A259" s="324">
        <v>1042</v>
      </c>
      <c r="F259" s="324" t="s">
        <v>377</v>
      </c>
      <c r="X259" s="326"/>
    </row>
    <row r="260" spans="1:24" s="324" customFormat="1" ht="0.65" hidden="1" customHeight="1">
      <c r="A260" s="324">
        <v>1043</v>
      </c>
      <c r="X260" s="326"/>
    </row>
    <row r="261" spans="1:24" s="324" customFormat="1" ht="0.65" hidden="1" customHeight="1">
      <c r="A261" s="324">
        <v>1044</v>
      </c>
      <c r="H261" s="324" t="s">
        <v>406</v>
      </c>
      <c r="I261" s="324">
        <v>0.06</v>
      </c>
      <c r="J261" s="324">
        <v>-4.8576778446782765E-2</v>
      </c>
      <c r="V261" s="324">
        <v>0.06</v>
      </c>
      <c r="W261" s="324">
        <v>0.06</v>
      </c>
      <c r="X261" s="326">
        <v>1</v>
      </c>
    </row>
    <row r="262" spans="1:24" s="324" customFormat="1" ht="0.65" hidden="1" customHeight="1">
      <c r="A262" s="324">
        <v>1045</v>
      </c>
      <c r="V262" s="324">
        <v>-4.8576778446782765E-2</v>
      </c>
      <c r="W262" s="324">
        <v>-4.8576778446782765E-2</v>
      </c>
      <c r="X262" s="326">
        <v>1</v>
      </c>
    </row>
    <row r="263" spans="1:24" s="324" customFormat="1" ht="0.65" hidden="1" customHeight="1">
      <c r="A263" s="324">
        <v>1046</v>
      </c>
      <c r="H263" s="324" t="s">
        <v>338</v>
      </c>
      <c r="I263" s="324" t="s">
        <v>362</v>
      </c>
      <c r="J263" s="324" t="s">
        <v>363</v>
      </c>
      <c r="L263" s="324" t="s">
        <v>368</v>
      </c>
      <c r="X263" s="326"/>
    </row>
    <row r="264" spans="1:24" s="324" customFormat="1" ht="0.65" hidden="1" customHeight="1">
      <c r="A264" s="324">
        <v>1047</v>
      </c>
      <c r="C264" s="324" t="s">
        <v>55</v>
      </c>
      <c r="G264" s="324" t="s">
        <v>0</v>
      </c>
      <c r="H264" s="324" t="s">
        <v>1</v>
      </c>
      <c r="I264" s="324" t="s">
        <v>1</v>
      </c>
      <c r="J264" s="324" t="s">
        <v>1</v>
      </c>
      <c r="L264" s="324">
        <v>2</v>
      </c>
      <c r="X264" s="326"/>
    </row>
    <row r="265" spans="1:24" s="324" customFormat="1" ht="0.65" hidden="1" customHeight="1">
      <c r="A265" s="324">
        <v>1048</v>
      </c>
      <c r="G265" s="324">
        <v>2022</v>
      </c>
      <c r="H265" s="324">
        <v>-825000</v>
      </c>
      <c r="I265" s="324">
        <v>-825000</v>
      </c>
      <c r="J265" s="324">
        <v>-825000</v>
      </c>
      <c r="V265" s="324">
        <v>-825000</v>
      </c>
      <c r="W265" s="324">
        <v>-825000</v>
      </c>
      <c r="X265" s="326">
        <v>1</v>
      </c>
    </row>
    <row r="266" spans="1:24" s="324" customFormat="1" ht="0.65" hidden="1" customHeight="1">
      <c r="A266" s="324">
        <v>1049</v>
      </c>
      <c r="G266" s="324">
        <v>2023</v>
      </c>
      <c r="H266" s="324">
        <v>47500</v>
      </c>
      <c r="I266" s="324">
        <v>0</v>
      </c>
      <c r="J266" s="324">
        <v>0</v>
      </c>
      <c r="N266" s="324" t="s">
        <v>945</v>
      </c>
      <c r="V266" s="324">
        <v>47500</v>
      </c>
      <c r="W266" s="324">
        <v>47500</v>
      </c>
      <c r="X266" s="326">
        <v>1</v>
      </c>
    </row>
    <row r="267" spans="1:24" s="324" customFormat="1" ht="0.65" hidden="1" customHeight="1">
      <c r="A267" s="324">
        <v>1050</v>
      </c>
      <c r="G267" s="324">
        <v>2024</v>
      </c>
      <c r="H267" s="324">
        <v>102500</v>
      </c>
      <c r="I267" s="324">
        <v>0</v>
      </c>
      <c r="J267" s="324">
        <v>0</v>
      </c>
      <c r="N267" s="324" t="s">
        <v>946</v>
      </c>
      <c r="V267" s="324">
        <v>102500</v>
      </c>
      <c r="W267" s="324">
        <v>102500</v>
      </c>
      <c r="X267" s="326">
        <v>1</v>
      </c>
    </row>
    <row r="268" spans="1:24" s="324" customFormat="1" ht="0.65" hidden="1" customHeight="1">
      <c r="A268" s="324">
        <v>1051</v>
      </c>
      <c r="G268" s="324">
        <v>2025</v>
      </c>
      <c r="H268" s="324">
        <v>570000</v>
      </c>
      <c r="I268" s="324">
        <v>732021</v>
      </c>
      <c r="J268" s="324">
        <v>710518.17216846312</v>
      </c>
      <c r="K268" s="324" t="s">
        <v>55</v>
      </c>
      <c r="V268" s="324">
        <v>570000</v>
      </c>
      <c r="W268" s="324">
        <v>570000</v>
      </c>
      <c r="X268" s="326">
        <v>1</v>
      </c>
    </row>
    <row r="269" spans="1:24" s="324" customFormat="1" ht="0.65" hidden="1" customHeight="1">
      <c r="A269" s="324">
        <v>1052</v>
      </c>
      <c r="X269" s="326"/>
    </row>
    <row r="270" spans="1:24" s="324" customFormat="1" ht="0.65" hidden="1" customHeight="1">
      <c r="A270" s="324">
        <v>1053</v>
      </c>
      <c r="I270" s="324" t="s">
        <v>800</v>
      </c>
      <c r="J270" s="324" t="s">
        <v>800</v>
      </c>
      <c r="V270" s="324">
        <v>-825000</v>
      </c>
      <c r="W270" s="324">
        <v>-825000</v>
      </c>
      <c r="X270" s="326">
        <v>1</v>
      </c>
    </row>
    <row r="271" spans="1:24" s="324" customFormat="1" ht="0.65" hidden="1" customHeight="1">
      <c r="A271" s="324">
        <v>1054</v>
      </c>
      <c r="V271" s="324">
        <v>0</v>
      </c>
      <c r="W271" s="324">
        <v>0</v>
      </c>
      <c r="X271" s="326">
        <v>1</v>
      </c>
    </row>
    <row r="272" spans="1:24" s="324" customFormat="1" ht="0.65" hidden="1" customHeight="1">
      <c r="A272" s="324">
        <v>1055</v>
      </c>
      <c r="H272" s="324" t="s">
        <v>360</v>
      </c>
      <c r="I272" s="324" t="s">
        <v>36</v>
      </c>
      <c r="J272" s="324" t="s">
        <v>55</v>
      </c>
      <c r="V272" s="324">
        <v>0</v>
      </c>
      <c r="W272" s="324">
        <v>0</v>
      </c>
      <c r="X272" s="326">
        <v>1</v>
      </c>
    </row>
    <row r="273" spans="1:24" s="324" customFormat="1" ht="0.65" hidden="1" customHeight="1">
      <c r="A273" s="324">
        <v>1056</v>
      </c>
      <c r="X273" s="326"/>
    </row>
    <row r="274" spans="1:24" s="324" customFormat="1" ht="0.65" hidden="1" customHeight="1">
      <c r="A274" s="324">
        <v>1057</v>
      </c>
      <c r="H274" s="324" t="s">
        <v>361</v>
      </c>
      <c r="I274" s="324">
        <v>0</v>
      </c>
      <c r="V274" s="324">
        <v>-825000</v>
      </c>
      <c r="W274" s="324">
        <v>-825000</v>
      </c>
      <c r="X274" s="326">
        <v>1</v>
      </c>
    </row>
    <row r="275" spans="1:24" s="324" customFormat="1" ht="0.65" hidden="1" customHeight="1">
      <c r="A275" s="324">
        <v>1058</v>
      </c>
      <c r="F275" s="324" t="s">
        <v>55</v>
      </c>
      <c r="V275" s="324">
        <v>0</v>
      </c>
      <c r="W275" s="324">
        <v>0</v>
      </c>
      <c r="X275" s="326">
        <v>1</v>
      </c>
    </row>
    <row r="276" spans="1:24" s="324" customFormat="1" ht="0.65" hidden="1" customHeight="1">
      <c r="A276" s="324">
        <v>1059</v>
      </c>
      <c r="F276" s="324" t="s">
        <v>55</v>
      </c>
      <c r="V276" s="324">
        <v>0</v>
      </c>
      <c r="W276" s="324">
        <v>0</v>
      </c>
      <c r="X276" s="326">
        <v>1</v>
      </c>
    </row>
    <row r="277" spans="1:24" s="324" customFormat="1" ht="0.65" hidden="1" customHeight="1">
      <c r="A277" s="324">
        <v>1060</v>
      </c>
      <c r="F277" s="324" t="s">
        <v>944</v>
      </c>
      <c r="X277" s="326"/>
    </row>
    <row r="278" spans="1:24" s="324" customFormat="1" ht="0.65" hidden="1" customHeight="1">
      <c r="A278" s="324">
        <v>1061</v>
      </c>
      <c r="X278" s="326"/>
    </row>
    <row r="279" spans="1:24" s="324" customFormat="1" ht="0.65" hidden="1" customHeight="1">
      <c r="A279" s="324">
        <v>1062</v>
      </c>
      <c r="F279" s="324" t="s">
        <v>378</v>
      </c>
      <c r="X279" s="326"/>
    </row>
    <row r="280" spans="1:24" s="324" customFormat="1" ht="0.65" hidden="1" customHeight="1">
      <c r="A280" s="324">
        <v>1063</v>
      </c>
      <c r="X280" s="326"/>
    </row>
    <row r="281" spans="1:24" s="324" customFormat="1" ht="0.65" hidden="1" customHeight="1">
      <c r="A281" s="324">
        <v>1064</v>
      </c>
      <c r="X281" s="326"/>
    </row>
    <row r="282" spans="1:24" s="324" customFormat="1" ht="0.65" hidden="1" customHeight="1">
      <c r="A282" s="324">
        <v>1065</v>
      </c>
      <c r="F282" s="324" t="s">
        <v>379</v>
      </c>
      <c r="X282" s="326"/>
    </row>
    <row r="283" spans="1:24" s="324" customFormat="1" ht="0.65" hidden="1" customHeight="1">
      <c r="A283" s="324">
        <v>1066</v>
      </c>
      <c r="X283" s="326"/>
    </row>
    <row r="284" spans="1:24" s="324" customFormat="1" ht="0.65" hidden="1" customHeight="1">
      <c r="A284" s="324">
        <v>1067</v>
      </c>
      <c r="H284" s="324" t="s">
        <v>338</v>
      </c>
      <c r="I284" s="324" t="s">
        <v>362</v>
      </c>
      <c r="J284" s="324" t="s">
        <v>363</v>
      </c>
      <c r="L284" s="324" t="s">
        <v>369</v>
      </c>
      <c r="X284" s="326"/>
    </row>
    <row r="285" spans="1:24" s="324" customFormat="1" ht="0.65" hidden="1" customHeight="1">
      <c r="A285" s="324">
        <v>1068</v>
      </c>
      <c r="C285" s="324" t="s">
        <v>55</v>
      </c>
      <c r="G285" s="324" t="s">
        <v>0</v>
      </c>
      <c r="H285" s="324" t="s">
        <v>1</v>
      </c>
      <c r="I285" s="324" t="s">
        <v>1</v>
      </c>
      <c r="J285" s="324" t="s">
        <v>1</v>
      </c>
      <c r="L285" s="324">
        <v>3</v>
      </c>
      <c r="X285" s="326"/>
    </row>
    <row r="286" spans="1:24" s="324" customFormat="1" ht="0.65" hidden="1" customHeight="1">
      <c r="A286" s="324">
        <v>1069</v>
      </c>
      <c r="G286" s="324">
        <v>2022</v>
      </c>
      <c r="H286" s="324">
        <v>-825000</v>
      </c>
      <c r="I286" s="324">
        <v>-825000</v>
      </c>
      <c r="J286" s="324">
        <v>-825000</v>
      </c>
      <c r="V286" s="324">
        <v>-825000</v>
      </c>
      <c r="W286" s="324">
        <v>-825000</v>
      </c>
      <c r="X286" s="326">
        <v>1</v>
      </c>
    </row>
    <row r="287" spans="1:24" s="324" customFormat="1" ht="0.65" hidden="1" customHeight="1">
      <c r="A287" s="324">
        <v>1070</v>
      </c>
      <c r="G287" s="324">
        <v>2023</v>
      </c>
      <c r="H287" s="324">
        <v>47500</v>
      </c>
      <c r="I287" s="324">
        <v>0</v>
      </c>
      <c r="J287" s="324">
        <v>0</v>
      </c>
      <c r="V287" s="324">
        <v>47500</v>
      </c>
      <c r="W287" s="324">
        <v>47500</v>
      </c>
      <c r="X287" s="326">
        <v>1</v>
      </c>
    </row>
    <row r="288" spans="1:24" s="324" customFormat="1" ht="0.65" hidden="1" customHeight="1">
      <c r="A288" s="324">
        <v>1071</v>
      </c>
      <c r="G288" s="324">
        <v>2024</v>
      </c>
      <c r="H288" s="324">
        <v>102500</v>
      </c>
      <c r="I288" s="324">
        <v>0</v>
      </c>
      <c r="J288" s="324">
        <v>0</v>
      </c>
      <c r="V288" s="324">
        <v>102500</v>
      </c>
      <c r="W288" s="324">
        <v>102500</v>
      </c>
      <c r="X288" s="326">
        <v>1</v>
      </c>
    </row>
    <row r="289" spans="1:24" s="324" customFormat="1" ht="0.65" hidden="1" customHeight="1">
      <c r="A289" s="324">
        <v>1072</v>
      </c>
      <c r="G289" s="324">
        <v>2025</v>
      </c>
      <c r="H289" s="324">
        <v>570000</v>
      </c>
      <c r="I289" s="324">
        <v>732021</v>
      </c>
      <c r="J289" s="324">
        <v>710518.17216846312</v>
      </c>
      <c r="V289" s="324">
        <v>570000</v>
      </c>
      <c r="W289" s="324">
        <v>570000</v>
      </c>
      <c r="X289" s="326">
        <v>1</v>
      </c>
    </row>
    <row r="290" spans="1:24" s="324" customFormat="1" ht="0.65" hidden="1" customHeight="1">
      <c r="A290" s="324">
        <v>1073</v>
      </c>
      <c r="G290" s="324" t="s">
        <v>408</v>
      </c>
      <c r="H290" s="324">
        <v>-4.8576778446782765E-2</v>
      </c>
      <c r="V290" s="324">
        <v>-4.8576778446782765E-2</v>
      </c>
      <c r="W290" s="324">
        <v>-4.8576778446782765E-2</v>
      </c>
      <c r="X290" s="326">
        <v>1</v>
      </c>
    </row>
    <row r="291" spans="1:24" s="324" customFormat="1" ht="0.65" hidden="1" customHeight="1">
      <c r="A291" s="324">
        <v>1074</v>
      </c>
      <c r="G291" s="324" t="s">
        <v>407</v>
      </c>
      <c r="H291" s="324">
        <v>0.06</v>
      </c>
      <c r="V291" s="324">
        <v>0.06</v>
      </c>
      <c r="W291" s="324">
        <v>0.06</v>
      </c>
      <c r="X291" s="326">
        <v>1</v>
      </c>
    </row>
    <row r="292" spans="1:24" s="324" customFormat="1" ht="0.65" hidden="1" customHeight="1">
      <c r="A292" s="324">
        <v>1075</v>
      </c>
      <c r="I292" s="324" t="s">
        <v>55</v>
      </c>
      <c r="J292" s="324" t="s">
        <v>55</v>
      </c>
      <c r="X292" s="326"/>
    </row>
    <row r="293" spans="1:24" s="324" customFormat="1" ht="0.65" hidden="1" customHeight="1">
      <c r="A293" s="324">
        <v>1076</v>
      </c>
      <c r="G293" s="324" t="s">
        <v>939</v>
      </c>
      <c r="H293" s="324">
        <v>-210381.05281541136</v>
      </c>
      <c r="I293" s="324">
        <v>-210381.05281541147</v>
      </c>
      <c r="J293" s="324">
        <v>-228435.24170249351</v>
      </c>
      <c r="K293" s="324" t="s">
        <v>800</v>
      </c>
      <c r="L293" s="324" t="s">
        <v>800</v>
      </c>
      <c r="N293" s="324" t="s">
        <v>947</v>
      </c>
      <c r="O293" s="324" t="s">
        <v>948</v>
      </c>
      <c r="V293" s="324">
        <v>-825000</v>
      </c>
      <c r="W293" s="324">
        <v>-825000</v>
      </c>
      <c r="X293" s="326">
        <v>1</v>
      </c>
    </row>
    <row r="294" spans="1:24" s="324" customFormat="1" ht="0.65" hidden="1" customHeight="1">
      <c r="A294" s="324">
        <v>1077</v>
      </c>
      <c r="G294" s="324" t="s">
        <v>941</v>
      </c>
      <c r="H294" s="324">
        <v>-0.25500733674595316</v>
      </c>
      <c r="I294" s="324">
        <v>-0.25500733674595327</v>
      </c>
      <c r="J294" s="324">
        <v>-0.27689120206362849</v>
      </c>
      <c r="K294" s="324" t="s">
        <v>800</v>
      </c>
      <c r="L294" s="324" t="s">
        <v>800</v>
      </c>
      <c r="N294" s="324" t="s">
        <v>949</v>
      </c>
      <c r="O294" s="324" t="s">
        <v>950</v>
      </c>
      <c r="V294" s="324">
        <v>0</v>
      </c>
      <c r="W294" s="324">
        <v>0</v>
      </c>
      <c r="X294" s="326">
        <v>1</v>
      </c>
    </row>
    <row r="295" spans="1:24" s="324" customFormat="1" ht="0.65" hidden="1" customHeight="1">
      <c r="A295" s="324">
        <v>1078</v>
      </c>
      <c r="V295" s="324">
        <v>0</v>
      </c>
      <c r="W295" s="324">
        <v>0</v>
      </c>
      <c r="X295" s="326">
        <v>1</v>
      </c>
    </row>
    <row r="296" spans="1:24" s="324" customFormat="1" ht="0.65" hidden="1" customHeight="1">
      <c r="A296" s="324">
        <v>1079</v>
      </c>
      <c r="G296" s="324" t="s">
        <v>951</v>
      </c>
      <c r="H296" s="324">
        <v>0</v>
      </c>
      <c r="I296" s="324">
        <v>24967.458477348555</v>
      </c>
      <c r="J296" s="324">
        <v>0</v>
      </c>
      <c r="K296" s="324" t="s">
        <v>800</v>
      </c>
      <c r="L296" s="324" t="s">
        <v>800</v>
      </c>
      <c r="N296" s="324" t="s">
        <v>952</v>
      </c>
      <c r="O296" s="324" t="s">
        <v>953</v>
      </c>
      <c r="V296" s="324">
        <v>732021</v>
      </c>
      <c r="W296" s="324">
        <v>732021</v>
      </c>
      <c r="X296" s="326">
        <v>1</v>
      </c>
    </row>
    <row r="297" spans="1:24" s="324" customFormat="1" ht="0.65" hidden="1" customHeight="1">
      <c r="A297" s="324">
        <v>1080</v>
      </c>
      <c r="G297" s="324" t="s">
        <v>954</v>
      </c>
      <c r="H297" s="324">
        <v>-4.2332844300703567E-16</v>
      </c>
      <c r="I297" s="324">
        <v>3.0263586033149763E-2</v>
      </c>
      <c r="J297" s="324">
        <v>0</v>
      </c>
      <c r="K297" s="324" t="s">
        <v>800</v>
      </c>
      <c r="L297" s="324" t="s">
        <v>800</v>
      </c>
      <c r="N297" s="324" t="s">
        <v>955</v>
      </c>
      <c r="O297" s="324" t="s">
        <v>956</v>
      </c>
      <c r="X297" s="326"/>
    </row>
    <row r="298" spans="1:24" s="324" customFormat="1" ht="0.65" hidden="1" customHeight="1">
      <c r="A298" s="324">
        <v>1081</v>
      </c>
      <c r="V298" s="324">
        <v>-825000</v>
      </c>
      <c r="W298" s="324">
        <v>-825000</v>
      </c>
      <c r="X298" s="326">
        <v>1</v>
      </c>
    </row>
    <row r="299" spans="1:24" s="324" customFormat="1" ht="0.65" hidden="1" customHeight="1">
      <c r="A299" s="324">
        <v>1082</v>
      </c>
      <c r="G299" s="324" t="s">
        <v>358</v>
      </c>
      <c r="H299" s="324">
        <v>-4.8576778446782765E-2</v>
      </c>
      <c r="I299" s="324">
        <v>-3.9074178080337196E-2</v>
      </c>
      <c r="J299" s="324">
        <v>-4.8576778446782987E-2</v>
      </c>
      <c r="K299" s="324" t="s">
        <v>800</v>
      </c>
      <c r="L299" s="324" t="s">
        <v>800</v>
      </c>
      <c r="N299" s="324" t="s">
        <v>957</v>
      </c>
      <c r="O299" s="324" t="s">
        <v>958</v>
      </c>
      <c r="V299" s="324">
        <v>0</v>
      </c>
      <c r="W299" s="324">
        <v>0</v>
      </c>
      <c r="X299" s="326">
        <v>1</v>
      </c>
    </row>
    <row r="300" spans="1:24" s="324" customFormat="1" ht="0.65" hidden="1" customHeight="1">
      <c r="A300" s="324">
        <v>1083</v>
      </c>
      <c r="V300" s="324">
        <v>0</v>
      </c>
      <c r="W300" s="324">
        <v>0</v>
      </c>
      <c r="X300" s="326">
        <v>1</v>
      </c>
    </row>
    <row r="301" spans="1:24" s="324" customFormat="1" ht="0.65" hidden="1" customHeight="1">
      <c r="A301" s="324">
        <v>1084</v>
      </c>
      <c r="V301" s="324">
        <v>710518.17216846312</v>
      </c>
      <c r="W301" s="324">
        <v>710518.17216846312</v>
      </c>
      <c r="X301" s="326">
        <v>1</v>
      </c>
    </row>
    <row r="302" spans="1:24" s="324" customFormat="1" ht="0.65" hidden="1" customHeight="1">
      <c r="A302" s="324">
        <v>1085</v>
      </c>
      <c r="H302" s="324" t="s">
        <v>360</v>
      </c>
      <c r="I302" s="324" t="s">
        <v>36</v>
      </c>
      <c r="J302" s="324" t="s">
        <v>55</v>
      </c>
      <c r="K302" s="324" t="s">
        <v>361</v>
      </c>
      <c r="L302" s="324">
        <v>0</v>
      </c>
      <c r="X302" s="326"/>
    </row>
    <row r="303" spans="1:24" s="324" customFormat="1" ht="0.65" hidden="1" customHeight="1">
      <c r="A303" s="324">
        <v>1086</v>
      </c>
      <c r="X303" s="326"/>
    </row>
    <row r="304" spans="1:24" s="324" customFormat="1" ht="0.65" hidden="1" customHeight="1">
      <c r="A304" s="324">
        <v>1087</v>
      </c>
      <c r="F304" s="324" t="s">
        <v>55</v>
      </c>
      <c r="X304" s="326"/>
    </row>
    <row r="305" spans="1:24" s="324" customFormat="1" ht="0.65" hidden="1" customHeight="1">
      <c r="A305" s="324">
        <v>1088</v>
      </c>
      <c r="F305" s="324" t="s">
        <v>55</v>
      </c>
      <c r="X305" s="326"/>
    </row>
    <row r="306" spans="1:24" s="324" customFormat="1" ht="0.65" hidden="1" customHeight="1">
      <c r="A306" s="324">
        <v>1089</v>
      </c>
      <c r="F306" s="324" t="s">
        <v>944</v>
      </c>
      <c r="X306" s="326"/>
    </row>
    <row r="307" spans="1:24" s="324" customFormat="1" ht="0.65" hidden="1" customHeight="1">
      <c r="A307" s="324">
        <v>1090</v>
      </c>
      <c r="X307" s="326"/>
    </row>
    <row r="308" spans="1:24" s="324" customFormat="1" ht="0.65" hidden="1" customHeight="1">
      <c r="A308" s="324">
        <v>1091</v>
      </c>
      <c r="F308" s="324" t="s">
        <v>449</v>
      </c>
      <c r="X308" s="326"/>
    </row>
    <row r="309" spans="1:24" s="324" customFormat="1" ht="0.65" hidden="1" customHeight="1">
      <c r="A309" s="324">
        <v>1092</v>
      </c>
      <c r="X309" s="326"/>
    </row>
    <row r="310" spans="1:24" s="324" customFormat="1" ht="0.65" hidden="1" customHeight="1">
      <c r="A310" s="324">
        <v>1093</v>
      </c>
      <c r="F310" s="324" t="s">
        <v>380</v>
      </c>
      <c r="X310" s="326"/>
    </row>
    <row r="311" spans="1:24" s="324" customFormat="1" ht="0.65" hidden="1" customHeight="1">
      <c r="A311" s="324">
        <v>1094</v>
      </c>
      <c r="F311" s="324" t="s">
        <v>381</v>
      </c>
      <c r="X311" s="326"/>
    </row>
    <row r="312" spans="1:24" s="324" customFormat="1" ht="0.65" hidden="1" customHeight="1">
      <c r="A312" s="324">
        <v>1095</v>
      </c>
      <c r="X312" s="326"/>
    </row>
    <row r="313" spans="1:24" s="324" customFormat="1" ht="0.65" hidden="1" customHeight="1">
      <c r="A313" s="324">
        <v>1096</v>
      </c>
      <c r="F313" s="324" t="s">
        <v>402</v>
      </c>
      <c r="X313" s="326"/>
    </row>
    <row r="314" spans="1:24" s="324" customFormat="1" ht="0.65" hidden="1" customHeight="1">
      <c r="A314" s="324">
        <v>1097</v>
      </c>
      <c r="X314" s="326"/>
    </row>
    <row r="315" spans="1:24" s="324" customFormat="1" ht="0.65" hidden="1" customHeight="1">
      <c r="A315" s="324">
        <v>1098</v>
      </c>
      <c r="F315" s="324" t="s">
        <v>382</v>
      </c>
      <c r="X315" s="326"/>
    </row>
    <row r="316" spans="1:24" s="324" customFormat="1" ht="0.65" hidden="1" customHeight="1">
      <c r="A316" s="324">
        <v>1099</v>
      </c>
      <c r="X316" s="326"/>
    </row>
    <row r="317" spans="1:24" s="324" customFormat="1" ht="0.65" hidden="1" customHeight="1">
      <c r="A317" s="324">
        <v>1100</v>
      </c>
      <c r="F317" s="324" t="s">
        <v>403</v>
      </c>
      <c r="X317" s="326"/>
    </row>
    <row r="318" spans="1:24" s="324" customFormat="1" ht="0.65" hidden="1" customHeight="1">
      <c r="A318" s="324">
        <v>1101</v>
      </c>
      <c r="X318" s="326"/>
    </row>
    <row r="319" spans="1:24" s="324" customFormat="1" ht="0.65" hidden="1" customHeight="1">
      <c r="A319" s="324">
        <v>1102</v>
      </c>
      <c r="F319" s="324" t="s">
        <v>370</v>
      </c>
      <c r="X319" s="326"/>
    </row>
    <row r="320" spans="1:24" s="324" customFormat="1" ht="0.65" hidden="1" customHeight="1">
      <c r="A320" s="324">
        <v>1103</v>
      </c>
      <c r="X320" s="326"/>
    </row>
    <row r="321" spans="1:24" s="324" customFormat="1" ht="0.65" hidden="1" customHeight="1">
      <c r="A321" s="324">
        <v>1104</v>
      </c>
      <c r="F321" s="324" t="s">
        <v>443</v>
      </c>
      <c r="X321" s="326"/>
    </row>
    <row r="322" spans="1:24" s="324" customFormat="1" ht="0.65" hidden="1" customHeight="1">
      <c r="A322" s="324">
        <v>1105</v>
      </c>
      <c r="X322" s="326"/>
    </row>
    <row r="323" spans="1:24" s="324" customFormat="1" ht="0.65" hidden="1" customHeight="1">
      <c r="A323" s="324">
        <v>1106</v>
      </c>
      <c r="F323" s="324" t="s">
        <v>404</v>
      </c>
      <c r="X323" s="326"/>
    </row>
    <row r="324" spans="1:24" s="324" customFormat="1" ht="0.65" hidden="1" customHeight="1">
      <c r="A324" s="324">
        <v>1107</v>
      </c>
      <c r="X324" s="326"/>
    </row>
    <row r="325" spans="1:24" s="324" customFormat="1" ht="0.65" hidden="1" customHeight="1">
      <c r="A325" s="324">
        <v>1108</v>
      </c>
      <c r="F325" s="324" t="s">
        <v>365</v>
      </c>
      <c r="X325" s="326"/>
    </row>
    <row r="326" spans="1:24" s="324" customFormat="1" ht="0.65" hidden="1" customHeight="1">
      <c r="A326" s="324">
        <v>1109</v>
      </c>
      <c r="X326" s="326"/>
    </row>
    <row r="327" spans="1:24" s="324" customFormat="1" ht="0.65" hidden="1" customHeight="1">
      <c r="A327" s="324">
        <v>1110</v>
      </c>
      <c r="F327" s="324" t="s">
        <v>383</v>
      </c>
      <c r="X327" s="326"/>
    </row>
    <row r="328" spans="1:24" s="324" customFormat="1" ht="0.65" hidden="1" customHeight="1">
      <c r="A328" s="324">
        <v>1111</v>
      </c>
      <c r="X328" s="326"/>
    </row>
    <row r="329" spans="1:24" s="324" customFormat="1" ht="0.65" hidden="1" customHeight="1">
      <c r="A329" s="324">
        <v>1112</v>
      </c>
      <c r="F329" s="324" t="s">
        <v>366</v>
      </c>
      <c r="X329" s="326"/>
    </row>
    <row r="330" spans="1:24" s="324" customFormat="1" ht="0.65" hidden="1" customHeight="1">
      <c r="A330" s="324">
        <v>1113</v>
      </c>
      <c r="X330" s="326"/>
    </row>
    <row r="331" spans="1:24" s="324" customFormat="1" ht="0.65" hidden="1" customHeight="1">
      <c r="A331" s="324">
        <v>1114</v>
      </c>
      <c r="F331" s="324" t="s">
        <v>418</v>
      </c>
      <c r="X331" s="326"/>
    </row>
    <row r="332" spans="1:24" s="324" customFormat="1" ht="0.65" hidden="1" customHeight="1">
      <c r="A332" s="324">
        <v>1115</v>
      </c>
      <c r="X332" s="326"/>
    </row>
    <row r="333" spans="1:24" s="324" customFormat="1" ht="0.65" hidden="1" customHeight="1">
      <c r="A333" s="324">
        <v>1116</v>
      </c>
      <c r="F333" s="324" t="s">
        <v>371</v>
      </c>
      <c r="X333" s="326"/>
    </row>
    <row r="334" spans="1:24" s="324" customFormat="1" ht="0.65" hidden="1" customHeight="1">
      <c r="A334" s="324">
        <v>1117</v>
      </c>
      <c r="X334" s="326"/>
    </row>
    <row r="335" spans="1:24" s="324" customFormat="1" ht="0.65" hidden="1" customHeight="1">
      <c r="A335" s="324">
        <v>1118</v>
      </c>
      <c r="H335" s="324" t="s">
        <v>359</v>
      </c>
      <c r="I335" s="324" t="s">
        <v>36</v>
      </c>
      <c r="J335" s="324" t="s">
        <v>55</v>
      </c>
      <c r="L335" s="324" t="s">
        <v>372</v>
      </c>
      <c r="X335" s="326"/>
    </row>
    <row r="336" spans="1:24" s="324" customFormat="1" ht="0.65" hidden="1" customHeight="1">
      <c r="A336" s="324">
        <v>1119</v>
      </c>
      <c r="L336" s="324">
        <v>4</v>
      </c>
      <c r="X336" s="326"/>
    </row>
    <row r="337" spans="1:24" s="324" customFormat="1" ht="0.65" hidden="1" customHeight="1">
      <c r="A337" s="324">
        <v>1120</v>
      </c>
      <c r="X337" s="326"/>
    </row>
    <row r="338" spans="1:24" s="324" customFormat="1" ht="0.65" hidden="1" customHeight="1">
      <c r="A338" s="324">
        <v>1121</v>
      </c>
      <c r="F338" s="324" t="s">
        <v>384</v>
      </c>
      <c r="X338" s="326"/>
    </row>
    <row r="339" spans="1:24" s="324" customFormat="1" ht="0.65" hidden="1" customHeight="1">
      <c r="A339" s="324">
        <v>1122</v>
      </c>
      <c r="X339" s="326"/>
    </row>
    <row r="340" spans="1:24" s="324" customFormat="1" ht="0.65" hidden="1" customHeight="1">
      <c r="A340" s="324">
        <v>1123</v>
      </c>
      <c r="X340" s="326"/>
    </row>
    <row r="341" spans="1:24" s="324" customFormat="1" ht="0.65" hidden="1" customHeight="1">
      <c r="A341" s="324">
        <v>1124</v>
      </c>
      <c r="H341" s="324" t="s">
        <v>340</v>
      </c>
      <c r="X341" s="326"/>
    </row>
    <row r="342" spans="1:24" s="324" customFormat="1" ht="0.65" hidden="1" customHeight="1">
      <c r="A342" s="324">
        <v>1125</v>
      </c>
      <c r="G342" s="324" t="s">
        <v>0</v>
      </c>
      <c r="H342" s="324" t="s">
        <v>1</v>
      </c>
      <c r="X342" s="326"/>
    </row>
    <row r="343" spans="1:24" s="324" customFormat="1" ht="0.65" hidden="1" customHeight="1">
      <c r="A343" s="324">
        <v>1126</v>
      </c>
      <c r="G343" s="324">
        <v>2022</v>
      </c>
      <c r="H343" s="324">
        <v>-825000</v>
      </c>
      <c r="X343" s="326"/>
    </row>
    <row r="344" spans="1:24" s="324" customFormat="1" ht="0.65" hidden="1" customHeight="1">
      <c r="A344" s="324">
        <v>1127</v>
      </c>
      <c r="G344" s="324">
        <v>2023</v>
      </c>
      <c r="H344" s="324">
        <v>503999.99999999994</v>
      </c>
      <c r="X344" s="326"/>
    </row>
    <row r="345" spans="1:24" s="324" customFormat="1" ht="0.65" hidden="1" customHeight="1">
      <c r="A345" s="324">
        <v>1128</v>
      </c>
      <c r="G345" s="324">
        <v>2024</v>
      </c>
      <c r="H345" s="324">
        <v>108000</v>
      </c>
      <c r="I345" s="324" t="s">
        <v>354</v>
      </c>
      <c r="J345" s="324" t="s">
        <v>355</v>
      </c>
      <c r="K345" s="324" t="s">
        <v>356</v>
      </c>
      <c r="L345" s="324" t="s">
        <v>28</v>
      </c>
      <c r="X345" s="326"/>
    </row>
    <row r="346" spans="1:24" s="324" customFormat="1" ht="0.65" hidden="1" customHeight="1">
      <c r="A346" s="324">
        <v>1129</v>
      </c>
      <c r="G346" s="324">
        <v>2025</v>
      </c>
      <c r="H346" s="324">
        <v>36000</v>
      </c>
      <c r="I346" s="324">
        <v>601817.60782390821</v>
      </c>
      <c r="J346" s="324">
        <v>1.2601655416264868</v>
      </c>
      <c r="K346" s="324">
        <v>648000</v>
      </c>
      <c r="L346" s="324">
        <v>-0.16852973485994105</v>
      </c>
      <c r="X346" s="326"/>
    </row>
    <row r="347" spans="1:24" s="324" customFormat="1" ht="0.65" hidden="1" customHeight="1">
      <c r="A347" s="324">
        <v>1130</v>
      </c>
      <c r="X347" s="326"/>
    </row>
    <row r="348" spans="1:24" s="324" customFormat="1" ht="0.65" hidden="1" customHeight="1">
      <c r="A348" s="324">
        <v>1131</v>
      </c>
      <c r="X348" s="326"/>
    </row>
    <row r="349" spans="1:24" s="324" customFormat="1" ht="0.65" hidden="1" customHeight="1">
      <c r="A349" s="324">
        <v>1132</v>
      </c>
      <c r="F349" s="324" t="s">
        <v>959</v>
      </c>
      <c r="X349" s="326"/>
    </row>
    <row r="350" spans="1:24" s="324" customFormat="1" ht="0.65" hidden="1" customHeight="1">
      <c r="A350" s="324">
        <v>1133</v>
      </c>
      <c r="X350" s="326"/>
    </row>
    <row r="351" spans="1:24" s="324" customFormat="1" ht="0.65" hidden="1" customHeight="1">
      <c r="A351" s="324">
        <v>1134</v>
      </c>
      <c r="F351" s="324" t="s">
        <v>428</v>
      </c>
      <c r="X351" s="326"/>
    </row>
    <row r="352" spans="1:24" s="324" customFormat="1" ht="0.65" hidden="1" customHeight="1">
      <c r="A352" s="324">
        <v>1135</v>
      </c>
      <c r="X352" s="326"/>
    </row>
    <row r="353" spans="1:24" s="324" customFormat="1" ht="0.65" hidden="1" customHeight="1">
      <c r="A353" s="324">
        <v>1136</v>
      </c>
      <c r="X353" s="326"/>
    </row>
    <row r="354" spans="1:24" s="324" customFormat="1" ht="0.65" hidden="1" customHeight="1">
      <c r="A354" s="324">
        <v>1137</v>
      </c>
      <c r="C354" s="324" t="s">
        <v>357</v>
      </c>
      <c r="G354" s="324" t="s">
        <v>338</v>
      </c>
      <c r="H354" s="324" t="s">
        <v>340</v>
      </c>
      <c r="I354" s="324" t="s">
        <v>55</v>
      </c>
      <c r="L354" s="324" t="s">
        <v>385</v>
      </c>
      <c r="X354" s="326"/>
    </row>
    <row r="355" spans="1:24" s="324" customFormat="1" ht="0.65" hidden="1" customHeight="1">
      <c r="A355" s="324">
        <v>1138</v>
      </c>
      <c r="C355" s="324" t="s">
        <v>1</v>
      </c>
      <c r="F355" s="324" t="s">
        <v>0</v>
      </c>
      <c r="G355" s="324" t="s">
        <v>1</v>
      </c>
      <c r="H355" s="324" t="s">
        <v>1</v>
      </c>
      <c r="L355" s="324">
        <v>5</v>
      </c>
      <c r="X355" s="326"/>
    </row>
    <row r="356" spans="1:24" s="324" customFormat="1" ht="0.65" hidden="1" customHeight="1">
      <c r="A356" s="324">
        <v>1139</v>
      </c>
      <c r="C356" s="324">
        <v>0</v>
      </c>
      <c r="F356" s="324">
        <v>2022</v>
      </c>
      <c r="G356" s="324">
        <v>-825000</v>
      </c>
      <c r="H356" s="324">
        <v>-825000</v>
      </c>
      <c r="V356" s="324">
        <v>-825000</v>
      </c>
      <c r="W356" s="324">
        <v>-825000</v>
      </c>
      <c r="X356" s="326">
        <v>1</v>
      </c>
    </row>
    <row r="357" spans="1:24" s="324" customFormat="1" ht="0.65" hidden="1" customHeight="1">
      <c r="A357" s="324">
        <v>1140</v>
      </c>
      <c r="C357" s="324">
        <v>456499.99999999994</v>
      </c>
      <c r="F357" s="324">
        <v>2023</v>
      </c>
      <c r="G357" s="324">
        <v>47500</v>
      </c>
      <c r="H357" s="324">
        <v>503999.99999999994</v>
      </c>
      <c r="V357" s="324">
        <v>47500</v>
      </c>
      <c r="W357" s="324">
        <v>47500</v>
      </c>
      <c r="X357" s="326">
        <v>1</v>
      </c>
    </row>
    <row r="358" spans="1:24" s="324" customFormat="1" ht="0.65" hidden="1" customHeight="1">
      <c r="A358" s="324">
        <v>1141</v>
      </c>
      <c r="C358" s="324">
        <v>5500</v>
      </c>
      <c r="F358" s="324">
        <v>2024</v>
      </c>
      <c r="G358" s="324">
        <v>102500</v>
      </c>
      <c r="H358" s="324">
        <v>108000</v>
      </c>
      <c r="V358" s="324">
        <v>102500</v>
      </c>
      <c r="W358" s="324">
        <v>102500</v>
      </c>
      <c r="X358" s="326">
        <v>1</v>
      </c>
    </row>
    <row r="359" spans="1:24" s="324" customFormat="1" ht="0.65" hidden="1" customHeight="1">
      <c r="A359" s="324">
        <v>1142</v>
      </c>
      <c r="C359" s="324">
        <v>-534000</v>
      </c>
      <c r="F359" s="324">
        <v>2025</v>
      </c>
      <c r="G359" s="324">
        <v>570000</v>
      </c>
      <c r="H359" s="324">
        <v>36000</v>
      </c>
      <c r="V359" s="324">
        <v>570000</v>
      </c>
      <c r="W359" s="324">
        <v>570000</v>
      </c>
      <c r="X359" s="326">
        <v>1</v>
      </c>
    </row>
    <row r="360" spans="1:24" s="324" customFormat="1" ht="0.65" hidden="1" customHeight="1">
      <c r="A360" s="324">
        <v>1143</v>
      </c>
      <c r="X360" s="326"/>
    </row>
    <row r="361" spans="1:24" s="324" customFormat="1" ht="0.65" hidden="1" customHeight="1">
      <c r="A361" s="324">
        <v>1144</v>
      </c>
      <c r="V361" s="324">
        <v>-825000</v>
      </c>
      <c r="W361" s="324">
        <v>-825000</v>
      </c>
      <c r="X361" s="326">
        <v>1</v>
      </c>
    </row>
    <row r="362" spans="1:24" s="324" customFormat="1" ht="0.65" hidden="1" customHeight="1">
      <c r="A362" s="324">
        <v>1145</v>
      </c>
      <c r="F362" s="324" t="s">
        <v>960</v>
      </c>
      <c r="G362" s="324">
        <v>-194403.95205701329</v>
      </c>
      <c r="H362" s="324">
        <v>-215942.66277939745</v>
      </c>
      <c r="I362" s="324" t="s">
        <v>55</v>
      </c>
      <c r="J362" s="324" t="s">
        <v>800</v>
      </c>
      <c r="K362" s="324" t="s">
        <v>800</v>
      </c>
      <c r="N362" s="324">
        <v>-194403.95205701329</v>
      </c>
      <c r="O362" s="324">
        <v>-215942.66277939745</v>
      </c>
      <c r="V362" s="324">
        <v>503999.99999999994</v>
      </c>
      <c r="W362" s="324">
        <v>503999.99999999994</v>
      </c>
      <c r="X362" s="326">
        <v>1</v>
      </c>
    </row>
    <row r="363" spans="1:24" s="324" customFormat="1" ht="0.65" hidden="1" customHeight="1">
      <c r="A363" s="324">
        <v>1146</v>
      </c>
      <c r="C363" s="324">
        <v>0.05</v>
      </c>
      <c r="F363" s="324" t="s">
        <v>961</v>
      </c>
      <c r="G363" s="324">
        <v>-295162.17201166193</v>
      </c>
      <c r="H363" s="324">
        <v>-263278.97230320715</v>
      </c>
      <c r="I363" s="324" t="s">
        <v>55</v>
      </c>
      <c r="J363" s="324" t="s">
        <v>800</v>
      </c>
      <c r="K363" s="324" t="s">
        <v>800</v>
      </c>
      <c r="N363" s="324">
        <v>-295162.17201166193</v>
      </c>
      <c r="O363" s="324">
        <v>-263278.97230320715</v>
      </c>
      <c r="V363" s="324">
        <v>108000</v>
      </c>
      <c r="W363" s="324">
        <v>108000</v>
      </c>
      <c r="X363" s="326">
        <v>1</v>
      </c>
    </row>
    <row r="364" spans="1:24" s="324" customFormat="1" ht="0.65" hidden="1" customHeight="1">
      <c r="A364" s="324">
        <v>1147</v>
      </c>
      <c r="C364" s="324">
        <v>7.555173488305611E-2</v>
      </c>
      <c r="F364" s="324" t="s">
        <v>358</v>
      </c>
      <c r="G364" s="324">
        <v>-4.8576778446782765E-2</v>
      </c>
      <c r="H364" s="324">
        <v>-0.16852973485994105</v>
      </c>
      <c r="I364" s="324" t="s">
        <v>55</v>
      </c>
      <c r="J364" s="324" t="s">
        <v>800</v>
      </c>
      <c r="K364" s="324" t="s">
        <v>800</v>
      </c>
      <c r="N364" s="324">
        <v>-4.8576778446782765E-2</v>
      </c>
      <c r="O364" s="324">
        <v>-0.16852973485994105</v>
      </c>
      <c r="V364" s="324">
        <v>36000</v>
      </c>
      <c r="W364" s="324">
        <v>36000</v>
      </c>
      <c r="X364" s="326">
        <v>1</v>
      </c>
    </row>
    <row r="365" spans="1:24" s="324" customFormat="1" ht="0.65" hidden="1" customHeight="1">
      <c r="A365" s="324">
        <v>1148</v>
      </c>
      <c r="C365" s="324">
        <v>0.12</v>
      </c>
      <c r="N365" s="324">
        <v>0.12</v>
      </c>
      <c r="X365" s="326"/>
    </row>
    <row r="366" spans="1:24" s="324" customFormat="1" ht="0.65" hidden="1" customHeight="1">
      <c r="A366" s="324">
        <v>1149</v>
      </c>
      <c r="G366" s="324" t="s">
        <v>360</v>
      </c>
      <c r="H366" s="324" t="s">
        <v>36</v>
      </c>
      <c r="I366" s="324" t="s">
        <v>55</v>
      </c>
      <c r="X366" s="326"/>
    </row>
    <row r="367" spans="1:24" s="324" customFormat="1" ht="0.65" hidden="1" customHeight="1">
      <c r="A367" s="324">
        <v>1150</v>
      </c>
      <c r="X367" s="326"/>
    </row>
    <row r="368" spans="1:24" s="324" customFormat="1" ht="0.65" hidden="1" customHeight="1">
      <c r="A368" s="324">
        <v>1151</v>
      </c>
      <c r="G368" s="324" t="s">
        <v>361</v>
      </c>
      <c r="H368" s="324">
        <v>0</v>
      </c>
      <c r="X368" s="326"/>
    </row>
    <row r="369" spans="1:24" s="324" customFormat="1" ht="0.65" hidden="1" customHeight="1">
      <c r="A369" s="324">
        <v>1152</v>
      </c>
      <c r="X369" s="326"/>
    </row>
    <row r="370" spans="1:24" s="324" customFormat="1" ht="0.65" hidden="1" customHeight="1">
      <c r="A370" s="324">
        <v>1153</v>
      </c>
      <c r="F370" s="324" t="s">
        <v>944</v>
      </c>
      <c r="X370" s="326"/>
    </row>
    <row r="371" spans="1:24" s="324" customFormat="1" ht="0.65" hidden="1" customHeight="1">
      <c r="A371" s="324">
        <v>1154</v>
      </c>
      <c r="X371" s="326"/>
    </row>
    <row r="372" spans="1:24" s="324" customFormat="1" ht="0.65" hidden="1" customHeight="1">
      <c r="A372" s="324">
        <v>1155</v>
      </c>
      <c r="F372" s="324" t="s">
        <v>962</v>
      </c>
      <c r="X372" s="326"/>
    </row>
    <row r="373" spans="1:24" s="324" customFormat="1" ht="0.65" hidden="1" customHeight="1">
      <c r="A373" s="324">
        <v>1156</v>
      </c>
      <c r="X373" s="326"/>
    </row>
    <row r="374" spans="1:24" s="324" customFormat="1" ht="0.65" hidden="1" customHeight="1">
      <c r="A374" s="324">
        <v>1157</v>
      </c>
      <c r="F374" s="324" t="s">
        <v>2072</v>
      </c>
      <c r="X374" s="326"/>
    </row>
    <row r="375" spans="1:24" s="324" customFormat="1" ht="0.65" hidden="1" customHeight="1">
      <c r="A375" s="324">
        <v>1158</v>
      </c>
      <c r="X375" s="326"/>
    </row>
    <row r="376" spans="1:24" s="324" customFormat="1" ht="0.65" hidden="1" customHeight="1">
      <c r="A376" s="324">
        <v>1159</v>
      </c>
      <c r="F376" s="324" t="s">
        <v>444</v>
      </c>
      <c r="X376" s="326"/>
    </row>
    <row r="377" spans="1:24" s="324" customFormat="1" ht="0.65" hidden="1" customHeight="1">
      <c r="A377" s="324">
        <v>1160</v>
      </c>
      <c r="X377" s="326"/>
    </row>
    <row r="378" spans="1:24" s="324" customFormat="1" ht="0.65" hidden="1" customHeight="1">
      <c r="A378" s="324">
        <v>1161</v>
      </c>
      <c r="F378" s="324" t="s">
        <v>450</v>
      </c>
      <c r="X378" s="326"/>
    </row>
    <row r="379" spans="1:24" s="324" customFormat="1" ht="0.65" hidden="1" customHeight="1">
      <c r="A379" s="324">
        <v>1162</v>
      </c>
      <c r="X379" s="326"/>
    </row>
    <row r="380" spans="1:24" s="324" customFormat="1" ht="0.65" hidden="1" customHeight="1">
      <c r="A380" s="324">
        <v>1163</v>
      </c>
      <c r="F380" s="324" t="s">
        <v>451</v>
      </c>
      <c r="X380" s="326"/>
    </row>
    <row r="381" spans="1:24" s="324" customFormat="1" ht="0.65" hidden="1" customHeight="1">
      <c r="A381" s="324">
        <v>1164</v>
      </c>
      <c r="X381" s="326"/>
    </row>
    <row r="382" spans="1:24" s="324" customFormat="1" ht="0.65" hidden="1" customHeight="1">
      <c r="A382" s="324">
        <v>1165</v>
      </c>
      <c r="F382" s="324" t="s">
        <v>373</v>
      </c>
      <c r="X382" s="326"/>
    </row>
    <row r="383" spans="1:24" s="324" customFormat="1" ht="0.65" hidden="1" customHeight="1">
      <c r="A383" s="324">
        <v>1166</v>
      </c>
      <c r="X383" s="326"/>
    </row>
    <row r="384" spans="1:24" s="324" customFormat="1" ht="0.65" hidden="1" customHeight="1">
      <c r="A384" s="324">
        <v>1167</v>
      </c>
      <c r="F384" s="324" t="s">
        <v>445</v>
      </c>
      <c r="X384" s="326"/>
    </row>
    <row r="385" spans="1:24" s="324" customFormat="1" ht="0.65" hidden="1" customHeight="1">
      <c r="A385" s="324">
        <v>1168</v>
      </c>
      <c r="X385" s="326"/>
    </row>
    <row r="386" spans="1:24" s="324" customFormat="1" ht="0.65" hidden="1" customHeight="1">
      <c r="A386" s="324">
        <v>1169</v>
      </c>
      <c r="L386" s="324" t="s">
        <v>389</v>
      </c>
      <c r="X386" s="326"/>
    </row>
    <row r="387" spans="1:24" s="324" customFormat="1" ht="0.65" hidden="1" customHeight="1">
      <c r="A387" s="324">
        <v>1170</v>
      </c>
      <c r="C387" s="324" t="s">
        <v>55</v>
      </c>
      <c r="H387" s="324" t="s">
        <v>338</v>
      </c>
      <c r="I387" s="324" t="s">
        <v>386</v>
      </c>
      <c r="L387" s="324">
        <v>6</v>
      </c>
      <c r="X387" s="326"/>
    </row>
    <row r="388" spans="1:24" s="324" customFormat="1" ht="0.65" hidden="1" customHeight="1">
      <c r="A388" s="324">
        <v>1171</v>
      </c>
      <c r="G388" s="324" t="s">
        <v>0</v>
      </c>
      <c r="H388" s="324" t="s">
        <v>1</v>
      </c>
      <c r="I388" s="324" t="s">
        <v>387</v>
      </c>
      <c r="P388" s="324" t="s">
        <v>390</v>
      </c>
      <c r="Q388" s="324" t="s">
        <v>390</v>
      </c>
      <c r="X388" s="326"/>
    </row>
    <row r="389" spans="1:24" s="324" customFormat="1" ht="0.65" hidden="1" customHeight="1">
      <c r="A389" s="324">
        <v>1172</v>
      </c>
      <c r="G389" s="324">
        <v>2022</v>
      </c>
      <c r="H389" s="324">
        <v>-825000</v>
      </c>
      <c r="I389" s="324">
        <v>-825000</v>
      </c>
      <c r="J389" s="324" t="s">
        <v>55</v>
      </c>
      <c r="K389" s="324" t="s">
        <v>800</v>
      </c>
      <c r="N389" s="324">
        <v>-825000</v>
      </c>
      <c r="P389" s="324" t="s">
        <v>391</v>
      </c>
      <c r="Q389" s="324" t="s">
        <v>392</v>
      </c>
      <c r="V389" s="324">
        <v>-825000</v>
      </c>
      <c r="W389" s="324">
        <v>-825000</v>
      </c>
      <c r="X389" s="326">
        <v>1</v>
      </c>
    </row>
    <row r="390" spans="1:24" s="324" customFormat="1" ht="0.65" hidden="1" customHeight="1">
      <c r="A390" s="324">
        <v>1173</v>
      </c>
      <c r="G390" s="324">
        <v>2023</v>
      </c>
      <c r="H390" s="324">
        <v>47500</v>
      </c>
      <c r="I390" s="324">
        <v>-737424.15778140421</v>
      </c>
      <c r="J390" s="324" t="s">
        <v>55</v>
      </c>
      <c r="K390" s="324" t="s">
        <v>800</v>
      </c>
      <c r="N390" s="324">
        <v>-737424.15778140421</v>
      </c>
      <c r="P390" s="324">
        <v>1</v>
      </c>
      <c r="Q390" s="324">
        <v>0</v>
      </c>
      <c r="V390" s="324">
        <v>47500</v>
      </c>
      <c r="W390" s="324">
        <v>47500</v>
      </c>
      <c r="X390" s="326">
        <v>1</v>
      </c>
    </row>
    <row r="391" spans="1:24" s="324" customFormat="1" ht="0.65" hidden="1" customHeight="1">
      <c r="A391" s="324">
        <v>1174</v>
      </c>
      <c r="G391" s="324">
        <v>2024</v>
      </c>
      <c r="H391" s="324">
        <v>102500</v>
      </c>
      <c r="I391" s="324">
        <v>-599102.46784755157</v>
      </c>
      <c r="J391" s="324" t="s">
        <v>55</v>
      </c>
      <c r="K391" s="324" t="s">
        <v>800</v>
      </c>
      <c r="N391" s="324">
        <v>-599102.46784755168</v>
      </c>
      <c r="P391" s="324">
        <v>0</v>
      </c>
      <c r="Q391" s="324">
        <v>0</v>
      </c>
      <c r="V391" s="324">
        <v>102500</v>
      </c>
      <c r="W391" s="324">
        <v>102500</v>
      </c>
      <c r="X391" s="326">
        <v>1</v>
      </c>
    </row>
    <row r="392" spans="1:24" s="324" customFormat="1" ht="0.65" hidden="1" customHeight="1">
      <c r="A392" s="324">
        <v>1175</v>
      </c>
      <c r="G392" s="324">
        <v>2025</v>
      </c>
      <c r="H392" s="324">
        <v>570000</v>
      </c>
      <c r="I392" s="324">
        <v>0</v>
      </c>
      <c r="J392" s="324" t="s">
        <v>55</v>
      </c>
      <c r="K392" s="324" t="s">
        <v>800</v>
      </c>
      <c r="N392" s="324">
        <v>-3.0078255155228053E-10</v>
      </c>
      <c r="P392" s="324">
        <v>0</v>
      </c>
      <c r="V392" s="324">
        <v>570000</v>
      </c>
      <c r="W392" s="324">
        <v>570000</v>
      </c>
      <c r="X392" s="326">
        <v>1</v>
      </c>
    </row>
    <row r="393" spans="1:24" s="324" customFormat="1" ht="0.65" hidden="1" customHeight="1">
      <c r="A393" s="324">
        <v>1176</v>
      </c>
      <c r="P393" s="324">
        <v>1</v>
      </c>
      <c r="Q393" s="324">
        <v>0</v>
      </c>
      <c r="X393" s="326"/>
    </row>
    <row r="394" spans="1:24" s="324" customFormat="1" ht="0.65" hidden="1" customHeight="1">
      <c r="A394" s="324">
        <v>1177</v>
      </c>
      <c r="G394" s="324" t="s">
        <v>358</v>
      </c>
      <c r="H394" s="324">
        <v>-4.8576778446782765E-2</v>
      </c>
      <c r="V394" s="324">
        <v>-4.8576778446782765E-2</v>
      </c>
      <c r="W394" s="324">
        <v>-4.8576778446782765E-2</v>
      </c>
      <c r="X394" s="326">
        <v>1</v>
      </c>
    </row>
    <row r="395" spans="1:24" s="324" customFormat="1" ht="0.65" hidden="1" customHeight="1">
      <c r="A395" s="324">
        <v>1178</v>
      </c>
      <c r="O395" s="324" t="s">
        <v>388</v>
      </c>
      <c r="P395" s="324" t="s">
        <v>398</v>
      </c>
      <c r="X395" s="326"/>
    </row>
    <row r="396" spans="1:24" s="324" customFormat="1" ht="0.65" hidden="1" customHeight="1">
      <c r="A396" s="324">
        <v>1179</v>
      </c>
      <c r="H396" s="324" t="s">
        <v>360</v>
      </c>
      <c r="I396" s="324" t="s">
        <v>36</v>
      </c>
      <c r="J396" s="324" t="s">
        <v>55</v>
      </c>
      <c r="K396" s="324" t="s">
        <v>361</v>
      </c>
      <c r="L396" s="324">
        <v>0</v>
      </c>
      <c r="P396" s="324" t="s">
        <v>400</v>
      </c>
      <c r="X396" s="326"/>
    </row>
    <row r="397" spans="1:24" s="324" customFormat="1" ht="0.65" hidden="1" customHeight="1">
      <c r="A397" s="324">
        <v>1180</v>
      </c>
      <c r="W397" s="324" t="s">
        <v>422</v>
      </c>
      <c r="X397" s="326">
        <v>44</v>
      </c>
    </row>
    <row r="398" spans="1:24" s="324" customFormat="1" ht="0.65" hidden="1" customHeight="1">
      <c r="A398" s="324">
        <v>1181</v>
      </c>
      <c r="F398" s="324" t="s">
        <v>55</v>
      </c>
      <c r="W398" s="324" t="s">
        <v>423</v>
      </c>
      <c r="X398" s="326" t="s">
        <v>520</v>
      </c>
    </row>
    <row r="399" spans="1:24" s="324" customFormat="1" ht="0.65" hidden="1" customHeight="1">
      <c r="A399" s="324">
        <v>1182</v>
      </c>
      <c r="F399" s="324" t="s">
        <v>55</v>
      </c>
      <c r="X399" s="326"/>
    </row>
    <row r="400" spans="1:24" s="324" customFormat="1" ht="0.65" hidden="1" customHeight="1">
      <c r="A400" s="324">
        <v>1183</v>
      </c>
      <c r="F400" s="324" t="s">
        <v>944</v>
      </c>
      <c r="X400" s="326"/>
    </row>
    <row r="401" spans="1:24" s="324" customFormat="1" ht="0.65" hidden="1" customHeight="1">
      <c r="A401" s="324">
        <v>1184</v>
      </c>
      <c r="X401" s="326"/>
    </row>
    <row r="402" spans="1:24" s="324" customFormat="1" ht="0.65" hidden="1" customHeight="1">
      <c r="A402" s="324">
        <v>1185</v>
      </c>
      <c r="F402" s="324" t="s">
        <v>446</v>
      </c>
      <c r="X402" s="326"/>
    </row>
    <row r="403" spans="1:24" s="324" customFormat="1" ht="0.65" hidden="1" customHeight="1">
      <c r="A403" s="324">
        <v>1186</v>
      </c>
      <c r="O403" s="324" t="s">
        <v>40</v>
      </c>
      <c r="P403" s="324" t="s">
        <v>398</v>
      </c>
      <c r="X403" s="326"/>
    </row>
    <row r="404" spans="1:24" s="324" customFormat="1" ht="0.65" hidden="1" customHeight="1">
      <c r="A404" s="324">
        <v>1187</v>
      </c>
      <c r="F404" s="324" t="s">
        <v>393</v>
      </c>
      <c r="O404" s="324" t="s">
        <v>38</v>
      </c>
      <c r="P404" s="324" t="s">
        <v>399</v>
      </c>
      <c r="X404" s="326"/>
    </row>
    <row r="405" spans="1:24" s="324" customFormat="1" ht="0.65" hidden="1" customHeight="1">
      <c r="A405" s="324">
        <v>1188</v>
      </c>
      <c r="O405" s="324" t="s">
        <v>397</v>
      </c>
      <c r="P405" s="324" t="s">
        <v>400</v>
      </c>
      <c r="X405" s="326"/>
    </row>
    <row r="406" spans="1:24" s="324" customFormat="1" ht="0.65" hidden="1" customHeight="1">
      <c r="A406" s="324">
        <v>1189</v>
      </c>
      <c r="F406" s="324" t="s">
        <v>394</v>
      </c>
      <c r="J406" s="324" t="s">
        <v>40</v>
      </c>
      <c r="K406" s="324" t="s">
        <v>55</v>
      </c>
      <c r="L406" s="324" t="s">
        <v>800</v>
      </c>
      <c r="O406" s="324" t="s">
        <v>396</v>
      </c>
      <c r="P406" s="324" t="s">
        <v>401</v>
      </c>
      <c r="X406" s="326"/>
    </row>
    <row r="407" spans="1:24" s="324" customFormat="1" ht="0.65" hidden="1" customHeight="1">
      <c r="A407" s="324">
        <v>1190</v>
      </c>
      <c r="F407" s="324" t="s">
        <v>395</v>
      </c>
      <c r="J407" s="324" t="s">
        <v>397</v>
      </c>
      <c r="K407" s="324" t="s">
        <v>55</v>
      </c>
      <c r="L407" s="324" t="s">
        <v>800</v>
      </c>
      <c r="X407" s="326"/>
    </row>
    <row r="408" spans="1:24" s="324" customFormat="1" ht="0.65" hidden="1" customHeight="1">
      <c r="A408" s="324">
        <v>1191</v>
      </c>
      <c r="X408" s="326"/>
    </row>
    <row r="409" spans="1:24" s="324" customFormat="1" ht="0.65" hidden="1" customHeight="1">
      <c r="A409" s="324">
        <v>1192</v>
      </c>
      <c r="I409" s="324" t="s">
        <v>360</v>
      </c>
      <c r="J409" s="324" t="s">
        <v>36</v>
      </c>
      <c r="K409" s="324" t="s">
        <v>55</v>
      </c>
      <c r="L409" s="324" t="s">
        <v>405</v>
      </c>
      <c r="X409" s="326"/>
    </row>
    <row r="410" spans="1:24" s="324" customFormat="1" ht="0.65" hidden="1" customHeight="1">
      <c r="A410" s="324">
        <v>1193</v>
      </c>
      <c r="L410" s="324">
        <v>7</v>
      </c>
      <c r="X410" s="326"/>
    </row>
    <row r="411" spans="1:24" s="324" customFormat="1" ht="0.65" hidden="1" customHeight="1">
      <c r="A411" s="324">
        <v>1194</v>
      </c>
      <c r="I411" s="324" t="s">
        <v>361</v>
      </c>
      <c r="J411" s="324">
        <v>0</v>
      </c>
      <c r="X411" s="326"/>
    </row>
    <row r="412" spans="1:24" s="324" customFormat="1" ht="0.65" hidden="1" customHeight="1">
      <c r="A412" s="324">
        <v>1195</v>
      </c>
      <c r="X412" s="326"/>
    </row>
    <row r="413" spans="1:24" s="324" customFormat="1" ht="0.65" hidden="1" customHeight="1">
      <c r="A413" s="324">
        <v>1196</v>
      </c>
      <c r="F413" s="324" t="s">
        <v>944</v>
      </c>
      <c r="X413" s="326"/>
    </row>
    <row r="414" spans="1:24" s="324" customFormat="1" ht="0.65" hidden="1" customHeight="1">
      <c r="A414" s="324">
        <v>1197</v>
      </c>
      <c r="X414" s="326"/>
    </row>
    <row r="415" spans="1:24" s="324" customFormat="1" ht="0.65" hidden="1" customHeight="1">
      <c r="A415" s="324">
        <v>1198</v>
      </c>
      <c r="F415" s="324" t="s">
        <v>419</v>
      </c>
      <c r="X415" s="326"/>
    </row>
    <row r="416" spans="1:24" s="324" customFormat="1" ht="0.65" hidden="1" customHeight="1">
      <c r="A416" s="324">
        <v>1199</v>
      </c>
      <c r="X416" s="326"/>
    </row>
    <row r="417" spans="1:24" s="324" customFormat="1" ht="0.65" hidden="1" customHeight="1">
      <c r="A417" s="324">
        <v>1200</v>
      </c>
      <c r="F417" s="324" t="s">
        <v>447</v>
      </c>
      <c r="X417" s="326"/>
    </row>
    <row r="418" spans="1:24" s="324" customFormat="1" ht="0.65" hidden="1" customHeight="1">
      <c r="X418" s="326"/>
    </row>
    <row r="419" spans="1:24" s="324" customFormat="1" ht="0.65" hidden="1" customHeight="1">
      <c r="X419" s="326"/>
    </row>
    <row r="420" spans="1:24" s="324" customFormat="1" ht="0.65" hidden="1" customHeight="1">
      <c r="X420" s="326"/>
    </row>
    <row r="421" spans="1:24" s="324" customFormat="1" ht="0.65" hidden="1" customHeight="1">
      <c r="B421" s="324" t="s">
        <v>19</v>
      </c>
      <c r="E421" s="324" t="s">
        <v>336</v>
      </c>
      <c r="F421" s="324">
        <v>2</v>
      </c>
      <c r="X421" s="326"/>
    </row>
    <row r="422" spans="1:24" s="324" customFormat="1" ht="0.65" hidden="1" customHeight="1">
      <c r="B422" s="324" t="s">
        <v>3951</v>
      </c>
      <c r="E422" s="324" t="s">
        <v>336</v>
      </c>
      <c r="F422" s="324" t="s">
        <v>486</v>
      </c>
      <c r="X422" s="326"/>
    </row>
    <row r="423" spans="1:24" s="324" customFormat="1" ht="0.65" hidden="1" customHeight="1">
      <c r="A423" s="324">
        <v>2001</v>
      </c>
      <c r="C423" s="324" t="s">
        <v>5</v>
      </c>
      <c r="D423" s="324">
        <v>2022</v>
      </c>
      <c r="F423" s="324" t="s">
        <v>374</v>
      </c>
      <c r="X423" s="326"/>
    </row>
    <row r="424" spans="1:24" s="324" customFormat="1" ht="0.65" hidden="1" customHeight="1">
      <c r="A424" s="324">
        <v>2002</v>
      </c>
      <c r="X424" s="326"/>
    </row>
    <row r="425" spans="1:24" s="324" customFormat="1" ht="0.65" hidden="1" customHeight="1">
      <c r="A425" s="324">
        <v>2003</v>
      </c>
      <c r="C425" s="324" t="s">
        <v>32</v>
      </c>
      <c r="X425" s="326"/>
    </row>
    <row r="426" spans="1:24" s="324" customFormat="1" ht="0.65" hidden="1" customHeight="1">
      <c r="A426" s="324">
        <v>2004</v>
      </c>
      <c r="C426" s="324" t="s">
        <v>488</v>
      </c>
      <c r="D426" s="324">
        <v>600000</v>
      </c>
      <c r="H426" s="324" t="s">
        <v>338</v>
      </c>
      <c r="X426" s="326"/>
    </row>
    <row r="427" spans="1:24" s="324" customFormat="1" ht="0.65" hidden="1" customHeight="1">
      <c r="A427" s="324">
        <v>2005</v>
      </c>
      <c r="C427" s="324" t="s">
        <v>6</v>
      </c>
      <c r="D427" s="324">
        <v>10</v>
      </c>
      <c r="G427" s="324" t="s">
        <v>0</v>
      </c>
      <c r="H427" s="324" t="s">
        <v>1</v>
      </c>
      <c r="X427" s="326"/>
    </row>
    <row r="428" spans="1:24" s="324" customFormat="1" ht="0.65" hidden="1" customHeight="1">
      <c r="A428" s="324">
        <v>2006</v>
      </c>
      <c r="C428" s="324" t="s">
        <v>489</v>
      </c>
      <c r="D428" s="324">
        <v>400000</v>
      </c>
      <c r="G428" s="324">
        <v>2022</v>
      </c>
      <c r="H428" s="324">
        <v>-543750</v>
      </c>
      <c r="X428" s="326"/>
    </row>
    <row r="429" spans="1:24" s="324" customFormat="1" ht="0.65" hidden="1" customHeight="1">
      <c r="A429" s="324">
        <v>2007</v>
      </c>
      <c r="G429" s="324">
        <v>2023</v>
      </c>
      <c r="H429" s="324">
        <v>107500</v>
      </c>
      <c r="X429" s="326"/>
    </row>
    <row r="430" spans="1:24" s="324" customFormat="1" ht="0.65" hidden="1" customHeight="1">
      <c r="A430" s="324">
        <v>2008</v>
      </c>
      <c r="C430" s="324" t="s">
        <v>34</v>
      </c>
      <c r="D430" s="324">
        <v>360000</v>
      </c>
      <c r="G430" s="324">
        <v>2024</v>
      </c>
      <c r="H430" s="324">
        <v>97500</v>
      </c>
      <c r="I430" s="324" t="s">
        <v>354</v>
      </c>
      <c r="J430" s="324" t="s">
        <v>355</v>
      </c>
      <c r="K430" s="324" t="s">
        <v>356</v>
      </c>
      <c r="L430" s="324" t="s">
        <v>28</v>
      </c>
      <c r="X430" s="326"/>
    </row>
    <row r="431" spans="1:24" s="324" customFormat="1" ht="0.65" hidden="1" customHeight="1">
      <c r="A431" s="324">
        <v>2009</v>
      </c>
      <c r="C431" s="324" t="s">
        <v>35</v>
      </c>
      <c r="D431" s="324">
        <v>240000</v>
      </c>
      <c r="G431" s="324">
        <v>2025</v>
      </c>
      <c r="H431" s="324">
        <v>475625</v>
      </c>
      <c r="I431" s="324">
        <v>596315.58246140764</v>
      </c>
      <c r="J431" s="324">
        <v>2.5105942488129251</v>
      </c>
      <c r="K431" s="324">
        <v>680625</v>
      </c>
      <c r="L431" s="324">
        <v>9.3380333972086005E-2</v>
      </c>
      <c r="X431" s="326"/>
    </row>
    <row r="432" spans="1:24" s="324" customFormat="1" ht="0.65" hidden="1" customHeight="1">
      <c r="A432" s="324">
        <v>2010</v>
      </c>
      <c r="X432" s="326"/>
    </row>
    <row r="433" spans="1:24" s="324" customFormat="1" ht="0.65" hidden="1" customHeight="1">
      <c r="A433" s="324">
        <v>2011</v>
      </c>
      <c r="C433" s="324" t="s">
        <v>7</v>
      </c>
      <c r="D433" s="324">
        <v>30</v>
      </c>
      <c r="X433" s="326"/>
    </row>
    <row r="434" spans="1:24" s="324" customFormat="1" ht="0.65" hidden="1" customHeight="1">
      <c r="A434" s="324">
        <v>2012</v>
      </c>
      <c r="C434" s="324" t="s">
        <v>8</v>
      </c>
      <c r="D434" s="324">
        <v>60</v>
      </c>
      <c r="F434" s="324" t="s">
        <v>375</v>
      </c>
      <c r="X434" s="326"/>
    </row>
    <row r="435" spans="1:24" s="324" customFormat="1" ht="0.65" hidden="1" customHeight="1">
      <c r="A435" s="324">
        <v>2013</v>
      </c>
      <c r="F435" s="324" t="s">
        <v>477</v>
      </c>
      <c r="X435" s="326"/>
    </row>
    <row r="436" spans="1:24" s="324" customFormat="1" ht="0.65" hidden="1" customHeight="1">
      <c r="A436" s="324">
        <v>2014</v>
      </c>
      <c r="C436" s="324" t="s">
        <v>33</v>
      </c>
      <c r="X436" s="326"/>
    </row>
    <row r="437" spans="1:24" s="324" customFormat="1" ht="0.65" hidden="1" customHeight="1">
      <c r="A437" s="324">
        <v>2015</v>
      </c>
      <c r="C437" s="324" t="s">
        <v>492</v>
      </c>
      <c r="D437" s="324">
        <v>45000</v>
      </c>
      <c r="X437" s="326"/>
    </row>
    <row r="438" spans="1:24" s="324" customFormat="1" ht="0.65" hidden="1" customHeight="1">
      <c r="A438" s="324">
        <v>2016</v>
      </c>
      <c r="C438" s="324" t="s">
        <v>495</v>
      </c>
      <c r="D438" s="324">
        <v>90000</v>
      </c>
      <c r="G438" s="324" t="s">
        <v>339</v>
      </c>
      <c r="H438" s="324">
        <v>5.3750000000000006E-2</v>
      </c>
      <c r="V438" s="324">
        <v>5.3749999999999999E-2</v>
      </c>
      <c r="W438" s="324">
        <v>5.3750000000000006E-2</v>
      </c>
      <c r="X438" s="326">
        <v>1</v>
      </c>
    </row>
    <row r="439" spans="1:24" s="324" customFormat="1" ht="0.65" hidden="1" customHeight="1">
      <c r="A439" s="324">
        <v>2017</v>
      </c>
      <c r="C439" s="324" t="s">
        <v>6</v>
      </c>
      <c r="D439" s="324">
        <v>3</v>
      </c>
      <c r="X439" s="326"/>
    </row>
    <row r="440" spans="1:24" s="324" customFormat="1" ht="0.65" hidden="1" customHeight="1">
      <c r="A440" s="324">
        <v>2018</v>
      </c>
      <c r="C440" s="324" t="s">
        <v>489</v>
      </c>
      <c r="D440" s="324">
        <v>22500</v>
      </c>
      <c r="X440" s="326"/>
    </row>
    <row r="441" spans="1:24" s="324" customFormat="1" ht="0.65" hidden="1" customHeight="1">
      <c r="A441" s="324">
        <v>2019</v>
      </c>
      <c r="F441" s="324" t="s">
        <v>376</v>
      </c>
      <c r="X441" s="326"/>
    </row>
    <row r="442" spans="1:24" s="324" customFormat="1" ht="0.65" hidden="1" customHeight="1">
      <c r="A442" s="324">
        <v>2020</v>
      </c>
      <c r="C442" s="324" t="s">
        <v>4</v>
      </c>
      <c r="D442" s="324">
        <v>0.25</v>
      </c>
      <c r="X442" s="326"/>
    </row>
    <row r="443" spans="1:24" s="324" customFormat="1" ht="0.65" hidden="1" customHeight="1">
      <c r="A443" s="324">
        <v>2021</v>
      </c>
      <c r="D443" s="324" t="s">
        <v>9</v>
      </c>
      <c r="X443" s="326"/>
    </row>
    <row r="444" spans="1:24" s="324" customFormat="1" ht="0.65" hidden="1" customHeight="1">
      <c r="A444" s="324">
        <v>2022</v>
      </c>
      <c r="H444" s="324" t="s">
        <v>338</v>
      </c>
      <c r="I444" s="324" t="s">
        <v>55</v>
      </c>
      <c r="L444" s="324" t="s">
        <v>367</v>
      </c>
      <c r="X444" s="326"/>
    </row>
    <row r="445" spans="1:24" s="324" customFormat="1" ht="0.65" hidden="1" customHeight="1">
      <c r="A445" s="324">
        <v>2023</v>
      </c>
      <c r="C445" s="324" t="s">
        <v>10</v>
      </c>
      <c r="D445" s="324">
        <v>720000</v>
      </c>
      <c r="G445" s="324" t="s">
        <v>0</v>
      </c>
      <c r="H445" s="324" t="s">
        <v>1</v>
      </c>
      <c r="L445" s="324">
        <v>1</v>
      </c>
      <c r="X445" s="326"/>
    </row>
    <row r="446" spans="1:24" s="324" customFormat="1" ht="0.65" hidden="1" customHeight="1">
      <c r="A446" s="324">
        <v>2024</v>
      </c>
      <c r="C446" s="324" t="s">
        <v>11</v>
      </c>
      <c r="D446" s="324">
        <v>240000</v>
      </c>
      <c r="G446" s="324">
        <v>2022</v>
      </c>
      <c r="H446" s="324">
        <v>-543750</v>
      </c>
      <c r="V446" s="324">
        <v>-543750</v>
      </c>
      <c r="W446" s="324">
        <v>-543750</v>
      </c>
      <c r="X446" s="326">
        <v>1</v>
      </c>
    </row>
    <row r="447" spans="1:24" s="324" customFormat="1" ht="0.65" hidden="1" customHeight="1">
      <c r="A447" s="324">
        <v>2025</v>
      </c>
      <c r="C447" s="324" t="s">
        <v>12</v>
      </c>
      <c r="D447" s="324">
        <v>0.02</v>
      </c>
      <c r="G447" s="324">
        <v>2023</v>
      </c>
      <c r="H447" s="324">
        <v>107500</v>
      </c>
      <c r="V447" s="324">
        <v>107500</v>
      </c>
      <c r="W447" s="324">
        <v>107500</v>
      </c>
      <c r="X447" s="326">
        <v>1</v>
      </c>
    </row>
    <row r="448" spans="1:24" s="324" customFormat="1" ht="0.65" hidden="1" customHeight="1">
      <c r="A448" s="324">
        <v>2026</v>
      </c>
      <c r="C448" s="324" t="s">
        <v>2</v>
      </c>
      <c r="D448" s="324">
        <v>12000000</v>
      </c>
      <c r="G448" s="324">
        <v>2024</v>
      </c>
      <c r="H448" s="324">
        <v>97500</v>
      </c>
      <c r="V448" s="324">
        <v>97500</v>
      </c>
      <c r="W448" s="324">
        <v>97500</v>
      </c>
      <c r="X448" s="326">
        <v>1</v>
      </c>
    </row>
    <row r="449" spans="1:24" s="324" customFormat="1" ht="0.65" hidden="1" customHeight="1">
      <c r="A449" s="324">
        <v>2027</v>
      </c>
      <c r="C449" s="324" t="s">
        <v>3</v>
      </c>
      <c r="D449" s="324">
        <v>4000000</v>
      </c>
      <c r="G449" s="324">
        <v>2025</v>
      </c>
      <c r="H449" s="324">
        <v>475625</v>
      </c>
      <c r="V449" s="324">
        <v>475625</v>
      </c>
      <c r="W449" s="324">
        <v>475625</v>
      </c>
      <c r="X449" s="326">
        <v>1</v>
      </c>
    </row>
    <row r="450" spans="1:24" s="324" customFormat="1" ht="0.65" hidden="1" customHeight="1">
      <c r="A450" s="324">
        <v>2028</v>
      </c>
      <c r="X450" s="326"/>
    </row>
    <row r="451" spans="1:24" s="324" customFormat="1" ht="0.65" hidden="1" customHeight="1">
      <c r="A451" s="324">
        <v>2029</v>
      </c>
      <c r="C451" s="324" t="s">
        <v>14</v>
      </c>
      <c r="D451" s="324" t="s">
        <v>16</v>
      </c>
      <c r="G451" s="324" t="s">
        <v>1170</v>
      </c>
      <c r="H451" s="324">
        <v>52565.582461407641</v>
      </c>
      <c r="I451" s="324" t="s">
        <v>55</v>
      </c>
      <c r="J451" s="324" t="s">
        <v>800</v>
      </c>
      <c r="N451" s="324" t="s">
        <v>1171</v>
      </c>
      <c r="X451" s="326"/>
    </row>
    <row r="452" spans="1:24" s="324" customFormat="1" ht="0.65" hidden="1" customHeight="1">
      <c r="A452" s="324">
        <v>2030</v>
      </c>
      <c r="D452" s="324" t="s">
        <v>424</v>
      </c>
      <c r="G452" s="324" t="s">
        <v>1172</v>
      </c>
      <c r="H452" s="324">
        <v>9.6672335561209452E-2</v>
      </c>
      <c r="I452" s="324" t="s">
        <v>55</v>
      </c>
      <c r="J452" s="324" t="s">
        <v>800</v>
      </c>
      <c r="N452" s="324" t="s">
        <v>1173</v>
      </c>
      <c r="X452" s="326"/>
    </row>
    <row r="453" spans="1:24" s="324" customFormat="1" ht="0.65" hidden="1" customHeight="1">
      <c r="A453" s="324">
        <v>2031</v>
      </c>
      <c r="G453" s="324" t="s">
        <v>358</v>
      </c>
      <c r="H453" s="324">
        <v>9.3380333972086005E-2</v>
      </c>
      <c r="I453" s="324" t="s">
        <v>55</v>
      </c>
      <c r="J453" s="324" t="s">
        <v>800</v>
      </c>
      <c r="N453" s="324" t="s">
        <v>1174</v>
      </c>
      <c r="X453" s="326"/>
    </row>
    <row r="454" spans="1:24" s="324" customFormat="1" ht="0.65" hidden="1" customHeight="1">
      <c r="A454" s="324">
        <v>2032</v>
      </c>
      <c r="B454" s="324" t="s">
        <v>460</v>
      </c>
      <c r="X454" s="326"/>
    </row>
    <row r="455" spans="1:24" s="324" customFormat="1" ht="0.65" hidden="1" customHeight="1">
      <c r="A455" s="324">
        <v>2033</v>
      </c>
      <c r="B455" s="324" t="s">
        <v>464</v>
      </c>
      <c r="X455" s="326"/>
    </row>
    <row r="456" spans="1:24" s="324" customFormat="1" ht="0.65" hidden="1" customHeight="1">
      <c r="A456" s="324">
        <v>2034</v>
      </c>
      <c r="H456" s="324" t="s">
        <v>360</v>
      </c>
      <c r="I456" s="324" t="s">
        <v>36</v>
      </c>
      <c r="J456" s="324" t="s">
        <v>55</v>
      </c>
      <c r="X456" s="326"/>
    </row>
    <row r="457" spans="1:24" s="324" customFormat="1" ht="0.65" hidden="1" customHeight="1">
      <c r="A457" s="324">
        <v>2035</v>
      </c>
      <c r="X457" s="326"/>
    </row>
    <row r="458" spans="1:24" s="324" customFormat="1" ht="0.65" hidden="1" customHeight="1">
      <c r="A458" s="324">
        <v>2036</v>
      </c>
      <c r="H458" s="324" t="s">
        <v>361</v>
      </c>
      <c r="I458" s="324">
        <v>0</v>
      </c>
      <c r="X458" s="326"/>
    </row>
    <row r="459" spans="1:24" s="324" customFormat="1" ht="0.65" hidden="1" customHeight="1">
      <c r="A459" s="324">
        <v>2037</v>
      </c>
      <c r="X459" s="326"/>
    </row>
    <row r="460" spans="1:24" s="324" customFormat="1" ht="0.65" hidden="1" customHeight="1">
      <c r="A460" s="324">
        <v>2038</v>
      </c>
      <c r="F460" s="324" t="s">
        <v>944</v>
      </c>
      <c r="X460" s="326"/>
    </row>
    <row r="461" spans="1:24" s="324" customFormat="1" ht="0.65" hidden="1" customHeight="1">
      <c r="A461" s="324">
        <v>2039</v>
      </c>
      <c r="X461" s="326"/>
    </row>
    <row r="462" spans="1:24" s="324" customFormat="1" ht="0.65" hidden="1" customHeight="1">
      <c r="A462" s="324">
        <v>2040</v>
      </c>
      <c r="F462" s="324" t="s">
        <v>448</v>
      </c>
      <c r="X462" s="326"/>
    </row>
    <row r="463" spans="1:24" s="324" customFormat="1" ht="0.65" hidden="1" customHeight="1">
      <c r="A463" s="324">
        <v>2041</v>
      </c>
      <c r="X463" s="326"/>
    </row>
    <row r="464" spans="1:24" s="324" customFormat="1" ht="0.65" hidden="1" customHeight="1">
      <c r="A464" s="324">
        <v>2042</v>
      </c>
      <c r="F464" s="324" t="s">
        <v>377</v>
      </c>
      <c r="X464" s="326"/>
    </row>
    <row r="465" spans="1:24" s="324" customFormat="1" ht="0.65" hidden="1" customHeight="1">
      <c r="A465" s="324">
        <v>2043</v>
      </c>
      <c r="X465" s="326"/>
    </row>
    <row r="466" spans="1:24" s="324" customFormat="1" ht="0.65" hidden="1" customHeight="1">
      <c r="A466" s="324">
        <v>2044</v>
      </c>
      <c r="H466" s="324" t="s">
        <v>406</v>
      </c>
      <c r="I466" s="324">
        <v>5.3750000000000006E-2</v>
      </c>
      <c r="J466" s="324">
        <v>9.3380333972086005E-2</v>
      </c>
      <c r="V466" s="324">
        <v>5.3750000000000006E-2</v>
      </c>
      <c r="W466" s="324">
        <v>5.3750000000000006E-2</v>
      </c>
      <c r="X466" s="326">
        <v>1</v>
      </c>
    </row>
    <row r="467" spans="1:24" s="324" customFormat="1" ht="0.65" hidden="1" customHeight="1">
      <c r="A467" s="324">
        <v>2045</v>
      </c>
      <c r="V467" s="324">
        <v>9.3380333972086005E-2</v>
      </c>
      <c r="W467" s="324">
        <v>9.3380333972086005E-2</v>
      </c>
      <c r="X467" s="326">
        <v>1</v>
      </c>
    </row>
    <row r="468" spans="1:24" s="324" customFormat="1" ht="0.65" hidden="1" customHeight="1">
      <c r="A468" s="324">
        <v>2046</v>
      </c>
      <c r="H468" s="324" t="s">
        <v>338</v>
      </c>
      <c r="I468" s="324" t="s">
        <v>362</v>
      </c>
      <c r="J468" s="324" t="s">
        <v>363</v>
      </c>
      <c r="L468" s="324" t="s">
        <v>368</v>
      </c>
      <c r="X468" s="326"/>
    </row>
    <row r="469" spans="1:24" s="324" customFormat="1" ht="0.65" hidden="1" customHeight="1">
      <c r="A469" s="324">
        <v>2047</v>
      </c>
      <c r="C469" s="324" t="s">
        <v>55</v>
      </c>
      <c r="G469" s="324" t="s">
        <v>0</v>
      </c>
      <c r="H469" s="324" t="s">
        <v>1</v>
      </c>
      <c r="I469" s="324" t="s">
        <v>1</v>
      </c>
      <c r="J469" s="324" t="s">
        <v>1</v>
      </c>
      <c r="L469" s="324">
        <v>2</v>
      </c>
      <c r="X469" s="326"/>
    </row>
    <row r="470" spans="1:24" s="324" customFormat="1" ht="0.65" hidden="1" customHeight="1">
      <c r="A470" s="324">
        <v>2048</v>
      </c>
      <c r="G470" s="324">
        <v>2022</v>
      </c>
      <c r="H470" s="324">
        <v>-543750</v>
      </c>
      <c r="I470" s="324">
        <v>-543750</v>
      </c>
      <c r="J470" s="324">
        <v>-543750</v>
      </c>
      <c r="V470" s="324">
        <v>-543750</v>
      </c>
      <c r="W470" s="324">
        <v>-543750</v>
      </c>
      <c r="X470" s="326">
        <v>1</v>
      </c>
    </row>
    <row r="471" spans="1:24" s="324" customFormat="1" ht="0.65" hidden="1" customHeight="1">
      <c r="A471" s="324">
        <v>2049</v>
      </c>
      <c r="G471" s="324">
        <v>2023</v>
      </c>
      <c r="H471" s="324">
        <v>107500</v>
      </c>
      <c r="I471" s="324">
        <v>0</v>
      </c>
      <c r="J471" s="324">
        <v>0</v>
      </c>
      <c r="N471" s="324" t="s">
        <v>1175</v>
      </c>
      <c r="V471" s="324">
        <v>107500</v>
      </c>
      <c r="W471" s="324">
        <v>107500</v>
      </c>
      <c r="X471" s="326">
        <v>1</v>
      </c>
    </row>
    <row r="472" spans="1:24" s="324" customFormat="1" ht="0.65" hidden="1" customHeight="1">
      <c r="A472" s="324">
        <v>2050</v>
      </c>
      <c r="G472" s="324">
        <v>2024</v>
      </c>
      <c r="H472" s="324">
        <v>97500</v>
      </c>
      <c r="I472" s="324">
        <v>0</v>
      </c>
      <c r="J472" s="324">
        <v>0</v>
      </c>
      <c r="N472" s="324" t="s">
        <v>1176</v>
      </c>
      <c r="V472" s="324">
        <v>97500</v>
      </c>
      <c r="W472" s="324">
        <v>97500</v>
      </c>
      <c r="X472" s="326">
        <v>1</v>
      </c>
    </row>
    <row r="473" spans="1:24" s="324" customFormat="1" ht="0.65" hidden="1" customHeight="1">
      <c r="A473" s="324">
        <v>2051</v>
      </c>
      <c r="G473" s="324">
        <v>2025</v>
      </c>
      <c r="H473" s="324">
        <v>475625</v>
      </c>
      <c r="I473" s="324">
        <v>697732.44921875</v>
      </c>
      <c r="J473" s="324">
        <v>710743.74219434627</v>
      </c>
      <c r="K473" s="324" t="s">
        <v>55</v>
      </c>
      <c r="V473" s="324">
        <v>475625</v>
      </c>
      <c r="W473" s="324">
        <v>475625</v>
      </c>
      <c r="X473" s="326">
        <v>1</v>
      </c>
    </row>
    <row r="474" spans="1:24" s="324" customFormat="1" ht="0.65" hidden="1" customHeight="1">
      <c r="A474" s="324">
        <v>2052</v>
      </c>
      <c r="X474" s="326"/>
    </row>
    <row r="475" spans="1:24" s="324" customFormat="1" ht="0.65" hidden="1" customHeight="1">
      <c r="A475" s="324">
        <v>2053</v>
      </c>
      <c r="I475" s="324" t="s">
        <v>800</v>
      </c>
      <c r="J475" s="324" t="s">
        <v>800</v>
      </c>
      <c r="V475" s="324">
        <v>-543750</v>
      </c>
      <c r="W475" s="324">
        <v>-543750</v>
      </c>
      <c r="X475" s="326">
        <v>1</v>
      </c>
    </row>
    <row r="476" spans="1:24" s="324" customFormat="1" ht="0.65" hidden="1" customHeight="1">
      <c r="A476" s="324">
        <v>2054</v>
      </c>
      <c r="V476" s="324">
        <v>0</v>
      </c>
      <c r="W476" s="324">
        <v>0</v>
      </c>
      <c r="X476" s="326">
        <v>1</v>
      </c>
    </row>
    <row r="477" spans="1:24" s="324" customFormat="1" ht="0.65" hidden="1" customHeight="1">
      <c r="A477" s="324">
        <v>2055</v>
      </c>
      <c r="H477" s="324" t="s">
        <v>360</v>
      </c>
      <c r="I477" s="324" t="s">
        <v>36</v>
      </c>
      <c r="J477" s="324" t="s">
        <v>55</v>
      </c>
      <c r="V477" s="324">
        <v>0</v>
      </c>
      <c r="W477" s="324">
        <v>0</v>
      </c>
      <c r="X477" s="326">
        <v>1</v>
      </c>
    </row>
    <row r="478" spans="1:24" s="324" customFormat="1" ht="0.65" hidden="1" customHeight="1">
      <c r="A478" s="324">
        <v>2056</v>
      </c>
      <c r="X478" s="326"/>
    </row>
    <row r="479" spans="1:24" s="324" customFormat="1" ht="0.65" hidden="1" customHeight="1">
      <c r="A479" s="324">
        <v>2057</v>
      </c>
      <c r="H479" s="324" t="s">
        <v>361</v>
      </c>
      <c r="I479" s="324">
        <v>0</v>
      </c>
      <c r="V479" s="324">
        <v>-543750</v>
      </c>
      <c r="W479" s="324">
        <v>-543750</v>
      </c>
      <c r="X479" s="326">
        <v>1</v>
      </c>
    </row>
    <row r="480" spans="1:24" s="324" customFormat="1" ht="0.65" hidden="1" customHeight="1">
      <c r="A480" s="324">
        <v>2058</v>
      </c>
      <c r="F480" s="324" t="s">
        <v>55</v>
      </c>
      <c r="V480" s="324">
        <v>0</v>
      </c>
      <c r="W480" s="324">
        <v>0</v>
      </c>
      <c r="X480" s="326">
        <v>1</v>
      </c>
    </row>
    <row r="481" spans="1:24" s="324" customFormat="1" ht="0.65" hidden="1" customHeight="1">
      <c r="A481" s="324">
        <v>2059</v>
      </c>
      <c r="F481" s="324" t="s">
        <v>55</v>
      </c>
      <c r="V481" s="324">
        <v>0</v>
      </c>
      <c r="W481" s="324">
        <v>0</v>
      </c>
      <c r="X481" s="326">
        <v>1</v>
      </c>
    </row>
    <row r="482" spans="1:24" s="324" customFormat="1" ht="0.65" hidden="1" customHeight="1">
      <c r="A482" s="324">
        <v>2060</v>
      </c>
      <c r="F482" s="324" t="s">
        <v>944</v>
      </c>
      <c r="X482" s="326"/>
    </row>
    <row r="483" spans="1:24" s="324" customFormat="1" ht="0.65" hidden="1" customHeight="1">
      <c r="A483" s="324">
        <v>2061</v>
      </c>
      <c r="X483" s="326"/>
    </row>
    <row r="484" spans="1:24" s="324" customFormat="1" ht="0.65" hidden="1" customHeight="1">
      <c r="A484" s="324">
        <v>2062</v>
      </c>
      <c r="F484" s="324" t="s">
        <v>378</v>
      </c>
      <c r="X484" s="326"/>
    </row>
    <row r="485" spans="1:24" s="324" customFormat="1" ht="0.65" hidden="1" customHeight="1">
      <c r="A485" s="324">
        <v>2063</v>
      </c>
      <c r="X485" s="326"/>
    </row>
    <row r="486" spans="1:24" s="324" customFormat="1" ht="0.65" hidden="1" customHeight="1">
      <c r="A486" s="324">
        <v>2064</v>
      </c>
      <c r="X486" s="326"/>
    </row>
    <row r="487" spans="1:24" s="324" customFormat="1" ht="0.65" hidden="1" customHeight="1">
      <c r="A487" s="324">
        <v>2065</v>
      </c>
      <c r="F487" s="324" t="s">
        <v>379</v>
      </c>
      <c r="X487" s="326"/>
    </row>
    <row r="488" spans="1:24" s="324" customFormat="1" ht="0.65" hidden="1" customHeight="1">
      <c r="A488" s="324">
        <v>2066</v>
      </c>
      <c r="X488" s="326"/>
    </row>
    <row r="489" spans="1:24" s="324" customFormat="1" ht="0.65" hidden="1" customHeight="1">
      <c r="A489" s="324">
        <v>2067</v>
      </c>
      <c r="H489" s="324" t="s">
        <v>338</v>
      </c>
      <c r="I489" s="324" t="s">
        <v>362</v>
      </c>
      <c r="J489" s="324" t="s">
        <v>363</v>
      </c>
      <c r="L489" s="324" t="s">
        <v>369</v>
      </c>
      <c r="X489" s="326"/>
    </row>
    <row r="490" spans="1:24" s="324" customFormat="1" ht="0.65" hidden="1" customHeight="1">
      <c r="A490" s="324">
        <v>2068</v>
      </c>
      <c r="C490" s="324" t="s">
        <v>55</v>
      </c>
      <c r="G490" s="324" t="s">
        <v>0</v>
      </c>
      <c r="H490" s="324" t="s">
        <v>1</v>
      </c>
      <c r="I490" s="324" t="s">
        <v>1</v>
      </c>
      <c r="J490" s="324" t="s">
        <v>1</v>
      </c>
      <c r="L490" s="324">
        <v>3</v>
      </c>
      <c r="X490" s="326"/>
    </row>
    <row r="491" spans="1:24" s="324" customFormat="1" ht="0.65" hidden="1" customHeight="1">
      <c r="A491" s="324">
        <v>2069</v>
      </c>
      <c r="G491" s="324">
        <v>2022</v>
      </c>
      <c r="H491" s="324">
        <v>-543750</v>
      </c>
      <c r="I491" s="324">
        <v>-543750</v>
      </c>
      <c r="J491" s="324">
        <v>-543750</v>
      </c>
      <c r="V491" s="324">
        <v>-543750</v>
      </c>
      <c r="W491" s="324">
        <v>-543750</v>
      </c>
      <c r="X491" s="326">
        <v>1</v>
      </c>
    </row>
    <row r="492" spans="1:24" s="324" customFormat="1" ht="0.65" hidden="1" customHeight="1">
      <c r="A492" s="324">
        <v>2070</v>
      </c>
      <c r="G492" s="324">
        <v>2023</v>
      </c>
      <c r="H492" s="324">
        <v>107500</v>
      </c>
      <c r="I492" s="324">
        <v>0</v>
      </c>
      <c r="J492" s="324">
        <v>0</v>
      </c>
      <c r="V492" s="324">
        <v>107500</v>
      </c>
      <c r="W492" s="324">
        <v>107500</v>
      </c>
      <c r="X492" s="326">
        <v>1</v>
      </c>
    </row>
    <row r="493" spans="1:24" s="324" customFormat="1" ht="0.65" hidden="1" customHeight="1">
      <c r="A493" s="324">
        <v>2071</v>
      </c>
      <c r="G493" s="324">
        <v>2024</v>
      </c>
      <c r="H493" s="324">
        <v>97500</v>
      </c>
      <c r="I493" s="324">
        <v>0</v>
      </c>
      <c r="J493" s="324">
        <v>0</v>
      </c>
      <c r="V493" s="324">
        <v>97500</v>
      </c>
      <c r="W493" s="324">
        <v>97500</v>
      </c>
      <c r="X493" s="326">
        <v>1</v>
      </c>
    </row>
    <row r="494" spans="1:24" s="324" customFormat="1" ht="0.65" hidden="1" customHeight="1">
      <c r="A494" s="324">
        <v>2072</v>
      </c>
      <c r="G494" s="324">
        <v>2025</v>
      </c>
      <c r="H494" s="324">
        <v>475625</v>
      </c>
      <c r="I494" s="324">
        <v>697732.44921875</v>
      </c>
      <c r="J494" s="324">
        <v>710743.74219434627</v>
      </c>
      <c r="V494" s="324">
        <v>475625</v>
      </c>
      <c r="W494" s="324">
        <v>475625</v>
      </c>
      <c r="X494" s="326">
        <v>1</v>
      </c>
    </row>
    <row r="495" spans="1:24" s="324" customFormat="1" ht="0.65" hidden="1" customHeight="1">
      <c r="A495" s="324">
        <v>2073</v>
      </c>
      <c r="G495" s="324" t="s">
        <v>408</v>
      </c>
      <c r="H495" s="324">
        <v>9.3380333972086005E-2</v>
      </c>
      <c r="V495" s="324">
        <v>9.3380333972086005E-2</v>
      </c>
      <c r="W495" s="324">
        <v>9.3380333972086005E-2</v>
      </c>
      <c r="X495" s="326">
        <v>1</v>
      </c>
    </row>
    <row r="496" spans="1:24" s="324" customFormat="1" ht="0.65" hidden="1" customHeight="1">
      <c r="A496" s="324">
        <v>2074</v>
      </c>
      <c r="G496" s="324" t="s">
        <v>407</v>
      </c>
      <c r="H496" s="324">
        <v>5.3750000000000006E-2</v>
      </c>
      <c r="V496" s="324">
        <v>5.3750000000000006E-2</v>
      </c>
      <c r="W496" s="324">
        <v>5.3750000000000006E-2</v>
      </c>
      <c r="X496" s="326">
        <v>1</v>
      </c>
    </row>
    <row r="497" spans="1:24" s="324" customFormat="1" ht="0.65" hidden="1" customHeight="1">
      <c r="A497" s="324">
        <v>2075</v>
      </c>
      <c r="I497" s="324" t="s">
        <v>55</v>
      </c>
      <c r="J497" s="324" t="s">
        <v>55</v>
      </c>
      <c r="X497" s="326"/>
    </row>
    <row r="498" spans="1:24" s="324" customFormat="1" ht="0.65" hidden="1" customHeight="1">
      <c r="A498" s="324">
        <v>2076</v>
      </c>
      <c r="G498" s="324" t="s">
        <v>1170</v>
      </c>
      <c r="H498" s="324">
        <v>52565.582461407641</v>
      </c>
      <c r="I498" s="324">
        <v>52565.582461407641</v>
      </c>
      <c r="J498" s="324">
        <v>63685.656865294557</v>
      </c>
      <c r="K498" s="324" t="s">
        <v>800</v>
      </c>
      <c r="L498" s="324" t="s">
        <v>800</v>
      </c>
      <c r="N498" s="324" t="s">
        <v>1177</v>
      </c>
      <c r="O498" s="324" t="s">
        <v>1178</v>
      </c>
      <c r="V498" s="324">
        <v>-543750</v>
      </c>
      <c r="W498" s="324">
        <v>-543750</v>
      </c>
      <c r="X498" s="326">
        <v>1</v>
      </c>
    </row>
    <row r="499" spans="1:24" s="324" customFormat="1" ht="0.65" hidden="1" customHeight="1">
      <c r="A499" s="324">
        <v>2077</v>
      </c>
      <c r="G499" s="324" t="s">
        <v>1172</v>
      </c>
      <c r="H499" s="324">
        <v>9.6672335561209452E-2</v>
      </c>
      <c r="I499" s="324">
        <v>9.6672335561209452E-2</v>
      </c>
      <c r="J499" s="324">
        <v>0.11712304710858769</v>
      </c>
      <c r="K499" s="324" t="s">
        <v>800</v>
      </c>
      <c r="L499" s="324" t="s">
        <v>800</v>
      </c>
      <c r="N499" s="324" t="s">
        <v>1179</v>
      </c>
      <c r="O499" s="324" t="s">
        <v>1180</v>
      </c>
      <c r="V499" s="324">
        <v>0</v>
      </c>
      <c r="W499" s="324">
        <v>0</v>
      </c>
      <c r="X499" s="326">
        <v>1</v>
      </c>
    </row>
    <row r="500" spans="1:24" s="324" customFormat="1" ht="0.65" hidden="1" customHeight="1">
      <c r="A500" s="324">
        <v>2078</v>
      </c>
      <c r="V500" s="324">
        <v>0</v>
      </c>
      <c r="W500" s="324">
        <v>0</v>
      </c>
      <c r="X500" s="326">
        <v>1</v>
      </c>
    </row>
    <row r="501" spans="1:24" s="324" customFormat="1" ht="0.65" hidden="1" customHeight="1">
      <c r="A501" s="324">
        <v>2079</v>
      </c>
      <c r="G501" s="324" t="s">
        <v>1181</v>
      </c>
      <c r="H501" s="324">
        <v>0</v>
      </c>
      <c r="I501" s="324">
        <v>-9954.2073119593551</v>
      </c>
      <c r="J501" s="324">
        <v>0</v>
      </c>
      <c r="K501" s="324" t="s">
        <v>800</v>
      </c>
      <c r="L501" s="324" t="s">
        <v>800</v>
      </c>
      <c r="N501" s="324" t="s">
        <v>1182</v>
      </c>
      <c r="O501" s="324" t="s">
        <v>1183</v>
      </c>
      <c r="V501" s="324">
        <v>697732.44921875</v>
      </c>
      <c r="W501" s="324">
        <v>697732.44921875</v>
      </c>
      <c r="X501" s="326">
        <v>1</v>
      </c>
    </row>
    <row r="502" spans="1:24" s="324" customFormat="1" ht="0.65" hidden="1" customHeight="1">
      <c r="A502" s="324">
        <v>2080</v>
      </c>
      <c r="G502" s="324" t="s">
        <v>1184</v>
      </c>
      <c r="H502" s="324">
        <v>4.2819428717953036E-16</v>
      </c>
      <c r="I502" s="324">
        <v>-1.8306588159925252E-2</v>
      </c>
      <c r="J502" s="324">
        <v>0</v>
      </c>
      <c r="K502" s="324" t="s">
        <v>800</v>
      </c>
      <c r="L502" s="324" t="s">
        <v>800</v>
      </c>
      <c r="N502" s="324" t="s">
        <v>1185</v>
      </c>
      <c r="O502" s="324" t="s">
        <v>1186</v>
      </c>
      <c r="X502" s="326"/>
    </row>
    <row r="503" spans="1:24" s="324" customFormat="1" ht="0.65" hidden="1" customHeight="1">
      <c r="A503" s="324">
        <v>2081</v>
      </c>
      <c r="V503" s="324">
        <v>-543750</v>
      </c>
      <c r="W503" s="324">
        <v>-543750</v>
      </c>
      <c r="X503" s="326">
        <v>1</v>
      </c>
    </row>
    <row r="504" spans="1:24" s="324" customFormat="1" ht="0.65" hidden="1" customHeight="1">
      <c r="A504" s="324">
        <v>2082</v>
      </c>
      <c r="G504" s="324" t="s">
        <v>358</v>
      </c>
      <c r="H504" s="324">
        <v>9.3380333972086005E-2</v>
      </c>
      <c r="I504" s="324">
        <v>8.6667179635330438E-2</v>
      </c>
      <c r="J504" s="324">
        <v>9.3380333972086227E-2</v>
      </c>
      <c r="K504" s="324" t="s">
        <v>800</v>
      </c>
      <c r="L504" s="324" t="s">
        <v>800</v>
      </c>
      <c r="N504" s="324" t="s">
        <v>1187</v>
      </c>
      <c r="O504" s="324" t="s">
        <v>1188</v>
      </c>
      <c r="V504" s="324">
        <v>0</v>
      </c>
      <c r="W504" s="324">
        <v>0</v>
      </c>
      <c r="X504" s="326">
        <v>1</v>
      </c>
    </row>
    <row r="505" spans="1:24" s="324" customFormat="1" ht="0.65" hidden="1" customHeight="1">
      <c r="A505" s="324">
        <v>2083</v>
      </c>
      <c r="V505" s="324">
        <v>0</v>
      </c>
      <c r="W505" s="324">
        <v>0</v>
      </c>
      <c r="X505" s="326">
        <v>1</v>
      </c>
    </row>
    <row r="506" spans="1:24" s="324" customFormat="1" ht="0.65" hidden="1" customHeight="1">
      <c r="A506" s="324">
        <v>2084</v>
      </c>
      <c r="V506" s="324">
        <v>710743.74219434627</v>
      </c>
      <c r="W506" s="324">
        <v>710743.74219434627</v>
      </c>
      <c r="X506" s="326">
        <v>1</v>
      </c>
    </row>
    <row r="507" spans="1:24" s="324" customFormat="1" ht="0.65" hidden="1" customHeight="1">
      <c r="A507" s="324">
        <v>2085</v>
      </c>
      <c r="H507" s="324" t="s">
        <v>360</v>
      </c>
      <c r="I507" s="324" t="s">
        <v>36</v>
      </c>
      <c r="J507" s="324" t="s">
        <v>55</v>
      </c>
      <c r="K507" s="324" t="s">
        <v>361</v>
      </c>
      <c r="L507" s="324">
        <v>0</v>
      </c>
      <c r="X507" s="326"/>
    </row>
    <row r="508" spans="1:24" s="324" customFormat="1" ht="0.65" hidden="1" customHeight="1">
      <c r="A508" s="324">
        <v>2086</v>
      </c>
      <c r="X508" s="326"/>
    </row>
    <row r="509" spans="1:24" s="324" customFormat="1" ht="0.65" hidden="1" customHeight="1">
      <c r="A509" s="324">
        <v>2087</v>
      </c>
      <c r="F509" s="324" t="s">
        <v>55</v>
      </c>
      <c r="X509" s="326"/>
    </row>
    <row r="510" spans="1:24" s="324" customFormat="1" ht="0.65" hidden="1" customHeight="1">
      <c r="A510" s="324">
        <v>2088</v>
      </c>
      <c r="F510" s="324" t="s">
        <v>55</v>
      </c>
      <c r="X510" s="326"/>
    </row>
    <row r="511" spans="1:24" s="324" customFormat="1" ht="0.65" hidden="1" customHeight="1">
      <c r="A511" s="324">
        <v>2089</v>
      </c>
      <c r="F511" s="324" t="s">
        <v>944</v>
      </c>
      <c r="X511" s="326"/>
    </row>
    <row r="512" spans="1:24" s="324" customFormat="1" ht="0.65" hidden="1" customHeight="1">
      <c r="A512" s="324">
        <v>2090</v>
      </c>
      <c r="X512" s="326"/>
    </row>
    <row r="513" spans="1:24" s="324" customFormat="1" ht="0.65" hidden="1" customHeight="1">
      <c r="A513" s="324">
        <v>2091</v>
      </c>
      <c r="F513" s="324" t="s">
        <v>449</v>
      </c>
      <c r="X513" s="326"/>
    </row>
    <row r="514" spans="1:24" s="324" customFormat="1" ht="0.65" hidden="1" customHeight="1">
      <c r="A514" s="324">
        <v>2092</v>
      </c>
      <c r="X514" s="326"/>
    </row>
    <row r="515" spans="1:24" s="324" customFormat="1" ht="0.65" hidden="1" customHeight="1">
      <c r="A515" s="324">
        <v>2093</v>
      </c>
      <c r="F515" s="324" t="s">
        <v>380</v>
      </c>
      <c r="X515" s="326"/>
    </row>
    <row r="516" spans="1:24" s="324" customFormat="1" ht="0.65" hidden="1" customHeight="1">
      <c r="A516" s="324">
        <v>2094</v>
      </c>
      <c r="F516" s="324" t="s">
        <v>381</v>
      </c>
      <c r="X516" s="326"/>
    </row>
    <row r="517" spans="1:24" s="324" customFormat="1" ht="0.65" hidden="1" customHeight="1">
      <c r="A517" s="324">
        <v>2095</v>
      </c>
      <c r="X517" s="326"/>
    </row>
    <row r="518" spans="1:24" s="324" customFormat="1" ht="0.65" hidden="1" customHeight="1">
      <c r="A518" s="324">
        <v>2096</v>
      </c>
      <c r="F518" s="324" t="s">
        <v>402</v>
      </c>
      <c r="X518" s="326"/>
    </row>
    <row r="519" spans="1:24" s="324" customFormat="1" ht="0.65" hidden="1" customHeight="1">
      <c r="A519" s="324">
        <v>2097</v>
      </c>
      <c r="X519" s="326"/>
    </row>
    <row r="520" spans="1:24" s="324" customFormat="1" ht="0.65" hidden="1" customHeight="1">
      <c r="A520" s="324">
        <v>2098</v>
      </c>
      <c r="F520" s="324" t="s">
        <v>382</v>
      </c>
      <c r="X520" s="326"/>
    </row>
    <row r="521" spans="1:24" s="324" customFormat="1" ht="0.65" hidden="1" customHeight="1">
      <c r="A521" s="324">
        <v>2099</v>
      </c>
      <c r="X521" s="326"/>
    </row>
    <row r="522" spans="1:24" s="324" customFormat="1" ht="0.65" hidden="1" customHeight="1">
      <c r="A522" s="324">
        <v>2100</v>
      </c>
      <c r="F522" s="324" t="s">
        <v>403</v>
      </c>
      <c r="X522" s="326"/>
    </row>
    <row r="523" spans="1:24" s="324" customFormat="1" ht="0.65" hidden="1" customHeight="1">
      <c r="A523" s="324">
        <v>2101</v>
      </c>
      <c r="X523" s="326"/>
    </row>
    <row r="524" spans="1:24" s="324" customFormat="1" ht="0.65" hidden="1" customHeight="1">
      <c r="A524" s="324">
        <v>2102</v>
      </c>
      <c r="F524" s="324" t="s">
        <v>370</v>
      </c>
      <c r="X524" s="326"/>
    </row>
    <row r="525" spans="1:24" s="324" customFormat="1" ht="0.65" hidden="1" customHeight="1">
      <c r="A525" s="324">
        <v>2103</v>
      </c>
      <c r="X525" s="326"/>
    </row>
    <row r="526" spans="1:24" s="324" customFormat="1" ht="0.65" hidden="1" customHeight="1">
      <c r="A526" s="324">
        <v>2104</v>
      </c>
      <c r="F526" s="324" t="s">
        <v>443</v>
      </c>
      <c r="X526" s="326"/>
    </row>
    <row r="527" spans="1:24" s="324" customFormat="1" ht="0.65" hidden="1" customHeight="1">
      <c r="A527" s="324">
        <v>2105</v>
      </c>
      <c r="X527" s="326"/>
    </row>
    <row r="528" spans="1:24" s="324" customFormat="1" ht="0.65" hidden="1" customHeight="1">
      <c r="A528" s="324">
        <v>2106</v>
      </c>
      <c r="F528" s="324" t="s">
        <v>404</v>
      </c>
      <c r="X528" s="326"/>
    </row>
    <row r="529" spans="1:24" s="324" customFormat="1" ht="0.65" hidden="1" customHeight="1">
      <c r="A529" s="324">
        <v>2107</v>
      </c>
      <c r="X529" s="326"/>
    </row>
    <row r="530" spans="1:24" s="324" customFormat="1" ht="0.65" hidden="1" customHeight="1">
      <c r="A530" s="324">
        <v>2108</v>
      </c>
      <c r="F530" s="324" t="s">
        <v>365</v>
      </c>
      <c r="X530" s="326"/>
    </row>
    <row r="531" spans="1:24" s="324" customFormat="1" ht="0.65" hidden="1" customHeight="1">
      <c r="A531" s="324">
        <v>2109</v>
      </c>
      <c r="X531" s="326"/>
    </row>
    <row r="532" spans="1:24" s="324" customFormat="1" ht="0.65" hidden="1" customHeight="1">
      <c r="A532" s="324">
        <v>2110</v>
      </c>
      <c r="F532" s="324" t="s">
        <v>383</v>
      </c>
      <c r="X532" s="326"/>
    </row>
    <row r="533" spans="1:24" s="324" customFormat="1" ht="0.65" hidden="1" customHeight="1">
      <c r="A533" s="324">
        <v>2111</v>
      </c>
      <c r="X533" s="326"/>
    </row>
    <row r="534" spans="1:24" s="324" customFormat="1" ht="0.65" hidden="1" customHeight="1">
      <c r="A534" s="324">
        <v>2112</v>
      </c>
      <c r="F534" s="324" t="s">
        <v>366</v>
      </c>
      <c r="X534" s="326"/>
    </row>
    <row r="535" spans="1:24" s="324" customFormat="1" ht="0.65" hidden="1" customHeight="1">
      <c r="A535" s="324">
        <v>2113</v>
      </c>
      <c r="X535" s="326"/>
    </row>
    <row r="536" spans="1:24" s="324" customFormat="1" ht="0.65" hidden="1" customHeight="1">
      <c r="A536" s="324">
        <v>2114</v>
      </c>
      <c r="F536" s="324" t="s">
        <v>418</v>
      </c>
      <c r="X536" s="326"/>
    </row>
    <row r="537" spans="1:24" s="324" customFormat="1" ht="0.65" hidden="1" customHeight="1">
      <c r="A537" s="324">
        <v>2115</v>
      </c>
      <c r="X537" s="326"/>
    </row>
    <row r="538" spans="1:24" s="324" customFormat="1" ht="0.65" hidden="1" customHeight="1">
      <c r="A538" s="324">
        <v>2116</v>
      </c>
      <c r="F538" s="324" t="s">
        <v>371</v>
      </c>
      <c r="X538" s="326"/>
    </row>
    <row r="539" spans="1:24" s="324" customFormat="1" ht="0.65" hidden="1" customHeight="1">
      <c r="A539" s="324">
        <v>2117</v>
      </c>
      <c r="X539" s="326"/>
    </row>
    <row r="540" spans="1:24" s="324" customFormat="1" ht="0.65" hidden="1" customHeight="1">
      <c r="A540" s="324">
        <v>2118</v>
      </c>
      <c r="H540" s="324" t="s">
        <v>359</v>
      </c>
      <c r="I540" s="324" t="s">
        <v>36</v>
      </c>
      <c r="J540" s="324" t="s">
        <v>55</v>
      </c>
      <c r="L540" s="324" t="s">
        <v>372</v>
      </c>
      <c r="X540" s="326"/>
    </row>
    <row r="541" spans="1:24" s="324" customFormat="1" ht="0.65" hidden="1" customHeight="1">
      <c r="A541" s="324">
        <v>2119</v>
      </c>
      <c r="L541" s="324">
        <v>4</v>
      </c>
      <c r="X541" s="326"/>
    </row>
    <row r="542" spans="1:24" s="324" customFormat="1" ht="0.65" hidden="1" customHeight="1">
      <c r="A542" s="324">
        <v>2120</v>
      </c>
      <c r="X542" s="326"/>
    </row>
    <row r="543" spans="1:24" s="324" customFormat="1" ht="0.65" hidden="1" customHeight="1">
      <c r="A543" s="324">
        <v>2121</v>
      </c>
      <c r="F543" s="324" t="s">
        <v>384</v>
      </c>
      <c r="X543" s="326"/>
    </row>
    <row r="544" spans="1:24" s="324" customFormat="1" ht="0.65" hidden="1" customHeight="1">
      <c r="A544" s="324">
        <v>2122</v>
      </c>
      <c r="X544" s="326"/>
    </row>
    <row r="545" spans="1:24" s="324" customFormat="1" ht="0.65" hidden="1" customHeight="1">
      <c r="A545" s="324">
        <v>2123</v>
      </c>
      <c r="X545" s="326"/>
    </row>
    <row r="546" spans="1:24" s="324" customFormat="1" ht="0.65" hidden="1" customHeight="1">
      <c r="A546" s="324">
        <v>2124</v>
      </c>
      <c r="H546" s="324" t="s">
        <v>340</v>
      </c>
      <c r="X546" s="326"/>
    </row>
    <row r="547" spans="1:24" s="324" customFormat="1" ht="0.65" hidden="1" customHeight="1">
      <c r="A547" s="324">
        <v>2125</v>
      </c>
      <c r="G547" s="324" t="s">
        <v>0</v>
      </c>
      <c r="H547" s="324" t="s">
        <v>1</v>
      </c>
      <c r="X547" s="326"/>
    </row>
    <row r="548" spans="1:24" s="324" customFormat="1" ht="0.65" hidden="1" customHeight="1">
      <c r="A548" s="324">
        <v>2126</v>
      </c>
      <c r="G548" s="324">
        <v>2022</v>
      </c>
      <c r="H548" s="324">
        <v>-543750</v>
      </c>
      <c r="X548" s="326"/>
    </row>
    <row r="549" spans="1:24" s="324" customFormat="1" ht="0.65" hidden="1" customHeight="1">
      <c r="A549" s="324">
        <v>2127</v>
      </c>
      <c r="G549" s="324">
        <v>2023</v>
      </c>
      <c r="H549" s="324">
        <v>476437.49999999994</v>
      </c>
      <c r="X549" s="326"/>
    </row>
    <row r="550" spans="1:24" s="324" customFormat="1" ht="0.65" hidden="1" customHeight="1">
      <c r="A550" s="324">
        <v>2128</v>
      </c>
      <c r="G550" s="324">
        <v>2024</v>
      </c>
      <c r="H550" s="324">
        <v>102093.75</v>
      </c>
      <c r="I550" s="324" t="s">
        <v>354</v>
      </c>
      <c r="J550" s="324" t="s">
        <v>355</v>
      </c>
      <c r="K550" s="324" t="s">
        <v>356</v>
      </c>
      <c r="L550" s="324" t="s">
        <v>28</v>
      </c>
      <c r="X550" s="326"/>
    </row>
    <row r="551" spans="1:24" s="324" customFormat="1" ht="0.65" hidden="1" customHeight="1">
      <c r="A551" s="324">
        <v>2129</v>
      </c>
      <c r="G551" s="324">
        <v>2025</v>
      </c>
      <c r="H551" s="324">
        <v>34031.25</v>
      </c>
      <c r="I551" s="324">
        <v>573164.09246464493</v>
      </c>
      <c r="J551" s="324">
        <v>1.2619033536029869</v>
      </c>
      <c r="K551" s="324">
        <v>612562.5</v>
      </c>
      <c r="L551" s="324">
        <v>9.8896122474307013E-2</v>
      </c>
      <c r="X551" s="326"/>
    </row>
    <row r="552" spans="1:24" s="324" customFormat="1" ht="0.65" hidden="1" customHeight="1">
      <c r="A552" s="324">
        <v>2130</v>
      </c>
      <c r="X552" s="326"/>
    </row>
    <row r="553" spans="1:24" s="324" customFormat="1" ht="0.65" hidden="1" customHeight="1">
      <c r="A553" s="324">
        <v>2131</v>
      </c>
      <c r="X553" s="326"/>
    </row>
    <row r="554" spans="1:24" s="324" customFormat="1" ht="0.65" hidden="1" customHeight="1">
      <c r="A554" s="324">
        <v>2132</v>
      </c>
      <c r="F554" s="324" t="s">
        <v>1189</v>
      </c>
      <c r="X554" s="326"/>
    </row>
    <row r="555" spans="1:24" s="324" customFormat="1" ht="0.65" hidden="1" customHeight="1">
      <c r="A555" s="324">
        <v>2133</v>
      </c>
      <c r="X555" s="326"/>
    </row>
    <row r="556" spans="1:24" s="324" customFormat="1" ht="0.65" hidden="1" customHeight="1">
      <c r="A556" s="324">
        <v>2134</v>
      </c>
      <c r="F556" s="324" t="s">
        <v>428</v>
      </c>
      <c r="X556" s="326"/>
    </row>
    <row r="557" spans="1:24" s="324" customFormat="1" ht="0.65" hidden="1" customHeight="1">
      <c r="A557" s="324">
        <v>2135</v>
      </c>
      <c r="X557" s="326"/>
    </row>
    <row r="558" spans="1:24" s="324" customFormat="1" ht="0.65" hidden="1" customHeight="1">
      <c r="A558" s="324">
        <v>2136</v>
      </c>
      <c r="X558" s="326"/>
    </row>
    <row r="559" spans="1:24" s="324" customFormat="1" ht="0.65" hidden="1" customHeight="1">
      <c r="A559" s="324">
        <v>2137</v>
      </c>
      <c r="C559" s="324" t="s">
        <v>357</v>
      </c>
      <c r="G559" s="324" t="s">
        <v>338</v>
      </c>
      <c r="H559" s="324" t="s">
        <v>340</v>
      </c>
      <c r="I559" s="324" t="s">
        <v>55</v>
      </c>
      <c r="L559" s="324" t="s">
        <v>385</v>
      </c>
      <c r="X559" s="326"/>
    </row>
    <row r="560" spans="1:24" s="324" customFormat="1" ht="0.65" hidden="1" customHeight="1">
      <c r="A560" s="324">
        <v>2138</v>
      </c>
      <c r="C560" s="324" t="s">
        <v>1</v>
      </c>
      <c r="F560" s="324" t="s">
        <v>0</v>
      </c>
      <c r="G560" s="324" t="s">
        <v>1</v>
      </c>
      <c r="H560" s="324" t="s">
        <v>1</v>
      </c>
      <c r="L560" s="324">
        <v>5</v>
      </c>
      <c r="X560" s="326"/>
    </row>
    <row r="561" spans="1:24" s="324" customFormat="1" ht="0.65" hidden="1" customHeight="1">
      <c r="A561" s="324">
        <v>2139</v>
      </c>
      <c r="C561" s="324">
        <v>0</v>
      </c>
      <c r="F561" s="324">
        <v>2022</v>
      </c>
      <c r="G561" s="324">
        <v>-543750</v>
      </c>
      <c r="H561" s="324">
        <v>-543750</v>
      </c>
      <c r="V561" s="324">
        <v>-543750</v>
      </c>
      <c r="W561" s="324">
        <v>-543750</v>
      </c>
      <c r="X561" s="326">
        <v>1</v>
      </c>
    </row>
    <row r="562" spans="1:24" s="324" customFormat="1" ht="0.65" hidden="1" customHeight="1">
      <c r="A562" s="324">
        <v>2140</v>
      </c>
      <c r="C562" s="324">
        <v>368937.49999999994</v>
      </c>
      <c r="F562" s="324">
        <v>2023</v>
      </c>
      <c r="G562" s="324">
        <v>107500</v>
      </c>
      <c r="H562" s="324">
        <v>476437.49999999994</v>
      </c>
      <c r="V562" s="324">
        <v>107500</v>
      </c>
      <c r="W562" s="324">
        <v>107500</v>
      </c>
      <c r="X562" s="326">
        <v>1</v>
      </c>
    </row>
    <row r="563" spans="1:24" s="324" customFormat="1" ht="0.65" hidden="1" customHeight="1">
      <c r="A563" s="324">
        <v>2141</v>
      </c>
      <c r="C563" s="324">
        <v>4593.75</v>
      </c>
      <c r="F563" s="324">
        <v>2024</v>
      </c>
      <c r="G563" s="324">
        <v>97500</v>
      </c>
      <c r="H563" s="324">
        <v>102093.75</v>
      </c>
      <c r="V563" s="324">
        <v>97500</v>
      </c>
      <c r="W563" s="324">
        <v>97500</v>
      </c>
      <c r="X563" s="326">
        <v>1</v>
      </c>
    </row>
    <row r="564" spans="1:24" s="324" customFormat="1" ht="0.65" hidden="1" customHeight="1">
      <c r="A564" s="324">
        <v>2142</v>
      </c>
      <c r="C564" s="324">
        <v>-441593.75</v>
      </c>
      <c r="F564" s="324">
        <v>2025</v>
      </c>
      <c r="G564" s="324">
        <v>475625</v>
      </c>
      <c r="H564" s="324">
        <v>34031.25</v>
      </c>
      <c r="V564" s="324">
        <v>475625</v>
      </c>
      <c r="W564" s="324">
        <v>475625</v>
      </c>
      <c r="X564" s="326">
        <v>1</v>
      </c>
    </row>
    <row r="565" spans="1:24" s="324" customFormat="1" ht="0.65" hidden="1" customHeight="1">
      <c r="A565" s="324">
        <v>2143</v>
      </c>
      <c r="X565" s="326"/>
    </row>
    <row r="566" spans="1:24" s="324" customFormat="1" ht="0.65" hidden="1" customHeight="1">
      <c r="A566" s="324">
        <v>2144</v>
      </c>
      <c r="V566" s="324">
        <v>-543750</v>
      </c>
      <c r="W566" s="324">
        <v>-543750</v>
      </c>
      <c r="X566" s="326">
        <v>1</v>
      </c>
    </row>
    <row r="567" spans="1:24" s="324" customFormat="1" ht="0.65" hidden="1" customHeight="1">
      <c r="A567" s="324">
        <v>2145</v>
      </c>
      <c r="F567" s="324" t="s">
        <v>1190</v>
      </c>
      <c r="G567" s="324">
        <v>43783.668733249535</v>
      </c>
      <c r="H567" s="324">
        <v>25155.707396038226</v>
      </c>
      <c r="I567" s="324" t="s">
        <v>55</v>
      </c>
      <c r="J567" s="324" t="s">
        <v>800</v>
      </c>
      <c r="K567" s="324" t="s">
        <v>800</v>
      </c>
      <c r="N567" s="324">
        <v>43783.668733249535</v>
      </c>
      <c r="O567" s="324">
        <v>25155.707396038226</v>
      </c>
      <c r="V567" s="324">
        <v>476437.49999999994</v>
      </c>
      <c r="W567" s="324">
        <v>476437.49999999994</v>
      </c>
      <c r="X567" s="326">
        <v>1</v>
      </c>
    </row>
    <row r="568" spans="1:24" s="324" customFormat="1" ht="0.65" hidden="1" customHeight="1">
      <c r="A568" s="324">
        <v>2146</v>
      </c>
      <c r="C568" s="324">
        <v>0.06</v>
      </c>
      <c r="F568" s="324" t="s">
        <v>1191</v>
      </c>
      <c r="G568" s="324">
        <v>-42628.471574893978</v>
      </c>
      <c r="H568" s="324">
        <v>-18584.148764603422</v>
      </c>
      <c r="I568" s="324" t="s">
        <v>55</v>
      </c>
      <c r="J568" s="324" t="s">
        <v>800</v>
      </c>
      <c r="K568" s="324" t="s">
        <v>800</v>
      </c>
      <c r="N568" s="324">
        <v>-42628.471574893978</v>
      </c>
      <c r="O568" s="324">
        <v>-18584.148764603422</v>
      </c>
      <c r="V568" s="324">
        <v>102093.75</v>
      </c>
      <c r="W568" s="324">
        <v>102093.75</v>
      </c>
      <c r="X568" s="326">
        <v>1</v>
      </c>
    </row>
    <row r="569" spans="1:24" s="324" customFormat="1" ht="0.65" hidden="1" customHeight="1">
      <c r="A569" s="324">
        <v>2147</v>
      </c>
      <c r="C569" s="324">
        <v>8.7836745668542937E-2</v>
      </c>
      <c r="F569" s="324" t="s">
        <v>358</v>
      </c>
      <c r="G569" s="324">
        <v>9.3380333972086005E-2</v>
      </c>
      <c r="H569" s="324">
        <v>9.8896122474307013E-2</v>
      </c>
      <c r="I569" s="324" t="s">
        <v>55</v>
      </c>
      <c r="J569" s="324" t="s">
        <v>800</v>
      </c>
      <c r="K569" s="324" t="s">
        <v>800</v>
      </c>
      <c r="N569" s="324">
        <v>9.3380333972086005E-2</v>
      </c>
      <c r="O569" s="324">
        <v>9.8896122474307013E-2</v>
      </c>
      <c r="V569" s="324">
        <v>34031.25</v>
      </c>
      <c r="W569" s="324">
        <v>34031.25</v>
      </c>
      <c r="X569" s="326">
        <v>1</v>
      </c>
    </row>
    <row r="570" spans="1:24" s="324" customFormat="1" ht="0.65" hidden="1" customHeight="1">
      <c r="A570" s="324">
        <v>2148</v>
      </c>
      <c r="C570" s="324">
        <v>0.13</v>
      </c>
      <c r="N570" s="324">
        <v>0.06</v>
      </c>
      <c r="X570" s="326"/>
    </row>
    <row r="571" spans="1:24" s="324" customFormat="1" ht="0.65" hidden="1" customHeight="1">
      <c r="A571" s="324">
        <v>2149</v>
      </c>
      <c r="G571" s="324" t="s">
        <v>360</v>
      </c>
      <c r="H571" s="324" t="s">
        <v>36</v>
      </c>
      <c r="I571" s="324" t="s">
        <v>55</v>
      </c>
      <c r="X571" s="326"/>
    </row>
    <row r="572" spans="1:24" s="324" customFormat="1" ht="0.65" hidden="1" customHeight="1">
      <c r="A572" s="324">
        <v>2150</v>
      </c>
      <c r="X572" s="326"/>
    </row>
    <row r="573" spans="1:24" s="324" customFormat="1" ht="0.65" hidden="1" customHeight="1">
      <c r="A573" s="324">
        <v>2151</v>
      </c>
      <c r="G573" s="324" t="s">
        <v>361</v>
      </c>
      <c r="H573" s="324">
        <v>0</v>
      </c>
      <c r="X573" s="326"/>
    </row>
    <row r="574" spans="1:24" s="324" customFormat="1" ht="0.65" hidden="1" customHeight="1">
      <c r="A574" s="324">
        <v>2152</v>
      </c>
      <c r="X574" s="326"/>
    </row>
    <row r="575" spans="1:24" s="324" customFormat="1" ht="0.65" hidden="1" customHeight="1">
      <c r="A575" s="324">
        <v>2153</v>
      </c>
      <c r="F575" s="324" t="s">
        <v>944</v>
      </c>
      <c r="X575" s="326"/>
    </row>
    <row r="576" spans="1:24" s="324" customFormat="1" ht="0.65" hidden="1" customHeight="1">
      <c r="A576" s="324">
        <v>2154</v>
      </c>
      <c r="X576" s="326"/>
    </row>
    <row r="577" spans="1:24" s="324" customFormat="1" ht="0.65" hidden="1" customHeight="1">
      <c r="A577" s="324">
        <v>2155</v>
      </c>
      <c r="F577" s="324" t="s">
        <v>1192</v>
      </c>
      <c r="X577" s="326"/>
    </row>
    <row r="578" spans="1:24" s="324" customFormat="1" ht="0.65" hidden="1" customHeight="1">
      <c r="A578" s="324">
        <v>2156</v>
      </c>
      <c r="X578" s="326"/>
    </row>
    <row r="579" spans="1:24" s="324" customFormat="1" ht="0.65" hidden="1" customHeight="1">
      <c r="A579" s="324">
        <v>2157</v>
      </c>
      <c r="F579" s="324" t="s">
        <v>2072</v>
      </c>
      <c r="X579" s="326"/>
    </row>
    <row r="580" spans="1:24" s="324" customFormat="1" ht="0.65" hidden="1" customHeight="1">
      <c r="A580" s="324">
        <v>2158</v>
      </c>
      <c r="X580" s="326"/>
    </row>
    <row r="581" spans="1:24" s="324" customFormat="1" ht="0.65" hidden="1" customHeight="1">
      <c r="A581" s="324">
        <v>2159</v>
      </c>
      <c r="F581" s="324" t="s">
        <v>444</v>
      </c>
      <c r="X581" s="326"/>
    </row>
    <row r="582" spans="1:24" s="324" customFormat="1" ht="0.65" hidden="1" customHeight="1">
      <c r="A582" s="324">
        <v>2160</v>
      </c>
      <c r="X582" s="326"/>
    </row>
    <row r="583" spans="1:24" s="324" customFormat="1" ht="0.65" hidden="1" customHeight="1">
      <c r="A583" s="324">
        <v>2161</v>
      </c>
      <c r="F583" s="324" t="s">
        <v>450</v>
      </c>
      <c r="X583" s="326"/>
    </row>
    <row r="584" spans="1:24" s="324" customFormat="1" ht="0.65" hidden="1" customHeight="1">
      <c r="A584" s="324">
        <v>2162</v>
      </c>
      <c r="X584" s="326"/>
    </row>
    <row r="585" spans="1:24" s="324" customFormat="1" ht="0.65" hidden="1" customHeight="1">
      <c r="A585" s="324">
        <v>2163</v>
      </c>
      <c r="F585" s="324" t="s">
        <v>451</v>
      </c>
      <c r="X585" s="326"/>
    </row>
    <row r="586" spans="1:24" s="324" customFormat="1" ht="0.65" hidden="1" customHeight="1">
      <c r="A586" s="324">
        <v>2164</v>
      </c>
      <c r="X586" s="326"/>
    </row>
    <row r="587" spans="1:24" s="324" customFormat="1" ht="0.65" hidden="1" customHeight="1">
      <c r="A587" s="324">
        <v>2165</v>
      </c>
      <c r="F587" s="324" t="s">
        <v>373</v>
      </c>
      <c r="X587" s="326"/>
    </row>
    <row r="588" spans="1:24" s="324" customFormat="1" ht="0.65" hidden="1" customHeight="1">
      <c r="A588" s="324">
        <v>2166</v>
      </c>
      <c r="X588" s="326"/>
    </row>
    <row r="589" spans="1:24" s="324" customFormat="1" ht="0.65" hidden="1" customHeight="1">
      <c r="A589" s="324">
        <v>2167</v>
      </c>
      <c r="F589" s="324" t="s">
        <v>445</v>
      </c>
      <c r="X589" s="326"/>
    </row>
    <row r="590" spans="1:24" s="324" customFormat="1" ht="0.65" hidden="1" customHeight="1">
      <c r="A590" s="324">
        <v>2168</v>
      </c>
      <c r="X590" s="326"/>
    </row>
    <row r="591" spans="1:24" s="324" customFormat="1" ht="0.65" hidden="1" customHeight="1">
      <c r="A591" s="324">
        <v>2169</v>
      </c>
      <c r="L591" s="324" t="s">
        <v>389</v>
      </c>
      <c r="X591" s="326"/>
    </row>
    <row r="592" spans="1:24" s="324" customFormat="1" ht="0.65" hidden="1" customHeight="1">
      <c r="A592" s="324">
        <v>2170</v>
      </c>
      <c r="C592" s="324" t="s">
        <v>55</v>
      </c>
      <c r="H592" s="324" t="s">
        <v>338</v>
      </c>
      <c r="I592" s="324" t="s">
        <v>386</v>
      </c>
      <c r="L592" s="324">
        <v>6</v>
      </c>
      <c r="X592" s="326"/>
    </row>
    <row r="593" spans="1:24" s="324" customFormat="1" ht="0.65" hidden="1" customHeight="1">
      <c r="A593" s="324">
        <v>2171</v>
      </c>
      <c r="G593" s="324" t="s">
        <v>0</v>
      </c>
      <c r="H593" s="324" t="s">
        <v>1</v>
      </c>
      <c r="I593" s="324" t="s">
        <v>387</v>
      </c>
      <c r="P593" s="324" t="s">
        <v>390</v>
      </c>
      <c r="Q593" s="324" t="s">
        <v>390</v>
      </c>
      <c r="X593" s="326"/>
    </row>
    <row r="594" spans="1:24" s="324" customFormat="1" ht="0.65" hidden="1" customHeight="1">
      <c r="A594" s="324">
        <v>2172</v>
      </c>
      <c r="G594" s="324">
        <v>2022</v>
      </c>
      <c r="H594" s="324">
        <v>-543750</v>
      </c>
      <c r="I594" s="324">
        <v>-543750</v>
      </c>
      <c r="J594" s="324" t="s">
        <v>55</v>
      </c>
      <c r="K594" s="324" t="s">
        <v>800</v>
      </c>
      <c r="N594" s="324">
        <v>-543750</v>
      </c>
      <c r="P594" s="324" t="s">
        <v>391</v>
      </c>
      <c r="Q594" s="324" t="s">
        <v>392</v>
      </c>
      <c r="V594" s="324">
        <v>-543750</v>
      </c>
      <c r="W594" s="324">
        <v>-543750</v>
      </c>
      <c r="X594" s="326">
        <v>1</v>
      </c>
    </row>
    <row r="595" spans="1:24" s="324" customFormat="1" ht="0.65" hidden="1" customHeight="1">
      <c r="A595" s="324">
        <v>2173</v>
      </c>
      <c r="G595" s="324">
        <v>2023</v>
      </c>
      <c r="H595" s="324">
        <v>107500</v>
      </c>
      <c r="I595" s="324">
        <v>-487025.55659732176</v>
      </c>
      <c r="J595" s="324" t="s">
        <v>55</v>
      </c>
      <c r="K595" s="324" t="s">
        <v>800</v>
      </c>
      <c r="N595" s="324">
        <v>-487025.55659732176</v>
      </c>
      <c r="P595" s="324">
        <v>1</v>
      </c>
      <c r="Q595" s="324">
        <v>0</v>
      </c>
      <c r="V595" s="324">
        <v>107500</v>
      </c>
      <c r="W595" s="324">
        <v>107500</v>
      </c>
      <c r="X595" s="326">
        <v>1</v>
      </c>
    </row>
    <row r="596" spans="1:24" s="324" customFormat="1" ht="0.65" hidden="1" customHeight="1">
      <c r="A596" s="324">
        <v>2174</v>
      </c>
      <c r="G596" s="324">
        <v>2024</v>
      </c>
      <c r="H596" s="324">
        <v>97500</v>
      </c>
      <c r="I596" s="324">
        <v>-435004.16572532069</v>
      </c>
      <c r="J596" s="324" t="s">
        <v>55</v>
      </c>
      <c r="K596" s="324" t="s">
        <v>800</v>
      </c>
      <c r="N596" s="324">
        <v>-435004.16572532075</v>
      </c>
      <c r="P596" s="324">
        <v>0</v>
      </c>
      <c r="Q596" s="324">
        <v>0</v>
      </c>
      <c r="V596" s="324">
        <v>97500</v>
      </c>
      <c r="W596" s="324">
        <v>97500</v>
      </c>
      <c r="X596" s="326">
        <v>1</v>
      </c>
    </row>
    <row r="597" spans="1:24" s="324" customFormat="1" ht="0.65" hidden="1" customHeight="1">
      <c r="A597" s="324">
        <v>2175</v>
      </c>
      <c r="G597" s="324">
        <v>2025</v>
      </c>
      <c r="H597" s="324">
        <v>475625</v>
      </c>
      <c r="I597" s="324">
        <v>0</v>
      </c>
      <c r="J597" s="324" t="s">
        <v>55</v>
      </c>
      <c r="K597" s="324" t="s">
        <v>800</v>
      </c>
      <c r="N597" s="324">
        <v>3.0433641005621989E-10</v>
      </c>
      <c r="P597" s="324">
        <v>0</v>
      </c>
      <c r="V597" s="324">
        <v>475625</v>
      </c>
      <c r="W597" s="324">
        <v>475625</v>
      </c>
      <c r="X597" s="326">
        <v>1</v>
      </c>
    </row>
    <row r="598" spans="1:24" s="324" customFormat="1" ht="0.65" hidden="1" customHeight="1">
      <c r="A598" s="324">
        <v>2176</v>
      </c>
      <c r="P598" s="324">
        <v>1</v>
      </c>
      <c r="Q598" s="324">
        <v>0</v>
      </c>
      <c r="X598" s="326"/>
    </row>
    <row r="599" spans="1:24" s="324" customFormat="1" ht="0.65" hidden="1" customHeight="1">
      <c r="A599" s="324">
        <v>2177</v>
      </c>
      <c r="G599" s="324" t="s">
        <v>358</v>
      </c>
      <c r="H599" s="324">
        <v>9.3380333972086005E-2</v>
      </c>
      <c r="V599" s="324">
        <v>9.3380333972086005E-2</v>
      </c>
      <c r="W599" s="324">
        <v>9.3380333972086005E-2</v>
      </c>
      <c r="X599" s="326">
        <v>1</v>
      </c>
    </row>
    <row r="600" spans="1:24" s="324" customFormat="1" ht="0.65" hidden="1" customHeight="1">
      <c r="A600" s="324">
        <v>2178</v>
      </c>
      <c r="O600" s="324" t="s">
        <v>388</v>
      </c>
      <c r="P600" s="324" t="s">
        <v>398</v>
      </c>
      <c r="X600" s="326"/>
    </row>
    <row r="601" spans="1:24" s="324" customFormat="1" ht="0.65" hidden="1" customHeight="1">
      <c r="A601" s="324">
        <v>2179</v>
      </c>
      <c r="H601" s="324" t="s">
        <v>360</v>
      </c>
      <c r="I601" s="324" t="s">
        <v>36</v>
      </c>
      <c r="J601" s="324" t="s">
        <v>55</v>
      </c>
      <c r="K601" s="324" t="s">
        <v>361</v>
      </c>
      <c r="L601" s="324">
        <v>0</v>
      </c>
      <c r="P601" s="324" t="s">
        <v>400</v>
      </c>
      <c r="X601" s="326"/>
    </row>
    <row r="602" spans="1:24" s="324" customFormat="1" ht="0.65" hidden="1" customHeight="1">
      <c r="A602" s="324">
        <v>2180</v>
      </c>
      <c r="W602" s="324" t="s">
        <v>422</v>
      </c>
      <c r="X602" s="326">
        <v>44</v>
      </c>
    </row>
    <row r="603" spans="1:24" s="324" customFormat="1" ht="0.65" hidden="1" customHeight="1">
      <c r="A603" s="324">
        <v>2181</v>
      </c>
      <c r="F603" s="324" t="s">
        <v>55</v>
      </c>
      <c r="W603" s="324" t="s">
        <v>423</v>
      </c>
      <c r="X603" s="326" t="s">
        <v>520</v>
      </c>
    </row>
    <row r="604" spans="1:24" s="324" customFormat="1" ht="0.65" hidden="1" customHeight="1">
      <c r="A604" s="324">
        <v>2182</v>
      </c>
      <c r="F604" s="324" t="s">
        <v>55</v>
      </c>
      <c r="X604" s="326"/>
    </row>
    <row r="605" spans="1:24" s="324" customFormat="1" ht="0.65" hidden="1" customHeight="1">
      <c r="A605" s="324">
        <v>2183</v>
      </c>
      <c r="F605" s="324" t="s">
        <v>944</v>
      </c>
      <c r="X605" s="326"/>
    </row>
    <row r="606" spans="1:24" s="324" customFormat="1" ht="0.65" hidden="1" customHeight="1">
      <c r="A606" s="324">
        <v>2184</v>
      </c>
      <c r="X606" s="326"/>
    </row>
    <row r="607" spans="1:24" s="324" customFormat="1" ht="0.65" hidden="1" customHeight="1">
      <c r="A607" s="324">
        <v>2185</v>
      </c>
      <c r="F607" s="324" t="s">
        <v>446</v>
      </c>
      <c r="X607" s="326"/>
    </row>
    <row r="608" spans="1:24" s="324" customFormat="1" ht="0.65" hidden="1" customHeight="1">
      <c r="A608" s="324">
        <v>2186</v>
      </c>
      <c r="O608" s="324" t="s">
        <v>40</v>
      </c>
      <c r="P608" s="324" t="s">
        <v>398</v>
      </c>
      <c r="X608" s="326"/>
    </row>
    <row r="609" spans="1:24" s="324" customFormat="1" ht="0.65" hidden="1" customHeight="1">
      <c r="A609" s="324">
        <v>2187</v>
      </c>
      <c r="F609" s="324" t="s">
        <v>393</v>
      </c>
      <c r="O609" s="324" t="s">
        <v>38</v>
      </c>
      <c r="P609" s="324" t="s">
        <v>399</v>
      </c>
      <c r="X609" s="326"/>
    </row>
    <row r="610" spans="1:24" s="324" customFormat="1" ht="0.65" hidden="1" customHeight="1">
      <c r="A610" s="324">
        <v>2188</v>
      </c>
      <c r="O610" s="324" t="s">
        <v>397</v>
      </c>
      <c r="P610" s="324" t="s">
        <v>400</v>
      </c>
      <c r="X610" s="326"/>
    </row>
    <row r="611" spans="1:24" s="324" customFormat="1" ht="0.65" hidden="1" customHeight="1">
      <c r="A611" s="324">
        <v>2189</v>
      </c>
      <c r="F611" s="324" t="s">
        <v>394</v>
      </c>
      <c r="J611" s="324" t="s">
        <v>40</v>
      </c>
      <c r="K611" s="324" t="s">
        <v>55</v>
      </c>
      <c r="L611" s="324" t="s">
        <v>800</v>
      </c>
      <c r="O611" s="324" t="s">
        <v>396</v>
      </c>
      <c r="P611" s="324" t="s">
        <v>401</v>
      </c>
      <c r="X611" s="326"/>
    </row>
    <row r="612" spans="1:24" s="324" customFormat="1" ht="0.65" hidden="1" customHeight="1">
      <c r="A612" s="324">
        <v>2190</v>
      </c>
      <c r="F612" s="324" t="s">
        <v>395</v>
      </c>
      <c r="J612" s="324" t="s">
        <v>397</v>
      </c>
      <c r="K612" s="324" t="s">
        <v>55</v>
      </c>
      <c r="L612" s="324" t="s">
        <v>800</v>
      </c>
      <c r="X612" s="326"/>
    </row>
    <row r="613" spans="1:24" s="324" customFormat="1" ht="0.65" hidden="1" customHeight="1">
      <c r="A613" s="324">
        <v>2191</v>
      </c>
      <c r="X613" s="326"/>
    </row>
    <row r="614" spans="1:24" s="324" customFormat="1" ht="0.65" hidden="1" customHeight="1">
      <c r="A614" s="324">
        <v>2192</v>
      </c>
      <c r="I614" s="324" t="s">
        <v>360</v>
      </c>
      <c r="J614" s="324" t="s">
        <v>36</v>
      </c>
      <c r="K614" s="324" t="s">
        <v>55</v>
      </c>
      <c r="L614" s="324" t="s">
        <v>405</v>
      </c>
      <c r="X614" s="326"/>
    </row>
    <row r="615" spans="1:24" s="324" customFormat="1" ht="0.65" hidden="1" customHeight="1">
      <c r="A615" s="324">
        <v>2193</v>
      </c>
      <c r="L615" s="324">
        <v>7</v>
      </c>
      <c r="X615" s="326"/>
    </row>
    <row r="616" spans="1:24" s="324" customFormat="1" ht="0.65" hidden="1" customHeight="1">
      <c r="A616" s="324">
        <v>2194</v>
      </c>
      <c r="I616" s="324" t="s">
        <v>361</v>
      </c>
      <c r="J616" s="324">
        <v>0</v>
      </c>
      <c r="X616" s="326"/>
    </row>
    <row r="617" spans="1:24" s="324" customFormat="1" ht="0.65" hidden="1" customHeight="1">
      <c r="A617" s="324">
        <v>2195</v>
      </c>
      <c r="X617" s="326"/>
    </row>
    <row r="618" spans="1:24" s="324" customFormat="1" ht="0.65" hidden="1" customHeight="1">
      <c r="A618" s="324">
        <v>2196</v>
      </c>
      <c r="F618" s="324" t="s">
        <v>944</v>
      </c>
      <c r="X618" s="326"/>
    </row>
    <row r="619" spans="1:24" s="324" customFormat="1" ht="0.65" hidden="1" customHeight="1">
      <c r="A619" s="324">
        <v>2197</v>
      </c>
      <c r="X619" s="326"/>
    </row>
    <row r="620" spans="1:24" s="324" customFormat="1" ht="0.65" hidden="1" customHeight="1">
      <c r="A620" s="324">
        <v>2198</v>
      </c>
      <c r="F620" s="324" t="s">
        <v>419</v>
      </c>
      <c r="X620" s="326"/>
    </row>
    <row r="621" spans="1:24" s="324" customFormat="1" ht="0.65" hidden="1" customHeight="1">
      <c r="A621" s="324">
        <v>2199</v>
      </c>
      <c r="X621" s="326"/>
    </row>
    <row r="622" spans="1:24" s="324" customFormat="1" ht="0.65" hidden="1" customHeight="1">
      <c r="A622" s="324">
        <v>2200</v>
      </c>
      <c r="F622" s="324" t="s">
        <v>447</v>
      </c>
      <c r="X622" s="326"/>
    </row>
    <row r="623" spans="1:24" s="324" customFormat="1" ht="0.65" hidden="1" customHeight="1">
      <c r="X623" s="326"/>
    </row>
    <row r="624" spans="1:24" s="324" customFormat="1" ht="0.65" hidden="1" customHeight="1">
      <c r="X624" s="326"/>
    </row>
    <row r="625" spans="1:24" s="324" customFormat="1" ht="0.65" hidden="1" customHeight="1">
      <c r="X625" s="326"/>
    </row>
    <row r="626" spans="1:24" s="324" customFormat="1" ht="0.65" hidden="1" customHeight="1">
      <c r="B626" s="324" t="s">
        <v>19</v>
      </c>
      <c r="E626" s="324" t="s">
        <v>336</v>
      </c>
      <c r="F626" s="324">
        <v>3</v>
      </c>
      <c r="X626" s="326"/>
    </row>
    <row r="627" spans="1:24" s="324" customFormat="1" ht="0.65" hidden="1" customHeight="1">
      <c r="B627" s="324" t="s">
        <v>3951</v>
      </c>
      <c r="E627" s="324" t="s">
        <v>336</v>
      </c>
      <c r="F627" s="324" t="s">
        <v>486</v>
      </c>
      <c r="X627" s="326"/>
    </row>
    <row r="628" spans="1:24" s="324" customFormat="1" ht="0.65" hidden="1" customHeight="1">
      <c r="A628" s="324">
        <v>3001</v>
      </c>
      <c r="C628" s="324" t="s">
        <v>5</v>
      </c>
      <c r="D628" s="324">
        <v>2022</v>
      </c>
      <c r="F628" s="324" t="s">
        <v>374</v>
      </c>
      <c r="X628" s="326"/>
    </row>
    <row r="629" spans="1:24" s="324" customFormat="1" ht="0.65" hidden="1" customHeight="1">
      <c r="A629" s="324">
        <v>3002</v>
      </c>
      <c r="X629" s="326"/>
    </row>
    <row r="630" spans="1:24" s="324" customFormat="1" ht="0.65" hidden="1" customHeight="1">
      <c r="A630" s="324">
        <v>3003</v>
      </c>
      <c r="C630" s="324" t="s">
        <v>32</v>
      </c>
      <c r="X630" s="326"/>
    </row>
    <row r="631" spans="1:24" s="324" customFormat="1" ht="0.65" hidden="1" customHeight="1">
      <c r="A631" s="324">
        <v>3004</v>
      </c>
      <c r="C631" s="324" t="s">
        <v>488</v>
      </c>
      <c r="D631" s="324">
        <v>300000</v>
      </c>
      <c r="H631" s="324" t="s">
        <v>338</v>
      </c>
      <c r="X631" s="326"/>
    </row>
    <row r="632" spans="1:24" s="324" customFormat="1" ht="0.65" hidden="1" customHeight="1">
      <c r="A632" s="324">
        <v>3005</v>
      </c>
      <c r="C632" s="324" t="s">
        <v>6</v>
      </c>
      <c r="D632" s="324">
        <v>6</v>
      </c>
      <c r="G632" s="324" t="s">
        <v>0</v>
      </c>
      <c r="H632" s="324" t="s">
        <v>1</v>
      </c>
      <c r="X632" s="326"/>
    </row>
    <row r="633" spans="1:24" s="324" customFormat="1" ht="0.65" hidden="1" customHeight="1">
      <c r="A633" s="324">
        <v>3006</v>
      </c>
      <c r="C633" s="324" t="s">
        <v>489</v>
      </c>
      <c r="D633" s="324">
        <v>100000</v>
      </c>
      <c r="G633" s="324">
        <v>2022</v>
      </c>
      <c r="H633" s="324">
        <v>-175000</v>
      </c>
      <c r="X633" s="326"/>
    </row>
    <row r="634" spans="1:24" s="324" customFormat="1" ht="0.65" hidden="1" customHeight="1">
      <c r="A634" s="324">
        <v>3007</v>
      </c>
      <c r="G634" s="324">
        <v>2023</v>
      </c>
      <c r="H634" s="324">
        <v>31833.333333333343</v>
      </c>
      <c r="X634" s="326"/>
    </row>
    <row r="635" spans="1:24" s="324" customFormat="1" ht="0.65" hidden="1" customHeight="1">
      <c r="A635" s="324">
        <v>3008</v>
      </c>
      <c r="C635" s="324" t="s">
        <v>34</v>
      </c>
      <c r="D635" s="324">
        <v>720000</v>
      </c>
      <c r="G635" s="324">
        <v>2024</v>
      </c>
      <c r="H635" s="324">
        <v>103833.33333333334</v>
      </c>
      <c r="I635" s="324" t="s">
        <v>354</v>
      </c>
      <c r="J635" s="324" t="s">
        <v>355</v>
      </c>
      <c r="K635" s="324" t="s">
        <v>356</v>
      </c>
      <c r="L635" s="324" t="s">
        <v>28</v>
      </c>
      <c r="X635" s="326"/>
    </row>
    <row r="636" spans="1:24" s="324" customFormat="1" ht="0.65" hidden="1" customHeight="1">
      <c r="A636" s="324">
        <v>3009</v>
      </c>
      <c r="C636" s="324" t="s">
        <v>35</v>
      </c>
      <c r="D636" s="324">
        <v>576000</v>
      </c>
      <c r="G636" s="324">
        <v>2025</v>
      </c>
      <c r="H636" s="324">
        <v>250833.33333333334</v>
      </c>
      <c r="I636" s="324">
        <v>324235.38433886995</v>
      </c>
      <c r="J636" s="324">
        <v>2.5376425188277025</v>
      </c>
      <c r="K636" s="324">
        <v>386500</v>
      </c>
      <c r="L636" s="324">
        <v>0.37357216681627725</v>
      </c>
      <c r="X636" s="326"/>
    </row>
    <row r="637" spans="1:24" s="324" customFormat="1" ht="0.65" hidden="1" customHeight="1">
      <c r="A637" s="324">
        <v>3010</v>
      </c>
      <c r="X637" s="326"/>
    </row>
    <row r="638" spans="1:24" s="324" customFormat="1" ht="0.65" hidden="1" customHeight="1">
      <c r="A638" s="324">
        <v>3011</v>
      </c>
      <c r="C638" s="324" t="s">
        <v>7</v>
      </c>
      <c r="D638" s="324">
        <v>60</v>
      </c>
      <c r="X638" s="326"/>
    </row>
    <row r="639" spans="1:24" s="324" customFormat="1" ht="0.65" hidden="1" customHeight="1">
      <c r="A639" s="324">
        <v>3012</v>
      </c>
      <c r="C639" s="324" t="s">
        <v>8</v>
      </c>
      <c r="D639" s="324">
        <v>30</v>
      </c>
      <c r="F639" s="324" t="s">
        <v>375</v>
      </c>
      <c r="X639" s="326"/>
    </row>
    <row r="640" spans="1:24" s="324" customFormat="1" ht="0.65" hidden="1" customHeight="1">
      <c r="A640" s="324">
        <v>3013</v>
      </c>
      <c r="F640" s="324" t="s">
        <v>477</v>
      </c>
      <c r="X640" s="326"/>
    </row>
    <row r="641" spans="1:24" s="324" customFormat="1" ht="0.65" hidden="1" customHeight="1">
      <c r="A641" s="324">
        <v>3014</v>
      </c>
      <c r="C641" s="324" t="s">
        <v>33</v>
      </c>
      <c r="X641" s="326"/>
    </row>
    <row r="642" spans="1:24" s="324" customFormat="1" ht="0.65" hidden="1" customHeight="1">
      <c r="A642" s="324">
        <v>3015</v>
      </c>
      <c r="C642" s="324" t="s">
        <v>492</v>
      </c>
      <c r="D642" s="324">
        <v>100000</v>
      </c>
      <c r="X642" s="326"/>
    </row>
    <row r="643" spans="1:24" s="324" customFormat="1" ht="0.65" hidden="1" customHeight="1">
      <c r="A643" s="324">
        <v>3016</v>
      </c>
      <c r="C643" s="324" t="s">
        <v>495</v>
      </c>
      <c r="D643" s="324">
        <v>200000</v>
      </c>
      <c r="G643" s="324" t="s">
        <v>339</v>
      </c>
      <c r="H643" s="324">
        <v>7.1249999999999994E-2</v>
      </c>
      <c r="V643" s="324">
        <v>7.1249999999999994E-2</v>
      </c>
      <c r="W643" s="324">
        <v>7.1249999999999994E-2</v>
      </c>
      <c r="X643" s="326">
        <v>1</v>
      </c>
    </row>
    <row r="644" spans="1:24" s="324" customFormat="1" ht="0.65" hidden="1" customHeight="1">
      <c r="A644" s="324">
        <v>3017</v>
      </c>
      <c r="C644" s="324" t="s">
        <v>6</v>
      </c>
      <c r="D644" s="324">
        <v>3</v>
      </c>
      <c r="X644" s="326"/>
    </row>
    <row r="645" spans="1:24" s="324" customFormat="1" ht="0.65" hidden="1" customHeight="1">
      <c r="A645" s="324">
        <v>3018</v>
      </c>
      <c r="C645" s="324" t="s">
        <v>489</v>
      </c>
      <c r="D645" s="324">
        <v>50000</v>
      </c>
      <c r="X645" s="326"/>
    </row>
    <row r="646" spans="1:24" s="324" customFormat="1" ht="0.65" hidden="1" customHeight="1">
      <c r="A646" s="324">
        <v>3019</v>
      </c>
      <c r="F646" s="324" t="s">
        <v>376</v>
      </c>
      <c r="X646" s="326"/>
    </row>
    <row r="647" spans="1:24" s="324" customFormat="1" ht="0.65" hidden="1" customHeight="1">
      <c r="A647" s="324">
        <v>3020</v>
      </c>
      <c r="C647" s="324" t="s">
        <v>4</v>
      </c>
      <c r="D647" s="324">
        <v>0.25</v>
      </c>
      <c r="X647" s="326"/>
    </row>
    <row r="648" spans="1:24" s="324" customFormat="1" ht="0.65" hidden="1" customHeight="1">
      <c r="A648" s="324">
        <v>3021</v>
      </c>
      <c r="D648" s="324" t="s">
        <v>9</v>
      </c>
      <c r="X648" s="326"/>
    </row>
    <row r="649" spans="1:24" s="324" customFormat="1" ht="0.65" hidden="1" customHeight="1">
      <c r="A649" s="324">
        <v>3022</v>
      </c>
      <c r="H649" s="324" t="s">
        <v>338</v>
      </c>
      <c r="I649" s="324" t="s">
        <v>55</v>
      </c>
      <c r="L649" s="324" t="s">
        <v>367</v>
      </c>
      <c r="X649" s="326"/>
    </row>
    <row r="650" spans="1:24" s="324" customFormat="1" ht="0.65" hidden="1" customHeight="1">
      <c r="A650" s="324">
        <v>3023</v>
      </c>
      <c r="C650" s="324" t="s">
        <v>10</v>
      </c>
      <c r="D650" s="324">
        <v>180000</v>
      </c>
      <c r="G650" s="324" t="s">
        <v>0</v>
      </c>
      <c r="H650" s="324" t="s">
        <v>1</v>
      </c>
      <c r="L650" s="324">
        <v>1</v>
      </c>
      <c r="X650" s="326"/>
    </row>
    <row r="651" spans="1:24" s="324" customFormat="1" ht="0.65" hidden="1" customHeight="1">
      <c r="A651" s="324">
        <v>3024</v>
      </c>
      <c r="C651" s="324" t="s">
        <v>11</v>
      </c>
      <c r="D651" s="324">
        <v>450000</v>
      </c>
      <c r="G651" s="324">
        <v>2022</v>
      </c>
      <c r="H651" s="324">
        <v>-175000</v>
      </c>
      <c r="V651" s="324">
        <v>-175000</v>
      </c>
      <c r="W651" s="324">
        <v>-175000</v>
      </c>
      <c r="X651" s="326">
        <v>1</v>
      </c>
    </row>
    <row r="652" spans="1:24" s="324" customFormat="1" ht="0.65" hidden="1" customHeight="1">
      <c r="A652" s="324">
        <v>3025</v>
      </c>
      <c r="C652" s="324" t="s">
        <v>12</v>
      </c>
      <c r="D652" s="324">
        <v>0.03</v>
      </c>
      <c r="G652" s="324">
        <v>2023</v>
      </c>
      <c r="H652" s="324">
        <v>31833.333333333343</v>
      </c>
      <c r="V652" s="324">
        <v>31833.333333333343</v>
      </c>
      <c r="W652" s="324">
        <v>31833.333333333343</v>
      </c>
      <c r="X652" s="326">
        <v>1</v>
      </c>
    </row>
    <row r="653" spans="1:24" s="324" customFormat="1" ht="0.65" hidden="1" customHeight="1">
      <c r="A653" s="324">
        <v>3026</v>
      </c>
      <c r="C653" s="324" t="s">
        <v>2</v>
      </c>
      <c r="D653" s="324">
        <v>3000000</v>
      </c>
      <c r="G653" s="324">
        <v>2024</v>
      </c>
      <c r="H653" s="324">
        <v>103833.33333333334</v>
      </c>
      <c r="V653" s="324">
        <v>103833.33333333334</v>
      </c>
      <c r="W653" s="324">
        <v>103833.33333333334</v>
      </c>
      <c r="X653" s="326">
        <v>1</v>
      </c>
    </row>
    <row r="654" spans="1:24" s="324" customFormat="1" ht="0.65" hidden="1" customHeight="1">
      <c r="A654" s="324">
        <v>3027</v>
      </c>
      <c r="C654" s="324" t="s">
        <v>3</v>
      </c>
      <c r="D654" s="324">
        <v>9000000</v>
      </c>
      <c r="G654" s="324">
        <v>2025</v>
      </c>
      <c r="H654" s="324">
        <v>250833.33333333334</v>
      </c>
      <c r="V654" s="324">
        <v>250833.33333333334</v>
      </c>
      <c r="W654" s="324">
        <v>250833.33333333334</v>
      </c>
      <c r="X654" s="326">
        <v>1</v>
      </c>
    </row>
    <row r="655" spans="1:24" s="324" customFormat="1" ht="0.65" hidden="1" customHeight="1">
      <c r="A655" s="324">
        <v>3028</v>
      </c>
      <c r="X655" s="326"/>
    </row>
    <row r="656" spans="1:24" s="324" customFormat="1" ht="0.65" hidden="1" customHeight="1">
      <c r="A656" s="324">
        <v>3029</v>
      </c>
      <c r="C656" s="324" t="s">
        <v>14</v>
      </c>
      <c r="D656" s="324" t="s">
        <v>16</v>
      </c>
      <c r="G656" s="324" t="s">
        <v>1381</v>
      </c>
      <c r="H656" s="324">
        <v>149235.38433886995</v>
      </c>
      <c r="I656" s="324" t="s">
        <v>55</v>
      </c>
      <c r="J656" s="324" t="s">
        <v>800</v>
      </c>
      <c r="N656" s="324" t="s">
        <v>1382</v>
      </c>
      <c r="X656" s="326"/>
    </row>
    <row r="657" spans="1:24" s="324" customFormat="1" ht="0.65" hidden="1" customHeight="1">
      <c r="A657" s="324">
        <v>3030</v>
      </c>
      <c r="D657" s="324" t="s">
        <v>424</v>
      </c>
      <c r="G657" s="324" t="s">
        <v>1383</v>
      </c>
      <c r="H657" s="324">
        <v>0.85277362479354257</v>
      </c>
      <c r="I657" s="324" t="s">
        <v>55</v>
      </c>
      <c r="J657" s="324" t="s">
        <v>800</v>
      </c>
      <c r="N657" s="324" t="s">
        <v>1384</v>
      </c>
      <c r="X657" s="326"/>
    </row>
    <row r="658" spans="1:24" s="324" customFormat="1" ht="0.65" hidden="1" customHeight="1">
      <c r="A658" s="324">
        <v>3031</v>
      </c>
      <c r="G658" s="324" t="s">
        <v>358</v>
      </c>
      <c r="H658" s="324">
        <v>0.37357216681627725</v>
      </c>
      <c r="I658" s="324" t="s">
        <v>55</v>
      </c>
      <c r="J658" s="324" t="s">
        <v>800</v>
      </c>
      <c r="N658" s="324" t="s">
        <v>1385</v>
      </c>
      <c r="X658" s="326"/>
    </row>
    <row r="659" spans="1:24" s="324" customFormat="1" ht="0.65" hidden="1" customHeight="1">
      <c r="A659" s="324">
        <v>3032</v>
      </c>
      <c r="B659" s="324" t="s">
        <v>460</v>
      </c>
      <c r="X659" s="326"/>
    </row>
    <row r="660" spans="1:24" s="324" customFormat="1" ht="0.65" hidden="1" customHeight="1">
      <c r="A660" s="324">
        <v>3033</v>
      </c>
      <c r="B660" s="324" t="s">
        <v>464</v>
      </c>
      <c r="X660" s="326"/>
    </row>
    <row r="661" spans="1:24" s="324" customFormat="1" ht="0.65" hidden="1" customHeight="1">
      <c r="A661" s="324">
        <v>3034</v>
      </c>
      <c r="H661" s="324" t="s">
        <v>360</v>
      </c>
      <c r="I661" s="324" t="s">
        <v>36</v>
      </c>
      <c r="J661" s="324" t="s">
        <v>55</v>
      </c>
      <c r="X661" s="326"/>
    </row>
    <row r="662" spans="1:24" s="324" customFormat="1" ht="0.65" hidden="1" customHeight="1">
      <c r="A662" s="324">
        <v>3035</v>
      </c>
      <c r="X662" s="326"/>
    </row>
    <row r="663" spans="1:24" s="324" customFormat="1" ht="0.65" hidden="1" customHeight="1">
      <c r="A663" s="324">
        <v>3036</v>
      </c>
      <c r="H663" s="324" t="s">
        <v>361</v>
      </c>
      <c r="I663" s="324">
        <v>0</v>
      </c>
      <c r="X663" s="326"/>
    </row>
    <row r="664" spans="1:24" s="324" customFormat="1" ht="0.65" hidden="1" customHeight="1">
      <c r="A664" s="324">
        <v>3037</v>
      </c>
      <c r="X664" s="326"/>
    </row>
    <row r="665" spans="1:24" s="324" customFormat="1" ht="0.65" hidden="1" customHeight="1">
      <c r="A665" s="324">
        <v>3038</v>
      </c>
      <c r="F665" s="324" t="s">
        <v>944</v>
      </c>
      <c r="X665" s="326"/>
    </row>
    <row r="666" spans="1:24" s="324" customFormat="1" ht="0.65" hidden="1" customHeight="1">
      <c r="A666" s="324">
        <v>3039</v>
      </c>
      <c r="X666" s="326"/>
    </row>
    <row r="667" spans="1:24" s="324" customFormat="1" ht="0.65" hidden="1" customHeight="1">
      <c r="A667" s="324">
        <v>3040</v>
      </c>
      <c r="F667" s="324" t="s">
        <v>448</v>
      </c>
      <c r="X667" s="326"/>
    </row>
    <row r="668" spans="1:24" s="324" customFormat="1" ht="0.65" hidden="1" customHeight="1">
      <c r="A668" s="324">
        <v>3041</v>
      </c>
      <c r="X668" s="326"/>
    </row>
    <row r="669" spans="1:24" s="324" customFormat="1" ht="0.65" hidden="1" customHeight="1">
      <c r="A669" s="324">
        <v>3042</v>
      </c>
      <c r="F669" s="324" t="s">
        <v>377</v>
      </c>
      <c r="X669" s="326"/>
    </row>
    <row r="670" spans="1:24" s="324" customFormat="1" ht="0.65" hidden="1" customHeight="1">
      <c r="A670" s="324">
        <v>3043</v>
      </c>
      <c r="X670" s="326"/>
    </row>
    <row r="671" spans="1:24" s="324" customFormat="1" ht="0.65" hidden="1" customHeight="1">
      <c r="A671" s="324">
        <v>3044</v>
      </c>
      <c r="H671" s="324" t="s">
        <v>406</v>
      </c>
      <c r="I671" s="324">
        <v>7.1249999999999994E-2</v>
      </c>
      <c r="J671" s="324">
        <v>0.37357216681627725</v>
      </c>
      <c r="V671" s="324">
        <v>7.1249999999999994E-2</v>
      </c>
      <c r="W671" s="324">
        <v>7.1249999999999994E-2</v>
      </c>
      <c r="X671" s="326">
        <v>1</v>
      </c>
    </row>
    <row r="672" spans="1:24" s="324" customFormat="1" ht="0.65" hidden="1" customHeight="1">
      <c r="A672" s="324">
        <v>3045</v>
      </c>
      <c r="V672" s="324">
        <v>0.37357216681627725</v>
      </c>
      <c r="W672" s="324">
        <v>0.37357216681627725</v>
      </c>
      <c r="X672" s="326">
        <v>1</v>
      </c>
    </row>
    <row r="673" spans="1:24" s="324" customFormat="1" ht="0.65" hidden="1" customHeight="1">
      <c r="A673" s="324">
        <v>3046</v>
      </c>
      <c r="H673" s="324" t="s">
        <v>338</v>
      </c>
      <c r="I673" s="324" t="s">
        <v>362</v>
      </c>
      <c r="J673" s="324" t="s">
        <v>363</v>
      </c>
      <c r="L673" s="324" t="s">
        <v>368</v>
      </c>
      <c r="X673" s="326"/>
    </row>
    <row r="674" spans="1:24" s="324" customFormat="1" ht="0.65" hidden="1" customHeight="1">
      <c r="A674" s="324">
        <v>3047</v>
      </c>
      <c r="C674" s="324" t="s">
        <v>55</v>
      </c>
      <c r="G674" s="324" t="s">
        <v>0</v>
      </c>
      <c r="H674" s="324" t="s">
        <v>1</v>
      </c>
      <c r="I674" s="324" t="s">
        <v>1</v>
      </c>
      <c r="J674" s="324" t="s">
        <v>1</v>
      </c>
      <c r="L674" s="324">
        <v>2</v>
      </c>
      <c r="X674" s="326"/>
    </row>
    <row r="675" spans="1:24" s="324" customFormat="1" ht="0.65" hidden="1" customHeight="1">
      <c r="A675" s="324">
        <v>3048</v>
      </c>
      <c r="G675" s="324">
        <v>2022</v>
      </c>
      <c r="H675" s="324">
        <v>-175000</v>
      </c>
      <c r="I675" s="324">
        <v>-175000</v>
      </c>
      <c r="J675" s="324">
        <v>-175000</v>
      </c>
      <c r="V675" s="324">
        <v>-175000</v>
      </c>
      <c r="W675" s="324">
        <v>-175000</v>
      </c>
      <c r="X675" s="326">
        <v>1</v>
      </c>
    </row>
    <row r="676" spans="1:24" s="324" customFormat="1" ht="0.65" hidden="1" customHeight="1">
      <c r="A676" s="324">
        <v>3049</v>
      </c>
      <c r="G676" s="324">
        <v>2023</v>
      </c>
      <c r="H676" s="324">
        <v>31833.333333333343</v>
      </c>
      <c r="I676" s="324">
        <v>0</v>
      </c>
      <c r="J676" s="324">
        <v>0</v>
      </c>
      <c r="N676" s="324" t="s">
        <v>1386</v>
      </c>
      <c r="V676" s="324">
        <v>31833.333333333343</v>
      </c>
      <c r="W676" s="324">
        <v>31833.333333333343</v>
      </c>
      <c r="X676" s="326">
        <v>1</v>
      </c>
    </row>
    <row r="677" spans="1:24" s="324" customFormat="1" ht="0.65" hidden="1" customHeight="1">
      <c r="A677" s="324">
        <v>3050</v>
      </c>
      <c r="G677" s="324">
        <v>2024</v>
      </c>
      <c r="H677" s="324">
        <v>103833.33333333334</v>
      </c>
      <c r="I677" s="324">
        <v>0</v>
      </c>
      <c r="J677" s="324">
        <v>0</v>
      </c>
      <c r="N677" s="324" t="s">
        <v>1387</v>
      </c>
      <c r="V677" s="324">
        <v>103833.33333333334</v>
      </c>
      <c r="W677" s="324">
        <v>103833.33333333334</v>
      </c>
      <c r="X677" s="326">
        <v>1</v>
      </c>
    </row>
    <row r="678" spans="1:24" s="324" customFormat="1" ht="0.65" hidden="1" customHeight="1">
      <c r="A678" s="324">
        <v>3051</v>
      </c>
      <c r="G678" s="324">
        <v>2025</v>
      </c>
      <c r="H678" s="324">
        <v>250833.33333333334</v>
      </c>
      <c r="I678" s="324">
        <v>398595.97890625003</v>
      </c>
      <c r="J678" s="324">
        <v>453515.87582332373</v>
      </c>
      <c r="K678" s="324" t="s">
        <v>55</v>
      </c>
      <c r="V678" s="324">
        <v>250833.33333333334</v>
      </c>
      <c r="W678" s="324">
        <v>250833.33333333334</v>
      </c>
      <c r="X678" s="326">
        <v>1</v>
      </c>
    </row>
    <row r="679" spans="1:24" s="324" customFormat="1" ht="0.65" hidden="1" customHeight="1">
      <c r="A679" s="324">
        <v>3052</v>
      </c>
      <c r="X679" s="326"/>
    </row>
    <row r="680" spans="1:24" s="324" customFormat="1" ht="0.65" hidden="1" customHeight="1">
      <c r="A680" s="324">
        <v>3053</v>
      </c>
      <c r="I680" s="324" t="s">
        <v>800</v>
      </c>
      <c r="J680" s="324" t="s">
        <v>800</v>
      </c>
      <c r="V680" s="324">
        <v>-175000</v>
      </c>
      <c r="W680" s="324">
        <v>-175000</v>
      </c>
      <c r="X680" s="326">
        <v>1</v>
      </c>
    </row>
    <row r="681" spans="1:24" s="324" customFormat="1" ht="0.65" hidden="1" customHeight="1">
      <c r="A681" s="324">
        <v>3054</v>
      </c>
      <c r="V681" s="324">
        <v>0</v>
      </c>
      <c r="W681" s="324">
        <v>0</v>
      </c>
      <c r="X681" s="326">
        <v>1</v>
      </c>
    </row>
    <row r="682" spans="1:24" s="324" customFormat="1" ht="0.65" hidden="1" customHeight="1">
      <c r="A682" s="324">
        <v>3055</v>
      </c>
      <c r="H682" s="324" t="s">
        <v>360</v>
      </c>
      <c r="I682" s="324" t="s">
        <v>36</v>
      </c>
      <c r="J682" s="324" t="s">
        <v>55</v>
      </c>
      <c r="V682" s="324">
        <v>0</v>
      </c>
      <c r="W682" s="324">
        <v>0</v>
      </c>
      <c r="X682" s="326">
        <v>1</v>
      </c>
    </row>
    <row r="683" spans="1:24" s="324" customFormat="1" ht="0.65" hidden="1" customHeight="1">
      <c r="A683" s="324">
        <v>3056</v>
      </c>
      <c r="X683" s="326"/>
    </row>
    <row r="684" spans="1:24" s="324" customFormat="1" ht="0.65" hidden="1" customHeight="1">
      <c r="A684" s="324">
        <v>3057</v>
      </c>
      <c r="H684" s="324" t="s">
        <v>361</v>
      </c>
      <c r="I684" s="324">
        <v>0</v>
      </c>
      <c r="V684" s="324">
        <v>-175000</v>
      </c>
      <c r="W684" s="324">
        <v>-175000</v>
      </c>
      <c r="X684" s="326">
        <v>1</v>
      </c>
    </row>
    <row r="685" spans="1:24" s="324" customFormat="1" ht="0.65" hidden="1" customHeight="1">
      <c r="A685" s="324">
        <v>3058</v>
      </c>
      <c r="F685" s="324" t="s">
        <v>55</v>
      </c>
      <c r="V685" s="324">
        <v>0</v>
      </c>
      <c r="W685" s="324">
        <v>0</v>
      </c>
      <c r="X685" s="326">
        <v>1</v>
      </c>
    </row>
    <row r="686" spans="1:24" s="324" customFormat="1" ht="0.65" hidden="1" customHeight="1">
      <c r="A686" s="324">
        <v>3059</v>
      </c>
      <c r="F686" s="324" t="s">
        <v>55</v>
      </c>
      <c r="V686" s="324">
        <v>0</v>
      </c>
      <c r="W686" s="324">
        <v>0</v>
      </c>
      <c r="X686" s="326">
        <v>1</v>
      </c>
    </row>
    <row r="687" spans="1:24" s="324" customFormat="1" ht="0.65" hidden="1" customHeight="1">
      <c r="A687" s="324">
        <v>3060</v>
      </c>
      <c r="F687" s="324" t="s">
        <v>944</v>
      </c>
      <c r="X687" s="326"/>
    </row>
    <row r="688" spans="1:24" s="324" customFormat="1" ht="0.65" hidden="1" customHeight="1">
      <c r="A688" s="324">
        <v>3061</v>
      </c>
      <c r="X688" s="326"/>
    </row>
    <row r="689" spans="1:24" s="324" customFormat="1" ht="0.65" hidden="1" customHeight="1">
      <c r="A689" s="324">
        <v>3062</v>
      </c>
      <c r="F689" s="324" t="s">
        <v>378</v>
      </c>
      <c r="X689" s="326"/>
    </row>
    <row r="690" spans="1:24" s="324" customFormat="1" ht="0.65" hidden="1" customHeight="1">
      <c r="A690" s="324">
        <v>3063</v>
      </c>
      <c r="X690" s="326"/>
    </row>
    <row r="691" spans="1:24" s="324" customFormat="1" ht="0.65" hidden="1" customHeight="1">
      <c r="A691" s="324">
        <v>3064</v>
      </c>
      <c r="X691" s="326"/>
    </row>
    <row r="692" spans="1:24" s="324" customFormat="1" ht="0.65" hidden="1" customHeight="1">
      <c r="A692" s="324">
        <v>3065</v>
      </c>
      <c r="F692" s="324" t="s">
        <v>379</v>
      </c>
      <c r="X692" s="326"/>
    </row>
    <row r="693" spans="1:24" s="324" customFormat="1" ht="0.65" hidden="1" customHeight="1">
      <c r="A693" s="324">
        <v>3066</v>
      </c>
      <c r="X693" s="326"/>
    </row>
    <row r="694" spans="1:24" s="324" customFormat="1" ht="0.65" hidden="1" customHeight="1">
      <c r="A694" s="324">
        <v>3067</v>
      </c>
      <c r="H694" s="324" t="s">
        <v>338</v>
      </c>
      <c r="I694" s="324" t="s">
        <v>362</v>
      </c>
      <c r="J694" s="324" t="s">
        <v>363</v>
      </c>
      <c r="L694" s="324" t="s">
        <v>369</v>
      </c>
      <c r="X694" s="326"/>
    </row>
    <row r="695" spans="1:24" s="324" customFormat="1" ht="0.65" hidden="1" customHeight="1">
      <c r="A695" s="324">
        <v>3068</v>
      </c>
      <c r="C695" s="324" t="s">
        <v>55</v>
      </c>
      <c r="G695" s="324" t="s">
        <v>0</v>
      </c>
      <c r="H695" s="324" t="s">
        <v>1</v>
      </c>
      <c r="I695" s="324" t="s">
        <v>1</v>
      </c>
      <c r="J695" s="324" t="s">
        <v>1</v>
      </c>
      <c r="L695" s="324">
        <v>3</v>
      </c>
      <c r="X695" s="326"/>
    </row>
    <row r="696" spans="1:24" s="324" customFormat="1" ht="0.65" hidden="1" customHeight="1">
      <c r="A696" s="324">
        <v>3069</v>
      </c>
      <c r="G696" s="324">
        <v>2022</v>
      </c>
      <c r="H696" s="324">
        <v>-175000</v>
      </c>
      <c r="I696" s="324">
        <v>-175000</v>
      </c>
      <c r="J696" s="324">
        <v>-175000</v>
      </c>
      <c r="V696" s="324">
        <v>-175000</v>
      </c>
      <c r="W696" s="324">
        <v>-175000</v>
      </c>
      <c r="X696" s="326">
        <v>1</v>
      </c>
    </row>
    <row r="697" spans="1:24" s="324" customFormat="1" ht="0.65" hidden="1" customHeight="1">
      <c r="A697" s="324">
        <v>3070</v>
      </c>
      <c r="G697" s="324">
        <v>2023</v>
      </c>
      <c r="H697" s="324">
        <v>31833.333333333343</v>
      </c>
      <c r="I697" s="324">
        <v>0</v>
      </c>
      <c r="J697" s="324">
        <v>0</v>
      </c>
      <c r="V697" s="324">
        <v>31833.333333333343</v>
      </c>
      <c r="W697" s="324">
        <v>31833.333333333343</v>
      </c>
      <c r="X697" s="326">
        <v>1</v>
      </c>
    </row>
    <row r="698" spans="1:24" s="324" customFormat="1" ht="0.65" hidden="1" customHeight="1">
      <c r="A698" s="324">
        <v>3071</v>
      </c>
      <c r="G698" s="324">
        <v>2024</v>
      </c>
      <c r="H698" s="324">
        <v>103833.33333333334</v>
      </c>
      <c r="I698" s="324">
        <v>0</v>
      </c>
      <c r="J698" s="324">
        <v>0</v>
      </c>
      <c r="V698" s="324">
        <v>103833.33333333334</v>
      </c>
      <c r="W698" s="324">
        <v>103833.33333333334</v>
      </c>
      <c r="X698" s="326">
        <v>1</v>
      </c>
    </row>
    <row r="699" spans="1:24" s="324" customFormat="1" ht="0.65" hidden="1" customHeight="1">
      <c r="A699" s="324">
        <v>3072</v>
      </c>
      <c r="G699" s="324">
        <v>2025</v>
      </c>
      <c r="H699" s="324">
        <v>250833.33333333334</v>
      </c>
      <c r="I699" s="324">
        <v>398595.97890625003</v>
      </c>
      <c r="J699" s="324">
        <v>453515.87582332373</v>
      </c>
      <c r="V699" s="324">
        <v>250833.33333333334</v>
      </c>
      <c r="W699" s="324">
        <v>250833.33333333334</v>
      </c>
      <c r="X699" s="326">
        <v>1</v>
      </c>
    </row>
    <row r="700" spans="1:24" s="324" customFormat="1" ht="0.65" hidden="1" customHeight="1">
      <c r="A700" s="324">
        <v>3073</v>
      </c>
      <c r="G700" s="324" t="s">
        <v>408</v>
      </c>
      <c r="H700" s="324">
        <v>0.37357216681627725</v>
      </c>
      <c r="V700" s="324">
        <v>0.37357216681627725</v>
      </c>
      <c r="W700" s="324">
        <v>0.37357216681627725</v>
      </c>
      <c r="X700" s="326">
        <v>1</v>
      </c>
    </row>
    <row r="701" spans="1:24" s="324" customFormat="1" ht="0.65" hidden="1" customHeight="1">
      <c r="A701" s="324">
        <v>3074</v>
      </c>
      <c r="G701" s="324" t="s">
        <v>407</v>
      </c>
      <c r="H701" s="324">
        <v>7.1249999999999994E-2</v>
      </c>
      <c r="V701" s="324">
        <v>7.1249999999999994E-2</v>
      </c>
      <c r="W701" s="324">
        <v>7.1249999999999994E-2</v>
      </c>
      <c r="X701" s="326">
        <v>1</v>
      </c>
    </row>
    <row r="702" spans="1:24" s="324" customFormat="1" ht="0.65" hidden="1" customHeight="1">
      <c r="A702" s="324">
        <v>3075</v>
      </c>
      <c r="I702" s="324" t="s">
        <v>55</v>
      </c>
      <c r="J702" s="324" t="s">
        <v>55</v>
      </c>
      <c r="X702" s="326"/>
    </row>
    <row r="703" spans="1:24" s="324" customFormat="1" ht="0.65" hidden="1" customHeight="1">
      <c r="A703" s="324">
        <v>3076</v>
      </c>
      <c r="G703" s="324" t="s">
        <v>1381</v>
      </c>
      <c r="H703" s="324">
        <v>149235.38433886995</v>
      </c>
      <c r="I703" s="324">
        <v>149235.38433886995</v>
      </c>
      <c r="J703" s="324">
        <v>193909.62800189178</v>
      </c>
      <c r="K703" s="324" t="s">
        <v>800</v>
      </c>
      <c r="L703" s="324" t="s">
        <v>800</v>
      </c>
      <c r="N703" s="324" t="s">
        <v>1388</v>
      </c>
      <c r="O703" s="324" t="s">
        <v>1389</v>
      </c>
      <c r="V703" s="324">
        <v>-175000</v>
      </c>
      <c r="W703" s="324">
        <v>-175000</v>
      </c>
      <c r="X703" s="326">
        <v>1</v>
      </c>
    </row>
    <row r="704" spans="1:24" s="324" customFormat="1" ht="0.65" hidden="1" customHeight="1">
      <c r="A704" s="324">
        <v>3077</v>
      </c>
      <c r="G704" s="324" t="s">
        <v>1383</v>
      </c>
      <c r="H704" s="324">
        <v>0.85277362479354257</v>
      </c>
      <c r="I704" s="324">
        <v>0.85277362479354257</v>
      </c>
      <c r="J704" s="324">
        <v>1.1080550171536674</v>
      </c>
      <c r="K704" s="324" t="s">
        <v>800</v>
      </c>
      <c r="L704" s="324" t="s">
        <v>800</v>
      </c>
      <c r="N704" s="324" t="s">
        <v>1390</v>
      </c>
      <c r="O704" s="324" t="s">
        <v>1391</v>
      </c>
      <c r="V704" s="324">
        <v>0</v>
      </c>
      <c r="W704" s="324">
        <v>0</v>
      </c>
      <c r="X704" s="326">
        <v>1</v>
      </c>
    </row>
    <row r="705" spans="1:24" s="324" customFormat="1" ht="0.65" hidden="1" customHeight="1">
      <c r="A705" s="324">
        <v>3078</v>
      </c>
      <c r="V705" s="324">
        <v>0</v>
      </c>
      <c r="W705" s="324">
        <v>0</v>
      </c>
      <c r="X705" s="326">
        <v>1</v>
      </c>
    </row>
    <row r="706" spans="1:24" s="324" customFormat="1" ht="0.65" hidden="1" customHeight="1">
      <c r="A706" s="324">
        <v>3079</v>
      </c>
      <c r="G706" s="324" t="s">
        <v>1392</v>
      </c>
      <c r="H706" s="324">
        <v>0</v>
      </c>
      <c r="I706" s="324">
        <v>-21192.162111281825</v>
      </c>
      <c r="J706" s="324">
        <v>0</v>
      </c>
      <c r="K706" s="324" t="s">
        <v>800</v>
      </c>
      <c r="L706" s="324" t="s">
        <v>800</v>
      </c>
      <c r="N706" s="324" t="s">
        <v>1393</v>
      </c>
      <c r="O706" s="324" t="s">
        <v>1394</v>
      </c>
      <c r="V706" s="324">
        <v>398595.97890625003</v>
      </c>
      <c r="W706" s="324">
        <v>398595.97890625003</v>
      </c>
      <c r="X706" s="326">
        <v>1</v>
      </c>
    </row>
    <row r="707" spans="1:24" s="324" customFormat="1" ht="0.65" hidden="1" customHeight="1">
      <c r="A707" s="324">
        <v>3080</v>
      </c>
      <c r="G707" s="324" t="s">
        <v>1395</v>
      </c>
      <c r="H707" s="324">
        <v>9.9784561565944121E-16</v>
      </c>
      <c r="I707" s="324">
        <v>-0.12109806920732472</v>
      </c>
      <c r="J707" s="324">
        <v>0</v>
      </c>
      <c r="K707" s="324" t="s">
        <v>800</v>
      </c>
      <c r="L707" s="324" t="s">
        <v>800</v>
      </c>
      <c r="N707" s="324" t="s">
        <v>1396</v>
      </c>
      <c r="O707" s="324" t="s">
        <v>1397</v>
      </c>
      <c r="X707" s="326"/>
    </row>
    <row r="708" spans="1:24" s="324" customFormat="1" ht="0.65" hidden="1" customHeight="1">
      <c r="A708" s="324">
        <v>3081</v>
      </c>
      <c r="V708" s="324">
        <v>-175000</v>
      </c>
      <c r="W708" s="324">
        <v>-175000</v>
      </c>
      <c r="X708" s="326">
        <v>1</v>
      </c>
    </row>
    <row r="709" spans="1:24" s="324" customFormat="1" ht="0.65" hidden="1" customHeight="1">
      <c r="A709" s="324">
        <v>3082</v>
      </c>
      <c r="G709" s="324" t="s">
        <v>358</v>
      </c>
      <c r="H709" s="324">
        <v>0.37357216681627725</v>
      </c>
      <c r="I709" s="324">
        <v>0.31572447908620305</v>
      </c>
      <c r="J709" s="324">
        <v>0.37357216681626748</v>
      </c>
      <c r="K709" s="324" t="s">
        <v>800</v>
      </c>
      <c r="L709" s="324" t="s">
        <v>800</v>
      </c>
      <c r="N709" s="324" t="s">
        <v>1398</v>
      </c>
      <c r="O709" s="324" t="s">
        <v>1399</v>
      </c>
      <c r="V709" s="324">
        <v>0</v>
      </c>
      <c r="W709" s="324">
        <v>0</v>
      </c>
      <c r="X709" s="326">
        <v>1</v>
      </c>
    </row>
    <row r="710" spans="1:24" s="324" customFormat="1" ht="0.65" hidden="1" customHeight="1">
      <c r="A710" s="324">
        <v>3083</v>
      </c>
      <c r="V710" s="324">
        <v>0</v>
      </c>
      <c r="W710" s="324">
        <v>0</v>
      </c>
      <c r="X710" s="326">
        <v>1</v>
      </c>
    </row>
    <row r="711" spans="1:24" s="324" customFormat="1" ht="0.65" hidden="1" customHeight="1">
      <c r="A711" s="324">
        <v>3084</v>
      </c>
      <c r="V711" s="324">
        <v>453515.87582332373</v>
      </c>
      <c r="W711" s="324">
        <v>453515.87582332373</v>
      </c>
      <c r="X711" s="326">
        <v>1</v>
      </c>
    </row>
    <row r="712" spans="1:24" s="324" customFormat="1" ht="0.65" hidden="1" customHeight="1">
      <c r="A712" s="324">
        <v>3085</v>
      </c>
      <c r="H712" s="324" t="s">
        <v>360</v>
      </c>
      <c r="I712" s="324" t="s">
        <v>36</v>
      </c>
      <c r="J712" s="324" t="s">
        <v>55</v>
      </c>
      <c r="K712" s="324" t="s">
        <v>361</v>
      </c>
      <c r="L712" s="324">
        <v>0</v>
      </c>
      <c r="X712" s="326"/>
    </row>
    <row r="713" spans="1:24" s="324" customFormat="1" ht="0.65" hidden="1" customHeight="1">
      <c r="A713" s="324">
        <v>3086</v>
      </c>
      <c r="X713" s="326"/>
    </row>
    <row r="714" spans="1:24" s="324" customFormat="1" ht="0.65" hidden="1" customHeight="1">
      <c r="A714" s="324">
        <v>3087</v>
      </c>
      <c r="F714" s="324" t="s">
        <v>55</v>
      </c>
      <c r="X714" s="326"/>
    </row>
    <row r="715" spans="1:24" s="324" customFormat="1" ht="0.65" hidden="1" customHeight="1">
      <c r="A715" s="324">
        <v>3088</v>
      </c>
      <c r="F715" s="324" t="s">
        <v>55</v>
      </c>
      <c r="X715" s="326"/>
    </row>
    <row r="716" spans="1:24" s="324" customFormat="1" ht="0.65" hidden="1" customHeight="1">
      <c r="A716" s="324">
        <v>3089</v>
      </c>
      <c r="F716" s="324" t="s">
        <v>944</v>
      </c>
      <c r="X716" s="326"/>
    </row>
    <row r="717" spans="1:24" s="324" customFormat="1" ht="0.65" hidden="1" customHeight="1">
      <c r="A717" s="324">
        <v>3090</v>
      </c>
      <c r="X717" s="326"/>
    </row>
    <row r="718" spans="1:24" s="324" customFormat="1" ht="0.65" hidden="1" customHeight="1">
      <c r="A718" s="324">
        <v>3091</v>
      </c>
      <c r="F718" s="324" t="s">
        <v>449</v>
      </c>
      <c r="X718" s="326"/>
    </row>
    <row r="719" spans="1:24" s="324" customFormat="1" ht="0.65" hidden="1" customHeight="1">
      <c r="A719" s="324">
        <v>3092</v>
      </c>
      <c r="X719" s="326"/>
    </row>
    <row r="720" spans="1:24" s="324" customFormat="1" ht="0.65" hidden="1" customHeight="1">
      <c r="A720" s="324">
        <v>3093</v>
      </c>
      <c r="F720" s="324" t="s">
        <v>380</v>
      </c>
      <c r="X720" s="326"/>
    </row>
    <row r="721" spans="1:24" s="324" customFormat="1" ht="0.65" hidden="1" customHeight="1">
      <c r="A721" s="324">
        <v>3094</v>
      </c>
      <c r="F721" s="324" t="s">
        <v>381</v>
      </c>
      <c r="X721" s="326"/>
    </row>
    <row r="722" spans="1:24" s="324" customFormat="1" ht="0.65" hidden="1" customHeight="1">
      <c r="A722" s="324">
        <v>3095</v>
      </c>
      <c r="X722" s="326"/>
    </row>
    <row r="723" spans="1:24" s="324" customFormat="1" ht="0.65" hidden="1" customHeight="1">
      <c r="A723" s="324">
        <v>3096</v>
      </c>
      <c r="F723" s="324" t="s">
        <v>402</v>
      </c>
      <c r="X723" s="326"/>
    </row>
    <row r="724" spans="1:24" s="324" customFormat="1" ht="0.65" hidden="1" customHeight="1">
      <c r="A724" s="324">
        <v>3097</v>
      </c>
      <c r="X724" s="326"/>
    </row>
    <row r="725" spans="1:24" s="324" customFormat="1" ht="0.65" hidden="1" customHeight="1">
      <c r="A725" s="324">
        <v>3098</v>
      </c>
      <c r="F725" s="324" t="s">
        <v>382</v>
      </c>
      <c r="X725" s="326"/>
    </row>
    <row r="726" spans="1:24" s="324" customFormat="1" ht="0.65" hidden="1" customHeight="1">
      <c r="A726" s="324">
        <v>3099</v>
      </c>
      <c r="X726" s="326"/>
    </row>
    <row r="727" spans="1:24" s="324" customFormat="1" ht="0.65" hidden="1" customHeight="1">
      <c r="A727" s="324">
        <v>3100</v>
      </c>
      <c r="F727" s="324" t="s">
        <v>403</v>
      </c>
      <c r="X727" s="326"/>
    </row>
    <row r="728" spans="1:24" s="324" customFormat="1" ht="0.65" hidden="1" customHeight="1">
      <c r="A728" s="324">
        <v>3101</v>
      </c>
      <c r="X728" s="326"/>
    </row>
    <row r="729" spans="1:24" s="324" customFormat="1" ht="0.65" hidden="1" customHeight="1">
      <c r="A729" s="324">
        <v>3102</v>
      </c>
      <c r="F729" s="324" t="s">
        <v>370</v>
      </c>
      <c r="X729" s="326"/>
    </row>
    <row r="730" spans="1:24" s="324" customFormat="1" ht="0.65" hidden="1" customHeight="1">
      <c r="A730" s="324">
        <v>3103</v>
      </c>
      <c r="X730" s="326"/>
    </row>
    <row r="731" spans="1:24" s="324" customFormat="1" ht="0.65" hidden="1" customHeight="1">
      <c r="A731" s="324">
        <v>3104</v>
      </c>
      <c r="F731" s="324" t="s">
        <v>443</v>
      </c>
      <c r="X731" s="326"/>
    </row>
    <row r="732" spans="1:24" s="324" customFormat="1" ht="0.65" hidden="1" customHeight="1">
      <c r="A732" s="324">
        <v>3105</v>
      </c>
      <c r="X732" s="326"/>
    </row>
    <row r="733" spans="1:24" s="324" customFormat="1" ht="0.65" hidden="1" customHeight="1">
      <c r="A733" s="324">
        <v>3106</v>
      </c>
      <c r="F733" s="324" t="s">
        <v>404</v>
      </c>
      <c r="X733" s="326"/>
    </row>
    <row r="734" spans="1:24" s="324" customFormat="1" ht="0.65" hidden="1" customHeight="1">
      <c r="A734" s="324">
        <v>3107</v>
      </c>
      <c r="X734" s="326"/>
    </row>
    <row r="735" spans="1:24" s="324" customFormat="1" ht="0.65" hidden="1" customHeight="1">
      <c r="A735" s="324">
        <v>3108</v>
      </c>
      <c r="F735" s="324" t="s">
        <v>365</v>
      </c>
      <c r="X735" s="326"/>
    </row>
    <row r="736" spans="1:24" s="324" customFormat="1" ht="0.65" hidden="1" customHeight="1">
      <c r="A736" s="324">
        <v>3109</v>
      </c>
      <c r="X736" s="326"/>
    </row>
    <row r="737" spans="1:24" s="324" customFormat="1" ht="0.65" hidden="1" customHeight="1">
      <c r="A737" s="324">
        <v>3110</v>
      </c>
      <c r="F737" s="324" t="s">
        <v>383</v>
      </c>
      <c r="X737" s="326"/>
    </row>
    <row r="738" spans="1:24" s="324" customFormat="1" ht="0.65" hidden="1" customHeight="1">
      <c r="A738" s="324">
        <v>3111</v>
      </c>
      <c r="X738" s="326"/>
    </row>
    <row r="739" spans="1:24" s="324" customFormat="1" ht="0.65" hidden="1" customHeight="1">
      <c r="A739" s="324">
        <v>3112</v>
      </c>
      <c r="F739" s="324" t="s">
        <v>366</v>
      </c>
      <c r="X739" s="326"/>
    </row>
    <row r="740" spans="1:24" s="324" customFormat="1" ht="0.65" hidden="1" customHeight="1">
      <c r="A740" s="324">
        <v>3113</v>
      </c>
      <c r="X740" s="326"/>
    </row>
    <row r="741" spans="1:24" s="324" customFormat="1" ht="0.65" hidden="1" customHeight="1">
      <c r="A741" s="324">
        <v>3114</v>
      </c>
      <c r="F741" s="324" t="s">
        <v>418</v>
      </c>
      <c r="X741" s="326"/>
    </row>
    <row r="742" spans="1:24" s="324" customFormat="1" ht="0.65" hidden="1" customHeight="1">
      <c r="A742" s="324">
        <v>3115</v>
      </c>
      <c r="X742" s="326"/>
    </row>
    <row r="743" spans="1:24" s="324" customFormat="1" ht="0.65" hidden="1" customHeight="1">
      <c r="A743" s="324">
        <v>3116</v>
      </c>
      <c r="F743" s="324" t="s">
        <v>371</v>
      </c>
      <c r="X743" s="326"/>
    </row>
    <row r="744" spans="1:24" s="324" customFormat="1" ht="0.65" hidden="1" customHeight="1">
      <c r="A744" s="324">
        <v>3117</v>
      </c>
      <c r="X744" s="326"/>
    </row>
    <row r="745" spans="1:24" s="324" customFormat="1" ht="0.65" hidden="1" customHeight="1">
      <c r="A745" s="324">
        <v>3118</v>
      </c>
      <c r="H745" s="324" t="s">
        <v>359</v>
      </c>
      <c r="I745" s="324" t="s">
        <v>36</v>
      </c>
      <c r="J745" s="324" t="s">
        <v>55</v>
      </c>
      <c r="L745" s="324" t="s">
        <v>372</v>
      </c>
      <c r="X745" s="326"/>
    </row>
    <row r="746" spans="1:24" s="324" customFormat="1" ht="0.65" hidden="1" customHeight="1">
      <c r="A746" s="324">
        <v>3119</v>
      </c>
      <c r="L746" s="324">
        <v>4</v>
      </c>
      <c r="X746" s="326"/>
    </row>
    <row r="747" spans="1:24" s="324" customFormat="1" ht="0.65" hidden="1" customHeight="1">
      <c r="A747" s="324">
        <v>3120</v>
      </c>
      <c r="X747" s="326"/>
    </row>
    <row r="748" spans="1:24" s="324" customFormat="1" ht="0.65" hidden="1" customHeight="1">
      <c r="A748" s="324">
        <v>3121</v>
      </c>
      <c r="F748" s="324" t="s">
        <v>384</v>
      </c>
      <c r="X748" s="326"/>
    </row>
    <row r="749" spans="1:24" s="324" customFormat="1" ht="0.65" hidden="1" customHeight="1">
      <c r="A749" s="324">
        <v>3122</v>
      </c>
      <c r="X749" s="326"/>
    </row>
    <row r="750" spans="1:24" s="324" customFormat="1" ht="0.65" hidden="1" customHeight="1">
      <c r="A750" s="324">
        <v>3123</v>
      </c>
      <c r="X750" s="326"/>
    </row>
    <row r="751" spans="1:24" s="324" customFormat="1" ht="0.65" hidden="1" customHeight="1">
      <c r="A751" s="324">
        <v>3124</v>
      </c>
      <c r="H751" s="324" t="s">
        <v>340</v>
      </c>
      <c r="X751" s="326"/>
    </row>
    <row r="752" spans="1:24" s="324" customFormat="1" ht="0.65" hidden="1" customHeight="1">
      <c r="A752" s="324">
        <v>3125</v>
      </c>
      <c r="G752" s="324" t="s">
        <v>0</v>
      </c>
      <c r="H752" s="324" t="s">
        <v>1</v>
      </c>
      <c r="X752" s="326"/>
    </row>
    <row r="753" spans="1:24" s="324" customFormat="1" ht="0.65" hidden="1" customHeight="1">
      <c r="A753" s="324">
        <v>3126</v>
      </c>
      <c r="G753" s="324">
        <v>2022</v>
      </c>
      <c r="H753" s="324">
        <v>-175000</v>
      </c>
      <c r="X753" s="326"/>
    </row>
    <row r="754" spans="1:24" s="324" customFormat="1" ht="0.65" hidden="1" customHeight="1">
      <c r="A754" s="324">
        <v>3127</v>
      </c>
      <c r="G754" s="324">
        <v>2023</v>
      </c>
      <c r="H754" s="324">
        <v>270550</v>
      </c>
      <c r="X754" s="326"/>
    </row>
    <row r="755" spans="1:24" s="324" customFormat="1" ht="0.65" hidden="1" customHeight="1">
      <c r="A755" s="324">
        <v>3128</v>
      </c>
      <c r="G755" s="324">
        <v>2024</v>
      </c>
      <c r="H755" s="324">
        <v>57975</v>
      </c>
      <c r="I755" s="324" t="s">
        <v>354</v>
      </c>
      <c r="J755" s="324" t="s">
        <v>355</v>
      </c>
      <c r="K755" s="324" t="s">
        <v>356</v>
      </c>
      <c r="L755" s="324" t="s">
        <v>28</v>
      </c>
      <c r="X755" s="326"/>
    </row>
    <row r="756" spans="1:24" s="324" customFormat="1" ht="0.65" hidden="1" customHeight="1">
      <c r="A756" s="324">
        <v>3129</v>
      </c>
      <c r="G756" s="324">
        <v>2025</v>
      </c>
      <c r="H756" s="324">
        <v>19325</v>
      </c>
      <c r="I756" s="324">
        <v>318794.73033319274</v>
      </c>
      <c r="J756" s="324">
        <v>1.2570905223988809</v>
      </c>
      <c r="K756" s="324">
        <v>347850</v>
      </c>
      <c r="L756" s="324">
        <v>0.76861666107461457</v>
      </c>
      <c r="X756" s="326"/>
    </row>
    <row r="757" spans="1:24" s="324" customFormat="1" ht="0.65" hidden="1" customHeight="1">
      <c r="A757" s="324">
        <v>3130</v>
      </c>
      <c r="X757" s="326"/>
    </row>
    <row r="758" spans="1:24" s="324" customFormat="1" ht="0.65" hidden="1" customHeight="1">
      <c r="A758" s="324">
        <v>3131</v>
      </c>
      <c r="X758" s="326"/>
    </row>
    <row r="759" spans="1:24" s="324" customFormat="1" ht="0.65" hidden="1" customHeight="1">
      <c r="A759" s="324">
        <v>3132</v>
      </c>
      <c r="F759" s="324" t="s">
        <v>1189</v>
      </c>
      <c r="X759" s="326"/>
    </row>
    <row r="760" spans="1:24" s="324" customFormat="1" ht="0.65" hidden="1" customHeight="1">
      <c r="A760" s="324">
        <v>3133</v>
      </c>
      <c r="X760" s="326"/>
    </row>
    <row r="761" spans="1:24" s="324" customFormat="1" ht="0.65" hidden="1" customHeight="1">
      <c r="A761" s="324">
        <v>3134</v>
      </c>
      <c r="F761" s="324" t="s">
        <v>428</v>
      </c>
      <c r="X761" s="326"/>
    </row>
    <row r="762" spans="1:24" s="324" customFormat="1" ht="0.65" hidden="1" customHeight="1">
      <c r="A762" s="324">
        <v>3135</v>
      </c>
      <c r="X762" s="326"/>
    </row>
    <row r="763" spans="1:24" s="324" customFormat="1" ht="0.65" hidden="1" customHeight="1">
      <c r="A763" s="324">
        <v>3136</v>
      </c>
      <c r="X763" s="326"/>
    </row>
    <row r="764" spans="1:24" s="324" customFormat="1" ht="0.65" hidden="1" customHeight="1">
      <c r="A764" s="324">
        <v>3137</v>
      </c>
      <c r="C764" s="324" t="s">
        <v>357</v>
      </c>
      <c r="G764" s="324" t="s">
        <v>338</v>
      </c>
      <c r="H764" s="324" t="s">
        <v>340</v>
      </c>
      <c r="I764" s="324" t="s">
        <v>55</v>
      </c>
      <c r="L764" s="324" t="s">
        <v>385</v>
      </c>
      <c r="X764" s="326"/>
    </row>
    <row r="765" spans="1:24" s="324" customFormat="1" ht="0.65" hidden="1" customHeight="1">
      <c r="A765" s="324">
        <v>3138</v>
      </c>
      <c r="C765" s="324" t="s">
        <v>1</v>
      </c>
      <c r="F765" s="324" t="s">
        <v>0</v>
      </c>
      <c r="G765" s="324" t="s">
        <v>1</v>
      </c>
      <c r="H765" s="324" t="s">
        <v>1</v>
      </c>
      <c r="L765" s="324">
        <v>5</v>
      </c>
      <c r="X765" s="326"/>
    </row>
    <row r="766" spans="1:24" s="324" customFormat="1" ht="0.65" hidden="1" customHeight="1">
      <c r="A766" s="324">
        <v>3139</v>
      </c>
      <c r="C766" s="324">
        <v>0</v>
      </c>
      <c r="F766" s="324">
        <v>2022</v>
      </c>
      <c r="G766" s="324">
        <v>-175000</v>
      </c>
      <c r="H766" s="324">
        <v>-175000</v>
      </c>
      <c r="V766" s="324">
        <v>-175000</v>
      </c>
      <c r="W766" s="324">
        <v>-175000</v>
      </c>
      <c r="X766" s="326">
        <v>1</v>
      </c>
    </row>
    <row r="767" spans="1:24" s="324" customFormat="1" ht="0.65" hidden="1" customHeight="1">
      <c r="A767" s="324">
        <v>3140</v>
      </c>
      <c r="C767" s="324">
        <v>238716.66666666666</v>
      </c>
      <c r="F767" s="324">
        <v>2023</v>
      </c>
      <c r="G767" s="324">
        <v>31833.333333333343</v>
      </c>
      <c r="H767" s="324">
        <v>270550</v>
      </c>
      <c r="V767" s="324">
        <v>31833.333333333343</v>
      </c>
      <c r="W767" s="324">
        <v>31833.333333333343</v>
      </c>
      <c r="X767" s="326">
        <v>1</v>
      </c>
    </row>
    <row r="768" spans="1:24" s="324" customFormat="1" ht="0.65" hidden="1" customHeight="1">
      <c r="A768" s="324">
        <v>3141</v>
      </c>
      <c r="C768" s="324">
        <v>-45858.333333333343</v>
      </c>
      <c r="F768" s="324">
        <v>2024</v>
      </c>
      <c r="G768" s="324">
        <v>103833.33333333334</v>
      </c>
      <c r="H768" s="324">
        <v>57975</v>
      </c>
      <c r="V768" s="324">
        <v>103833.33333333334</v>
      </c>
      <c r="W768" s="324">
        <v>103833.33333333334</v>
      </c>
      <c r="X768" s="326">
        <v>1</v>
      </c>
    </row>
    <row r="769" spans="1:24" s="324" customFormat="1" ht="0.65" hidden="1" customHeight="1">
      <c r="A769" s="324">
        <v>3142</v>
      </c>
      <c r="C769" s="324">
        <v>-231508.33333333334</v>
      </c>
      <c r="F769" s="324">
        <v>2025</v>
      </c>
      <c r="G769" s="324">
        <v>250833.33333333334</v>
      </c>
      <c r="H769" s="324">
        <v>19325</v>
      </c>
      <c r="V769" s="324">
        <v>250833.33333333334</v>
      </c>
      <c r="W769" s="324">
        <v>250833.33333333334</v>
      </c>
      <c r="X769" s="326">
        <v>1</v>
      </c>
    </row>
    <row r="770" spans="1:24" s="324" customFormat="1" ht="0.65" hidden="1" customHeight="1">
      <c r="A770" s="324">
        <v>3143</v>
      </c>
      <c r="X770" s="326"/>
    </row>
    <row r="771" spans="1:24" s="324" customFormat="1" ht="0.65" hidden="1" customHeight="1">
      <c r="A771" s="324">
        <v>3144</v>
      </c>
      <c r="V771" s="324">
        <v>-175000</v>
      </c>
      <c r="W771" s="324">
        <v>-175000</v>
      </c>
      <c r="X771" s="326">
        <v>1</v>
      </c>
    </row>
    <row r="772" spans="1:24" s="324" customFormat="1" ht="0.65" hidden="1" customHeight="1">
      <c r="A772" s="324">
        <v>3145</v>
      </c>
      <c r="F772" s="324" t="s">
        <v>1190</v>
      </c>
      <c r="G772" s="324">
        <v>158047.24705629476</v>
      </c>
      <c r="H772" s="324">
        <v>148059.03531102848</v>
      </c>
      <c r="I772" s="324" t="s">
        <v>55</v>
      </c>
      <c r="J772" s="324" t="s">
        <v>800</v>
      </c>
      <c r="K772" s="324" t="s">
        <v>800</v>
      </c>
      <c r="N772" s="324">
        <v>158047.24705629476</v>
      </c>
      <c r="O772" s="324">
        <v>148059.03531102848</v>
      </c>
      <c r="V772" s="324">
        <v>270550</v>
      </c>
      <c r="W772" s="324">
        <v>270550</v>
      </c>
      <c r="X772" s="326">
        <v>1</v>
      </c>
    </row>
    <row r="773" spans="1:24" s="324" customFormat="1" ht="0.65" hidden="1" customHeight="1">
      <c r="A773" s="324">
        <v>3146</v>
      </c>
      <c r="C773" s="324">
        <v>0.06</v>
      </c>
      <c r="F773" s="324" t="s">
        <v>1191</v>
      </c>
      <c r="G773" s="324">
        <v>108327.90444039559</v>
      </c>
      <c r="H773" s="324">
        <v>123220.90211567428</v>
      </c>
      <c r="I773" s="324" t="s">
        <v>55</v>
      </c>
      <c r="J773" s="324" t="s">
        <v>800</v>
      </c>
      <c r="K773" s="324" t="s">
        <v>800</v>
      </c>
      <c r="N773" s="324">
        <v>108327.90444039559</v>
      </c>
      <c r="O773" s="324">
        <v>123220.90211567428</v>
      </c>
      <c r="V773" s="324">
        <v>57975</v>
      </c>
      <c r="W773" s="324">
        <v>57975</v>
      </c>
      <c r="X773" s="326">
        <v>1</v>
      </c>
    </row>
    <row r="774" spans="1:24" s="324" customFormat="1" ht="0.65" hidden="1" customHeight="1">
      <c r="A774" s="324">
        <v>3147</v>
      </c>
      <c r="C774" s="324">
        <v>8.5511132530598832E-2</v>
      </c>
      <c r="F774" s="324" t="s">
        <v>358</v>
      </c>
      <c r="G774" s="324">
        <v>0.37357216681627725</v>
      </c>
      <c r="H774" s="324">
        <v>0.76861666107461457</v>
      </c>
      <c r="I774" s="324" t="s">
        <v>55</v>
      </c>
      <c r="J774" s="324" t="s">
        <v>800</v>
      </c>
      <c r="K774" s="324" t="s">
        <v>800</v>
      </c>
      <c r="N774" s="324">
        <v>0.37357216681627725</v>
      </c>
      <c r="O774" s="324">
        <v>0.76861666107461457</v>
      </c>
      <c r="V774" s="324">
        <v>19325</v>
      </c>
      <c r="W774" s="324">
        <v>19325</v>
      </c>
      <c r="X774" s="326">
        <v>1</v>
      </c>
    </row>
    <row r="775" spans="1:24" s="324" customFormat="1" ht="0.65" hidden="1" customHeight="1">
      <c r="A775" s="324">
        <v>3148</v>
      </c>
      <c r="C775" s="324">
        <v>0.13</v>
      </c>
      <c r="N775" s="324">
        <v>0.06</v>
      </c>
      <c r="X775" s="326"/>
    </row>
    <row r="776" spans="1:24" s="324" customFormat="1" ht="0.65" hidden="1" customHeight="1">
      <c r="A776" s="324">
        <v>3149</v>
      </c>
      <c r="G776" s="324" t="s">
        <v>360</v>
      </c>
      <c r="H776" s="324" t="s">
        <v>36</v>
      </c>
      <c r="I776" s="324" t="s">
        <v>55</v>
      </c>
      <c r="X776" s="326"/>
    </row>
    <row r="777" spans="1:24" s="324" customFormat="1" ht="0.65" hidden="1" customHeight="1">
      <c r="A777" s="324">
        <v>3150</v>
      </c>
      <c r="X777" s="326"/>
    </row>
    <row r="778" spans="1:24" s="324" customFormat="1" ht="0.65" hidden="1" customHeight="1">
      <c r="A778" s="324">
        <v>3151</v>
      </c>
      <c r="G778" s="324" t="s">
        <v>361</v>
      </c>
      <c r="H778" s="324">
        <v>0</v>
      </c>
      <c r="X778" s="326"/>
    </row>
    <row r="779" spans="1:24" s="324" customFormat="1" ht="0.65" hidden="1" customHeight="1">
      <c r="A779" s="324">
        <v>3152</v>
      </c>
      <c r="X779" s="326"/>
    </row>
    <row r="780" spans="1:24" s="324" customFormat="1" ht="0.65" hidden="1" customHeight="1">
      <c r="A780" s="324">
        <v>3153</v>
      </c>
      <c r="F780" s="324" t="s">
        <v>944</v>
      </c>
      <c r="X780" s="326"/>
    </row>
    <row r="781" spans="1:24" s="324" customFormat="1" ht="0.65" hidden="1" customHeight="1">
      <c r="A781" s="324">
        <v>3154</v>
      </c>
      <c r="X781" s="326"/>
    </row>
    <row r="782" spans="1:24" s="324" customFormat="1" ht="0.65" hidden="1" customHeight="1">
      <c r="A782" s="324">
        <v>3155</v>
      </c>
      <c r="F782" s="324" t="s">
        <v>1192</v>
      </c>
      <c r="X782" s="326"/>
    </row>
    <row r="783" spans="1:24" s="324" customFormat="1" ht="0.65" hidden="1" customHeight="1">
      <c r="A783" s="324">
        <v>3156</v>
      </c>
      <c r="X783" s="326"/>
    </row>
    <row r="784" spans="1:24" s="324" customFormat="1" ht="0.65" hidden="1" customHeight="1">
      <c r="A784" s="324">
        <v>3157</v>
      </c>
      <c r="F784" s="324" t="s">
        <v>2072</v>
      </c>
      <c r="X784" s="326"/>
    </row>
    <row r="785" spans="1:24" s="324" customFormat="1" ht="0.65" hidden="1" customHeight="1">
      <c r="A785" s="324">
        <v>3158</v>
      </c>
      <c r="X785" s="326"/>
    </row>
    <row r="786" spans="1:24" s="324" customFormat="1" ht="0.65" hidden="1" customHeight="1">
      <c r="A786" s="324">
        <v>3159</v>
      </c>
      <c r="F786" s="324" t="s">
        <v>444</v>
      </c>
      <c r="X786" s="326"/>
    </row>
    <row r="787" spans="1:24" s="324" customFormat="1" ht="0.65" hidden="1" customHeight="1">
      <c r="A787" s="324">
        <v>3160</v>
      </c>
      <c r="X787" s="326"/>
    </row>
    <row r="788" spans="1:24" s="324" customFormat="1" ht="0.65" hidden="1" customHeight="1">
      <c r="A788" s="324">
        <v>3161</v>
      </c>
      <c r="F788" s="324" t="s">
        <v>450</v>
      </c>
      <c r="X788" s="326"/>
    </row>
    <row r="789" spans="1:24" s="324" customFormat="1" ht="0.65" hidden="1" customHeight="1">
      <c r="A789" s="324">
        <v>3162</v>
      </c>
      <c r="X789" s="326"/>
    </row>
    <row r="790" spans="1:24" s="324" customFormat="1" ht="0.65" hidden="1" customHeight="1">
      <c r="A790" s="324">
        <v>3163</v>
      </c>
      <c r="F790" s="324" t="s">
        <v>451</v>
      </c>
      <c r="X790" s="326"/>
    </row>
    <row r="791" spans="1:24" s="324" customFormat="1" ht="0.65" hidden="1" customHeight="1">
      <c r="A791" s="324">
        <v>3164</v>
      </c>
      <c r="X791" s="326"/>
    </row>
    <row r="792" spans="1:24" s="324" customFormat="1" ht="0.65" hidden="1" customHeight="1">
      <c r="A792" s="324">
        <v>3165</v>
      </c>
      <c r="F792" s="324" t="s">
        <v>373</v>
      </c>
      <c r="X792" s="326"/>
    </row>
    <row r="793" spans="1:24" s="324" customFormat="1" ht="0.65" hidden="1" customHeight="1">
      <c r="A793" s="324">
        <v>3166</v>
      </c>
      <c r="X793" s="326"/>
    </row>
    <row r="794" spans="1:24" s="324" customFormat="1" ht="0.65" hidden="1" customHeight="1">
      <c r="A794" s="324">
        <v>3167</v>
      </c>
      <c r="F794" s="324" t="s">
        <v>445</v>
      </c>
      <c r="X794" s="326"/>
    </row>
    <row r="795" spans="1:24" s="324" customFormat="1" ht="0.65" hidden="1" customHeight="1">
      <c r="A795" s="324">
        <v>3168</v>
      </c>
      <c r="X795" s="326"/>
    </row>
    <row r="796" spans="1:24" s="324" customFormat="1" ht="0.65" hidden="1" customHeight="1">
      <c r="A796" s="324">
        <v>3169</v>
      </c>
      <c r="L796" s="324" t="s">
        <v>389</v>
      </c>
      <c r="X796" s="326"/>
    </row>
    <row r="797" spans="1:24" s="324" customFormat="1" ht="0.65" hidden="1" customHeight="1">
      <c r="A797" s="324">
        <v>3170</v>
      </c>
      <c r="C797" s="324" t="s">
        <v>55</v>
      </c>
      <c r="H797" s="324" t="s">
        <v>338</v>
      </c>
      <c r="I797" s="324" t="s">
        <v>386</v>
      </c>
      <c r="L797" s="324">
        <v>6</v>
      </c>
      <c r="X797" s="326"/>
    </row>
    <row r="798" spans="1:24" s="324" customFormat="1" ht="0.65" hidden="1" customHeight="1">
      <c r="A798" s="324">
        <v>3171</v>
      </c>
      <c r="G798" s="324" t="s">
        <v>0</v>
      </c>
      <c r="H798" s="324" t="s">
        <v>1</v>
      </c>
      <c r="I798" s="324" t="s">
        <v>387</v>
      </c>
      <c r="P798" s="324" t="s">
        <v>390</v>
      </c>
      <c r="Q798" s="324" t="s">
        <v>390</v>
      </c>
      <c r="X798" s="326"/>
    </row>
    <row r="799" spans="1:24" s="324" customFormat="1" ht="0.65" hidden="1" customHeight="1">
      <c r="A799" s="324">
        <v>3172</v>
      </c>
      <c r="G799" s="324">
        <v>2022</v>
      </c>
      <c r="H799" s="324">
        <v>-175000</v>
      </c>
      <c r="I799" s="324">
        <v>-175000</v>
      </c>
      <c r="J799" s="324" t="s">
        <v>55</v>
      </c>
      <c r="K799" s="324" t="s">
        <v>800</v>
      </c>
      <c r="N799" s="324">
        <v>-175000</v>
      </c>
      <c r="P799" s="324" t="s">
        <v>391</v>
      </c>
      <c r="Q799" s="324" t="s">
        <v>392</v>
      </c>
      <c r="V799" s="324">
        <v>-175000</v>
      </c>
      <c r="W799" s="324">
        <v>-175000</v>
      </c>
      <c r="X799" s="326">
        <v>1</v>
      </c>
    </row>
    <row r="800" spans="1:24" s="324" customFormat="1" ht="0.65" hidden="1" customHeight="1">
      <c r="A800" s="324">
        <v>3173</v>
      </c>
      <c r="G800" s="324">
        <v>2023</v>
      </c>
      <c r="H800" s="324">
        <v>31833.333333333343</v>
      </c>
      <c r="I800" s="324">
        <v>-208541.79585951517</v>
      </c>
      <c r="J800" s="324" t="s">
        <v>55</v>
      </c>
      <c r="K800" s="324" t="s">
        <v>800</v>
      </c>
      <c r="N800" s="324">
        <v>-208541.79585951517</v>
      </c>
      <c r="P800" s="324">
        <v>1</v>
      </c>
      <c r="Q800" s="324">
        <v>0</v>
      </c>
      <c r="V800" s="324">
        <v>31833.333333333343</v>
      </c>
      <c r="W800" s="324">
        <v>31833.333333333343</v>
      </c>
      <c r="X800" s="326">
        <v>1</v>
      </c>
    </row>
    <row r="801" spans="1:24" s="324" customFormat="1" ht="0.65" hidden="1" customHeight="1">
      <c r="A801" s="324">
        <v>3174</v>
      </c>
      <c r="G801" s="324">
        <v>2024</v>
      </c>
      <c r="H801" s="324">
        <v>103833.33333333334</v>
      </c>
      <c r="I801" s="324">
        <v>-182613.87307717869</v>
      </c>
      <c r="J801" s="324" t="s">
        <v>55</v>
      </c>
      <c r="K801" s="324" t="s">
        <v>800</v>
      </c>
      <c r="N801" s="324">
        <v>-182613.87307717866</v>
      </c>
      <c r="P801" s="324">
        <v>0</v>
      </c>
      <c r="Q801" s="324">
        <v>0</v>
      </c>
      <c r="V801" s="324">
        <v>103833.33333333334</v>
      </c>
      <c r="W801" s="324">
        <v>103833.33333333334</v>
      </c>
      <c r="X801" s="326">
        <v>1</v>
      </c>
    </row>
    <row r="802" spans="1:24" s="324" customFormat="1" ht="0.65" hidden="1" customHeight="1">
      <c r="A802" s="324">
        <v>3175</v>
      </c>
      <c r="G802" s="324">
        <v>2025</v>
      </c>
      <c r="H802" s="324">
        <v>250833.33333333334</v>
      </c>
      <c r="I802" s="324">
        <v>3.7834979593753815E-10</v>
      </c>
      <c r="J802" s="324" t="s">
        <v>55</v>
      </c>
      <c r="K802" s="324" t="s">
        <v>800</v>
      </c>
      <c r="N802" s="324">
        <v>4.5253882832225472E-10</v>
      </c>
      <c r="P802" s="324">
        <v>0</v>
      </c>
      <c r="V802" s="324">
        <v>250833.33333333334</v>
      </c>
      <c r="W802" s="324">
        <v>250833.33333333334</v>
      </c>
      <c r="X802" s="326">
        <v>1</v>
      </c>
    </row>
    <row r="803" spans="1:24" s="324" customFormat="1" ht="0.65" hidden="1" customHeight="1">
      <c r="A803" s="324">
        <v>3176</v>
      </c>
      <c r="P803" s="324">
        <v>1</v>
      </c>
      <c r="Q803" s="324">
        <v>0</v>
      </c>
      <c r="X803" s="326"/>
    </row>
    <row r="804" spans="1:24" s="324" customFormat="1" ht="0.65" hidden="1" customHeight="1">
      <c r="A804" s="324">
        <v>3177</v>
      </c>
      <c r="G804" s="324" t="s">
        <v>358</v>
      </c>
      <c r="H804" s="324">
        <v>0.37357216681627725</v>
      </c>
      <c r="V804" s="324">
        <v>0.37357216681627725</v>
      </c>
      <c r="W804" s="324">
        <v>0.37357216681627725</v>
      </c>
      <c r="X804" s="326">
        <v>1</v>
      </c>
    </row>
    <row r="805" spans="1:24" s="324" customFormat="1" ht="0.65" hidden="1" customHeight="1">
      <c r="A805" s="324">
        <v>3178</v>
      </c>
      <c r="O805" s="324" t="s">
        <v>388</v>
      </c>
      <c r="P805" s="324" t="s">
        <v>398</v>
      </c>
      <c r="X805" s="326"/>
    </row>
    <row r="806" spans="1:24" s="324" customFormat="1" ht="0.65" hidden="1" customHeight="1">
      <c r="A806" s="324">
        <v>3179</v>
      </c>
      <c r="H806" s="324" t="s">
        <v>360</v>
      </c>
      <c r="I806" s="324" t="s">
        <v>36</v>
      </c>
      <c r="J806" s="324" t="s">
        <v>55</v>
      </c>
      <c r="K806" s="324" t="s">
        <v>361</v>
      </c>
      <c r="L806" s="324">
        <v>0</v>
      </c>
      <c r="P806" s="324" t="s">
        <v>400</v>
      </c>
      <c r="X806" s="326"/>
    </row>
    <row r="807" spans="1:24" s="324" customFormat="1" ht="0.65" hidden="1" customHeight="1">
      <c r="A807" s="324">
        <v>3180</v>
      </c>
      <c r="W807" s="324" t="s">
        <v>422</v>
      </c>
      <c r="X807" s="326">
        <v>44</v>
      </c>
    </row>
    <row r="808" spans="1:24" s="324" customFormat="1" ht="0.65" hidden="1" customHeight="1">
      <c r="A808" s="324">
        <v>3181</v>
      </c>
      <c r="F808" s="324" t="s">
        <v>55</v>
      </c>
      <c r="W808" s="324" t="s">
        <v>423</v>
      </c>
      <c r="X808" s="326" t="s">
        <v>520</v>
      </c>
    </row>
    <row r="809" spans="1:24" s="324" customFormat="1" ht="0.65" hidden="1" customHeight="1">
      <c r="A809" s="324">
        <v>3182</v>
      </c>
      <c r="F809" s="324" t="s">
        <v>55</v>
      </c>
      <c r="X809" s="326"/>
    </row>
    <row r="810" spans="1:24" s="324" customFormat="1" ht="0.65" hidden="1" customHeight="1">
      <c r="A810" s="324">
        <v>3183</v>
      </c>
      <c r="F810" s="324" t="s">
        <v>944</v>
      </c>
      <c r="X810" s="326"/>
    </row>
    <row r="811" spans="1:24" s="324" customFormat="1" ht="0.65" hidden="1" customHeight="1">
      <c r="A811" s="324">
        <v>3184</v>
      </c>
      <c r="X811" s="326"/>
    </row>
    <row r="812" spans="1:24" s="324" customFormat="1" ht="0.65" hidden="1" customHeight="1">
      <c r="A812" s="324">
        <v>3185</v>
      </c>
      <c r="F812" s="324" t="s">
        <v>446</v>
      </c>
      <c r="X812" s="326"/>
    </row>
    <row r="813" spans="1:24" s="324" customFormat="1" ht="0.65" hidden="1" customHeight="1">
      <c r="A813" s="324">
        <v>3186</v>
      </c>
      <c r="O813" s="324" t="s">
        <v>40</v>
      </c>
      <c r="P813" s="324" t="s">
        <v>398</v>
      </c>
      <c r="X813" s="326"/>
    </row>
    <row r="814" spans="1:24" s="324" customFormat="1" ht="0.65" hidden="1" customHeight="1">
      <c r="A814" s="324">
        <v>3187</v>
      </c>
      <c r="F814" s="324" t="s">
        <v>393</v>
      </c>
      <c r="O814" s="324" t="s">
        <v>38</v>
      </c>
      <c r="P814" s="324" t="s">
        <v>399</v>
      </c>
      <c r="X814" s="326"/>
    </row>
    <row r="815" spans="1:24" s="324" customFormat="1" ht="0.65" hidden="1" customHeight="1">
      <c r="A815" s="324">
        <v>3188</v>
      </c>
      <c r="O815" s="324" t="s">
        <v>397</v>
      </c>
      <c r="P815" s="324" t="s">
        <v>400</v>
      </c>
      <c r="X815" s="326"/>
    </row>
    <row r="816" spans="1:24" s="324" customFormat="1" ht="0.65" hidden="1" customHeight="1">
      <c r="A816" s="324">
        <v>3189</v>
      </c>
      <c r="F816" s="324" t="s">
        <v>394</v>
      </c>
      <c r="J816" s="324" t="s">
        <v>40</v>
      </c>
      <c r="K816" s="324" t="s">
        <v>55</v>
      </c>
      <c r="L816" s="324" t="s">
        <v>800</v>
      </c>
      <c r="O816" s="324" t="s">
        <v>396</v>
      </c>
      <c r="P816" s="324" t="s">
        <v>401</v>
      </c>
      <c r="X816" s="326"/>
    </row>
    <row r="817" spans="1:24" s="324" customFormat="1" ht="0.65" hidden="1" customHeight="1">
      <c r="A817" s="324">
        <v>3190</v>
      </c>
      <c r="F817" s="324" t="s">
        <v>395</v>
      </c>
      <c r="J817" s="324" t="s">
        <v>397</v>
      </c>
      <c r="K817" s="324" t="s">
        <v>55</v>
      </c>
      <c r="L817" s="324" t="s">
        <v>800</v>
      </c>
      <c r="X817" s="326"/>
    </row>
    <row r="818" spans="1:24" s="324" customFormat="1" ht="0.65" hidden="1" customHeight="1">
      <c r="A818" s="324">
        <v>3191</v>
      </c>
      <c r="X818" s="326"/>
    </row>
    <row r="819" spans="1:24" s="324" customFormat="1" ht="0.65" hidden="1" customHeight="1">
      <c r="A819" s="324">
        <v>3192</v>
      </c>
      <c r="I819" s="324" t="s">
        <v>360</v>
      </c>
      <c r="J819" s="324" t="s">
        <v>36</v>
      </c>
      <c r="K819" s="324" t="s">
        <v>55</v>
      </c>
      <c r="L819" s="324" t="s">
        <v>405</v>
      </c>
      <c r="X819" s="326"/>
    </row>
    <row r="820" spans="1:24" s="324" customFormat="1" ht="0.65" hidden="1" customHeight="1">
      <c r="A820" s="324">
        <v>3193</v>
      </c>
      <c r="L820" s="324">
        <v>7</v>
      </c>
      <c r="X820" s="326"/>
    </row>
    <row r="821" spans="1:24" s="324" customFormat="1" ht="0.65" hidden="1" customHeight="1">
      <c r="A821" s="324">
        <v>3194</v>
      </c>
      <c r="I821" s="324" t="s">
        <v>361</v>
      </c>
      <c r="J821" s="324">
        <v>0</v>
      </c>
      <c r="X821" s="326"/>
    </row>
    <row r="822" spans="1:24" s="324" customFormat="1" ht="0.65" hidden="1" customHeight="1">
      <c r="A822" s="324">
        <v>3195</v>
      </c>
      <c r="X822" s="326"/>
    </row>
    <row r="823" spans="1:24" s="324" customFormat="1" ht="0.65" hidden="1" customHeight="1">
      <c r="A823" s="324">
        <v>3196</v>
      </c>
      <c r="F823" s="324" t="s">
        <v>944</v>
      </c>
      <c r="X823" s="326"/>
    </row>
    <row r="824" spans="1:24" s="324" customFormat="1" ht="0.65" hidden="1" customHeight="1">
      <c r="A824" s="324">
        <v>3197</v>
      </c>
      <c r="X824" s="326"/>
    </row>
    <row r="825" spans="1:24" s="324" customFormat="1" ht="0.65" hidden="1" customHeight="1">
      <c r="A825" s="324">
        <v>3198</v>
      </c>
      <c r="F825" s="324" t="s">
        <v>419</v>
      </c>
      <c r="X825" s="326"/>
    </row>
    <row r="826" spans="1:24" s="324" customFormat="1" ht="0.65" hidden="1" customHeight="1">
      <c r="A826" s="324">
        <v>3199</v>
      </c>
      <c r="X826" s="326"/>
    </row>
    <row r="827" spans="1:24" s="324" customFormat="1" ht="0.65" hidden="1" customHeight="1">
      <c r="A827" s="324">
        <v>3200</v>
      </c>
      <c r="F827" s="324" t="s">
        <v>447</v>
      </c>
      <c r="X827" s="326"/>
    </row>
    <row r="828" spans="1:24" s="324" customFormat="1" ht="0.65" hidden="1" customHeight="1">
      <c r="X828" s="326"/>
    </row>
    <row r="829" spans="1:24" s="324" customFormat="1" ht="0.65" hidden="1" customHeight="1">
      <c r="X829" s="326"/>
    </row>
    <row r="830" spans="1:24" s="324" customFormat="1" ht="0.65" hidden="1" customHeight="1">
      <c r="X830" s="326"/>
    </row>
    <row r="831" spans="1:24" s="324" customFormat="1" ht="0.65" hidden="1" customHeight="1">
      <c r="B831" s="324" t="s">
        <v>19</v>
      </c>
      <c r="E831" s="324" t="s">
        <v>336</v>
      </c>
      <c r="F831" s="324">
        <v>4</v>
      </c>
      <c r="X831" s="326"/>
    </row>
    <row r="832" spans="1:24" s="324" customFormat="1" ht="0.65" hidden="1" customHeight="1">
      <c r="B832" s="324" t="s">
        <v>3951</v>
      </c>
      <c r="E832" s="324" t="s">
        <v>336</v>
      </c>
      <c r="F832" s="324" t="s">
        <v>486</v>
      </c>
      <c r="X832" s="326"/>
    </row>
    <row r="833" spans="1:24" s="324" customFormat="1" ht="0.65" hidden="1" customHeight="1">
      <c r="A833" s="324">
        <v>4001</v>
      </c>
      <c r="C833" s="324" t="s">
        <v>5</v>
      </c>
      <c r="D833" s="324">
        <v>2022</v>
      </c>
      <c r="F833" s="324" t="s">
        <v>374</v>
      </c>
      <c r="X833" s="326"/>
    </row>
    <row r="834" spans="1:24" s="324" customFormat="1" ht="0.65" hidden="1" customHeight="1">
      <c r="A834" s="324">
        <v>4002</v>
      </c>
      <c r="X834" s="326"/>
    </row>
    <row r="835" spans="1:24" s="324" customFormat="1" ht="0.65" hidden="1" customHeight="1">
      <c r="A835" s="324">
        <v>4003</v>
      </c>
      <c r="C835" s="324" t="s">
        <v>32</v>
      </c>
      <c r="X835" s="326"/>
    </row>
    <row r="836" spans="1:24" s="324" customFormat="1" ht="0.65" hidden="1" customHeight="1">
      <c r="A836" s="324">
        <v>4004</v>
      </c>
      <c r="C836" s="324" t="s">
        <v>488</v>
      </c>
      <c r="D836" s="324">
        <v>500000</v>
      </c>
      <c r="H836" s="324" t="s">
        <v>338</v>
      </c>
      <c r="X836" s="326"/>
    </row>
    <row r="837" spans="1:24" s="324" customFormat="1" ht="0.65" hidden="1" customHeight="1">
      <c r="A837" s="324">
        <v>4005</v>
      </c>
      <c r="C837" s="324" t="s">
        <v>6</v>
      </c>
      <c r="D837" s="324">
        <v>10</v>
      </c>
      <c r="G837" s="324" t="s">
        <v>0</v>
      </c>
      <c r="H837" s="324" t="s">
        <v>1</v>
      </c>
      <c r="X837" s="326"/>
    </row>
    <row r="838" spans="1:24" s="324" customFormat="1" ht="0.65" hidden="1" customHeight="1">
      <c r="A838" s="324">
        <v>4006</v>
      </c>
      <c r="C838" s="324" t="s">
        <v>489</v>
      </c>
      <c r="D838" s="324">
        <v>100000</v>
      </c>
      <c r="G838" s="324">
        <v>2022</v>
      </c>
      <c r="H838" s="324">
        <v>-306250</v>
      </c>
      <c r="X838" s="326"/>
    </row>
    <row r="839" spans="1:24" s="324" customFormat="1" ht="0.65" hidden="1" customHeight="1">
      <c r="A839" s="324">
        <v>4007</v>
      </c>
      <c r="G839" s="324">
        <v>2023</v>
      </c>
      <c r="H839" s="324">
        <v>46875</v>
      </c>
      <c r="X839" s="326"/>
    </row>
    <row r="840" spans="1:24" s="324" customFormat="1" ht="0.65" hidden="1" customHeight="1">
      <c r="A840" s="324">
        <v>4008</v>
      </c>
      <c r="C840" s="324" t="s">
        <v>34</v>
      </c>
      <c r="D840" s="324">
        <v>600000</v>
      </c>
      <c r="G840" s="324">
        <v>2024</v>
      </c>
      <c r="H840" s="324">
        <v>71875</v>
      </c>
      <c r="I840" s="324" t="s">
        <v>354</v>
      </c>
      <c r="J840" s="324" t="s">
        <v>355</v>
      </c>
      <c r="K840" s="324" t="s">
        <v>356</v>
      </c>
      <c r="L840" s="324" t="s">
        <v>28</v>
      </c>
      <c r="X840" s="326"/>
    </row>
    <row r="841" spans="1:24" s="324" customFormat="1" ht="0.65" hidden="1" customHeight="1">
      <c r="A841" s="324">
        <v>4009</v>
      </c>
      <c r="C841" s="324" t="s">
        <v>35</v>
      </c>
      <c r="D841" s="324">
        <v>500000</v>
      </c>
      <c r="G841" s="324">
        <v>2025</v>
      </c>
      <c r="H841" s="324">
        <v>210937.5</v>
      </c>
      <c r="I841" s="324">
        <v>269402.04072824935</v>
      </c>
      <c r="J841" s="324">
        <v>2.4526391548710595</v>
      </c>
      <c r="K841" s="324">
        <v>329687.5</v>
      </c>
      <c r="L841" s="324">
        <v>3.0062994449785885E-2</v>
      </c>
      <c r="X841" s="326"/>
    </row>
    <row r="842" spans="1:24" s="324" customFormat="1" ht="0.65" hidden="1" customHeight="1">
      <c r="A842" s="324">
        <v>4010</v>
      </c>
      <c r="X842" s="326"/>
    </row>
    <row r="843" spans="1:24" s="324" customFormat="1" ht="0.65" hidden="1" customHeight="1">
      <c r="A843" s="324">
        <v>4011</v>
      </c>
      <c r="C843" s="324" t="s">
        <v>7</v>
      </c>
      <c r="D843" s="324">
        <v>90</v>
      </c>
      <c r="X843" s="326"/>
    </row>
    <row r="844" spans="1:24" s="324" customFormat="1" ht="0.65" hidden="1" customHeight="1">
      <c r="A844" s="324">
        <v>4012</v>
      </c>
      <c r="C844" s="324" t="s">
        <v>8</v>
      </c>
      <c r="D844" s="324">
        <v>90</v>
      </c>
      <c r="F844" s="324" t="s">
        <v>375</v>
      </c>
      <c r="X844" s="326"/>
    </row>
    <row r="845" spans="1:24" s="324" customFormat="1" ht="0.65" hidden="1" customHeight="1">
      <c r="A845" s="324">
        <v>4013</v>
      </c>
      <c r="F845" s="324" t="s">
        <v>477</v>
      </c>
      <c r="X845" s="326"/>
    </row>
    <row r="846" spans="1:24" s="324" customFormat="1" ht="0.65" hidden="1" customHeight="1">
      <c r="A846" s="324">
        <v>4014</v>
      </c>
      <c r="C846" s="324" t="s">
        <v>33</v>
      </c>
      <c r="X846" s="326"/>
    </row>
    <row r="847" spans="1:24" s="324" customFormat="1" ht="0.65" hidden="1" customHeight="1">
      <c r="A847" s="324">
        <v>4015</v>
      </c>
      <c r="C847" s="324" t="s">
        <v>492</v>
      </c>
      <c r="D847" s="324">
        <v>175000</v>
      </c>
      <c r="X847" s="326"/>
    </row>
    <row r="848" spans="1:24" s="324" customFormat="1" ht="0.65" hidden="1" customHeight="1">
      <c r="A848" s="324">
        <v>4016</v>
      </c>
      <c r="C848" s="324" t="s">
        <v>495</v>
      </c>
      <c r="D848" s="324">
        <v>250000</v>
      </c>
      <c r="G848" s="324" t="s">
        <v>339</v>
      </c>
      <c r="H848" s="324">
        <v>8.4999999999999992E-2</v>
      </c>
      <c r="V848" s="324">
        <v>8.5000000000000006E-2</v>
      </c>
      <c r="W848" s="324">
        <v>8.4999999999999992E-2</v>
      </c>
      <c r="X848" s="326">
        <v>1</v>
      </c>
    </row>
    <row r="849" spans="1:24" s="324" customFormat="1" ht="0.65" hidden="1" customHeight="1">
      <c r="A849" s="324">
        <v>4017</v>
      </c>
      <c r="C849" s="324" t="s">
        <v>6</v>
      </c>
      <c r="D849" s="324">
        <v>4</v>
      </c>
      <c r="X849" s="326"/>
    </row>
    <row r="850" spans="1:24" s="324" customFormat="1" ht="0.65" hidden="1" customHeight="1">
      <c r="A850" s="324">
        <v>4018</v>
      </c>
      <c r="C850" s="324" t="s">
        <v>489</v>
      </c>
      <c r="D850" s="324">
        <v>43750</v>
      </c>
      <c r="X850" s="326"/>
    </row>
    <row r="851" spans="1:24" s="324" customFormat="1" ht="0.65" hidden="1" customHeight="1">
      <c r="A851" s="324">
        <v>4019</v>
      </c>
      <c r="F851" s="324" t="s">
        <v>376</v>
      </c>
      <c r="X851" s="326"/>
    </row>
    <row r="852" spans="1:24" s="324" customFormat="1" ht="0.65" hidden="1" customHeight="1">
      <c r="A852" s="324">
        <v>4020</v>
      </c>
      <c r="C852" s="324" t="s">
        <v>4</v>
      </c>
      <c r="D852" s="324">
        <v>0.25</v>
      </c>
      <c r="X852" s="326"/>
    </row>
    <row r="853" spans="1:24" s="324" customFormat="1" ht="0.65" hidden="1" customHeight="1">
      <c r="A853" s="324">
        <v>4021</v>
      </c>
      <c r="D853" s="324" t="s">
        <v>9</v>
      </c>
      <c r="X853" s="326"/>
    </row>
    <row r="854" spans="1:24" s="324" customFormat="1" ht="0.65" hidden="1" customHeight="1">
      <c r="A854" s="324">
        <v>4022</v>
      </c>
      <c r="H854" s="324" t="s">
        <v>338</v>
      </c>
      <c r="I854" s="324" t="s">
        <v>55</v>
      </c>
      <c r="L854" s="324" t="s">
        <v>367</v>
      </c>
      <c r="X854" s="326"/>
    </row>
    <row r="855" spans="1:24" s="324" customFormat="1" ht="0.65" hidden="1" customHeight="1">
      <c r="A855" s="324">
        <v>4023</v>
      </c>
      <c r="C855" s="324" t="s">
        <v>10</v>
      </c>
      <c r="D855" s="324">
        <v>400000</v>
      </c>
      <c r="G855" s="324" t="s">
        <v>0</v>
      </c>
      <c r="H855" s="324" t="s">
        <v>1</v>
      </c>
      <c r="L855" s="324">
        <v>1</v>
      </c>
      <c r="X855" s="326"/>
    </row>
    <row r="856" spans="1:24" s="324" customFormat="1" ht="0.65" hidden="1" customHeight="1">
      <c r="A856" s="324">
        <v>4024</v>
      </c>
      <c r="C856" s="324" t="s">
        <v>11</v>
      </c>
      <c r="D856" s="324">
        <v>500000</v>
      </c>
      <c r="G856" s="324">
        <v>2022</v>
      </c>
      <c r="H856" s="324">
        <v>-306250</v>
      </c>
      <c r="V856" s="324">
        <v>-306250</v>
      </c>
      <c r="W856" s="324">
        <v>-306250</v>
      </c>
      <c r="X856" s="326">
        <v>1</v>
      </c>
    </row>
    <row r="857" spans="1:24" s="324" customFormat="1" ht="0.65" hidden="1" customHeight="1">
      <c r="A857" s="324">
        <v>4025</v>
      </c>
      <c r="C857" s="324" t="s">
        <v>12</v>
      </c>
      <c r="D857" s="324">
        <v>0.01</v>
      </c>
      <c r="G857" s="324">
        <v>2023</v>
      </c>
      <c r="H857" s="324">
        <v>46875</v>
      </c>
      <c r="V857" s="324">
        <v>46875</v>
      </c>
      <c r="W857" s="324">
        <v>46875</v>
      </c>
      <c r="X857" s="326">
        <v>1</v>
      </c>
    </row>
    <row r="858" spans="1:24" s="324" customFormat="1" ht="0.65" hidden="1" customHeight="1">
      <c r="A858" s="324">
        <v>4026</v>
      </c>
      <c r="C858" s="324" t="s">
        <v>2</v>
      </c>
      <c r="D858" s="324">
        <v>5000000</v>
      </c>
      <c r="G858" s="324">
        <v>2024</v>
      </c>
      <c r="H858" s="324">
        <v>71875</v>
      </c>
      <c r="V858" s="324">
        <v>71875</v>
      </c>
      <c r="W858" s="324">
        <v>71875</v>
      </c>
      <c r="X858" s="326">
        <v>1</v>
      </c>
    </row>
    <row r="859" spans="1:24" s="324" customFormat="1" ht="0.65" hidden="1" customHeight="1">
      <c r="A859" s="324">
        <v>4027</v>
      </c>
      <c r="C859" s="324" t="s">
        <v>3</v>
      </c>
      <c r="D859" s="324">
        <v>5000000</v>
      </c>
      <c r="G859" s="324">
        <v>2025</v>
      </c>
      <c r="H859" s="324">
        <v>210937.5</v>
      </c>
      <c r="V859" s="324">
        <v>210937.5</v>
      </c>
      <c r="W859" s="324">
        <v>210937.5</v>
      </c>
      <c r="X859" s="326">
        <v>1</v>
      </c>
    </row>
    <row r="860" spans="1:24" s="324" customFormat="1" ht="0.65" hidden="1" customHeight="1">
      <c r="A860" s="324">
        <v>4028</v>
      </c>
      <c r="X860" s="326"/>
    </row>
    <row r="861" spans="1:24" s="324" customFormat="1" ht="0.65" hidden="1" customHeight="1">
      <c r="A861" s="324">
        <v>4029</v>
      </c>
      <c r="C861" s="324" t="s">
        <v>14</v>
      </c>
      <c r="D861" s="324" t="s">
        <v>16</v>
      </c>
      <c r="G861" s="324" t="s">
        <v>1596</v>
      </c>
      <c r="H861" s="324">
        <v>-36847.959271750646</v>
      </c>
      <c r="I861" s="324" t="s">
        <v>55</v>
      </c>
      <c r="J861" s="324" t="s">
        <v>800</v>
      </c>
      <c r="N861" s="324" t="s">
        <v>1597</v>
      </c>
      <c r="X861" s="326"/>
    </row>
    <row r="862" spans="1:24" s="324" customFormat="1" ht="0.65" hidden="1" customHeight="1">
      <c r="A862" s="324">
        <v>4030</v>
      </c>
      <c r="D862" s="324" t="s">
        <v>424</v>
      </c>
      <c r="G862" s="324" t="s">
        <v>1598</v>
      </c>
      <c r="H862" s="324">
        <v>-0.12031986700979802</v>
      </c>
      <c r="I862" s="324" t="s">
        <v>55</v>
      </c>
      <c r="J862" s="324" t="s">
        <v>800</v>
      </c>
      <c r="N862" s="324" t="s">
        <v>1599</v>
      </c>
      <c r="X862" s="326"/>
    </row>
    <row r="863" spans="1:24" s="324" customFormat="1" ht="0.65" hidden="1" customHeight="1">
      <c r="A863" s="324">
        <v>4031</v>
      </c>
      <c r="G863" s="324" t="s">
        <v>358</v>
      </c>
      <c r="H863" s="324">
        <v>3.0062994449785885E-2</v>
      </c>
      <c r="I863" s="324" t="s">
        <v>55</v>
      </c>
      <c r="J863" s="324" t="s">
        <v>800</v>
      </c>
      <c r="N863" s="324" t="s">
        <v>1600</v>
      </c>
      <c r="X863" s="326"/>
    </row>
    <row r="864" spans="1:24" s="324" customFormat="1" ht="0.65" hidden="1" customHeight="1">
      <c r="A864" s="324">
        <v>4032</v>
      </c>
      <c r="B864" s="324" t="s">
        <v>460</v>
      </c>
      <c r="X864" s="326"/>
    </row>
    <row r="865" spans="1:24" s="324" customFormat="1" ht="0.65" hidden="1" customHeight="1">
      <c r="A865" s="324">
        <v>4033</v>
      </c>
      <c r="B865" s="324" t="s">
        <v>464</v>
      </c>
      <c r="X865" s="326"/>
    </row>
    <row r="866" spans="1:24" s="324" customFormat="1" ht="0.65" hidden="1" customHeight="1">
      <c r="A866" s="324">
        <v>4034</v>
      </c>
      <c r="H866" s="324" t="s">
        <v>360</v>
      </c>
      <c r="I866" s="324" t="s">
        <v>36</v>
      </c>
      <c r="J866" s="324" t="s">
        <v>55</v>
      </c>
      <c r="X866" s="326"/>
    </row>
    <row r="867" spans="1:24" s="324" customFormat="1" ht="0.65" hidden="1" customHeight="1">
      <c r="A867" s="324">
        <v>4035</v>
      </c>
      <c r="X867" s="326"/>
    </row>
    <row r="868" spans="1:24" s="324" customFormat="1" ht="0.65" hidden="1" customHeight="1">
      <c r="A868" s="324">
        <v>4036</v>
      </c>
      <c r="H868" s="324" t="s">
        <v>361</v>
      </c>
      <c r="I868" s="324">
        <v>0</v>
      </c>
      <c r="X868" s="326"/>
    </row>
    <row r="869" spans="1:24" s="324" customFormat="1" ht="0.65" hidden="1" customHeight="1">
      <c r="A869" s="324">
        <v>4037</v>
      </c>
      <c r="X869" s="326"/>
    </row>
    <row r="870" spans="1:24" s="324" customFormat="1" ht="0.65" hidden="1" customHeight="1">
      <c r="A870" s="324">
        <v>4038</v>
      </c>
      <c r="F870" s="324" t="s">
        <v>944</v>
      </c>
      <c r="X870" s="326"/>
    </row>
    <row r="871" spans="1:24" s="324" customFormat="1" ht="0.65" hidden="1" customHeight="1">
      <c r="A871" s="324">
        <v>4039</v>
      </c>
      <c r="X871" s="326"/>
    </row>
    <row r="872" spans="1:24" s="324" customFormat="1" ht="0.65" hidden="1" customHeight="1">
      <c r="A872" s="324">
        <v>4040</v>
      </c>
      <c r="F872" s="324" t="s">
        <v>448</v>
      </c>
      <c r="X872" s="326"/>
    </row>
    <row r="873" spans="1:24" s="324" customFormat="1" ht="0.65" hidden="1" customHeight="1">
      <c r="A873" s="324">
        <v>4041</v>
      </c>
      <c r="X873" s="326"/>
    </row>
    <row r="874" spans="1:24" s="324" customFormat="1" ht="0.65" hidden="1" customHeight="1">
      <c r="A874" s="324">
        <v>4042</v>
      </c>
      <c r="F874" s="324" t="s">
        <v>377</v>
      </c>
      <c r="X874" s="326"/>
    </row>
    <row r="875" spans="1:24" s="324" customFormat="1" ht="0.65" hidden="1" customHeight="1">
      <c r="A875" s="324">
        <v>4043</v>
      </c>
      <c r="X875" s="326"/>
    </row>
    <row r="876" spans="1:24" s="324" customFormat="1" ht="0.65" hidden="1" customHeight="1">
      <c r="A876" s="324">
        <v>4044</v>
      </c>
      <c r="H876" s="324" t="s">
        <v>406</v>
      </c>
      <c r="I876" s="324">
        <v>8.4999999999999992E-2</v>
      </c>
      <c r="J876" s="324">
        <v>3.0062994449785885E-2</v>
      </c>
      <c r="V876" s="324">
        <v>8.4999999999999992E-2</v>
      </c>
      <c r="W876" s="324">
        <v>8.4999999999999992E-2</v>
      </c>
      <c r="X876" s="326">
        <v>1</v>
      </c>
    </row>
    <row r="877" spans="1:24" s="324" customFormat="1" ht="0.65" hidden="1" customHeight="1">
      <c r="A877" s="324">
        <v>4045</v>
      </c>
      <c r="V877" s="324">
        <v>3.0062994449785885E-2</v>
      </c>
      <c r="W877" s="324">
        <v>3.0062994449785885E-2</v>
      </c>
      <c r="X877" s="326">
        <v>1</v>
      </c>
    </row>
    <row r="878" spans="1:24" s="324" customFormat="1" ht="0.65" hidden="1" customHeight="1">
      <c r="A878" s="324">
        <v>4046</v>
      </c>
      <c r="H878" s="324" t="s">
        <v>338</v>
      </c>
      <c r="I878" s="324" t="s">
        <v>362</v>
      </c>
      <c r="J878" s="324" t="s">
        <v>363</v>
      </c>
      <c r="L878" s="324" t="s">
        <v>368</v>
      </c>
      <c r="X878" s="326"/>
    </row>
    <row r="879" spans="1:24" s="324" customFormat="1" ht="0.65" hidden="1" customHeight="1">
      <c r="A879" s="324">
        <v>4047</v>
      </c>
      <c r="C879" s="324" t="s">
        <v>55</v>
      </c>
      <c r="G879" s="324" t="s">
        <v>0</v>
      </c>
      <c r="H879" s="324" t="s">
        <v>1</v>
      </c>
      <c r="I879" s="324" t="s">
        <v>1</v>
      </c>
      <c r="J879" s="324" t="s">
        <v>1</v>
      </c>
      <c r="L879" s="324">
        <v>2</v>
      </c>
      <c r="X879" s="326"/>
    </row>
    <row r="880" spans="1:24" s="324" customFormat="1" ht="0.65" hidden="1" customHeight="1">
      <c r="A880" s="324">
        <v>4048</v>
      </c>
      <c r="G880" s="324">
        <v>2022</v>
      </c>
      <c r="H880" s="324">
        <v>-306250</v>
      </c>
      <c r="I880" s="324">
        <v>-306250</v>
      </c>
      <c r="J880" s="324">
        <v>-306250</v>
      </c>
      <c r="V880" s="324">
        <v>-306250</v>
      </c>
      <c r="W880" s="324">
        <v>-306250</v>
      </c>
      <c r="X880" s="326">
        <v>1</v>
      </c>
    </row>
    <row r="881" spans="1:24" s="324" customFormat="1" ht="0.65" hidden="1" customHeight="1">
      <c r="A881" s="324">
        <v>4049</v>
      </c>
      <c r="G881" s="324">
        <v>2023</v>
      </c>
      <c r="H881" s="324">
        <v>46875</v>
      </c>
      <c r="I881" s="324">
        <v>0</v>
      </c>
      <c r="J881" s="324">
        <v>0</v>
      </c>
      <c r="N881" s="324" t="s">
        <v>1601</v>
      </c>
      <c r="V881" s="324">
        <v>46875</v>
      </c>
      <c r="W881" s="324">
        <v>46875</v>
      </c>
      <c r="X881" s="326">
        <v>1</v>
      </c>
    </row>
    <row r="882" spans="1:24" s="324" customFormat="1" ht="0.65" hidden="1" customHeight="1">
      <c r="A882" s="324">
        <v>4050</v>
      </c>
      <c r="G882" s="324">
        <v>2024</v>
      </c>
      <c r="H882" s="324">
        <v>71875</v>
      </c>
      <c r="I882" s="324">
        <v>0</v>
      </c>
      <c r="J882" s="324">
        <v>0</v>
      </c>
      <c r="N882" s="324" t="s">
        <v>1602</v>
      </c>
      <c r="V882" s="324">
        <v>71875</v>
      </c>
      <c r="W882" s="324">
        <v>71875</v>
      </c>
      <c r="X882" s="326">
        <v>1</v>
      </c>
    </row>
    <row r="883" spans="1:24" s="324" customFormat="1" ht="0.65" hidden="1" customHeight="1">
      <c r="A883" s="324">
        <v>4051</v>
      </c>
      <c r="G883" s="324">
        <v>2025</v>
      </c>
      <c r="H883" s="324">
        <v>210937.5</v>
      </c>
      <c r="I883" s="324">
        <v>344104.296875</v>
      </c>
      <c r="J883" s="324">
        <v>334709.0483136499</v>
      </c>
      <c r="K883" s="324" t="s">
        <v>55</v>
      </c>
      <c r="V883" s="324">
        <v>210937.5</v>
      </c>
      <c r="W883" s="324">
        <v>210937.5</v>
      </c>
      <c r="X883" s="326">
        <v>1</v>
      </c>
    </row>
    <row r="884" spans="1:24" s="324" customFormat="1" ht="0.65" hidden="1" customHeight="1">
      <c r="A884" s="324">
        <v>4052</v>
      </c>
      <c r="X884" s="326"/>
    </row>
    <row r="885" spans="1:24" s="324" customFormat="1" ht="0.65" hidden="1" customHeight="1">
      <c r="A885" s="324">
        <v>4053</v>
      </c>
      <c r="I885" s="324" t="s">
        <v>800</v>
      </c>
      <c r="J885" s="324" t="s">
        <v>800</v>
      </c>
      <c r="V885" s="324">
        <v>-306250</v>
      </c>
      <c r="W885" s="324">
        <v>-306250</v>
      </c>
      <c r="X885" s="326">
        <v>1</v>
      </c>
    </row>
    <row r="886" spans="1:24" s="324" customFormat="1" ht="0.65" hidden="1" customHeight="1">
      <c r="A886" s="324">
        <v>4054</v>
      </c>
      <c r="V886" s="324">
        <v>0</v>
      </c>
      <c r="W886" s="324">
        <v>0</v>
      </c>
      <c r="X886" s="326">
        <v>1</v>
      </c>
    </row>
    <row r="887" spans="1:24" s="324" customFormat="1" ht="0.65" hidden="1" customHeight="1">
      <c r="A887" s="324">
        <v>4055</v>
      </c>
      <c r="H887" s="324" t="s">
        <v>360</v>
      </c>
      <c r="I887" s="324" t="s">
        <v>36</v>
      </c>
      <c r="J887" s="324" t="s">
        <v>55</v>
      </c>
      <c r="V887" s="324">
        <v>0</v>
      </c>
      <c r="W887" s="324">
        <v>0</v>
      </c>
      <c r="X887" s="326">
        <v>1</v>
      </c>
    </row>
    <row r="888" spans="1:24" s="324" customFormat="1" ht="0.65" hidden="1" customHeight="1">
      <c r="A888" s="324">
        <v>4056</v>
      </c>
      <c r="X888" s="326"/>
    </row>
    <row r="889" spans="1:24" s="324" customFormat="1" ht="0.65" hidden="1" customHeight="1">
      <c r="A889" s="324">
        <v>4057</v>
      </c>
      <c r="H889" s="324" t="s">
        <v>361</v>
      </c>
      <c r="I889" s="324">
        <v>0</v>
      </c>
      <c r="V889" s="324">
        <v>-306250</v>
      </c>
      <c r="W889" s="324">
        <v>-306250</v>
      </c>
      <c r="X889" s="326">
        <v>1</v>
      </c>
    </row>
    <row r="890" spans="1:24" s="324" customFormat="1" ht="0.65" hidden="1" customHeight="1">
      <c r="A890" s="324">
        <v>4058</v>
      </c>
      <c r="F890" s="324" t="s">
        <v>55</v>
      </c>
      <c r="V890" s="324">
        <v>0</v>
      </c>
      <c r="W890" s="324">
        <v>0</v>
      </c>
      <c r="X890" s="326">
        <v>1</v>
      </c>
    </row>
    <row r="891" spans="1:24" s="324" customFormat="1" ht="0.65" hidden="1" customHeight="1">
      <c r="A891" s="324">
        <v>4059</v>
      </c>
      <c r="F891" s="324" t="s">
        <v>55</v>
      </c>
      <c r="V891" s="324">
        <v>0</v>
      </c>
      <c r="W891" s="324">
        <v>0</v>
      </c>
      <c r="X891" s="326">
        <v>1</v>
      </c>
    </row>
    <row r="892" spans="1:24" s="324" customFormat="1" ht="0.65" hidden="1" customHeight="1">
      <c r="A892" s="324">
        <v>4060</v>
      </c>
      <c r="F892" s="324" t="s">
        <v>944</v>
      </c>
      <c r="X892" s="326"/>
    </row>
    <row r="893" spans="1:24" s="324" customFormat="1" ht="0.65" hidden="1" customHeight="1">
      <c r="A893" s="324">
        <v>4061</v>
      </c>
      <c r="X893" s="326"/>
    </row>
    <row r="894" spans="1:24" s="324" customFormat="1" ht="0.65" hidden="1" customHeight="1">
      <c r="A894" s="324">
        <v>4062</v>
      </c>
      <c r="F894" s="324" t="s">
        <v>378</v>
      </c>
      <c r="X894" s="326"/>
    </row>
    <row r="895" spans="1:24" s="324" customFormat="1" ht="0.65" hidden="1" customHeight="1">
      <c r="A895" s="324">
        <v>4063</v>
      </c>
      <c r="X895" s="326"/>
    </row>
    <row r="896" spans="1:24" s="324" customFormat="1" ht="0.65" hidden="1" customHeight="1">
      <c r="A896" s="324">
        <v>4064</v>
      </c>
      <c r="X896" s="326"/>
    </row>
    <row r="897" spans="1:24" s="324" customFormat="1" ht="0.65" hidden="1" customHeight="1">
      <c r="A897" s="324">
        <v>4065</v>
      </c>
      <c r="F897" s="324" t="s">
        <v>379</v>
      </c>
      <c r="X897" s="326"/>
    </row>
    <row r="898" spans="1:24" s="324" customFormat="1" ht="0.65" hidden="1" customHeight="1">
      <c r="A898" s="324">
        <v>4066</v>
      </c>
      <c r="X898" s="326"/>
    </row>
    <row r="899" spans="1:24" s="324" customFormat="1" ht="0.65" hidden="1" customHeight="1">
      <c r="A899" s="324">
        <v>4067</v>
      </c>
      <c r="H899" s="324" t="s">
        <v>338</v>
      </c>
      <c r="I899" s="324" t="s">
        <v>362</v>
      </c>
      <c r="J899" s="324" t="s">
        <v>363</v>
      </c>
      <c r="L899" s="324" t="s">
        <v>369</v>
      </c>
      <c r="X899" s="326"/>
    </row>
    <row r="900" spans="1:24" s="324" customFormat="1" ht="0.65" hidden="1" customHeight="1">
      <c r="A900" s="324">
        <v>4068</v>
      </c>
      <c r="C900" s="324" t="s">
        <v>55</v>
      </c>
      <c r="G900" s="324" t="s">
        <v>0</v>
      </c>
      <c r="H900" s="324" t="s">
        <v>1</v>
      </c>
      <c r="I900" s="324" t="s">
        <v>1</v>
      </c>
      <c r="J900" s="324" t="s">
        <v>1</v>
      </c>
      <c r="L900" s="324">
        <v>3</v>
      </c>
      <c r="X900" s="326"/>
    </row>
    <row r="901" spans="1:24" s="324" customFormat="1" ht="0.65" hidden="1" customHeight="1">
      <c r="A901" s="324">
        <v>4069</v>
      </c>
      <c r="G901" s="324">
        <v>2022</v>
      </c>
      <c r="H901" s="324">
        <v>-306250</v>
      </c>
      <c r="I901" s="324">
        <v>-306250</v>
      </c>
      <c r="J901" s="324">
        <v>-306250</v>
      </c>
      <c r="V901" s="324">
        <v>-306250</v>
      </c>
      <c r="W901" s="324">
        <v>-306250</v>
      </c>
      <c r="X901" s="326">
        <v>1</v>
      </c>
    </row>
    <row r="902" spans="1:24" s="324" customFormat="1" ht="0.65" hidden="1" customHeight="1">
      <c r="A902" s="324">
        <v>4070</v>
      </c>
      <c r="G902" s="324">
        <v>2023</v>
      </c>
      <c r="H902" s="324">
        <v>46875</v>
      </c>
      <c r="I902" s="324">
        <v>0</v>
      </c>
      <c r="J902" s="324">
        <v>0</v>
      </c>
      <c r="V902" s="324">
        <v>46875</v>
      </c>
      <c r="W902" s="324">
        <v>46875</v>
      </c>
      <c r="X902" s="326">
        <v>1</v>
      </c>
    </row>
    <row r="903" spans="1:24" s="324" customFormat="1" ht="0.65" hidden="1" customHeight="1">
      <c r="A903" s="324">
        <v>4071</v>
      </c>
      <c r="G903" s="324">
        <v>2024</v>
      </c>
      <c r="H903" s="324">
        <v>71875</v>
      </c>
      <c r="I903" s="324">
        <v>0</v>
      </c>
      <c r="J903" s="324">
        <v>0</v>
      </c>
      <c r="V903" s="324">
        <v>71875</v>
      </c>
      <c r="W903" s="324">
        <v>71875</v>
      </c>
      <c r="X903" s="326">
        <v>1</v>
      </c>
    </row>
    <row r="904" spans="1:24" s="324" customFormat="1" ht="0.65" hidden="1" customHeight="1">
      <c r="A904" s="324">
        <v>4072</v>
      </c>
      <c r="G904" s="324">
        <v>2025</v>
      </c>
      <c r="H904" s="324">
        <v>210937.5</v>
      </c>
      <c r="I904" s="324">
        <v>344104.296875</v>
      </c>
      <c r="J904" s="324">
        <v>334709.0483136499</v>
      </c>
      <c r="V904" s="324">
        <v>210937.5</v>
      </c>
      <c r="W904" s="324">
        <v>210937.5</v>
      </c>
      <c r="X904" s="326">
        <v>1</v>
      </c>
    </row>
    <row r="905" spans="1:24" s="324" customFormat="1" ht="0.65" hidden="1" customHeight="1">
      <c r="A905" s="324">
        <v>4073</v>
      </c>
      <c r="G905" s="324" t="s">
        <v>408</v>
      </c>
      <c r="H905" s="324">
        <v>3.0062994449785885E-2</v>
      </c>
      <c r="V905" s="324">
        <v>3.0062994449785885E-2</v>
      </c>
      <c r="W905" s="324">
        <v>3.0062994449785885E-2</v>
      </c>
      <c r="X905" s="326">
        <v>1</v>
      </c>
    </row>
    <row r="906" spans="1:24" s="324" customFormat="1" ht="0.65" hidden="1" customHeight="1">
      <c r="A906" s="324">
        <v>4074</v>
      </c>
      <c r="G906" s="324" t="s">
        <v>407</v>
      </c>
      <c r="H906" s="324">
        <v>8.4999999999999992E-2</v>
      </c>
      <c r="V906" s="324">
        <v>8.4999999999999992E-2</v>
      </c>
      <c r="W906" s="324">
        <v>8.4999999999999992E-2</v>
      </c>
      <c r="X906" s="326">
        <v>1</v>
      </c>
    </row>
    <row r="907" spans="1:24" s="324" customFormat="1" ht="0.65" hidden="1" customHeight="1">
      <c r="A907" s="324">
        <v>4075</v>
      </c>
      <c r="I907" s="324" t="s">
        <v>55</v>
      </c>
      <c r="J907" s="324" t="s">
        <v>55</v>
      </c>
      <c r="X907" s="326"/>
    </row>
    <row r="908" spans="1:24" s="324" customFormat="1" ht="0.65" hidden="1" customHeight="1">
      <c r="A908" s="324">
        <v>4076</v>
      </c>
      <c r="G908" s="324" t="s">
        <v>1596</v>
      </c>
      <c r="H908" s="324">
        <v>-36847.959271750646</v>
      </c>
      <c r="I908" s="324">
        <v>-36847.959271750646</v>
      </c>
      <c r="J908" s="324">
        <v>-44203.575457201252</v>
      </c>
      <c r="K908" s="324" t="s">
        <v>800</v>
      </c>
      <c r="L908" s="324" t="s">
        <v>800</v>
      </c>
      <c r="N908" s="324" t="s">
        <v>1603</v>
      </c>
      <c r="O908" s="324" t="s">
        <v>1604</v>
      </c>
      <c r="V908" s="324">
        <v>-306250</v>
      </c>
      <c r="W908" s="324">
        <v>-306250</v>
      </c>
      <c r="X908" s="326">
        <v>1</v>
      </c>
    </row>
    <row r="909" spans="1:24" s="324" customFormat="1" ht="0.65" hidden="1" customHeight="1">
      <c r="A909" s="324">
        <v>4077</v>
      </c>
      <c r="G909" s="324" t="s">
        <v>1598</v>
      </c>
      <c r="H909" s="324">
        <v>-0.12031986700979802</v>
      </c>
      <c r="I909" s="324">
        <v>-0.12031986700979802</v>
      </c>
      <c r="J909" s="324">
        <v>-0.14433820557453469</v>
      </c>
      <c r="K909" s="324" t="s">
        <v>800</v>
      </c>
      <c r="L909" s="324" t="s">
        <v>800</v>
      </c>
      <c r="N909" s="324" t="s">
        <v>1605</v>
      </c>
      <c r="O909" s="324" t="s">
        <v>1606</v>
      </c>
      <c r="V909" s="324">
        <v>0</v>
      </c>
      <c r="W909" s="324">
        <v>0</v>
      </c>
      <c r="X909" s="326">
        <v>1</v>
      </c>
    </row>
    <row r="910" spans="1:24" s="324" customFormat="1" ht="0.65" hidden="1" customHeight="1">
      <c r="A910" s="324">
        <v>4078</v>
      </c>
      <c r="V910" s="324">
        <v>0</v>
      </c>
      <c r="W910" s="324">
        <v>0</v>
      </c>
      <c r="X910" s="326">
        <v>1</v>
      </c>
    </row>
    <row r="911" spans="1:24" s="324" customFormat="1" ht="0.65" hidden="1" customHeight="1">
      <c r="A911" s="324">
        <v>4079</v>
      </c>
      <c r="G911" s="324" t="s">
        <v>1607</v>
      </c>
      <c r="H911" s="324">
        <v>0</v>
      </c>
      <c r="I911" s="324">
        <v>8596.4060021979385</v>
      </c>
      <c r="J911" s="324">
        <v>0</v>
      </c>
      <c r="K911" s="324" t="s">
        <v>800</v>
      </c>
      <c r="L911" s="324" t="s">
        <v>800</v>
      </c>
      <c r="N911" s="324" t="s">
        <v>1608</v>
      </c>
      <c r="O911" s="324" t="s">
        <v>1609</v>
      </c>
      <c r="V911" s="324">
        <v>344104.296875</v>
      </c>
      <c r="W911" s="324">
        <v>344104.296875</v>
      </c>
      <c r="X911" s="326">
        <v>1</v>
      </c>
    </row>
    <row r="912" spans="1:24" s="324" customFormat="1" ht="0.65" hidden="1" customHeight="1">
      <c r="A912" s="324">
        <v>4080</v>
      </c>
      <c r="G912" s="324" t="s">
        <v>1610</v>
      </c>
      <c r="H912" s="324">
        <v>-1.9006583155417928E-16</v>
      </c>
      <c r="I912" s="324">
        <v>2.8069897150034086E-2</v>
      </c>
      <c r="J912" s="324">
        <v>0</v>
      </c>
      <c r="K912" s="324" t="s">
        <v>800</v>
      </c>
      <c r="L912" s="324" t="s">
        <v>800</v>
      </c>
      <c r="N912" s="324" t="s">
        <v>1611</v>
      </c>
      <c r="O912" s="324" t="s">
        <v>1612</v>
      </c>
      <c r="X912" s="326"/>
    </row>
    <row r="913" spans="1:24" s="324" customFormat="1" ht="0.65" hidden="1" customHeight="1">
      <c r="A913" s="324">
        <v>4081</v>
      </c>
      <c r="V913" s="324">
        <v>-306250</v>
      </c>
      <c r="W913" s="324">
        <v>-306250</v>
      </c>
      <c r="X913" s="326">
        <v>1</v>
      </c>
    </row>
    <row r="914" spans="1:24" s="324" customFormat="1" ht="0.65" hidden="1" customHeight="1">
      <c r="A914" s="324">
        <v>4082</v>
      </c>
      <c r="G914" s="324" t="s">
        <v>358</v>
      </c>
      <c r="H914" s="324">
        <v>3.0062994449785885E-2</v>
      </c>
      <c r="I914" s="324">
        <v>3.9612117231202282E-2</v>
      </c>
      <c r="J914" s="324">
        <v>3.0062994449786329E-2</v>
      </c>
      <c r="K914" s="324" t="s">
        <v>800</v>
      </c>
      <c r="L914" s="324" t="s">
        <v>800</v>
      </c>
      <c r="N914" s="324" t="s">
        <v>1613</v>
      </c>
      <c r="O914" s="324" t="s">
        <v>1614</v>
      </c>
      <c r="V914" s="324">
        <v>0</v>
      </c>
      <c r="W914" s="324">
        <v>0</v>
      </c>
      <c r="X914" s="326">
        <v>1</v>
      </c>
    </row>
    <row r="915" spans="1:24" s="324" customFormat="1" ht="0.65" hidden="1" customHeight="1">
      <c r="A915" s="324">
        <v>4083</v>
      </c>
      <c r="V915" s="324">
        <v>0</v>
      </c>
      <c r="W915" s="324">
        <v>0</v>
      </c>
      <c r="X915" s="326">
        <v>1</v>
      </c>
    </row>
    <row r="916" spans="1:24" s="324" customFormat="1" ht="0.65" hidden="1" customHeight="1">
      <c r="A916" s="324">
        <v>4084</v>
      </c>
      <c r="V916" s="324">
        <v>334709.0483136499</v>
      </c>
      <c r="W916" s="324">
        <v>334709.0483136499</v>
      </c>
      <c r="X916" s="326">
        <v>1</v>
      </c>
    </row>
    <row r="917" spans="1:24" s="324" customFormat="1" ht="0.65" hidden="1" customHeight="1">
      <c r="A917" s="324">
        <v>4085</v>
      </c>
      <c r="H917" s="324" t="s">
        <v>360</v>
      </c>
      <c r="I917" s="324" t="s">
        <v>36</v>
      </c>
      <c r="J917" s="324" t="s">
        <v>55</v>
      </c>
      <c r="K917" s="324" t="s">
        <v>361</v>
      </c>
      <c r="L917" s="324">
        <v>0</v>
      </c>
      <c r="X917" s="326"/>
    </row>
    <row r="918" spans="1:24" s="324" customFormat="1" ht="0.65" hidden="1" customHeight="1">
      <c r="A918" s="324">
        <v>4086</v>
      </c>
      <c r="X918" s="326"/>
    </row>
    <row r="919" spans="1:24" s="324" customFormat="1" ht="0.65" hidden="1" customHeight="1">
      <c r="A919" s="324">
        <v>4087</v>
      </c>
      <c r="F919" s="324" t="s">
        <v>55</v>
      </c>
      <c r="X919" s="326"/>
    </row>
    <row r="920" spans="1:24" s="324" customFormat="1" ht="0.65" hidden="1" customHeight="1">
      <c r="A920" s="324">
        <v>4088</v>
      </c>
      <c r="F920" s="324" t="s">
        <v>55</v>
      </c>
      <c r="X920" s="326"/>
    </row>
    <row r="921" spans="1:24" s="324" customFormat="1" ht="0.65" hidden="1" customHeight="1">
      <c r="A921" s="324">
        <v>4089</v>
      </c>
      <c r="F921" s="324" t="s">
        <v>944</v>
      </c>
      <c r="X921" s="326"/>
    </row>
    <row r="922" spans="1:24" s="324" customFormat="1" ht="0.65" hidden="1" customHeight="1">
      <c r="A922" s="324">
        <v>4090</v>
      </c>
      <c r="X922" s="326"/>
    </row>
    <row r="923" spans="1:24" s="324" customFormat="1" ht="0.65" hidden="1" customHeight="1">
      <c r="A923" s="324">
        <v>4091</v>
      </c>
      <c r="F923" s="324" t="s">
        <v>449</v>
      </c>
      <c r="X923" s="326"/>
    </row>
    <row r="924" spans="1:24" s="324" customFormat="1" ht="0.65" hidden="1" customHeight="1">
      <c r="A924" s="324">
        <v>4092</v>
      </c>
      <c r="X924" s="326"/>
    </row>
    <row r="925" spans="1:24" s="324" customFormat="1" ht="0.65" hidden="1" customHeight="1">
      <c r="A925" s="324">
        <v>4093</v>
      </c>
      <c r="F925" s="324" t="s">
        <v>380</v>
      </c>
      <c r="X925" s="326"/>
    </row>
    <row r="926" spans="1:24" s="324" customFormat="1" ht="0.65" hidden="1" customHeight="1">
      <c r="A926" s="324">
        <v>4094</v>
      </c>
      <c r="F926" s="324" t="s">
        <v>381</v>
      </c>
      <c r="X926" s="326"/>
    </row>
    <row r="927" spans="1:24" s="324" customFormat="1" ht="0.65" hidden="1" customHeight="1">
      <c r="A927" s="324">
        <v>4095</v>
      </c>
      <c r="X927" s="326"/>
    </row>
    <row r="928" spans="1:24" s="324" customFormat="1" ht="0.65" hidden="1" customHeight="1">
      <c r="A928" s="324">
        <v>4096</v>
      </c>
      <c r="F928" s="324" t="s">
        <v>402</v>
      </c>
      <c r="X928" s="326"/>
    </row>
    <row r="929" spans="1:24" s="324" customFormat="1" ht="0.65" hidden="1" customHeight="1">
      <c r="A929" s="324">
        <v>4097</v>
      </c>
      <c r="X929" s="326"/>
    </row>
    <row r="930" spans="1:24" s="324" customFormat="1" ht="0.65" hidden="1" customHeight="1">
      <c r="A930" s="324">
        <v>4098</v>
      </c>
      <c r="F930" s="324" t="s">
        <v>382</v>
      </c>
      <c r="X930" s="326"/>
    </row>
    <row r="931" spans="1:24" s="324" customFormat="1" ht="0.65" hidden="1" customHeight="1">
      <c r="A931" s="324">
        <v>4099</v>
      </c>
      <c r="X931" s="326"/>
    </row>
    <row r="932" spans="1:24" s="324" customFormat="1" ht="0.65" hidden="1" customHeight="1">
      <c r="A932" s="324">
        <v>4100</v>
      </c>
      <c r="F932" s="324" t="s">
        <v>403</v>
      </c>
      <c r="X932" s="326"/>
    </row>
    <row r="933" spans="1:24" s="324" customFormat="1" ht="0.65" hidden="1" customHeight="1">
      <c r="A933" s="324">
        <v>4101</v>
      </c>
      <c r="X933" s="326"/>
    </row>
    <row r="934" spans="1:24" s="324" customFormat="1" ht="0.65" hidden="1" customHeight="1">
      <c r="A934" s="324">
        <v>4102</v>
      </c>
      <c r="F934" s="324" t="s">
        <v>370</v>
      </c>
      <c r="X934" s="326"/>
    </row>
    <row r="935" spans="1:24" s="324" customFormat="1" ht="0.65" hidden="1" customHeight="1">
      <c r="A935" s="324">
        <v>4103</v>
      </c>
      <c r="X935" s="326"/>
    </row>
    <row r="936" spans="1:24" s="324" customFormat="1" ht="0.65" hidden="1" customHeight="1">
      <c r="A936" s="324">
        <v>4104</v>
      </c>
      <c r="F936" s="324" t="s">
        <v>443</v>
      </c>
      <c r="X936" s="326"/>
    </row>
    <row r="937" spans="1:24" s="324" customFormat="1" ht="0.65" hidden="1" customHeight="1">
      <c r="A937" s="324">
        <v>4105</v>
      </c>
      <c r="X937" s="326"/>
    </row>
    <row r="938" spans="1:24" s="324" customFormat="1" ht="0.65" hidden="1" customHeight="1">
      <c r="A938" s="324">
        <v>4106</v>
      </c>
      <c r="F938" s="324" t="s">
        <v>404</v>
      </c>
      <c r="X938" s="326"/>
    </row>
    <row r="939" spans="1:24" s="324" customFormat="1" ht="0.65" hidden="1" customHeight="1">
      <c r="A939" s="324">
        <v>4107</v>
      </c>
      <c r="X939" s="326"/>
    </row>
    <row r="940" spans="1:24" s="324" customFormat="1" ht="0.65" hidden="1" customHeight="1">
      <c r="A940" s="324">
        <v>4108</v>
      </c>
      <c r="F940" s="324" t="s">
        <v>365</v>
      </c>
      <c r="X940" s="326"/>
    </row>
    <row r="941" spans="1:24" s="324" customFormat="1" ht="0.65" hidden="1" customHeight="1">
      <c r="A941" s="324">
        <v>4109</v>
      </c>
      <c r="X941" s="326"/>
    </row>
    <row r="942" spans="1:24" s="324" customFormat="1" ht="0.65" hidden="1" customHeight="1">
      <c r="A942" s="324">
        <v>4110</v>
      </c>
      <c r="F942" s="324" t="s">
        <v>383</v>
      </c>
      <c r="X942" s="326"/>
    </row>
    <row r="943" spans="1:24" s="324" customFormat="1" ht="0.65" hidden="1" customHeight="1">
      <c r="A943" s="324">
        <v>4111</v>
      </c>
      <c r="X943" s="326"/>
    </row>
    <row r="944" spans="1:24" s="324" customFormat="1" ht="0.65" hidden="1" customHeight="1">
      <c r="A944" s="324">
        <v>4112</v>
      </c>
      <c r="F944" s="324" t="s">
        <v>366</v>
      </c>
      <c r="X944" s="326"/>
    </row>
    <row r="945" spans="1:24" s="324" customFormat="1" ht="0.65" hidden="1" customHeight="1">
      <c r="A945" s="324">
        <v>4113</v>
      </c>
      <c r="X945" s="326"/>
    </row>
    <row r="946" spans="1:24" s="324" customFormat="1" ht="0.65" hidden="1" customHeight="1">
      <c r="A946" s="324">
        <v>4114</v>
      </c>
      <c r="F946" s="324" t="s">
        <v>418</v>
      </c>
      <c r="X946" s="326"/>
    </row>
    <row r="947" spans="1:24" s="324" customFormat="1" ht="0.65" hidden="1" customHeight="1">
      <c r="A947" s="324">
        <v>4115</v>
      </c>
      <c r="X947" s="326"/>
    </row>
    <row r="948" spans="1:24" s="324" customFormat="1" ht="0.65" hidden="1" customHeight="1">
      <c r="A948" s="324">
        <v>4116</v>
      </c>
      <c r="F948" s="324" t="s">
        <v>371</v>
      </c>
      <c r="X948" s="326"/>
    </row>
    <row r="949" spans="1:24" s="324" customFormat="1" ht="0.65" hidden="1" customHeight="1">
      <c r="A949" s="324">
        <v>4117</v>
      </c>
      <c r="X949" s="326"/>
    </row>
    <row r="950" spans="1:24" s="324" customFormat="1" ht="0.65" hidden="1" customHeight="1">
      <c r="A950" s="324">
        <v>4118</v>
      </c>
      <c r="H950" s="324" t="s">
        <v>359</v>
      </c>
      <c r="I950" s="324" t="s">
        <v>36</v>
      </c>
      <c r="J950" s="324" t="s">
        <v>55</v>
      </c>
      <c r="L950" s="324" t="s">
        <v>372</v>
      </c>
      <c r="X950" s="326"/>
    </row>
    <row r="951" spans="1:24" s="324" customFormat="1" ht="0.65" hidden="1" customHeight="1">
      <c r="A951" s="324">
        <v>4119</v>
      </c>
      <c r="L951" s="324">
        <v>4</v>
      </c>
      <c r="X951" s="326"/>
    </row>
    <row r="952" spans="1:24" s="324" customFormat="1" ht="0.65" hidden="1" customHeight="1">
      <c r="A952" s="324">
        <v>4120</v>
      </c>
      <c r="X952" s="326"/>
    </row>
    <row r="953" spans="1:24" s="324" customFormat="1" ht="0.65" hidden="1" customHeight="1">
      <c r="A953" s="324">
        <v>4121</v>
      </c>
      <c r="F953" s="324" t="s">
        <v>384</v>
      </c>
      <c r="X953" s="326"/>
    </row>
    <row r="954" spans="1:24" s="324" customFormat="1" ht="0.65" hidden="1" customHeight="1">
      <c r="A954" s="324">
        <v>4122</v>
      </c>
      <c r="X954" s="326"/>
    </row>
    <row r="955" spans="1:24" s="324" customFormat="1" ht="0.65" hidden="1" customHeight="1">
      <c r="A955" s="324">
        <v>4123</v>
      </c>
      <c r="X955" s="326"/>
    </row>
    <row r="956" spans="1:24" s="324" customFormat="1" ht="0.65" hidden="1" customHeight="1">
      <c r="A956" s="324">
        <v>4124</v>
      </c>
      <c r="H956" s="324" t="s">
        <v>340</v>
      </c>
      <c r="X956" s="326"/>
    </row>
    <row r="957" spans="1:24" s="324" customFormat="1" ht="0.65" hidden="1" customHeight="1">
      <c r="A957" s="324">
        <v>4125</v>
      </c>
      <c r="G957" s="324" t="s">
        <v>0</v>
      </c>
      <c r="H957" s="324" t="s">
        <v>1</v>
      </c>
      <c r="X957" s="326"/>
    </row>
    <row r="958" spans="1:24" s="324" customFormat="1" ht="0.65" hidden="1" customHeight="1">
      <c r="A958" s="324">
        <v>4126</v>
      </c>
      <c r="G958" s="324">
        <v>2022</v>
      </c>
      <c r="H958" s="324">
        <v>-306250</v>
      </c>
      <c r="X958" s="326"/>
    </row>
    <row r="959" spans="1:24" s="324" customFormat="1" ht="0.65" hidden="1" customHeight="1">
      <c r="A959" s="324">
        <v>4127</v>
      </c>
      <c r="G959" s="324">
        <v>2023</v>
      </c>
      <c r="H959" s="324">
        <v>230781.24999999997</v>
      </c>
      <c r="X959" s="326"/>
    </row>
    <row r="960" spans="1:24" s="324" customFormat="1" ht="0.65" hidden="1" customHeight="1">
      <c r="A960" s="324">
        <v>4128</v>
      </c>
      <c r="G960" s="324">
        <v>2024</v>
      </c>
      <c r="H960" s="324">
        <v>49453.125</v>
      </c>
      <c r="I960" s="324" t="s">
        <v>354</v>
      </c>
      <c r="J960" s="324" t="s">
        <v>355</v>
      </c>
      <c r="K960" s="324" t="s">
        <v>356</v>
      </c>
      <c r="L960" s="324" t="s">
        <v>28</v>
      </c>
      <c r="X960" s="326"/>
    </row>
    <row r="961" spans="1:24" s="324" customFormat="1" ht="0.65" hidden="1" customHeight="1">
      <c r="A961" s="324">
        <v>4129</v>
      </c>
      <c r="G961" s="324">
        <v>2025</v>
      </c>
      <c r="H961" s="324">
        <v>16484.375</v>
      </c>
      <c r="I961" s="324">
        <v>267615.58206819458</v>
      </c>
      <c r="J961" s="324">
        <v>1.2534221637092713</v>
      </c>
      <c r="K961" s="324">
        <v>296718.75</v>
      </c>
      <c r="L961" s="324">
        <v>-2.4367100338977377E-2</v>
      </c>
      <c r="X961" s="326"/>
    </row>
    <row r="962" spans="1:24" s="324" customFormat="1" ht="0.65" hidden="1" customHeight="1">
      <c r="A962" s="324">
        <v>4130</v>
      </c>
      <c r="X962" s="326"/>
    </row>
    <row r="963" spans="1:24" s="324" customFormat="1" ht="0.65" hidden="1" customHeight="1">
      <c r="A963" s="324">
        <v>4131</v>
      </c>
      <c r="X963" s="326"/>
    </row>
    <row r="964" spans="1:24" s="324" customFormat="1" ht="0.65" hidden="1" customHeight="1">
      <c r="A964" s="324">
        <v>4132</v>
      </c>
      <c r="F964" s="324" t="s">
        <v>1615</v>
      </c>
      <c r="X964" s="326"/>
    </row>
    <row r="965" spans="1:24" s="324" customFormat="1" ht="0.65" hidden="1" customHeight="1">
      <c r="A965" s="324">
        <v>4133</v>
      </c>
      <c r="X965" s="326"/>
    </row>
    <row r="966" spans="1:24" s="324" customFormat="1" ht="0.65" hidden="1" customHeight="1">
      <c r="A966" s="324">
        <v>4134</v>
      </c>
      <c r="F966" s="324" t="s">
        <v>428</v>
      </c>
      <c r="X966" s="326"/>
    </row>
    <row r="967" spans="1:24" s="324" customFormat="1" ht="0.65" hidden="1" customHeight="1">
      <c r="A967" s="324">
        <v>4135</v>
      </c>
      <c r="X967" s="326"/>
    </row>
    <row r="968" spans="1:24" s="324" customFormat="1" ht="0.65" hidden="1" customHeight="1">
      <c r="A968" s="324">
        <v>4136</v>
      </c>
      <c r="X968" s="326"/>
    </row>
    <row r="969" spans="1:24" s="324" customFormat="1" ht="0.65" hidden="1" customHeight="1">
      <c r="A969" s="324">
        <v>4137</v>
      </c>
      <c r="C969" s="324" t="s">
        <v>357</v>
      </c>
      <c r="G969" s="324" t="s">
        <v>338</v>
      </c>
      <c r="H969" s="324" t="s">
        <v>340</v>
      </c>
      <c r="I969" s="324" t="s">
        <v>55</v>
      </c>
      <c r="L969" s="324" t="s">
        <v>385</v>
      </c>
      <c r="X969" s="326"/>
    </row>
    <row r="970" spans="1:24" s="324" customFormat="1" ht="0.65" hidden="1" customHeight="1">
      <c r="A970" s="324">
        <v>4138</v>
      </c>
      <c r="C970" s="324" t="s">
        <v>1</v>
      </c>
      <c r="F970" s="324" t="s">
        <v>0</v>
      </c>
      <c r="G970" s="324" t="s">
        <v>1</v>
      </c>
      <c r="H970" s="324" t="s">
        <v>1</v>
      </c>
      <c r="L970" s="324">
        <v>5</v>
      </c>
      <c r="X970" s="326"/>
    </row>
    <row r="971" spans="1:24" s="324" customFormat="1" ht="0.65" hidden="1" customHeight="1">
      <c r="A971" s="324">
        <v>4139</v>
      </c>
      <c r="C971" s="324">
        <v>0</v>
      </c>
      <c r="F971" s="324">
        <v>2022</v>
      </c>
      <c r="G971" s="324">
        <v>-306250</v>
      </c>
      <c r="H971" s="324">
        <v>-306250</v>
      </c>
      <c r="V971" s="324">
        <v>-306250</v>
      </c>
      <c r="W971" s="324">
        <v>-306250</v>
      </c>
      <c r="X971" s="326">
        <v>1</v>
      </c>
    </row>
    <row r="972" spans="1:24" s="324" customFormat="1" ht="0.65" hidden="1" customHeight="1">
      <c r="A972" s="324">
        <v>4140</v>
      </c>
      <c r="C972" s="324">
        <v>183906.24999999997</v>
      </c>
      <c r="F972" s="324">
        <v>2023</v>
      </c>
      <c r="G972" s="324">
        <v>46875</v>
      </c>
      <c r="H972" s="324">
        <v>230781.24999999997</v>
      </c>
      <c r="V972" s="324">
        <v>46875</v>
      </c>
      <c r="W972" s="324">
        <v>46875</v>
      </c>
      <c r="X972" s="326">
        <v>1</v>
      </c>
    </row>
    <row r="973" spans="1:24" s="324" customFormat="1" ht="0.65" hidden="1" customHeight="1">
      <c r="A973" s="324">
        <v>4141</v>
      </c>
      <c r="C973" s="324">
        <v>-22421.875</v>
      </c>
      <c r="F973" s="324">
        <v>2024</v>
      </c>
      <c r="G973" s="324">
        <v>71875</v>
      </c>
      <c r="H973" s="324">
        <v>49453.125</v>
      </c>
      <c r="V973" s="324">
        <v>71875</v>
      </c>
      <c r="W973" s="324">
        <v>71875</v>
      </c>
      <c r="X973" s="326">
        <v>1</v>
      </c>
    </row>
    <row r="974" spans="1:24" s="324" customFormat="1" ht="0.65" hidden="1" customHeight="1">
      <c r="A974" s="324">
        <v>4142</v>
      </c>
      <c r="C974" s="324">
        <v>-194453.125</v>
      </c>
      <c r="F974" s="324">
        <v>2025</v>
      </c>
      <c r="G974" s="324">
        <v>210937.5</v>
      </c>
      <c r="H974" s="324">
        <v>16484.375</v>
      </c>
      <c r="V974" s="324">
        <v>210937.5</v>
      </c>
      <c r="W974" s="324">
        <v>210937.5</v>
      </c>
      <c r="X974" s="326">
        <v>1</v>
      </c>
    </row>
    <row r="975" spans="1:24" s="324" customFormat="1" ht="0.65" hidden="1" customHeight="1">
      <c r="A975" s="324">
        <v>4143</v>
      </c>
      <c r="X975" s="326"/>
    </row>
    <row r="976" spans="1:24" s="324" customFormat="1" ht="0.65" hidden="1" customHeight="1">
      <c r="A976" s="324">
        <v>4144</v>
      </c>
      <c r="V976" s="324">
        <v>-306250</v>
      </c>
      <c r="W976" s="324">
        <v>-306250</v>
      </c>
      <c r="X976" s="326">
        <v>1</v>
      </c>
    </row>
    <row r="977" spans="1:24" s="324" customFormat="1" ht="0.65" hidden="1" customHeight="1">
      <c r="A977" s="324">
        <v>4145</v>
      </c>
      <c r="F977" s="324" t="s">
        <v>1616</v>
      </c>
      <c r="G977" s="324">
        <v>-27475.34678374551</v>
      </c>
      <c r="H977" s="324">
        <v>-33916.153861537983</v>
      </c>
      <c r="I977" s="324" t="s">
        <v>55</v>
      </c>
      <c r="J977" s="324" t="s">
        <v>800</v>
      </c>
      <c r="K977" s="324" t="s">
        <v>800</v>
      </c>
      <c r="N977" s="324">
        <v>-27475.34678374551</v>
      </c>
      <c r="O977" s="324">
        <v>-33916.153861537983</v>
      </c>
      <c r="V977" s="324">
        <v>230781.24999999997</v>
      </c>
      <c r="W977" s="324">
        <v>230781.24999999997</v>
      </c>
      <c r="X977" s="326">
        <v>1</v>
      </c>
    </row>
    <row r="978" spans="1:24" s="324" customFormat="1" ht="0.65" hidden="1" customHeight="1">
      <c r="A978" s="324">
        <v>4146</v>
      </c>
      <c r="C978" s="324">
        <v>7.0000000000000007E-2</v>
      </c>
      <c r="F978" s="324" t="s">
        <v>1617</v>
      </c>
      <c r="G978" s="324">
        <v>-67449.296139702987</v>
      </c>
      <c r="H978" s="324">
        <v>-54631.249561268574</v>
      </c>
      <c r="I978" s="324" t="s">
        <v>55</v>
      </c>
      <c r="J978" s="324" t="s">
        <v>800</v>
      </c>
      <c r="K978" s="324" t="s">
        <v>800</v>
      </c>
      <c r="N978" s="324">
        <v>-67449.296139702987</v>
      </c>
      <c r="O978" s="324">
        <v>-54631.249561268574</v>
      </c>
      <c r="V978" s="324">
        <v>49453.125</v>
      </c>
      <c r="W978" s="324">
        <v>49453.125</v>
      </c>
      <c r="X978" s="326">
        <v>1</v>
      </c>
    </row>
    <row r="979" spans="1:24" s="324" customFormat="1" ht="0.65" hidden="1" customHeight="1">
      <c r="A979" s="324">
        <v>4147</v>
      </c>
      <c r="C979" s="324">
        <v>9.104031860527928E-2</v>
      </c>
      <c r="F979" s="324" t="s">
        <v>358</v>
      </c>
      <c r="G979" s="324">
        <v>3.0062994449785885E-2</v>
      </c>
      <c r="H979" s="324">
        <v>-2.4367100338977377E-2</v>
      </c>
      <c r="I979" s="324" t="s">
        <v>55</v>
      </c>
      <c r="J979" s="324" t="s">
        <v>800</v>
      </c>
      <c r="K979" s="324" t="s">
        <v>800</v>
      </c>
      <c r="N979" s="324">
        <v>3.0062994449785885E-2</v>
      </c>
      <c r="O979" s="324">
        <v>-2.4367100338977377E-2</v>
      </c>
      <c r="V979" s="324">
        <v>16484.375</v>
      </c>
      <c r="W979" s="324">
        <v>16484.375</v>
      </c>
      <c r="X979" s="326">
        <v>1</v>
      </c>
    </row>
    <row r="980" spans="1:24" s="324" customFormat="1" ht="0.65" hidden="1" customHeight="1">
      <c r="A980" s="324">
        <v>4148</v>
      </c>
      <c r="C980" s="324">
        <v>0.14000000000000001</v>
      </c>
      <c r="N980" s="324">
        <v>0.14000000000000001</v>
      </c>
      <c r="X980" s="326"/>
    </row>
    <row r="981" spans="1:24" s="324" customFormat="1" ht="0.65" hidden="1" customHeight="1">
      <c r="A981" s="324">
        <v>4149</v>
      </c>
      <c r="G981" s="324" t="s">
        <v>360</v>
      </c>
      <c r="H981" s="324" t="s">
        <v>36</v>
      </c>
      <c r="I981" s="324" t="s">
        <v>55</v>
      </c>
      <c r="X981" s="326"/>
    </row>
    <row r="982" spans="1:24" s="324" customFormat="1" ht="0.65" hidden="1" customHeight="1">
      <c r="A982" s="324">
        <v>4150</v>
      </c>
      <c r="X982" s="326"/>
    </row>
    <row r="983" spans="1:24" s="324" customFormat="1" ht="0.65" hidden="1" customHeight="1">
      <c r="A983" s="324">
        <v>4151</v>
      </c>
      <c r="G983" s="324" t="s">
        <v>361</v>
      </c>
      <c r="H983" s="324">
        <v>0</v>
      </c>
      <c r="X983" s="326"/>
    </row>
    <row r="984" spans="1:24" s="324" customFormat="1" ht="0.65" hidden="1" customHeight="1">
      <c r="A984" s="324">
        <v>4152</v>
      </c>
      <c r="X984" s="326"/>
    </row>
    <row r="985" spans="1:24" s="324" customFormat="1" ht="0.65" hidden="1" customHeight="1">
      <c r="A985" s="324">
        <v>4153</v>
      </c>
      <c r="F985" s="324" t="s">
        <v>944</v>
      </c>
      <c r="X985" s="326"/>
    </row>
    <row r="986" spans="1:24" s="324" customFormat="1" ht="0.65" hidden="1" customHeight="1">
      <c r="A986" s="324">
        <v>4154</v>
      </c>
      <c r="X986" s="326"/>
    </row>
    <row r="987" spans="1:24" s="324" customFormat="1" ht="0.65" hidden="1" customHeight="1">
      <c r="A987" s="324">
        <v>4155</v>
      </c>
      <c r="F987" s="324" t="s">
        <v>1618</v>
      </c>
      <c r="X987" s="326"/>
    </row>
    <row r="988" spans="1:24" s="324" customFormat="1" ht="0.65" hidden="1" customHeight="1">
      <c r="A988" s="324">
        <v>4156</v>
      </c>
      <c r="X988" s="326"/>
    </row>
    <row r="989" spans="1:24" s="324" customFormat="1" ht="0.65" hidden="1" customHeight="1">
      <c r="A989" s="324">
        <v>4157</v>
      </c>
      <c r="F989" s="324" t="s">
        <v>2072</v>
      </c>
      <c r="X989" s="326"/>
    </row>
    <row r="990" spans="1:24" s="324" customFormat="1" ht="0.65" hidden="1" customHeight="1">
      <c r="A990" s="324">
        <v>4158</v>
      </c>
      <c r="X990" s="326"/>
    </row>
    <row r="991" spans="1:24" s="324" customFormat="1" ht="0.65" hidden="1" customHeight="1">
      <c r="A991" s="324">
        <v>4159</v>
      </c>
      <c r="F991" s="324" t="s">
        <v>444</v>
      </c>
      <c r="X991" s="326"/>
    </row>
    <row r="992" spans="1:24" s="324" customFormat="1" ht="0.65" hidden="1" customHeight="1">
      <c r="A992" s="324">
        <v>4160</v>
      </c>
      <c r="X992" s="326"/>
    </row>
    <row r="993" spans="1:24" s="324" customFormat="1" ht="0.65" hidden="1" customHeight="1">
      <c r="A993" s="324">
        <v>4161</v>
      </c>
      <c r="F993" s="324" t="s">
        <v>450</v>
      </c>
      <c r="X993" s="326"/>
    </row>
    <row r="994" spans="1:24" s="324" customFormat="1" ht="0.65" hidden="1" customHeight="1">
      <c r="A994" s="324">
        <v>4162</v>
      </c>
      <c r="X994" s="326"/>
    </row>
    <row r="995" spans="1:24" s="324" customFormat="1" ht="0.65" hidden="1" customHeight="1">
      <c r="A995" s="324">
        <v>4163</v>
      </c>
      <c r="F995" s="324" t="s">
        <v>451</v>
      </c>
      <c r="X995" s="326"/>
    </row>
    <row r="996" spans="1:24" s="324" customFormat="1" ht="0.65" hidden="1" customHeight="1">
      <c r="A996" s="324">
        <v>4164</v>
      </c>
      <c r="X996" s="326"/>
    </row>
    <row r="997" spans="1:24" s="324" customFormat="1" ht="0.65" hidden="1" customHeight="1">
      <c r="A997" s="324">
        <v>4165</v>
      </c>
      <c r="F997" s="324" t="s">
        <v>373</v>
      </c>
      <c r="X997" s="326"/>
    </row>
    <row r="998" spans="1:24" s="324" customFormat="1" ht="0.65" hidden="1" customHeight="1">
      <c r="A998" s="324">
        <v>4166</v>
      </c>
      <c r="X998" s="326"/>
    </row>
    <row r="999" spans="1:24" s="324" customFormat="1" ht="0.65" hidden="1" customHeight="1">
      <c r="A999" s="324">
        <v>4167</v>
      </c>
      <c r="F999" s="324" t="s">
        <v>445</v>
      </c>
      <c r="X999" s="326"/>
    </row>
    <row r="1000" spans="1:24" s="324" customFormat="1" ht="0.65" hidden="1" customHeight="1">
      <c r="A1000" s="324">
        <v>4168</v>
      </c>
      <c r="X1000" s="326"/>
    </row>
    <row r="1001" spans="1:24" s="324" customFormat="1" ht="0.65" hidden="1" customHeight="1">
      <c r="A1001" s="324">
        <v>4169</v>
      </c>
      <c r="L1001" s="324" t="s">
        <v>389</v>
      </c>
      <c r="X1001" s="326"/>
    </row>
    <row r="1002" spans="1:24" s="324" customFormat="1" ht="0.65" hidden="1" customHeight="1">
      <c r="A1002" s="324">
        <v>4170</v>
      </c>
      <c r="C1002" s="324" t="s">
        <v>55</v>
      </c>
      <c r="H1002" s="324" t="s">
        <v>338</v>
      </c>
      <c r="I1002" s="324" t="s">
        <v>386</v>
      </c>
      <c r="L1002" s="324">
        <v>6</v>
      </c>
      <c r="X1002" s="326"/>
    </row>
    <row r="1003" spans="1:24" s="324" customFormat="1" ht="0.65" hidden="1" customHeight="1">
      <c r="A1003" s="324">
        <v>4171</v>
      </c>
      <c r="G1003" s="324" t="s">
        <v>0</v>
      </c>
      <c r="H1003" s="324" t="s">
        <v>1</v>
      </c>
      <c r="I1003" s="324" t="s">
        <v>387</v>
      </c>
      <c r="P1003" s="324" t="s">
        <v>390</v>
      </c>
      <c r="Q1003" s="324" t="s">
        <v>390</v>
      </c>
      <c r="X1003" s="326"/>
    </row>
    <row r="1004" spans="1:24" s="324" customFormat="1" ht="0.65" hidden="1" customHeight="1">
      <c r="A1004" s="324">
        <v>4172</v>
      </c>
      <c r="G1004" s="324">
        <v>2022</v>
      </c>
      <c r="H1004" s="324">
        <v>-306250</v>
      </c>
      <c r="I1004" s="324">
        <v>-306250</v>
      </c>
      <c r="J1004" s="324" t="s">
        <v>55</v>
      </c>
      <c r="K1004" s="324" t="s">
        <v>800</v>
      </c>
      <c r="N1004" s="324">
        <v>-306250</v>
      </c>
      <c r="P1004" s="324" t="s">
        <v>391</v>
      </c>
      <c r="Q1004" s="324" t="s">
        <v>392</v>
      </c>
      <c r="V1004" s="324">
        <v>-306250</v>
      </c>
      <c r="W1004" s="324">
        <v>-306250</v>
      </c>
      <c r="X1004" s="326">
        <v>1</v>
      </c>
    </row>
    <row r="1005" spans="1:24" s="324" customFormat="1" ht="0.65" hidden="1" customHeight="1">
      <c r="A1005" s="324">
        <v>4173</v>
      </c>
      <c r="G1005" s="324">
        <v>2023</v>
      </c>
      <c r="H1005" s="324">
        <v>46875</v>
      </c>
      <c r="I1005" s="324">
        <v>-268581.79205024691</v>
      </c>
      <c r="J1005" s="324" t="s">
        <v>55</v>
      </c>
      <c r="K1005" s="324" t="s">
        <v>800</v>
      </c>
      <c r="N1005" s="324">
        <v>-268581.79205024696</v>
      </c>
      <c r="P1005" s="324">
        <v>1</v>
      </c>
      <c r="Q1005" s="324">
        <v>0</v>
      </c>
      <c r="V1005" s="324">
        <v>46875</v>
      </c>
      <c r="W1005" s="324">
        <v>46875</v>
      </c>
      <c r="X1005" s="326">
        <v>1</v>
      </c>
    </row>
    <row r="1006" spans="1:24" s="324" customFormat="1" ht="0.65" hidden="1" customHeight="1">
      <c r="A1006" s="324">
        <v>4174</v>
      </c>
      <c r="G1006" s="324">
        <v>2024</v>
      </c>
      <c r="H1006" s="324">
        <v>71875</v>
      </c>
      <c r="I1006" s="324">
        <v>-204781.16497396701</v>
      </c>
      <c r="J1006" s="324" t="s">
        <v>55</v>
      </c>
      <c r="K1006" s="324" t="s">
        <v>800</v>
      </c>
      <c r="N1006" s="324">
        <v>-204781.16497396704</v>
      </c>
      <c r="P1006" s="324">
        <v>0</v>
      </c>
      <c r="Q1006" s="324">
        <v>0</v>
      </c>
      <c r="V1006" s="324">
        <v>71875</v>
      </c>
      <c r="W1006" s="324">
        <v>71875</v>
      </c>
      <c r="X1006" s="326">
        <v>1</v>
      </c>
    </row>
    <row r="1007" spans="1:24" s="324" customFormat="1" ht="0.65" hidden="1" customHeight="1">
      <c r="A1007" s="324">
        <v>4175</v>
      </c>
      <c r="G1007" s="324">
        <v>2025</v>
      </c>
      <c r="H1007" s="324">
        <v>210937.5</v>
      </c>
      <c r="I1007" s="324">
        <v>0</v>
      </c>
      <c r="J1007" s="324" t="s">
        <v>55</v>
      </c>
      <c r="K1007" s="324" t="s">
        <v>800</v>
      </c>
      <c r="N1007" s="324">
        <v>-6.3616753596441866E-11</v>
      </c>
      <c r="P1007" s="324">
        <v>0</v>
      </c>
      <c r="V1007" s="324">
        <v>210937.5</v>
      </c>
      <c r="W1007" s="324">
        <v>210937.5</v>
      </c>
      <c r="X1007" s="326">
        <v>1</v>
      </c>
    </row>
    <row r="1008" spans="1:24" s="324" customFormat="1" ht="0.65" hidden="1" customHeight="1">
      <c r="A1008" s="324">
        <v>4176</v>
      </c>
      <c r="P1008" s="324">
        <v>1</v>
      </c>
      <c r="Q1008" s="324">
        <v>0</v>
      </c>
      <c r="X1008" s="326"/>
    </row>
    <row r="1009" spans="1:24" s="324" customFormat="1" ht="0.65" hidden="1" customHeight="1">
      <c r="A1009" s="324">
        <v>4177</v>
      </c>
      <c r="G1009" s="324" t="s">
        <v>358</v>
      </c>
      <c r="H1009" s="324">
        <v>3.0062994449785885E-2</v>
      </c>
      <c r="V1009" s="324">
        <v>3.0062994449785885E-2</v>
      </c>
      <c r="W1009" s="324">
        <v>3.0062994449785885E-2</v>
      </c>
      <c r="X1009" s="326">
        <v>1</v>
      </c>
    </row>
    <row r="1010" spans="1:24" s="324" customFormat="1" ht="0.65" hidden="1" customHeight="1">
      <c r="A1010" s="324">
        <v>4178</v>
      </c>
      <c r="O1010" s="324" t="s">
        <v>388</v>
      </c>
      <c r="P1010" s="324" t="s">
        <v>398</v>
      </c>
      <c r="X1010" s="326"/>
    </row>
    <row r="1011" spans="1:24" s="324" customFormat="1" ht="0.65" hidden="1" customHeight="1">
      <c r="A1011" s="324">
        <v>4179</v>
      </c>
      <c r="H1011" s="324" t="s">
        <v>360</v>
      </c>
      <c r="I1011" s="324" t="s">
        <v>36</v>
      </c>
      <c r="J1011" s="324" t="s">
        <v>55</v>
      </c>
      <c r="K1011" s="324" t="s">
        <v>361</v>
      </c>
      <c r="L1011" s="324">
        <v>0</v>
      </c>
      <c r="P1011" s="324" t="s">
        <v>400</v>
      </c>
      <c r="X1011" s="326"/>
    </row>
    <row r="1012" spans="1:24" s="324" customFormat="1" ht="0.65" hidden="1" customHeight="1">
      <c r="A1012" s="324">
        <v>4180</v>
      </c>
      <c r="W1012" s="324" t="s">
        <v>422</v>
      </c>
      <c r="X1012" s="326">
        <v>44</v>
      </c>
    </row>
    <row r="1013" spans="1:24" s="324" customFormat="1" ht="0.65" hidden="1" customHeight="1">
      <c r="A1013" s="324">
        <v>4181</v>
      </c>
      <c r="F1013" s="324" t="s">
        <v>55</v>
      </c>
      <c r="W1013" s="324" t="s">
        <v>423</v>
      </c>
      <c r="X1013" s="326" t="s">
        <v>520</v>
      </c>
    </row>
    <row r="1014" spans="1:24" s="324" customFormat="1" ht="0.65" hidden="1" customHeight="1">
      <c r="A1014" s="324">
        <v>4182</v>
      </c>
      <c r="F1014" s="324" t="s">
        <v>55</v>
      </c>
      <c r="X1014" s="326"/>
    </row>
    <row r="1015" spans="1:24" s="324" customFormat="1" ht="0.65" hidden="1" customHeight="1">
      <c r="A1015" s="324">
        <v>4183</v>
      </c>
      <c r="F1015" s="324" t="s">
        <v>944</v>
      </c>
      <c r="X1015" s="326"/>
    </row>
    <row r="1016" spans="1:24" s="324" customFormat="1" ht="0.65" hidden="1" customHeight="1">
      <c r="A1016" s="324">
        <v>4184</v>
      </c>
      <c r="X1016" s="326"/>
    </row>
    <row r="1017" spans="1:24" s="324" customFormat="1" ht="0.65" hidden="1" customHeight="1">
      <c r="A1017" s="324">
        <v>4185</v>
      </c>
      <c r="F1017" s="324" t="s">
        <v>446</v>
      </c>
      <c r="X1017" s="326"/>
    </row>
    <row r="1018" spans="1:24" s="324" customFormat="1" ht="0.65" hidden="1" customHeight="1">
      <c r="A1018" s="324">
        <v>4186</v>
      </c>
      <c r="O1018" s="324" t="s">
        <v>40</v>
      </c>
      <c r="P1018" s="324" t="s">
        <v>398</v>
      </c>
      <c r="X1018" s="326"/>
    </row>
    <row r="1019" spans="1:24" s="324" customFormat="1" ht="0.65" hidden="1" customHeight="1">
      <c r="A1019" s="324">
        <v>4187</v>
      </c>
      <c r="F1019" s="324" t="s">
        <v>393</v>
      </c>
      <c r="O1019" s="324" t="s">
        <v>38</v>
      </c>
      <c r="P1019" s="324" t="s">
        <v>399</v>
      </c>
      <c r="X1019" s="326"/>
    </row>
    <row r="1020" spans="1:24" s="324" customFormat="1" ht="0.65" hidden="1" customHeight="1">
      <c r="A1020" s="324">
        <v>4188</v>
      </c>
      <c r="O1020" s="324" t="s">
        <v>397</v>
      </c>
      <c r="P1020" s="324" t="s">
        <v>400</v>
      </c>
      <c r="X1020" s="326"/>
    </row>
    <row r="1021" spans="1:24" s="324" customFormat="1" ht="0.65" hidden="1" customHeight="1">
      <c r="A1021" s="324">
        <v>4189</v>
      </c>
      <c r="F1021" s="324" t="s">
        <v>394</v>
      </c>
      <c r="J1021" s="324" t="s">
        <v>40</v>
      </c>
      <c r="K1021" s="324" t="s">
        <v>55</v>
      </c>
      <c r="L1021" s="324" t="s">
        <v>800</v>
      </c>
      <c r="O1021" s="324" t="s">
        <v>396</v>
      </c>
      <c r="P1021" s="324" t="s">
        <v>401</v>
      </c>
      <c r="X1021" s="326"/>
    </row>
    <row r="1022" spans="1:24" s="324" customFormat="1" ht="0.65" hidden="1" customHeight="1">
      <c r="A1022" s="324">
        <v>4190</v>
      </c>
      <c r="F1022" s="324" t="s">
        <v>395</v>
      </c>
      <c r="J1022" s="324" t="s">
        <v>397</v>
      </c>
      <c r="K1022" s="324" t="s">
        <v>55</v>
      </c>
      <c r="L1022" s="324" t="s">
        <v>800</v>
      </c>
      <c r="X1022" s="326"/>
    </row>
    <row r="1023" spans="1:24" s="324" customFormat="1" ht="0.65" hidden="1" customHeight="1">
      <c r="A1023" s="324">
        <v>4191</v>
      </c>
      <c r="X1023" s="326"/>
    </row>
    <row r="1024" spans="1:24" s="324" customFormat="1" ht="0.65" hidden="1" customHeight="1">
      <c r="A1024" s="324">
        <v>4192</v>
      </c>
      <c r="I1024" s="324" t="s">
        <v>360</v>
      </c>
      <c r="J1024" s="324" t="s">
        <v>36</v>
      </c>
      <c r="K1024" s="324" t="s">
        <v>55</v>
      </c>
      <c r="L1024" s="324" t="s">
        <v>405</v>
      </c>
      <c r="X1024" s="326"/>
    </row>
    <row r="1025" spans="1:24" s="324" customFormat="1" ht="0.65" hidden="1" customHeight="1">
      <c r="A1025" s="324">
        <v>4193</v>
      </c>
      <c r="L1025" s="324">
        <v>7</v>
      </c>
      <c r="X1025" s="326"/>
    </row>
    <row r="1026" spans="1:24" s="324" customFormat="1" ht="0.65" hidden="1" customHeight="1">
      <c r="A1026" s="324">
        <v>4194</v>
      </c>
      <c r="I1026" s="324" t="s">
        <v>361</v>
      </c>
      <c r="J1026" s="324">
        <v>0</v>
      </c>
      <c r="X1026" s="326"/>
    </row>
    <row r="1027" spans="1:24" s="324" customFormat="1" ht="0.65" hidden="1" customHeight="1">
      <c r="A1027" s="324">
        <v>4195</v>
      </c>
      <c r="X1027" s="326"/>
    </row>
    <row r="1028" spans="1:24" s="324" customFormat="1" ht="0.65" hidden="1" customHeight="1">
      <c r="A1028" s="324">
        <v>4196</v>
      </c>
      <c r="F1028" s="324" t="s">
        <v>944</v>
      </c>
      <c r="X1028" s="326"/>
    </row>
    <row r="1029" spans="1:24" s="324" customFormat="1" ht="0.65" hidden="1" customHeight="1">
      <c r="A1029" s="324">
        <v>4197</v>
      </c>
      <c r="X1029" s="326"/>
    </row>
    <row r="1030" spans="1:24" s="324" customFormat="1" ht="0.65" hidden="1" customHeight="1">
      <c r="A1030" s="324">
        <v>4198</v>
      </c>
      <c r="F1030" s="324" t="s">
        <v>419</v>
      </c>
      <c r="X1030" s="326"/>
    </row>
    <row r="1031" spans="1:24" s="324" customFormat="1" ht="0.65" hidden="1" customHeight="1">
      <c r="A1031" s="324">
        <v>4199</v>
      </c>
      <c r="X1031" s="326"/>
    </row>
    <row r="1032" spans="1:24" s="324" customFormat="1" ht="0.65" hidden="1" customHeight="1">
      <c r="A1032" s="324">
        <v>4200</v>
      </c>
      <c r="F1032" s="324" t="s">
        <v>447</v>
      </c>
      <c r="X1032" s="326"/>
    </row>
    <row r="1033" spans="1:24" s="324" customFormat="1" ht="0.65" hidden="1" customHeight="1">
      <c r="X1033" s="326"/>
    </row>
    <row r="1034" spans="1:24" s="324" customFormat="1" ht="0.65" hidden="1" customHeight="1">
      <c r="X1034" s="326"/>
    </row>
    <row r="1035" spans="1:24" s="324" customFormat="1" ht="0.65" hidden="1" customHeight="1">
      <c r="X1035" s="326"/>
    </row>
    <row r="1036" spans="1:24" s="324" customFormat="1" ht="0.65" hidden="1" customHeight="1">
      <c r="B1036" s="324" t="s">
        <v>19</v>
      </c>
      <c r="E1036" s="324" t="s">
        <v>336</v>
      </c>
      <c r="F1036" s="324">
        <v>5</v>
      </c>
      <c r="X1036" s="326"/>
    </row>
    <row r="1037" spans="1:24" s="324" customFormat="1" ht="0.65" hidden="1" customHeight="1">
      <c r="B1037" s="324" t="s">
        <v>3951</v>
      </c>
      <c r="E1037" s="324" t="s">
        <v>336</v>
      </c>
      <c r="F1037" s="324" t="s">
        <v>486</v>
      </c>
      <c r="X1037" s="326"/>
    </row>
    <row r="1038" spans="1:24" s="324" customFormat="1" ht="0.65" hidden="1" customHeight="1">
      <c r="A1038" s="324">
        <v>5001</v>
      </c>
      <c r="C1038" s="324" t="s">
        <v>5</v>
      </c>
      <c r="D1038" s="324">
        <v>2022</v>
      </c>
      <c r="F1038" s="324" t="s">
        <v>374</v>
      </c>
      <c r="X1038" s="326"/>
    </row>
    <row r="1039" spans="1:24" s="324" customFormat="1" ht="0.65" hidden="1" customHeight="1">
      <c r="A1039" s="324">
        <v>5002</v>
      </c>
      <c r="X1039" s="326"/>
    </row>
    <row r="1040" spans="1:24" s="324" customFormat="1" ht="0.65" hidden="1" customHeight="1">
      <c r="A1040" s="324">
        <v>5003</v>
      </c>
      <c r="C1040" s="324" t="s">
        <v>32</v>
      </c>
      <c r="X1040" s="326"/>
    </row>
    <row r="1041" spans="1:24" s="324" customFormat="1" ht="0.65" hidden="1" customHeight="1">
      <c r="A1041" s="324">
        <v>5004</v>
      </c>
      <c r="C1041" s="324" t="s">
        <v>488</v>
      </c>
      <c r="D1041" s="324">
        <v>1200000</v>
      </c>
      <c r="H1041" s="324" t="s">
        <v>338</v>
      </c>
      <c r="X1041" s="326"/>
    </row>
    <row r="1042" spans="1:24" s="324" customFormat="1" ht="0.65" hidden="1" customHeight="1">
      <c r="A1042" s="324">
        <v>5005</v>
      </c>
      <c r="C1042" s="324" t="s">
        <v>6</v>
      </c>
      <c r="D1042" s="324">
        <v>10</v>
      </c>
      <c r="G1042" s="324" t="s">
        <v>0</v>
      </c>
      <c r="H1042" s="324" t="s">
        <v>1</v>
      </c>
      <c r="X1042" s="326"/>
    </row>
    <row r="1043" spans="1:24" s="324" customFormat="1" ht="0.65" hidden="1" customHeight="1">
      <c r="A1043" s="324">
        <v>5006</v>
      </c>
      <c r="C1043" s="324" t="s">
        <v>489</v>
      </c>
      <c r="D1043" s="324">
        <v>120000</v>
      </c>
      <c r="G1043" s="324">
        <v>2022</v>
      </c>
      <c r="H1043" s="324">
        <v>-967500</v>
      </c>
      <c r="X1043" s="326"/>
    </row>
    <row r="1044" spans="1:24" s="324" customFormat="1" ht="0.65" hidden="1" customHeight="1">
      <c r="A1044" s="324">
        <v>5007</v>
      </c>
      <c r="G1044" s="324">
        <v>2023</v>
      </c>
      <c r="H1044" s="324">
        <v>267500</v>
      </c>
      <c r="X1044" s="326"/>
    </row>
    <row r="1045" spans="1:24" s="324" customFormat="1" ht="0.65" hidden="1" customHeight="1">
      <c r="A1045" s="324">
        <v>5008</v>
      </c>
      <c r="C1045" s="324" t="s">
        <v>34</v>
      </c>
      <c r="D1045" s="324">
        <v>600000</v>
      </c>
      <c r="G1045" s="324">
        <v>2024</v>
      </c>
      <c r="H1045" s="324">
        <v>330000</v>
      </c>
      <c r="I1045" s="324" t="s">
        <v>354</v>
      </c>
      <c r="J1045" s="324" t="s">
        <v>355</v>
      </c>
      <c r="K1045" s="324" t="s">
        <v>356</v>
      </c>
      <c r="L1045" s="324" t="s">
        <v>28</v>
      </c>
      <c r="X1045" s="326"/>
    </row>
    <row r="1046" spans="1:24" s="324" customFormat="1" ht="0.65" hidden="1" customHeight="1">
      <c r="A1046" s="324">
        <v>5009</v>
      </c>
      <c r="C1046" s="324" t="s">
        <v>35</v>
      </c>
      <c r="D1046" s="324">
        <v>150000</v>
      </c>
      <c r="G1046" s="324">
        <v>2025</v>
      </c>
      <c r="H1046" s="324">
        <v>707500</v>
      </c>
      <c r="I1046" s="324">
        <v>1071729.1490951411</v>
      </c>
      <c r="J1046" s="324">
        <v>2.2819630388035166</v>
      </c>
      <c r="K1046" s="324">
        <v>1305000</v>
      </c>
      <c r="L1046" s="324">
        <v>0.13927532491339289</v>
      </c>
      <c r="X1046" s="326"/>
    </row>
    <row r="1047" spans="1:24" s="324" customFormat="1" ht="0.65" hidden="1" customHeight="1">
      <c r="A1047" s="324">
        <v>5010</v>
      </c>
      <c r="X1047" s="326"/>
    </row>
    <row r="1048" spans="1:24" s="324" customFormat="1" ht="0.65" hidden="1" customHeight="1">
      <c r="A1048" s="324">
        <v>5011</v>
      </c>
      <c r="C1048" s="324" t="s">
        <v>7</v>
      </c>
      <c r="D1048" s="324">
        <v>60</v>
      </c>
      <c r="X1048" s="326"/>
    </row>
    <row r="1049" spans="1:24" s="324" customFormat="1" ht="0.65" hidden="1" customHeight="1">
      <c r="A1049" s="324">
        <v>5012</v>
      </c>
      <c r="C1049" s="324" t="s">
        <v>8</v>
      </c>
      <c r="D1049" s="324">
        <v>90</v>
      </c>
      <c r="F1049" s="324" t="s">
        <v>375</v>
      </c>
      <c r="X1049" s="326"/>
    </row>
    <row r="1050" spans="1:24" s="324" customFormat="1" ht="0.65" hidden="1" customHeight="1">
      <c r="A1050" s="324">
        <v>5013</v>
      </c>
      <c r="F1050" s="324" t="s">
        <v>477</v>
      </c>
      <c r="X1050" s="326"/>
    </row>
    <row r="1051" spans="1:24" s="324" customFormat="1" ht="0.65" hidden="1" customHeight="1">
      <c r="A1051" s="324">
        <v>5014</v>
      </c>
      <c r="C1051" s="324" t="s">
        <v>33</v>
      </c>
      <c r="X1051" s="326"/>
    </row>
    <row r="1052" spans="1:24" s="324" customFormat="1" ht="0.65" hidden="1" customHeight="1">
      <c r="A1052" s="324">
        <v>5015</v>
      </c>
      <c r="C1052" s="324" t="s">
        <v>492</v>
      </c>
      <c r="D1052" s="324">
        <v>210000</v>
      </c>
      <c r="X1052" s="326"/>
    </row>
    <row r="1053" spans="1:24" s="324" customFormat="1" ht="0.65" hidden="1" customHeight="1">
      <c r="A1053" s="324">
        <v>5016</v>
      </c>
      <c r="C1053" s="324" t="s">
        <v>495</v>
      </c>
      <c r="D1053" s="324">
        <v>300000</v>
      </c>
      <c r="G1053" s="324" t="s">
        <v>339</v>
      </c>
      <c r="H1053" s="324">
        <v>8.8999999999999996E-2</v>
      </c>
      <c r="V1053" s="324">
        <v>8.8999999999999996E-2</v>
      </c>
      <c r="W1053" s="324">
        <v>8.8999999999999996E-2</v>
      </c>
      <c r="X1053" s="326">
        <v>1</v>
      </c>
    </row>
    <row r="1054" spans="1:24" s="324" customFormat="1" ht="0.65" hidden="1" customHeight="1">
      <c r="A1054" s="324">
        <v>5017</v>
      </c>
      <c r="C1054" s="324" t="s">
        <v>6</v>
      </c>
      <c r="D1054" s="324">
        <v>2</v>
      </c>
      <c r="X1054" s="326"/>
    </row>
    <row r="1055" spans="1:24" s="324" customFormat="1" ht="0.65" hidden="1" customHeight="1">
      <c r="A1055" s="324">
        <v>5018</v>
      </c>
      <c r="C1055" s="324" t="s">
        <v>489</v>
      </c>
      <c r="D1055" s="324">
        <v>30000</v>
      </c>
      <c r="X1055" s="326"/>
    </row>
    <row r="1056" spans="1:24" s="324" customFormat="1" ht="0.65" hidden="1" customHeight="1">
      <c r="A1056" s="324">
        <v>5019</v>
      </c>
      <c r="F1056" s="324" t="s">
        <v>376</v>
      </c>
      <c r="X1056" s="326"/>
    </row>
    <row r="1057" spans="1:24" s="324" customFormat="1" ht="0.65" hidden="1" customHeight="1">
      <c r="A1057" s="324">
        <v>5020</v>
      </c>
      <c r="C1057" s="324" t="s">
        <v>4</v>
      </c>
      <c r="D1057" s="324">
        <v>0.25</v>
      </c>
      <c r="X1057" s="326"/>
    </row>
    <row r="1058" spans="1:24" s="324" customFormat="1" ht="0.65" hidden="1" customHeight="1">
      <c r="A1058" s="324">
        <v>5021</v>
      </c>
      <c r="D1058" s="324" t="s">
        <v>9</v>
      </c>
      <c r="X1058" s="326"/>
    </row>
    <row r="1059" spans="1:24" s="324" customFormat="1" ht="0.65" hidden="1" customHeight="1">
      <c r="A1059" s="324">
        <v>5022</v>
      </c>
      <c r="H1059" s="324" t="s">
        <v>338</v>
      </c>
      <c r="I1059" s="324" t="s">
        <v>55</v>
      </c>
      <c r="L1059" s="324" t="s">
        <v>367</v>
      </c>
      <c r="X1059" s="326"/>
    </row>
    <row r="1060" spans="1:24" s="324" customFormat="1" ht="0.65" hidden="1" customHeight="1">
      <c r="A1060" s="324">
        <v>5023</v>
      </c>
      <c r="C1060" s="324" t="s">
        <v>10</v>
      </c>
      <c r="D1060" s="324">
        <v>360000</v>
      </c>
      <c r="G1060" s="324" t="s">
        <v>0</v>
      </c>
      <c r="H1060" s="324" t="s">
        <v>1</v>
      </c>
      <c r="L1060" s="324">
        <v>1</v>
      </c>
      <c r="X1060" s="326"/>
    </row>
    <row r="1061" spans="1:24" s="324" customFormat="1" ht="0.65" hidden="1" customHeight="1">
      <c r="A1061" s="324">
        <v>5024</v>
      </c>
      <c r="C1061" s="324" t="s">
        <v>11</v>
      </c>
      <c r="D1061" s="324">
        <v>1920000</v>
      </c>
      <c r="G1061" s="324">
        <v>2022</v>
      </c>
      <c r="H1061" s="324">
        <v>-967500</v>
      </c>
      <c r="V1061" s="324">
        <v>-967500</v>
      </c>
      <c r="W1061" s="324">
        <v>-967500</v>
      </c>
      <c r="X1061" s="326">
        <v>1</v>
      </c>
    </row>
    <row r="1062" spans="1:24" s="324" customFormat="1" ht="0.65" hidden="1" customHeight="1">
      <c r="A1062" s="324">
        <v>5025</v>
      </c>
      <c r="C1062" s="324" t="s">
        <v>12</v>
      </c>
      <c r="D1062" s="324">
        <v>0.02</v>
      </c>
      <c r="G1062" s="324">
        <v>2023</v>
      </c>
      <c r="H1062" s="324">
        <v>267500</v>
      </c>
      <c r="V1062" s="324">
        <v>267500</v>
      </c>
      <c r="W1062" s="324">
        <v>267500</v>
      </c>
      <c r="X1062" s="326">
        <v>1</v>
      </c>
    </row>
    <row r="1063" spans="1:24" s="324" customFormat="1" ht="0.65" hidden="1" customHeight="1">
      <c r="A1063" s="324">
        <v>5026</v>
      </c>
      <c r="C1063" s="324" t="s">
        <v>2</v>
      </c>
      <c r="D1063" s="324">
        <v>6000000</v>
      </c>
      <c r="G1063" s="324">
        <v>2024</v>
      </c>
      <c r="H1063" s="324">
        <v>330000</v>
      </c>
      <c r="V1063" s="324">
        <v>330000</v>
      </c>
      <c r="W1063" s="324">
        <v>330000</v>
      </c>
      <c r="X1063" s="326">
        <v>1</v>
      </c>
    </row>
    <row r="1064" spans="1:24" s="324" customFormat="1" ht="0.65" hidden="1" customHeight="1">
      <c r="A1064" s="324">
        <v>5027</v>
      </c>
      <c r="C1064" s="324" t="s">
        <v>3</v>
      </c>
      <c r="D1064" s="324">
        <v>24000000</v>
      </c>
      <c r="G1064" s="324">
        <v>2025</v>
      </c>
      <c r="H1064" s="324">
        <v>707500</v>
      </c>
      <c r="V1064" s="324">
        <v>707500</v>
      </c>
      <c r="W1064" s="324">
        <v>707500</v>
      </c>
      <c r="X1064" s="326">
        <v>1</v>
      </c>
    </row>
    <row r="1065" spans="1:24" s="324" customFormat="1" ht="0.65" hidden="1" customHeight="1">
      <c r="A1065" s="324">
        <v>5028</v>
      </c>
      <c r="X1065" s="326"/>
    </row>
    <row r="1066" spans="1:24" s="324" customFormat="1" ht="0.65" hidden="1" customHeight="1">
      <c r="A1066" s="324">
        <v>5029</v>
      </c>
      <c r="C1066" s="324" t="s">
        <v>14</v>
      </c>
      <c r="D1066" s="324" t="s">
        <v>16</v>
      </c>
      <c r="G1066" s="324" t="s">
        <v>1828</v>
      </c>
      <c r="H1066" s="324">
        <v>104229.1490951411</v>
      </c>
      <c r="I1066" s="324" t="s">
        <v>55</v>
      </c>
      <c r="J1066" s="324" t="s">
        <v>800</v>
      </c>
      <c r="N1066" s="324" t="s">
        <v>1829</v>
      </c>
      <c r="X1066" s="326"/>
    </row>
    <row r="1067" spans="1:24" s="324" customFormat="1" ht="0.65" hidden="1" customHeight="1">
      <c r="A1067" s="324">
        <v>5030</v>
      </c>
      <c r="D1067" s="324" t="s">
        <v>424</v>
      </c>
      <c r="G1067" s="324" t="s">
        <v>1830</v>
      </c>
      <c r="H1067" s="324">
        <v>0.10773038666164454</v>
      </c>
      <c r="I1067" s="324" t="s">
        <v>55</v>
      </c>
      <c r="J1067" s="324" t="s">
        <v>800</v>
      </c>
      <c r="N1067" s="324" t="s">
        <v>1831</v>
      </c>
      <c r="X1067" s="326"/>
    </row>
    <row r="1068" spans="1:24" s="324" customFormat="1" ht="0.65" hidden="1" customHeight="1">
      <c r="A1068" s="324">
        <v>5031</v>
      </c>
      <c r="G1068" s="324" t="s">
        <v>358</v>
      </c>
      <c r="H1068" s="324">
        <v>0.13927532491339289</v>
      </c>
      <c r="I1068" s="324" t="s">
        <v>55</v>
      </c>
      <c r="J1068" s="324" t="s">
        <v>800</v>
      </c>
      <c r="N1068" s="324" t="s">
        <v>1832</v>
      </c>
      <c r="X1068" s="326"/>
    </row>
    <row r="1069" spans="1:24" s="324" customFormat="1" ht="0.65" hidden="1" customHeight="1">
      <c r="A1069" s="324">
        <v>5032</v>
      </c>
      <c r="B1069" s="324" t="s">
        <v>460</v>
      </c>
      <c r="X1069" s="326"/>
    </row>
    <row r="1070" spans="1:24" s="324" customFormat="1" ht="0.65" hidden="1" customHeight="1">
      <c r="A1070" s="324">
        <v>5033</v>
      </c>
      <c r="B1070" s="324" t="s">
        <v>464</v>
      </c>
      <c r="X1070" s="326"/>
    </row>
    <row r="1071" spans="1:24" s="324" customFormat="1" ht="0.65" hidden="1" customHeight="1">
      <c r="A1071" s="324">
        <v>5034</v>
      </c>
      <c r="H1071" s="324" t="s">
        <v>360</v>
      </c>
      <c r="I1071" s="324" t="s">
        <v>36</v>
      </c>
      <c r="J1071" s="324" t="s">
        <v>55</v>
      </c>
      <c r="X1071" s="326"/>
    </row>
    <row r="1072" spans="1:24" s="324" customFormat="1" ht="0.65" hidden="1" customHeight="1">
      <c r="A1072" s="324">
        <v>5035</v>
      </c>
      <c r="X1072" s="326"/>
    </row>
    <row r="1073" spans="1:24" s="324" customFormat="1" ht="0.65" hidden="1" customHeight="1">
      <c r="A1073" s="324">
        <v>5036</v>
      </c>
      <c r="H1073" s="324" t="s">
        <v>361</v>
      </c>
      <c r="I1073" s="324">
        <v>0</v>
      </c>
      <c r="X1073" s="326"/>
    </row>
    <row r="1074" spans="1:24" s="324" customFormat="1" ht="0.65" hidden="1" customHeight="1">
      <c r="A1074" s="324">
        <v>5037</v>
      </c>
      <c r="X1074" s="326"/>
    </row>
    <row r="1075" spans="1:24" s="324" customFormat="1" ht="0.65" hidden="1" customHeight="1">
      <c r="A1075" s="324">
        <v>5038</v>
      </c>
      <c r="F1075" s="324" t="s">
        <v>944</v>
      </c>
      <c r="X1075" s="326"/>
    </row>
    <row r="1076" spans="1:24" s="324" customFormat="1" ht="0.65" hidden="1" customHeight="1">
      <c r="A1076" s="324">
        <v>5039</v>
      </c>
      <c r="X1076" s="326"/>
    </row>
    <row r="1077" spans="1:24" s="324" customFormat="1" ht="0.65" hidden="1" customHeight="1">
      <c r="A1077" s="324">
        <v>5040</v>
      </c>
      <c r="F1077" s="324" t="s">
        <v>448</v>
      </c>
      <c r="X1077" s="326"/>
    </row>
    <row r="1078" spans="1:24" s="324" customFormat="1" ht="0.65" hidden="1" customHeight="1">
      <c r="A1078" s="324">
        <v>5041</v>
      </c>
      <c r="X1078" s="326"/>
    </row>
    <row r="1079" spans="1:24" s="324" customFormat="1" ht="0.65" hidden="1" customHeight="1">
      <c r="A1079" s="324">
        <v>5042</v>
      </c>
      <c r="F1079" s="324" t="s">
        <v>377</v>
      </c>
      <c r="X1079" s="326"/>
    </row>
    <row r="1080" spans="1:24" s="324" customFormat="1" ht="0.65" hidden="1" customHeight="1">
      <c r="A1080" s="324">
        <v>5043</v>
      </c>
      <c r="X1080" s="326"/>
    </row>
    <row r="1081" spans="1:24" s="324" customFormat="1" ht="0.65" hidden="1" customHeight="1">
      <c r="A1081" s="324">
        <v>5044</v>
      </c>
      <c r="H1081" s="324" t="s">
        <v>406</v>
      </c>
      <c r="I1081" s="324">
        <v>8.8999999999999996E-2</v>
      </c>
      <c r="J1081" s="324">
        <v>0.13927532491339289</v>
      </c>
      <c r="V1081" s="324">
        <v>8.8999999999999996E-2</v>
      </c>
      <c r="W1081" s="324">
        <v>8.8999999999999996E-2</v>
      </c>
      <c r="X1081" s="326">
        <v>1</v>
      </c>
    </row>
    <row r="1082" spans="1:24" s="324" customFormat="1" ht="0.65" hidden="1" customHeight="1">
      <c r="A1082" s="324">
        <v>5045</v>
      </c>
      <c r="V1082" s="324">
        <v>0.13927532491339289</v>
      </c>
      <c r="W1082" s="324">
        <v>0.13927532491339289</v>
      </c>
      <c r="X1082" s="326">
        <v>1</v>
      </c>
    </row>
    <row r="1083" spans="1:24" s="324" customFormat="1" ht="0.65" hidden="1" customHeight="1">
      <c r="A1083" s="324">
        <v>5046</v>
      </c>
      <c r="H1083" s="324" t="s">
        <v>338</v>
      </c>
      <c r="I1083" s="324" t="s">
        <v>362</v>
      </c>
      <c r="J1083" s="324" t="s">
        <v>363</v>
      </c>
      <c r="L1083" s="324" t="s">
        <v>368</v>
      </c>
      <c r="X1083" s="326"/>
    </row>
    <row r="1084" spans="1:24" s="324" customFormat="1" ht="0.65" hidden="1" customHeight="1">
      <c r="A1084" s="324">
        <v>5047</v>
      </c>
      <c r="C1084" s="324" t="s">
        <v>55</v>
      </c>
      <c r="G1084" s="324" t="s">
        <v>0</v>
      </c>
      <c r="H1084" s="324" t="s">
        <v>1</v>
      </c>
      <c r="I1084" s="324" t="s">
        <v>1</v>
      </c>
      <c r="J1084" s="324" t="s">
        <v>1</v>
      </c>
      <c r="L1084" s="324">
        <v>2</v>
      </c>
      <c r="X1084" s="326"/>
    </row>
    <row r="1085" spans="1:24" s="324" customFormat="1" ht="0.65" hidden="1" customHeight="1">
      <c r="A1085" s="324">
        <v>5048</v>
      </c>
      <c r="G1085" s="324">
        <v>2022</v>
      </c>
      <c r="H1085" s="324">
        <v>-967500</v>
      </c>
      <c r="I1085" s="324">
        <v>-967500</v>
      </c>
      <c r="J1085" s="324">
        <v>-967500</v>
      </c>
      <c r="V1085" s="324">
        <v>-967500</v>
      </c>
      <c r="W1085" s="324">
        <v>-967500</v>
      </c>
      <c r="X1085" s="326">
        <v>1</v>
      </c>
    </row>
    <row r="1086" spans="1:24" s="324" customFormat="1" ht="0.65" hidden="1" customHeight="1">
      <c r="A1086" s="324">
        <v>5049</v>
      </c>
      <c r="G1086" s="324">
        <v>2023</v>
      </c>
      <c r="H1086" s="324">
        <v>267500</v>
      </c>
      <c r="I1086" s="324">
        <v>0</v>
      </c>
      <c r="J1086" s="324">
        <v>0</v>
      </c>
      <c r="N1086" s="324" t="s">
        <v>1833</v>
      </c>
      <c r="V1086" s="324">
        <v>267500</v>
      </c>
      <c r="W1086" s="324">
        <v>267500</v>
      </c>
      <c r="X1086" s="326">
        <v>1</v>
      </c>
    </row>
    <row r="1087" spans="1:24" s="324" customFormat="1" ht="0.65" hidden="1" customHeight="1">
      <c r="A1087" s="324">
        <v>5050</v>
      </c>
      <c r="G1087" s="324">
        <v>2024</v>
      </c>
      <c r="H1087" s="324">
        <v>330000</v>
      </c>
      <c r="I1087" s="324">
        <v>0</v>
      </c>
      <c r="J1087" s="324">
        <v>0</v>
      </c>
      <c r="N1087" s="324" t="s">
        <v>1834</v>
      </c>
      <c r="V1087" s="324">
        <v>330000</v>
      </c>
      <c r="W1087" s="324">
        <v>330000</v>
      </c>
      <c r="X1087" s="326">
        <v>1</v>
      </c>
    </row>
    <row r="1088" spans="1:24" s="324" customFormat="1" ht="0.65" hidden="1" customHeight="1">
      <c r="A1088" s="324">
        <v>5051</v>
      </c>
      <c r="G1088" s="324">
        <v>2025</v>
      </c>
      <c r="H1088" s="324">
        <v>707500</v>
      </c>
      <c r="I1088" s="324">
        <v>1384103.8674999999</v>
      </c>
      <c r="J1088" s="324">
        <v>1430662.018364788</v>
      </c>
      <c r="K1088" s="324" t="s">
        <v>55</v>
      </c>
      <c r="V1088" s="324">
        <v>707500</v>
      </c>
      <c r="W1088" s="324">
        <v>707500</v>
      </c>
      <c r="X1088" s="326">
        <v>1</v>
      </c>
    </row>
    <row r="1089" spans="1:24" s="324" customFormat="1" ht="0.65" hidden="1" customHeight="1">
      <c r="A1089" s="324">
        <v>5052</v>
      </c>
      <c r="X1089" s="326"/>
    </row>
    <row r="1090" spans="1:24" s="324" customFormat="1" ht="0.65" hidden="1" customHeight="1">
      <c r="A1090" s="324">
        <v>5053</v>
      </c>
      <c r="I1090" s="324" t="s">
        <v>800</v>
      </c>
      <c r="J1090" s="324" t="s">
        <v>800</v>
      </c>
      <c r="V1090" s="324">
        <v>-967500</v>
      </c>
      <c r="W1090" s="324">
        <v>-967500</v>
      </c>
      <c r="X1090" s="326">
        <v>1</v>
      </c>
    </row>
    <row r="1091" spans="1:24" s="324" customFormat="1" ht="0.65" hidden="1" customHeight="1">
      <c r="A1091" s="324">
        <v>5054</v>
      </c>
      <c r="V1091" s="324">
        <v>0</v>
      </c>
      <c r="W1091" s="324">
        <v>0</v>
      </c>
      <c r="X1091" s="326">
        <v>1</v>
      </c>
    </row>
    <row r="1092" spans="1:24" s="324" customFormat="1" ht="0.65" hidden="1" customHeight="1">
      <c r="A1092" s="324">
        <v>5055</v>
      </c>
      <c r="H1092" s="324" t="s">
        <v>360</v>
      </c>
      <c r="I1092" s="324" t="s">
        <v>36</v>
      </c>
      <c r="J1092" s="324" t="s">
        <v>55</v>
      </c>
      <c r="V1092" s="324">
        <v>0</v>
      </c>
      <c r="W1092" s="324">
        <v>0</v>
      </c>
      <c r="X1092" s="326">
        <v>1</v>
      </c>
    </row>
    <row r="1093" spans="1:24" s="324" customFormat="1" ht="0.65" hidden="1" customHeight="1">
      <c r="A1093" s="324">
        <v>5056</v>
      </c>
      <c r="X1093" s="326"/>
    </row>
    <row r="1094" spans="1:24" s="324" customFormat="1" ht="0.65" hidden="1" customHeight="1">
      <c r="A1094" s="324">
        <v>5057</v>
      </c>
      <c r="H1094" s="324" t="s">
        <v>361</v>
      </c>
      <c r="I1094" s="324">
        <v>0</v>
      </c>
      <c r="V1094" s="324">
        <v>-967500</v>
      </c>
      <c r="W1094" s="324">
        <v>-967500</v>
      </c>
      <c r="X1094" s="326">
        <v>1</v>
      </c>
    </row>
    <row r="1095" spans="1:24" s="324" customFormat="1" ht="0.65" hidden="1" customHeight="1">
      <c r="A1095" s="324">
        <v>5058</v>
      </c>
      <c r="F1095" s="324" t="s">
        <v>55</v>
      </c>
      <c r="V1095" s="324">
        <v>0</v>
      </c>
      <c r="W1095" s="324">
        <v>0</v>
      </c>
      <c r="X1095" s="326">
        <v>1</v>
      </c>
    </row>
    <row r="1096" spans="1:24" s="324" customFormat="1" ht="0.65" hidden="1" customHeight="1">
      <c r="A1096" s="324">
        <v>5059</v>
      </c>
      <c r="F1096" s="324" t="s">
        <v>55</v>
      </c>
      <c r="V1096" s="324">
        <v>0</v>
      </c>
      <c r="W1096" s="324">
        <v>0</v>
      </c>
      <c r="X1096" s="326">
        <v>1</v>
      </c>
    </row>
    <row r="1097" spans="1:24" s="324" customFormat="1" ht="0.65" hidden="1" customHeight="1">
      <c r="A1097" s="324">
        <v>5060</v>
      </c>
      <c r="F1097" s="324" t="s">
        <v>944</v>
      </c>
      <c r="X1097" s="326"/>
    </row>
    <row r="1098" spans="1:24" s="324" customFormat="1" ht="0.65" hidden="1" customHeight="1">
      <c r="A1098" s="324">
        <v>5061</v>
      </c>
      <c r="X1098" s="326"/>
    </row>
    <row r="1099" spans="1:24" s="324" customFormat="1" ht="0.65" hidden="1" customHeight="1">
      <c r="A1099" s="324">
        <v>5062</v>
      </c>
      <c r="F1099" s="324" t="s">
        <v>378</v>
      </c>
      <c r="X1099" s="326"/>
    </row>
    <row r="1100" spans="1:24" s="324" customFormat="1" ht="0.65" hidden="1" customHeight="1">
      <c r="A1100" s="324">
        <v>5063</v>
      </c>
      <c r="X1100" s="326"/>
    </row>
    <row r="1101" spans="1:24" s="324" customFormat="1" ht="0.65" hidden="1" customHeight="1">
      <c r="A1101" s="324">
        <v>5064</v>
      </c>
      <c r="X1101" s="326"/>
    </row>
    <row r="1102" spans="1:24" s="324" customFormat="1" ht="0.65" hidden="1" customHeight="1">
      <c r="A1102" s="324">
        <v>5065</v>
      </c>
      <c r="F1102" s="324" t="s">
        <v>379</v>
      </c>
      <c r="X1102" s="326"/>
    </row>
    <row r="1103" spans="1:24" s="324" customFormat="1" ht="0.65" hidden="1" customHeight="1">
      <c r="A1103" s="324">
        <v>5066</v>
      </c>
      <c r="X1103" s="326"/>
    </row>
    <row r="1104" spans="1:24" s="324" customFormat="1" ht="0.65" hidden="1" customHeight="1">
      <c r="A1104" s="324">
        <v>5067</v>
      </c>
      <c r="H1104" s="324" t="s">
        <v>338</v>
      </c>
      <c r="I1104" s="324" t="s">
        <v>362</v>
      </c>
      <c r="J1104" s="324" t="s">
        <v>363</v>
      </c>
      <c r="L1104" s="324" t="s">
        <v>369</v>
      </c>
      <c r="X1104" s="326"/>
    </row>
    <row r="1105" spans="1:24" s="324" customFormat="1" ht="0.65" hidden="1" customHeight="1">
      <c r="A1105" s="324">
        <v>5068</v>
      </c>
      <c r="C1105" s="324" t="s">
        <v>55</v>
      </c>
      <c r="G1105" s="324" t="s">
        <v>0</v>
      </c>
      <c r="H1105" s="324" t="s">
        <v>1</v>
      </c>
      <c r="I1105" s="324" t="s">
        <v>1</v>
      </c>
      <c r="J1105" s="324" t="s">
        <v>1</v>
      </c>
      <c r="L1105" s="324">
        <v>3</v>
      </c>
      <c r="X1105" s="326"/>
    </row>
    <row r="1106" spans="1:24" s="324" customFormat="1" ht="0.65" hidden="1" customHeight="1">
      <c r="A1106" s="324">
        <v>5069</v>
      </c>
      <c r="G1106" s="324">
        <v>2022</v>
      </c>
      <c r="H1106" s="324">
        <v>-967500</v>
      </c>
      <c r="I1106" s="324">
        <v>-967500</v>
      </c>
      <c r="J1106" s="324">
        <v>-967500</v>
      </c>
      <c r="V1106" s="324">
        <v>-967500</v>
      </c>
      <c r="W1106" s="324">
        <v>-967500</v>
      </c>
      <c r="X1106" s="326">
        <v>1</v>
      </c>
    </row>
    <row r="1107" spans="1:24" s="324" customFormat="1" ht="0.65" hidden="1" customHeight="1">
      <c r="A1107" s="324">
        <v>5070</v>
      </c>
      <c r="G1107" s="324">
        <v>2023</v>
      </c>
      <c r="H1107" s="324">
        <v>267500</v>
      </c>
      <c r="I1107" s="324">
        <v>0</v>
      </c>
      <c r="J1107" s="324">
        <v>0</v>
      </c>
      <c r="V1107" s="324">
        <v>267500</v>
      </c>
      <c r="W1107" s="324">
        <v>267500</v>
      </c>
      <c r="X1107" s="326">
        <v>1</v>
      </c>
    </row>
    <row r="1108" spans="1:24" s="324" customFormat="1" ht="0.65" hidden="1" customHeight="1">
      <c r="A1108" s="324">
        <v>5071</v>
      </c>
      <c r="G1108" s="324">
        <v>2024</v>
      </c>
      <c r="H1108" s="324">
        <v>330000</v>
      </c>
      <c r="I1108" s="324">
        <v>0</v>
      </c>
      <c r="J1108" s="324">
        <v>0</v>
      </c>
      <c r="V1108" s="324">
        <v>330000</v>
      </c>
      <c r="W1108" s="324">
        <v>330000</v>
      </c>
      <c r="X1108" s="326">
        <v>1</v>
      </c>
    </row>
    <row r="1109" spans="1:24" s="324" customFormat="1" ht="0.65" hidden="1" customHeight="1">
      <c r="A1109" s="324">
        <v>5072</v>
      </c>
      <c r="G1109" s="324">
        <v>2025</v>
      </c>
      <c r="H1109" s="324">
        <v>707500</v>
      </c>
      <c r="I1109" s="324">
        <v>1384103.8674999999</v>
      </c>
      <c r="J1109" s="324">
        <v>1430662.018364788</v>
      </c>
      <c r="V1109" s="324">
        <v>707500</v>
      </c>
      <c r="W1109" s="324">
        <v>707500</v>
      </c>
      <c r="X1109" s="326">
        <v>1</v>
      </c>
    </row>
    <row r="1110" spans="1:24" s="324" customFormat="1" ht="0.65" hidden="1" customHeight="1">
      <c r="A1110" s="324">
        <v>5073</v>
      </c>
      <c r="G1110" s="324" t="s">
        <v>408</v>
      </c>
      <c r="H1110" s="324">
        <v>0.13927532491339289</v>
      </c>
      <c r="V1110" s="324">
        <v>0.13927532491339289</v>
      </c>
      <c r="W1110" s="324">
        <v>0.13927532491339289</v>
      </c>
      <c r="X1110" s="326">
        <v>1</v>
      </c>
    </row>
    <row r="1111" spans="1:24" s="324" customFormat="1" ht="0.65" hidden="1" customHeight="1">
      <c r="A1111" s="324">
        <v>5074</v>
      </c>
      <c r="G1111" s="324" t="s">
        <v>407</v>
      </c>
      <c r="H1111" s="324">
        <v>8.8999999999999996E-2</v>
      </c>
      <c r="V1111" s="324">
        <v>8.8999999999999996E-2</v>
      </c>
      <c r="W1111" s="324">
        <v>8.8999999999999996E-2</v>
      </c>
      <c r="X1111" s="326">
        <v>1</v>
      </c>
    </row>
    <row r="1112" spans="1:24" s="324" customFormat="1" ht="0.65" hidden="1" customHeight="1">
      <c r="A1112" s="324">
        <v>5075</v>
      </c>
      <c r="I1112" s="324" t="s">
        <v>55</v>
      </c>
      <c r="J1112" s="324" t="s">
        <v>55</v>
      </c>
      <c r="X1112" s="326"/>
    </row>
    <row r="1113" spans="1:24" s="324" customFormat="1" ht="0.65" hidden="1" customHeight="1">
      <c r="A1113" s="324">
        <v>5076</v>
      </c>
      <c r="G1113" s="324" t="s">
        <v>1828</v>
      </c>
      <c r="H1113" s="324">
        <v>104229.1490951411</v>
      </c>
      <c r="I1113" s="324">
        <v>104229.1490951411</v>
      </c>
      <c r="J1113" s="324">
        <v>140279.71479429537</v>
      </c>
      <c r="K1113" s="324" t="s">
        <v>800</v>
      </c>
      <c r="L1113" s="324" t="s">
        <v>800</v>
      </c>
      <c r="N1113" s="324" t="s">
        <v>1835</v>
      </c>
      <c r="O1113" s="324" t="s">
        <v>1836</v>
      </c>
      <c r="V1113" s="324">
        <v>-967500</v>
      </c>
      <c r="W1113" s="324">
        <v>-967500</v>
      </c>
      <c r="X1113" s="326">
        <v>1</v>
      </c>
    </row>
    <row r="1114" spans="1:24" s="324" customFormat="1" ht="0.65" hidden="1" customHeight="1">
      <c r="A1114" s="324">
        <v>5077</v>
      </c>
      <c r="G1114" s="324" t="s">
        <v>1830</v>
      </c>
      <c r="H1114" s="324">
        <v>0.10773038666164454</v>
      </c>
      <c r="I1114" s="324">
        <v>0.10773038666164454</v>
      </c>
      <c r="J1114" s="324">
        <v>0.14499195327575748</v>
      </c>
      <c r="K1114" s="324" t="s">
        <v>800</v>
      </c>
      <c r="L1114" s="324" t="s">
        <v>800</v>
      </c>
      <c r="N1114" s="324" t="s">
        <v>1837</v>
      </c>
      <c r="O1114" s="324" t="s">
        <v>1838</v>
      </c>
      <c r="V1114" s="324">
        <v>0</v>
      </c>
      <c r="W1114" s="324">
        <v>0</v>
      </c>
      <c r="X1114" s="326">
        <v>1</v>
      </c>
    </row>
    <row r="1115" spans="1:24" s="324" customFormat="1" ht="0.65" hidden="1" customHeight="1">
      <c r="A1115" s="324">
        <v>5078</v>
      </c>
      <c r="V1115" s="324">
        <v>0</v>
      </c>
      <c r="W1115" s="324">
        <v>0</v>
      </c>
      <c r="X1115" s="326">
        <v>1</v>
      </c>
    </row>
    <row r="1116" spans="1:24" s="324" customFormat="1" ht="0.65" hidden="1" customHeight="1">
      <c r="A1116" s="324">
        <v>5079</v>
      </c>
      <c r="G1116" s="324" t="s">
        <v>1839</v>
      </c>
      <c r="H1116" s="324">
        <v>0</v>
      </c>
      <c r="I1116" s="324">
        <v>-31485.431487982045</v>
      </c>
      <c r="J1116" s="324">
        <v>0</v>
      </c>
      <c r="K1116" s="324" t="s">
        <v>800</v>
      </c>
      <c r="L1116" s="324" t="s">
        <v>800</v>
      </c>
      <c r="N1116" s="324" t="s">
        <v>1840</v>
      </c>
      <c r="O1116" s="324" t="s">
        <v>1841</v>
      </c>
      <c r="V1116" s="324">
        <v>1384103.8674999999</v>
      </c>
      <c r="W1116" s="324">
        <v>1384103.8674999999</v>
      </c>
      <c r="X1116" s="326">
        <v>1</v>
      </c>
    </row>
    <row r="1117" spans="1:24" s="324" customFormat="1" ht="0.65" hidden="1" customHeight="1">
      <c r="A1117" s="324">
        <v>5080</v>
      </c>
      <c r="G1117" s="324" t="s">
        <v>1842</v>
      </c>
      <c r="H1117" s="324">
        <v>-1.2032591403300757E-16</v>
      </c>
      <c r="I1117" s="324">
        <v>-3.2543081641325113E-2</v>
      </c>
      <c r="J1117" s="324">
        <v>0</v>
      </c>
      <c r="K1117" s="324" t="s">
        <v>800</v>
      </c>
      <c r="L1117" s="324" t="s">
        <v>800</v>
      </c>
      <c r="N1117" s="324" t="s">
        <v>1843</v>
      </c>
      <c r="O1117" s="324" t="s">
        <v>1844</v>
      </c>
      <c r="X1117" s="326"/>
    </row>
    <row r="1118" spans="1:24" s="324" customFormat="1" ht="0.65" hidden="1" customHeight="1">
      <c r="A1118" s="324">
        <v>5081</v>
      </c>
      <c r="V1118" s="324">
        <v>-967500</v>
      </c>
      <c r="W1118" s="324">
        <v>-967500</v>
      </c>
      <c r="X1118" s="326">
        <v>1</v>
      </c>
    </row>
    <row r="1119" spans="1:24" s="324" customFormat="1" ht="0.65" hidden="1" customHeight="1">
      <c r="A1119" s="324">
        <v>5082</v>
      </c>
      <c r="G1119" s="324" t="s">
        <v>358</v>
      </c>
      <c r="H1119" s="324">
        <v>0.13927532491339289</v>
      </c>
      <c r="I1119" s="324">
        <v>0.12678027597774322</v>
      </c>
      <c r="J1119" s="324">
        <v>0.13927532491339289</v>
      </c>
      <c r="K1119" s="324" t="s">
        <v>800</v>
      </c>
      <c r="L1119" s="324" t="s">
        <v>800</v>
      </c>
      <c r="N1119" s="324" t="s">
        <v>1845</v>
      </c>
      <c r="O1119" s="324" t="s">
        <v>1846</v>
      </c>
      <c r="V1119" s="324">
        <v>0</v>
      </c>
      <c r="W1119" s="324">
        <v>0</v>
      </c>
      <c r="X1119" s="326">
        <v>1</v>
      </c>
    </row>
    <row r="1120" spans="1:24" s="324" customFormat="1" ht="0.65" hidden="1" customHeight="1">
      <c r="A1120" s="324">
        <v>5083</v>
      </c>
      <c r="V1120" s="324">
        <v>0</v>
      </c>
      <c r="W1120" s="324">
        <v>0</v>
      </c>
      <c r="X1120" s="326">
        <v>1</v>
      </c>
    </row>
    <row r="1121" spans="1:24" s="324" customFormat="1" ht="0.65" hidden="1" customHeight="1">
      <c r="A1121" s="324">
        <v>5084</v>
      </c>
      <c r="V1121" s="324">
        <v>1430662.018364788</v>
      </c>
      <c r="W1121" s="324">
        <v>1430662.018364788</v>
      </c>
      <c r="X1121" s="326">
        <v>1</v>
      </c>
    </row>
    <row r="1122" spans="1:24" s="324" customFormat="1" ht="0.65" hidden="1" customHeight="1">
      <c r="A1122" s="324">
        <v>5085</v>
      </c>
      <c r="H1122" s="324" t="s">
        <v>360</v>
      </c>
      <c r="I1122" s="324" t="s">
        <v>36</v>
      </c>
      <c r="J1122" s="324" t="s">
        <v>55</v>
      </c>
      <c r="K1122" s="324" t="s">
        <v>361</v>
      </c>
      <c r="L1122" s="324">
        <v>0</v>
      </c>
      <c r="X1122" s="326"/>
    </row>
    <row r="1123" spans="1:24" s="324" customFormat="1" ht="0.65" hidden="1" customHeight="1">
      <c r="A1123" s="324">
        <v>5086</v>
      </c>
      <c r="X1123" s="326"/>
    </row>
    <row r="1124" spans="1:24" s="324" customFormat="1" ht="0.65" hidden="1" customHeight="1">
      <c r="A1124" s="324">
        <v>5087</v>
      </c>
      <c r="F1124" s="324" t="s">
        <v>55</v>
      </c>
      <c r="X1124" s="326"/>
    </row>
    <row r="1125" spans="1:24" s="324" customFormat="1" ht="0.65" hidden="1" customHeight="1">
      <c r="A1125" s="324">
        <v>5088</v>
      </c>
      <c r="F1125" s="324" t="s">
        <v>55</v>
      </c>
      <c r="X1125" s="326"/>
    </row>
    <row r="1126" spans="1:24" s="324" customFormat="1" ht="0.65" hidden="1" customHeight="1">
      <c r="A1126" s="324">
        <v>5089</v>
      </c>
      <c r="F1126" s="324" t="s">
        <v>944</v>
      </c>
      <c r="X1126" s="326"/>
    </row>
    <row r="1127" spans="1:24" s="324" customFormat="1" ht="0.65" hidden="1" customHeight="1">
      <c r="A1127" s="324">
        <v>5090</v>
      </c>
      <c r="X1127" s="326"/>
    </row>
    <row r="1128" spans="1:24" s="324" customFormat="1" ht="0.65" hidden="1" customHeight="1">
      <c r="A1128" s="324">
        <v>5091</v>
      </c>
      <c r="F1128" s="324" t="s">
        <v>449</v>
      </c>
      <c r="X1128" s="326"/>
    </row>
    <row r="1129" spans="1:24" s="324" customFormat="1" ht="0.65" hidden="1" customHeight="1">
      <c r="A1129" s="324">
        <v>5092</v>
      </c>
      <c r="X1129" s="326"/>
    </row>
    <row r="1130" spans="1:24" s="324" customFormat="1" ht="0.65" hidden="1" customHeight="1">
      <c r="A1130" s="324">
        <v>5093</v>
      </c>
      <c r="F1130" s="324" t="s">
        <v>380</v>
      </c>
      <c r="X1130" s="326"/>
    </row>
    <row r="1131" spans="1:24" s="324" customFormat="1" ht="0.65" hidden="1" customHeight="1">
      <c r="A1131" s="324">
        <v>5094</v>
      </c>
      <c r="F1131" s="324" t="s">
        <v>381</v>
      </c>
      <c r="X1131" s="326"/>
    </row>
    <row r="1132" spans="1:24" s="324" customFormat="1" ht="0.65" hidden="1" customHeight="1">
      <c r="A1132" s="324">
        <v>5095</v>
      </c>
      <c r="X1132" s="326"/>
    </row>
    <row r="1133" spans="1:24" s="324" customFormat="1" ht="0.65" hidden="1" customHeight="1">
      <c r="A1133" s="324">
        <v>5096</v>
      </c>
      <c r="F1133" s="324" t="s">
        <v>402</v>
      </c>
      <c r="X1133" s="326"/>
    </row>
    <row r="1134" spans="1:24" s="324" customFormat="1" ht="0.65" hidden="1" customHeight="1">
      <c r="A1134" s="324">
        <v>5097</v>
      </c>
      <c r="X1134" s="326"/>
    </row>
    <row r="1135" spans="1:24" s="324" customFormat="1" ht="0.65" hidden="1" customHeight="1">
      <c r="A1135" s="324">
        <v>5098</v>
      </c>
      <c r="F1135" s="324" t="s">
        <v>382</v>
      </c>
      <c r="X1135" s="326"/>
    </row>
    <row r="1136" spans="1:24" s="324" customFormat="1" ht="0.65" hidden="1" customHeight="1">
      <c r="A1136" s="324">
        <v>5099</v>
      </c>
      <c r="X1136" s="326"/>
    </row>
    <row r="1137" spans="1:24" s="324" customFormat="1" ht="0.65" hidden="1" customHeight="1">
      <c r="A1137" s="324">
        <v>5100</v>
      </c>
      <c r="F1137" s="324" t="s">
        <v>403</v>
      </c>
      <c r="X1137" s="326"/>
    </row>
    <row r="1138" spans="1:24" s="324" customFormat="1" ht="0.65" hidden="1" customHeight="1">
      <c r="A1138" s="324">
        <v>5101</v>
      </c>
      <c r="X1138" s="326"/>
    </row>
    <row r="1139" spans="1:24" s="324" customFormat="1" ht="0.65" hidden="1" customHeight="1">
      <c r="A1139" s="324">
        <v>5102</v>
      </c>
      <c r="F1139" s="324" t="s">
        <v>370</v>
      </c>
      <c r="X1139" s="326"/>
    </row>
    <row r="1140" spans="1:24" s="324" customFormat="1" ht="0.65" hidden="1" customHeight="1">
      <c r="A1140" s="324">
        <v>5103</v>
      </c>
      <c r="X1140" s="326"/>
    </row>
    <row r="1141" spans="1:24" s="324" customFormat="1" ht="0.65" hidden="1" customHeight="1">
      <c r="A1141" s="324">
        <v>5104</v>
      </c>
      <c r="F1141" s="324" t="s">
        <v>443</v>
      </c>
      <c r="X1141" s="326"/>
    </row>
    <row r="1142" spans="1:24" s="324" customFormat="1" ht="0.65" hidden="1" customHeight="1">
      <c r="A1142" s="324">
        <v>5105</v>
      </c>
      <c r="X1142" s="326"/>
    </row>
    <row r="1143" spans="1:24" s="324" customFormat="1" ht="0.65" hidden="1" customHeight="1">
      <c r="A1143" s="324">
        <v>5106</v>
      </c>
      <c r="F1143" s="324" t="s">
        <v>404</v>
      </c>
      <c r="X1143" s="326"/>
    </row>
    <row r="1144" spans="1:24" s="324" customFormat="1" ht="0.65" hidden="1" customHeight="1">
      <c r="A1144" s="324">
        <v>5107</v>
      </c>
      <c r="X1144" s="326"/>
    </row>
    <row r="1145" spans="1:24" s="324" customFormat="1" ht="0.65" hidden="1" customHeight="1">
      <c r="A1145" s="324">
        <v>5108</v>
      </c>
      <c r="F1145" s="324" t="s">
        <v>365</v>
      </c>
      <c r="X1145" s="326"/>
    </row>
    <row r="1146" spans="1:24" s="324" customFormat="1" ht="0.65" hidden="1" customHeight="1">
      <c r="A1146" s="324">
        <v>5109</v>
      </c>
      <c r="X1146" s="326"/>
    </row>
    <row r="1147" spans="1:24" s="324" customFormat="1" ht="0.65" hidden="1" customHeight="1">
      <c r="A1147" s="324">
        <v>5110</v>
      </c>
      <c r="F1147" s="324" t="s">
        <v>383</v>
      </c>
      <c r="X1147" s="326"/>
    </row>
    <row r="1148" spans="1:24" s="324" customFormat="1" ht="0.65" hidden="1" customHeight="1">
      <c r="A1148" s="324">
        <v>5111</v>
      </c>
      <c r="X1148" s="326"/>
    </row>
    <row r="1149" spans="1:24" s="324" customFormat="1" ht="0.65" hidden="1" customHeight="1">
      <c r="A1149" s="324">
        <v>5112</v>
      </c>
      <c r="F1149" s="324" t="s">
        <v>366</v>
      </c>
      <c r="X1149" s="326"/>
    </row>
    <row r="1150" spans="1:24" s="324" customFormat="1" ht="0.65" hidden="1" customHeight="1">
      <c r="A1150" s="324">
        <v>5113</v>
      </c>
      <c r="X1150" s="326"/>
    </row>
    <row r="1151" spans="1:24" s="324" customFormat="1" ht="0.65" hidden="1" customHeight="1">
      <c r="A1151" s="324">
        <v>5114</v>
      </c>
      <c r="F1151" s="324" t="s">
        <v>418</v>
      </c>
      <c r="X1151" s="326"/>
    </row>
    <row r="1152" spans="1:24" s="324" customFormat="1" ht="0.65" hidden="1" customHeight="1">
      <c r="A1152" s="324">
        <v>5115</v>
      </c>
      <c r="X1152" s="326"/>
    </row>
    <row r="1153" spans="1:24" s="324" customFormat="1" ht="0.65" hidden="1" customHeight="1">
      <c r="A1153" s="324">
        <v>5116</v>
      </c>
      <c r="F1153" s="324" t="s">
        <v>371</v>
      </c>
      <c r="X1153" s="326"/>
    </row>
    <row r="1154" spans="1:24" s="324" customFormat="1" ht="0.65" hidden="1" customHeight="1">
      <c r="A1154" s="324">
        <v>5117</v>
      </c>
      <c r="X1154" s="326"/>
    </row>
    <row r="1155" spans="1:24" s="324" customFormat="1" ht="0.65" hidden="1" customHeight="1">
      <c r="A1155" s="324">
        <v>5118</v>
      </c>
      <c r="H1155" s="324" t="s">
        <v>359</v>
      </c>
      <c r="I1155" s="324" t="s">
        <v>36</v>
      </c>
      <c r="J1155" s="324" t="s">
        <v>55</v>
      </c>
      <c r="L1155" s="324" t="s">
        <v>372</v>
      </c>
      <c r="X1155" s="326"/>
    </row>
    <row r="1156" spans="1:24" s="324" customFormat="1" ht="0.65" hidden="1" customHeight="1">
      <c r="A1156" s="324">
        <v>5119</v>
      </c>
      <c r="L1156" s="324">
        <v>4</v>
      </c>
      <c r="X1156" s="326"/>
    </row>
    <row r="1157" spans="1:24" s="324" customFormat="1" ht="0.65" hidden="1" customHeight="1">
      <c r="A1157" s="324">
        <v>5120</v>
      </c>
      <c r="X1157" s="326"/>
    </row>
    <row r="1158" spans="1:24" s="324" customFormat="1" ht="0.65" hidden="1" customHeight="1">
      <c r="A1158" s="324">
        <v>5121</v>
      </c>
      <c r="F1158" s="324" t="s">
        <v>384</v>
      </c>
      <c r="X1158" s="326"/>
    </row>
    <row r="1159" spans="1:24" s="324" customFormat="1" ht="0.65" hidden="1" customHeight="1">
      <c r="A1159" s="324">
        <v>5122</v>
      </c>
      <c r="X1159" s="326"/>
    </row>
    <row r="1160" spans="1:24" s="324" customFormat="1" ht="0.65" hidden="1" customHeight="1">
      <c r="A1160" s="324">
        <v>5123</v>
      </c>
      <c r="X1160" s="326"/>
    </row>
    <row r="1161" spans="1:24" s="324" customFormat="1" ht="0.65" hidden="1" customHeight="1">
      <c r="A1161" s="324">
        <v>5124</v>
      </c>
      <c r="H1161" s="324" t="s">
        <v>340</v>
      </c>
      <c r="X1161" s="326"/>
    </row>
    <row r="1162" spans="1:24" s="324" customFormat="1" ht="0.65" hidden="1" customHeight="1">
      <c r="A1162" s="324">
        <v>5125</v>
      </c>
      <c r="G1162" s="324" t="s">
        <v>0</v>
      </c>
      <c r="H1162" s="324" t="s">
        <v>1</v>
      </c>
      <c r="X1162" s="326"/>
    </row>
    <row r="1163" spans="1:24" s="324" customFormat="1" ht="0.65" hidden="1" customHeight="1">
      <c r="A1163" s="324">
        <v>5126</v>
      </c>
      <c r="G1163" s="324">
        <v>2022</v>
      </c>
      <c r="H1163" s="324">
        <v>-967500</v>
      </c>
      <c r="X1163" s="326"/>
    </row>
    <row r="1164" spans="1:24" s="324" customFormat="1" ht="0.65" hidden="1" customHeight="1">
      <c r="A1164" s="324">
        <v>5127</v>
      </c>
      <c r="G1164" s="324">
        <v>2023</v>
      </c>
      <c r="H1164" s="324">
        <v>913500</v>
      </c>
      <c r="X1164" s="326"/>
    </row>
    <row r="1165" spans="1:24" s="324" customFormat="1" ht="0.65" hidden="1" customHeight="1">
      <c r="A1165" s="324">
        <v>5128</v>
      </c>
      <c r="G1165" s="324">
        <v>2024</v>
      </c>
      <c r="H1165" s="324">
        <v>195750</v>
      </c>
      <c r="I1165" s="324" t="s">
        <v>354</v>
      </c>
      <c r="J1165" s="324" t="s">
        <v>355</v>
      </c>
      <c r="K1165" s="324" t="s">
        <v>356</v>
      </c>
      <c r="L1165" s="324" t="s">
        <v>28</v>
      </c>
      <c r="X1165" s="326"/>
    </row>
    <row r="1166" spans="1:24" s="324" customFormat="1" ht="0.65" hidden="1" customHeight="1">
      <c r="A1166" s="324">
        <v>5129</v>
      </c>
      <c r="G1166" s="324">
        <v>2025</v>
      </c>
      <c r="H1166" s="324">
        <v>65250</v>
      </c>
      <c r="I1166" s="324">
        <v>1054428.4613999592</v>
      </c>
      <c r="J1166" s="324">
        <v>1.252373107405337</v>
      </c>
      <c r="K1166" s="324">
        <v>1174500</v>
      </c>
      <c r="L1166" s="324">
        <v>0.1670642595702807</v>
      </c>
      <c r="X1166" s="326"/>
    </row>
    <row r="1167" spans="1:24" s="324" customFormat="1" ht="0.65" hidden="1" customHeight="1">
      <c r="A1167" s="324">
        <v>5130</v>
      </c>
      <c r="X1167" s="326"/>
    </row>
    <row r="1168" spans="1:24" s="324" customFormat="1" ht="0.65" hidden="1" customHeight="1">
      <c r="A1168" s="324">
        <v>5131</v>
      </c>
      <c r="X1168" s="326"/>
    </row>
    <row r="1169" spans="1:24" s="324" customFormat="1" ht="0.65" hidden="1" customHeight="1">
      <c r="A1169" s="324">
        <v>5132</v>
      </c>
      <c r="F1169" s="324" t="s">
        <v>1847</v>
      </c>
      <c r="X1169" s="326"/>
    </row>
    <row r="1170" spans="1:24" s="324" customFormat="1" ht="0.65" hidden="1" customHeight="1">
      <c r="A1170" s="324">
        <v>5133</v>
      </c>
      <c r="X1170" s="326"/>
    </row>
    <row r="1171" spans="1:24" s="324" customFormat="1" ht="0.65" hidden="1" customHeight="1">
      <c r="A1171" s="324">
        <v>5134</v>
      </c>
      <c r="F1171" s="324" t="s">
        <v>428</v>
      </c>
      <c r="X1171" s="326"/>
    </row>
    <row r="1172" spans="1:24" s="324" customFormat="1" ht="0.65" hidden="1" customHeight="1">
      <c r="A1172" s="324">
        <v>5135</v>
      </c>
      <c r="X1172" s="326"/>
    </row>
    <row r="1173" spans="1:24" s="324" customFormat="1" ht="0.65" hidden="1" customHeight="1">
      <c r="A1173" s="324">
        <v>5136</v>
      </c>
      <c r="X1173" s="326"/>
    </row>
    <row r="1174" spans="1:24" s="324" customFormat="1" ht="0.65" hidden="1" customHeight="1">
      <c r="A1174" s="324">
        <v>5137</v>
      </c>
      <c r="C1174" s="324" t="s">
        <v>357</v>
      </c>
      <c r="G1174" s="324" t="s">
        <v>338</v>
      </c>
      <c r="H1174" s="324" t="s">
        <v>340</v>
      </c>
      <c r="I1174" s="324" t="s">
        <v>55</v>
      </c>
      <c r="L1174" s="324" t="s">
        <v>385</v>
      </c>
      <c r="X1174" s="326"/>
    </row>
    <row r="1175" spans="1:24" s="324" customFormat="1" ht="0.65" hidden="1" customHeight="1">
      <c r="A1175" s="324">
        <v>5138</v>
      </c>
      <c r="C1175" s="324" t="s">
        <v>1</v>
      </c>
      <c r="F1175" s="324" t="s">
        <v>0</v>
      </c>
      <c r="G1175" s="324" t="s">
        <v>1</v>
      </c>
      <c r="H1175" s="324" t="s">
        <v>1</v>
      </c>
      <c r="L1175" s="324">
        <v>5</v>
      </c>
      <c r="X1175" s="326"/>
    </row>
    <row r="1176" spans="1:24" s="324" customFormat="1" ht="0.65" hidden="1" customHeight="1">
      <c r="A1176" s="324">
        <v>5139</v>
      </c>
      <c r="C1176" s="324">
        <v>0</v>
      </c>
      <c r="F1176" s="324">
        <v>2022</v>
      </c>
      <c r="G1176" s="324">
        <v>-967500</v>
      </c>
      <c r="H1176" s="324">
        <v>-967500</v>
      </c>
      <c r="V1176" s="324">
        <v>-967500</v>
      </c>
      <c r="W1176" s="324">
        <v>-967500</v>
      </c>
      <c r="X1176" s="326">
        <v>1</v>
      </c>
    </row>
    <row r="1177" spans="1:24" s="324" customFormat="1" ht="0.65" hidden="1" customHeight="1">
      <c r="A1177" s="324">
        <v>5140</v>
      </c>
      <c r="C1177" s="324">
        <v>646000</v>
      </c>
      <c r="F1177" s="324">
        <v>2023</v>
      </c>
      <c r="G1177" s="324">
        <v>267500</v>
      </c>
      <c r="H1177" s="324">
        <v>913500</v>
      </c>
      <c r="V1177" s="324">
        <v>267500</v>
      </c>
      <c r="W1177" s="324">
        <v>267500</v>
      </c>
      <c r="X1177" s="326">
        <v>1</v>
      </c>
    </row>
    <row r="1178" spans="1:24" s="324" customFormat="1" ht="0.65" hidden="1" customHeight="1">
      <c r="A1178" s="324">
        <v>5141</v>
      </c>
      <c r="C1178" s="324">
        <v>-134250</v>
      </c>
      <c r="F1178" s="324">
        <v>2024</v>
      </c>
      <c r="G1178" s="324">
        <v>330000</v>
      </c>
      <c r="H1178" s="324">
        <v>195750</v>
      </c>
      <c r="V1178" s="324">
        <v>330000</v>
      </c>
      <c r="W1178" s="324">
        <v>330000</v>
      </c>
      <c r="X1178" s="326">
        <v>1</v>
      </c>
    </row>
    <row r="1179" spans="1:24" s="324" customFormat="1" ht="0.65" hidden="1" customHeight="1">
      <c r="A1179" s="324">
        <v>5142</v>
      </c>
      <c r="C1179" s="324">
        <v>-642250</v>
      </c>
      <c r="F1179" s="324">
        <v>2025</v>
      </c>
      <c r="G1179" s="324">
        <v>707500</v>
      </c>
      <c r="H1179" s="324">
        <v>65250</v>
      </c>
      <c r="V1179" s="324">
        <v>707500</v>
      </c>
      <c r="W1179" s="324">
        <v>707500</v>
      </c>
      <c r="X1179" s="326">
        <v>1</v>
      </c>
    </row>
    <row r="1180" spans="1:24" s="324" customFormat="1" ht="0.65" hidden="1" customHeight="1">
      <c r="A1180" s="324">
        <v>5143</v>
      </c>
      <c r="X1180" s="326"/>
    </row>
    <row r="1181" spans="1:24" s="324" customFormat="1" ht="0.65" hidden="1" customHeight="1">
      <c r="A1181" s="324">
        <v>5144</v>
      </c>
      <c r="V1181" s="324">
        <v>-967500</v>
      </c>
      <c r="W1181" s="324">
        <v>-967500</v>
      </c>
      <c r="X1181" s="326">
        <v>1</v>
      </c>
    </row>
    <row r="1182" spans="1:24" s="324" customFormat="1" ht="0.65" hidden="1" customHeight="1">
      <c r="A1182" s="324">
        <v>5145</v>
      </c>
      <c r="F1182" s="324" t="s">
        <v>1848</v>
      </c>
      <c r="G1182" s="324">
        <v>124743.30640654359</v>
      </c>
      <c r="H1182" s="324">
        <v>97954.96113397344</v>
      </c>
      <c r="I1182" s="324" t="s">
        <v>55</v>
      </c>
      <c r="J1182" s="324" t="s">
        <v>800</v>
      </c>
      <c r="K1182" s="324" t="s">
        <v>800</v>
      </c>
      <c r="N1182" s="324">
        <v>124743.30640654359</v>
      </c>
      <c r="O1182" s="324">
        <v>97954.96113397344</v>
      </c>
      <c r="V1182" s="324">
        <v>913500</v>
      </c>
      <c r="W1182" s="324">
        <v>913500</v>
      </c>
      <c r="X1182" s="326">
        <v>1</v>
      </c>
    </row>
    <row r="1183" spans="1:24" s="324" customFormat="1" ht="0.65" hidden="1" customHeight="1">
      <c r="A1183" s="324">
        <v>5146</v>
      </c>
      <c r="C1183" s="324">
        <v>0.08</v>
      </c>
      <c r="F1183" s="324" t="s">
        <v>1849</v>
      </c>
      <c r="G1183" s="324">
        <v>-20171.159694254864</v>
      </c>
      <c r="H1183" s="324">
        <v>17765.883126489702</v>
      </c>
      <c r="I1183" s="324" t="s">
        <v>55</v>
      </c>
      <c r="J1183" s="324" t="s">
        <v>800</v>
      </c>
      <c r="K1183" s="324" t="s">
        <v>800</v>
      </c>
      <c r="N1183" s="324">
        <v>-20171.159694254864</v>
      </c>
      <c r="O1183" s="324">
        <v>17765.883126489702</v>
      </c>
      <c r="V1183" s="324">
        <v>195750</v>
      </c>
      <c r="W1183" s="324">
        <v>195750</v>
      </c>
      <c r="X1183" s="326">
        <v>1</v>
      </c>
    </row>
    <row r="1184" spans="1:24" s="324" customFormat="1" ht="0.65" hidden="1" customHeight="1">
      <c r="A1184" s="324">
        <v>5147</v>
      </c>
      <c r="C1184" s="324">
        <v>0.10640159034007701</v>
      </c>
      <c r="F1184" s="324" t="s">
        <v>358</v>
      </c>
      <c r="G1184" s="324">
        <v>0.13927532491339289</v>
      </c>
      <c r="H1184" s="324">
        <v>0.1670642595702807</v>
      </c>
      <c r="I1184" s="324" t="s">
        <v>55</v>
      </c>
      <c r="J1184" s="324" t="s">
        <v>800</v>
      </c>
      <c r="K1184" s="324" t="s">
        <v>800</v>
      </c>
      <c r="N1184" s="324">
        <v>0.13927532491339289</v>
      </c>
      <c r="O1184" s="324">
        <v>0.1670642595702807</v>
      </c>
      <c r="V1184" s="324">
        <v>65250</v>
      </c>
      <c r="W1184" s="324">
        <v>65250</v>
      </c>
      <c r="X1184" s="326">
        <v>1</v>
      </c>
    </row>
    <row r="1185" spans="1:24" s="324" customFormat="1" ht="0.65" hidden="1" customHeight="1">
      <c r="A1185" s="324">
        <v>5148</v>
      </c>
      <c r="C1185" s="324">
        <v>0.15</v>
      </c>
      <c r="N1185" s="324">
        <v>0.08</v>
      </c>
      <c r="X1185" s="326"/>
    </row>
    <row r="1186" spans="1:24" s="324" customFormat="1" ht="0.65" hidden="1" customHeight="1">
      <c r="A1186" s="324">
        <v>5149</v>
      </c>
      <c r="G1186" s="324" t="s">
        <v>360</v>
      </c>
      <c r="H1186" s="324" t="s">
        <v>36</v>
      </c>
      <c r="I1186" s="324" t="s">
        <v>55</v>
      </c>
      <c r="X1186" s="326"/>
    </row>
    <row r="1187" spans="1:24" s="324" customFormat="1" ht="0.65" hidden="1" customHeight="1">
      <c r="A1187" s="324">
        <v>5150</v>
      </c>
      <c r="X1187" s="326"/>
    </row>
    <row r="1188" spans="1:24" s="324" customFormat="1" ht="0.65" hidden="1" customHeight="1">
      <c r="A1188" s="324">
        <v>5151</v>
      </c>
      <c r="G1188" s="324" t="s">
        <v>361</v>
      </c>
      <c r="H1188" s="324">
        <v>0</v>
      </c>
      <c r="X1188" s="326"/>
    </row>
    <row r="1189" spans="1:24" s="324" customFormat="1" ht="0.65" hidden="1" customHeight="1">
      <c r="A1189" s="324">
        <v>5152</v>
      </c>
      <c r="X1189" s="326"/>
    </row>
    <row r="1190" spans="1:24" s="324" customFormat="1" ht="0.65" hidden="1" customHeight="1">
      <c r="A1190" s="324">
        <v>5153</v>
      </c>
      <c r="F1190" s="324" t="s">
        <v>944</v>
      </c>
      <c r="X1190" s="326"/>
    </row>
    <row r="1191" spans="1:24" s="324" customFormat="1" ht="0.65" hidden="1" customHeight="1">
      <c r="A1191" s="324">
        <v>5154</v>
      </c>
      <c r="X1191" s="326"/>
    </row>
    <row r="1192" spans="1:24" s="324" customFormat="1" ht="0.65" hidden="1" customHeight="1">
      <c r="A1192" s="324">
        <v>5155</v>
      </c>
      <c r="F1192" s="324" t="s">
        <v>1850</v>
      </c>
      <c r="X1192" s="326"/>
    </row>
    <row r="1193" spans="1:24" s="324" customFormat="1" ht="0.65" hidden="1" customHeight="1">
      <c r="A1193" s="324">
        <v>5156</v>
      </c>
      <c r="X1193" s="326"/>
    </row>
    <row r="1194" spans="1:24" s="324" customFormat="1" ht="0.65" hidden="1" customHeight="1">
      <c r="A1194" s="324">
        <v>5157</v>
      </c>
      <c r="F1194" s="324" t="s">
        <v>2072</v>
      </c>
      <c r="X1194" s="326"/>
    </row>
    <row r="1195" spans="1:24" s="324" customFormat="1" ht="0.65" hidden="1" customHeight="1">
      <c r="A1195" s="324">
        <v>5158</v>
      </c>
      <c r="X1195" s="326"/>
    </row>
    <row r="1196" spans="1:24" s="324" customFormat="1" ht="0.65" hidden="1" customHeight="1">
      <c r="A1196" s="324">
        <v>5159</v>
      </c>
      <c r="F1196" s="324" t="s">
        <v>444</v>
      </c>
      <c r="X1196" s="326"/>
    </row>
    <row r="1197" spans="1:24" s="324" customFormat="1" ht="0.65" hidden="1" customHeight="1">
      <c r="A1197" s="324">
        <v>5160</v>
      </c>
      <c r="X1197" s="326"/>
    </row>
    <row r="1198" spans="1:24" s="324" customFormat="1" ht="0.65" hidden="1" customHeight="1">
      <c r="A1198" s="324">
        <v>5161</v>
      </c>
      <c r="F1198" s="324" t="s">
        <v>450</v>
      </c>
      <c r="X1198" s="326"/>
    </row>
    <row r="1199" spans="1:24" s="324" customFormat="1" ht="0.65" hidden="1" customHeight="1">
      <c r="A1199" s="324">
        <v>5162</v>
      </c>
      <c r="X1199" s="326"/>
    </row>
    <row r="1200" spans="1:24" s="324" customFormat="1" ht="0.65" hidden="1" customHeight="1">
      <c r="A1200" s="324">
        <v>5163</v>
      </c>
      <c r="F1200" s="324" t="s">
        <v>451</v>
      </c>
      <c r="X1200" s="326"/>
    </row>
    <row r="1201" spans="1:24" s="324" customFormat="1" ht="0.65" hidden="1" customHeight="1">
      <c r="A1201" s="324">
        <v>5164</v>
      </c>
      <c r="X1201" s="326"/>
    </row>
    <row r="1202" spans="1:24" s="324" customFormat="1" ht="0.65" hidden="1" customHeight="1">
      <c r="A1202" s="324">
        <v>5165</v>
      </c>
      <c r="F1202" s="324" t="s">
        <v>373</v>
      </c>
      <c r="X1202" s="326"/>
    </row>
    <row r="1203" spans="1:24" s="324" customFormat="1" ht="0.65" hidden="1" customHeight="1">
      <c r="A1203" s="324">
        <v>5166</v>
      </c>
      <c r="X1203" s="326"/>
    </row>
    <row r="1204" spans="1:24" s="324" customFormat="1" ht="0.65" hidden="1" customHeight="1">
      <c r="A1204" s="324">
        <v>5167</v>
      </c>
      <c r="F1204" s="324" t="s">
        <v>445</v>
      </c>
      <c r="X1204" s="326"/>
    </row>
    <row r="1205" spans="1:24" s="324" customFormat="1" ht="0.65" hidden="1" customHeight="1">
      <c r="A1205" s="324">
        <v>5168</v>
      </c>
      <c r="X1205" s="326"/>
    </row>
    <row r="1206" spans="1:24" s="324" customFormat="1" ht="0.65" hidden="1" customHeight="1">
      <c r="A1206" s="324">
        <v>5169</v>
      </c>
      <c r="L1206" s="324" t="s">
        <v>389</v>
      </c>
      <c r="X1206" s="326"/>
    </row>
    <row r="1207" spans="1:24" s="324" customFormat="1" ht="0.65" hidden="1" customHeight="1">
      <c r="A1207" s="324">
        <v>5170</v>
      </c>
      <c r="C1207" s="324" t="s">
        <v>55</v>
      </c>
      <c r="H1207" s="324" t="s">
        <v>338</v>
      </c>
      <c r="I1207" s="324" t="s">
        <v>386</v>
      </c>
      <c r="L1207" s="324">
        <v>6</v>
      </c>
      <c r="X1207" s="326"/>
    </row>
    <row r="1208" spans="1:24" s="324" customFormat="1" ht="0.65" hidden="1" customHeight="1">
      <c r="A1208" s="324">
        <v>5171</v>
      </c>
      <c r="G1208" s="324" t="s">
        <v>0</v>
      </c>
      <c r="H1208" s="324" t="s">
        <v>1</v>
      </c>
      <c r="I1208" s="324" t="s">
        <v>387</v>
      </c>
      <c r="P1208" s="324" t="s">
        <v>390</v>
      </c>
      <c r="Q1208" s="324" t="s">
        <v>390</v>
      </c>
      <c r="X1208" s="326"/>
    </row>
    <row r="1209" spans="1:24" s="324" customFormat="1" ht="0.65" hidden="1" customHeight="1">
      <c r="A1209" s="324">
        <v>5172</v>
      </c>
      <c r="G1209" s="324">
        <v>2022</v>
      </c>
      <c r="H1209" s="324">
        <v>-967500</v>
      </c>
      <c r="I1209" s="324">
        <v>-967500</v>
      </c>
      <c r="J1209" s="324" t="s">
        <v>55</v>
      </c>
      <c r="K1209" s="324" t="s">
        <v>800</v>
      </c>
      <c r="N1209" s="324">
        <v>-967500</v>
      </c>
      <c r="P1209" s="324" t="s">
        <v>391</v>
      </c>
      <c r="Q1209" s="324" t="s">
        <v>392</v>
      </c>
      <c r="V1209" s="324">
        <v>-967500</v>
      </c>
      <c r="W1209" s="324">
        <v>-967500</v>
      </c>
      <c r="X1209" s="326">
        <v>1</v>
      </c>
    </row>
    <row r="1210" spans="1:24" s="324" customFormat="1" ht="0.65" hidden="1" customHeight="1">
      <c r="A1210" s="324">
        <v>5173</v>
      </c>
      <c r="G1210" s="324">
        <v>2023</v>
      </c>
      <c r="H1210" s="324">
        <v>267500</v>
      </c>
      <c r="I1210" s="324">
        <v>-834748.87685370771</v>
      </c>
      <c r="J1210" s="324" t="s">
        <v>55</v>
      </c>
      <c r="K1210" s="324" t="s">
        <v>800</v>
      </c>
      <c r="N1210" s="324">
        <v>-834748.8768537076</v>
      </c>
      <c r="P1210" s="324">
        <v>1</v>
      </c>
      <c r="Q1210" s="324">
        <v>0</v>
      </c>
      <c r="V1210" s="324">
        <v>267500</v>
      </c>
      <c r="W1210" s="324">
        <v>267500</v>
      </c>
      <c r="X1210" s="326">
        <v>1</v>
      </c>
    </row>
    <row r="1211" spans="1:24" s="324" customFormat="1" ht="0.65" hidden="1" customHeight="1">
      <c r="A1211" s="324">
        <v>5174</v>
      </c>
      <c r="G1211" s="324">
        <v>2024</v>
      </c>
      <c r="H1211" s="324">
        <v>330000</v>
      </c>
      <c r="I1211" s="324">
        <v>-621008.79789859767</v>
      </c>
      <c r="J1211" s="324" t="s">
        <v>55</v>
      </c>
      <c r="K1211" s="324" t="s">
        <v>800</v>
      </c>
      <c r="N1211" s="324">
        <v>-621008.79789859743</v>
      </c>
      <c r="P1211" s="324">
        <v>0</v>
      </c>
      <c r="Q1211" s="324">
        <v>0</v>
      </c>
      <c r="V1211" s="324">
        <v>330000</v>
      </c>
      <c r="W1211" s="324">
        <v>330000</v>
      </c>
      <c r="X1211" s="326">
        <v>1</v>
      </c>
    </row>
    <row r="1212" spans="1:24" s="324" customFormat="1" ht="0.65" hidden="1" customHeight="1">
      <c r="A1212" s="324">
        <v>5175</v>
      </c>
      <c r="G1212" s="324">
        <v>2025</v>
      </c>
      <c r="H1212" s="324">
        <v>707500</v>
      </c>
      <c r="I1212" s="324">
        <v>0</v>
      </c>
      <c r="J1212" s="324" t="s">
        <v>55</v>
      </c>
      <c r="K1212" s="324" t="s">
        <v>800</v>
      </c>
      <c r="N1212" s="324">
        <v>-1.721457150320506E-10</v>
      </c>
      <c r="P1212" s="324">
        <v>0</v>
      </c>
      <c r="V1212" s="324">
        <v>707500</v>
      </c>
      <c r="W1212" s="324">
        <v>707500</v>
      </c>
      <c r="X1212" s="326">
        <v>1</v>
      </c>
    </row>
    <row r="1213" spans="1:24" s="324" customFormat="1" ht="0.65" hidden="1" customHeight="1">
      <c r="A1213" s="324">
        <v>5176</v>
      </c>
      <c r="P1213" s="324">
        <v>1</v>
      </c>
      <c r="Q1213" s="324">
        <v>0</v>
      </c>
      <c r="X1213" s="326"/>
    </row>
    <row r="1214" spans="1:24" s="324" customFormat="1" ht="0.65" hidden="1" customHeight="1">
      <c r="A1214" s="324">
        <v>5177</v>
      </c>
      <c r="G1214" s="324" t="s">
        <v>358</v>
      </c>
      <c r="H1214" s="324">
        <v>0.13927532491339289</v>
      </c>
      <c r="V1214" s="324">
        <v>0.13927532491339289</v>
      </c>
      <c r="W1214" s="324">
        <v>0.13927532491339289</v>
      </c>
      <c r="X1214" s="326">
        <v>1</v>
      </c>
    </row>
    <row r="1215" spans="1:24" s="324" customFormat="1" ht="0.65" hidden="1" customHeight="1">
      <c r="A1215" s="324">
        <v>5178</v>
      </c>
      <c r="O1215" s="324" t="s">
        <v>388</v>
      </c>
      <c r="P1215" s="324" t="s">
        <v>398</v>
      </c>
      <c r="X1215" s="326"/>
    </row>
    <row r="1216" spans="1:24" s="324" customFormat="1" ht="0.65" hidden="1" customHeight="1">
      <c r="A1216" s="324">
        <v>5179</v>
      </c>
      <c r="H1216" s="324" t="s">
        <v>360</v>
      </c>
      <c r="I1216" s="324" t="s">
        <v>36</v>
      </c>
      <c r="J1216" s="324" t="s">
        <v>55</v>
      </c>
      <c r="K1216" s="324" t="s">
        <v>361</v>
      </c>
      <c r="L1216" s="324">
        <v>0</v>
      </c>
      <c r="P1216" s="324" t="s">
        <v>400</v>
      </c>
      <c r="X1216" s="326"/>
    </row>
    <row r="1217" spans="1:24" s="324" customFormat="1" ht="0.65" hidden="1" customHeight="1">
      <c r="A1217" s="324">
        <v>5180</v>
      </c>
      <c r="W1217" s="324" t="s">
        <v>422</v>
      </c>
      <c r="X1217" s="326">
        <v>44</v>
      </c>
    </row>
    <row r="1218" spans="1:24" s="324" customFormat="1" ht="0.65" hidden="1" customHeight="1">
      <c r="A1218" s="324">
        <v>5181</v>
      </c>
      <c r="F1218" s="324" t="s">
        <v>55</v>
      </c>
      <c r="W1218" s="324" t="s">
        <v>423</v>
      </c>
      <c r="X1218" s="326" t="s">
        <v>520</v>
      </c>
    </row>
    <row r="1219" spans="1:24" s="324" customFormat="1" ht="0.65" hidden="1" customHeight="1">
      <c r="A1219" s="324">
        <v>5182</v>
      </c>
      <c r="F1219" s="324" t="s">
        <v>55</v>
      </c>
      <c r="X1219" s="326"/>
    </row>
    <row r="1220" spans="1:24" s="324" customFormat="1" ht="0.65" hidden="1" customHeight="1">
      <c r="A1220" s="324">
        <v>5183</v>
      </c>
      <c r="F1220" s="324" t="s">
        <v>944</v>
      </c>
      <c r="X1220" s="326"/>
    </row>
    <row r="1221" spans="1:24" s="324" customFormat="1" ht="0.65" hidden="1" customHeight="1">
      <c r="A1221" s="324">
        <v>5184</v>
      </c>
      <c r="X1221" s="326"/>
    </row>
    <row r="1222" spans="1:24" s="324" customFormat="1" ht="0.65" hidden="1" customHeight="1">
      <c r="A1222" s="324">
        <v>5185</v>
      </c>
      <c r="F1222" s="324" t="s">
        <v>446</v>
      </c>
      <c r="X1222" s="326"/>
    </row>
    <row r="1223" spans="1:24" s="324" customFormat="1" ht="0.65" hidden="1" customHeight="1">
      <c r="A1223" s="324">
        <v>5186</v>
      </c>
      <c r="O1223" s="324" t="s">
        <v>40</v>
      </c>
      <c r="P1223" s="324" t="s">
        <v>398</v>
      </c>
      <c r="X1223" s="326"/>
    </row>
    <row r="1224" spans="1:24" s="324" customFormat="1" ht="0.65" hidden="1" customHeight="1">
      <c r="A1224" s="324">
        <v>5187</v>
      </c>
      <c r="F1224" s="324" t="s">
        <v>393</v>
      </c>
      <c r="O1224" s="324" t="s">
        <v>38</v>
      </c>
      <c r="P1224" s="324" t="s">
        <v>399</v>
      </c>
      <c r="X1224" s="326"/>
    </row>
    <row r="1225" spans="1:24" s="324" customFormat="1" ht="0.65" hidden="1" customHeight="1">
      <c r="A1225" s="324">
        <v>5188</v>
      </c>
      <c r="O1225" s="324" t="s">
        <v>397</v>
      </c>
      <c r="P1225" s="324" t="s">
        <v>400</v>
      </c>
      <c r="X1225" s="326"/>
    </row>
    <row r="1226" spans="1:24" s="324" customFormat="1" ht="0.65" hidden="1" customHeight="1">
      <c r="A1226" s="324">
        <v>5189</v>
      </c>
      <c r="F1226" s="324" t="s">
        <v>394</v>
      </c>
      <c r="J1226" s="324" t="s">
        <v>40</v>
      </c>
      <c r="K1226" s="324" t="s">
        <v>55</v>
      </c>
      <c r="L1226" s="324" t="s">
        <v>800</v>
      </c>
      <c r="O1226" s="324" t="s">
        <v>396</v>
      </c>
      <c r="P1226" s="324" t="s">
        <v>401</v>
      </c>
      <c r="X1226" s="326"/>
    </row>
    <row r="1227" spans="1:24" s="324" customFormat="1" ht="0.65" hidden="1" customHeight="1">
      <c r="A1227" s="324">
        <v>5190</v>
      </c>
      <c r="F1227" s="324" t="s">
        <v>395</v>
      </c>
      <c r="J1227" s="324" t="s">
        <v>397</v>
      </c>
      <c r="K1227" s="324" t="s">
        <v>55</v>
      </c>
      <c r="L1227" s="324" t="s">
        <v>800</v>
      </c>
      <c r="X1227" s="326"/>
    </row>
    <row r="1228" spans="1:24" s="324" customFormat="1" ht="0.65" hidden="1" customHeight="1">
      <c r="A1228" s="324">
        <v>5191</v>
      </c>
      <c r="X1228" s="326"/>
    </row>
    <row r="1229" spans="1:24" s="324" customFormat="1" ht="0.65" hidden="1" customHeight="1">
      <c r="A1229" s="324">
        <v>5192</v>
      </c>
      <c r="I1229" s="324" t="s">
        <v>360</v>
      </c>
      <c r="J1229" s="324" t="s">
        <v>36</v>
      </c>
      <c r="K1229" s="324" t="s">
        <v>55</v>
      </c>
      <c r="L1229" s="324" t="s">
        <v>405</v>
      </c>
      <c r="X1229" s="326"/>
    </row>
    <row r="1230" spans="1:24" s="324" customFormat="1" ht="0.65" hidden="1" customHeight="1">
      <c r="A1230" s="324">
        <v>5193</v>
      </c>
      <c r="L1230" s="324">
        <v>7</v>
      </c>
      <c r="X1230" s="326"/>
    </row>
    <row r="1231" spans="1:24" s="324" customFormat="1" ht="0.65" hidden="1" customHeight="1">
      <c r="A1231" s="324">
        <v>5194</v>
      </c>
      <c r="I1231" s="324" t="s">
        <v>361</v>
      </c>
      <c r="J1231" s="324">
        <v>0</v>
      </c>
      <c r="X1231" s="326"/>
    </row>
    <row r="1232" spans="1:24" s="324" customFormat="1" ht="0.65" hidden="1" customHeight="1">
      <c r="A1232" s="324">
        <v>5195</v>
      </c>
      <c r="X1232" s="326"/>
    </row>
    <row r="1233" spans="1:24" s="324" customFormat="1" ht="0.65" hidden="1" customHeight="1">
      <c r="A1233" s="324">
        <v>5196</v>
      </c>
      <c r="F1233" s="324" t="s">
        <v>944</v>
      </c>
      <c r="X1233" s="326"/>
    </row>
    <row r="1234" spans="1:24" s="324" customFormat="1" ht="0.65" hidden="1" customHeight="1">
      <c r="A1234" s="324">
        <v>5197</v>
      </c>
      <c r="X1234" s="326"/>
    </row>
    <row r="1235" spans="1:24" s="324" customFormat="1" ht="0.65" hidden="1" customHeight="1">
      <c r="A1235" s="324">
        <v>5198</v>
      </c>
      <c r="F1235" s="324" t="s">
        <v>419</v>
      </c>
      <c r="X1235" s="326"/>
    </row>
    <row r="1236" spans="1:24" s="324" customFormat="1" ht="0.65" hidden="1" customHeight="1">
      <c r="A1236" s="324">
        <v>5199</v>
      </c>
      <c r="X1236" s="326"/>
    </row>
    <row r="1237" spans="1:24" s="324" customFormat="1" ht="0.65" hidden="1" customHeight="1">
      <c r="A1237" s="324">
        <v>5200</v>
      </c>
      <c r="F1237" s="324" t="s">
        <v>447</v>
      </c>
      <c r="X1237" s="326"/>
    </row>
    <row r="1238" spans="1:24" s="324" customFormat="1" ht="0.65" hidden="1" customHeight="1">
      <c r="X1238" s="326"/>
    </row>
    <row r="1239" spans="1:24" s="324" customFormat="1" ht="0.65" hidden="1" customHeight="1">
      <c r="X1239" s="326"/>
    </row>
    <row r="1240" spans="1:24" s="324" customFormat="1" ht="0.65" hidden="1" customHeight="1">
      <c r="X1240" s="326"/>
    </row>
    <row r="1241" spans="1:24" s="324" customFormat="1" ht="0.65" hidden="1" customHeight="1">
      <c r="B1241" s="324" t="s">
        <v>19</v>
      </c>
      <c r="E1241" s="324" t="s">
        <v>336</v>
      </c>
      <c r="F1241" s="324">
        <v>6</v>
      </c>
      <c r="X1241" s="326"/>
    </row>
    <row r="1242" spans="1:24" s="324" customFormat="1" ht="0.65" hidden="1" customHeight="1">
      <c r="B1242" s="324" t="s">
        <v>3951</v>
      </c>
      <c r="E1242" s="324" t="s">
        <v>336</v>
      </c>
      <c r="F1242" s="324" t="s">
        <v>486</v>
      </c>
      <c r="X1242" s="326"/>
    </row>
    <row r="1243" spans="1:24" s="324" customFormat="1" ht="0.65" hidden="1" customHeight="1">
      <c r="A1243" s="324">
        <v>6001</v>
      </c>
      <c r="C1243" s="324" t="s">
        <v>5</v>
      </c>
      <c r="D1243" s="324">
        <v>2022</v>
      </c>
      <c r="F1243" s="324" t="s">
        <v>374</v>
      </c>
      <c r="X1243" s="326"/>
    </row>
    <row r="1244" spans="1:24" s="324" customFormat="1" ht="0.65" hidden="1" customHeight="1">
      <c r="A1244" s="324">
        <v>6002</v>
      </c>
      <c r="X1244" s="326"/>
    </row>
    <row r="1245" spans="1:24" s="324" customFormat="1" ht="0.65" hidden="1" customHeight="1">
      <c r="A1245" s="324">
        <v>6003</v>
      </c>
      <c r="C1245" s="324" t="s">
        <v>32</v>
      </c>
      <c r="X1245" s="326"/>
    </row>
    <row r="1246" spans="1:24" s="324" customFormat="1" ht="0.65" hidden="1" customHeight="1">
      <c r="A1246" s="324">
        <v>6004</v>
      </c>
      <c r="C1246" s="324" t="s">
        <v>488</v>
      </c>
      <c r="D1246" s="324">
        <v>750000</v>
      </c>
      <c r="H1246" s="324" t="s">
        <v>338</v>
      </c>
      <c r="X1246" s="326"/>
    </row>
    <row r="1247" spans="1:24" s="324" customFormat="1" ht="0.65" hidden="1" customHeight="1">
      <c r="A1247" s="324">
        <v>6005</v>
      </c>
      <c r="C1247" s="324" t="s">
        <v>6</v>
      </c>
      <c r="D1247" s="324">
        <v>10</v>
      </c>
      <c r="G1247" s="324" t="s">
        <v>0</v>
      </c>
      <c r="H1247" s="324" t="s">
        <v>1</v>
      </c>
      <c r="X1247" s="326"/>
    </row>
    <row r="1248" spans="1:24" s="324" customFormat="1" ht="0.65" hidden="1" customHeight="1">
      <c r="A1248" s="324">
        <v>6006</v>
      </c>
      <c r="C1248" s="324" t="s">
        <v>489</v>
      </c>
      <c r="D1248" s="324">
        <v>75000</v>
      </c>
      <c r="G1248" s="324">
        <v>2022</v>
      </c>
      <c r="H1248" s="324">
        <v>-534375</v>
      </c>
      <c r="X1248" s="326"/>
    </row>
    <row r="1249" spans="1:24" s="324" customFormat="1" ht="0.65" hidden="1" customHeight="1">
      <c r="A1249" s="324">
        <v>6007</v>
      </c>
      <c r="G1249" s="324">
        <v>2023</v>
      </c>
      <c r="H1249" s="324">
        <v>144531.25</v>
      </c>
      <c r="X1249" s="326"/>
    </row>
    <row r="1250" spans="1:24" s="324" customFormat="1" ht="0.65" hidden="1" customHeight="1">
      <c r="A1250" s="324">
        <v>6008</v>
      </c>
      <c r="C1250" s="324" t="s">
        <v>34</v>
      </c>
      <c r="D1250" s="324">
        <v>250000</v>
      </c>
      <c r="G1250" s="324">
        <v>2024</v>
      </c>
      <c r="H1250" s="324">
        <v>213281.25</v>
      </c>
      <c r="I1250" s="324" t="s">
        <v>354</v>
      </c>
      <c r="J1250" s="324" t="s">
        <v>355</v>
      </c>
      <c r="K1250" s="324" t="s">
        <v>356</v>
      </c>
      <c r="L1250" s="324" t="s">
        <v>28</v>
      </c>
      <c r="X1250" s="326"/>
    </row>
    <row r="1251" spans="1:24" s="324" customFormat="1" ht="0.65" hidden="1" customHeight="1">
      <c r="A1251" s="324">
        <v>6009</v>
      </c>
      <c r="C1251" s="324" t="s">
        <v>35</v>
      </c>
      <c r="D1251" s="324">
        <v>-25000</v>
      </c>
      <c r="G1251" s="324">
        <v>2025</v>
      </c>
      <c r="H1251" s="324">
        <v>424062.5</v>
      </c>
      <c r="I1251" s="324">
        <v>622192.4786965925</v>
      </c>
      <c r="J1251" s="324">
        <v>2.2971501358799595</v>
      </c>
      <c r="K1251" s="324">
        <v>781875</v>
      </c>
      <c r="L1251" s="324">
        <v>0.17939434472028948</v>
      </c>
      <c r="X1251" s="326"/>
    </row>
    <row r="1252" spans="1:24" s="324" customFormat="1" ht="0.65" hidden="1" customHeight="1">
      <c r="A1252" s="324">
        <v>6010</v>
      </c>
      <c r="X1252" s="326"/>
    </row>
    <row r="1253" spans="1:24" s="324" customFormat="1" ht="0.65" hidden="1" customHeight="1">
      <c r="A1253" s="324">
        <v>6011</v>
      </c>
      <c r="C1253" s="324" t="s">
        <v>7</v>
      </c>
      <c r="D1253" s="324">
        <v>90</v>
      </c>
      <c r="X1253" s="326"/>
    </row>
    <row r="1254" spans="1:24" s="324" customFormat="1" ht="0.65" hidden="1" customHeight="1">
      <c r="A1254" s="324">
        <v>6012</v>
      </c>
      <c r="C1254" s="324" t="s">
        <v>8</v>
      </c>
      <c r="D1254" s="324">
        <v>90</v>
      </c>
      <c r="F1254" s="324" t="s">
        <v>375</v>
      </c>
      <c r="X1254" s="326"/>
    </row>
    <row r="1255" spans="1:24" s="324" customFormat="1" ht="0.65" hidden="1" customHeight="1">
      <c r="A1255" s="324">
        <v>6013</v>
      </c>
      <c r="F1255" s="324" t="s">
        <v>477</v>
      </c>
      <c r="X1255" s="326"/>
    </row>
    <row r="1256" spans="1:24" s="324" customFormat="1" ht="0.65" hidden="1" customHeight="1">
      <c r="A1256" s="324">
        <v>6014</v>
      </c>
      <c r="C1256" s="324" t="s">
        <v>33</v>
      </c>
      <c r="X1256" s="326"/>
    </row>
    <row r="1257" spans="1:24" s="324" customFormat="1" ht="0.65" hidden="1" customHeight="1">
      <c r="A1257" s="324">
        <v>6015</v>
      </c>
      <c r="C1257" s="324" t="s">
        <v>492</v>
      </c>
      <c r="D1257" s="324">
        <v>225000</v>
      </c>
      <c r="X1257" s="326"/>
    </row>
    <row r="1258" spans="1:24" s="324" customFormat="1" ht="0.65" hidden="1" customHeight="1">
      <c r="A1258" s="324">
        <v>6016</v>
      </c>
      <c r="C1258" s="324" t="s">
        <v>495</v>
      </c>
      <c r="D1258" s="324">
        <v>187500</v>
      </c>
      <c r="G1258" s="324" t="s">
        <v>339</v>
      </c>
      <c r="H1258" s="324">
        <v>0.10312499999999999</v>
      </c>
      <c r="V1258" s="324">
        <v>0.10312499999999999</v>
      </c>
      <c r="W1258" s="324">
        <v>0.10312499999999999</v>
      </c>
      <c r="X1258" s="326">
        <v>1</v>
      </c>
    </row>
    <row r="1259" spans="1:24" s="324" customFormat="1" ht="0.65" hidden="1" customHeight="1">
      <c r="A1259" s="324">
        <v>6017</v>
      </c>
      <c r="C1259" s="324" t="s">
        <v>6</v>
      </c>
      <c r="D1259" s="324">
        <v>4</v>
      </c>
      <c r="X1259" s="326"/>
    </row>
    <row r="1260" spans="1:24" s="324" customFormat="1" ht="0.65" hidden="1" customHeight="1">
      <c r="A1260" s="324">
        <v>6018</v>
      </c>
      <c r="C1260" s="324" t="s">
        <v>489</v>
      </c>
      <c r="D1260" s="324">
        <v>45000</v>
      </c>
      <c r="X1260" s="326"/>
    </row>
    <row r="1261" spans="1:24" s="324" customFormat="1" ht="0.65" hidden="1" customHeight="1">
      <c r="A1261" s="324">
        <v>6019</v>
      </c>
      <c r="F1261" s="324" t="s">
        <v>376</v>
      </c>
      <c r="X1261" s="326"/>
    </row>
    <row r="1262" spans="1:24" s="324" customFormat="1" ht="0.65" hidden="1" customHeight="1">
      <c r="A1262" s="324">
        <v>6020</v>
      </c>
      <c r="C1262" s="324" t="s">
        <v>4</v>
      </c>
      <c r="D1262" s="324">
        <v>0.25</v>
      </c>
      <c r="X1262" s="326"/>
    </row>
    <row r="1263" spans="1:24" s="324" customFormat="1" ht="0.65" hidden="1" customHeight="1">
      <c r="A1263" s="324">
        <v>6021</v>
      </c>
      <c r="D1263" s="324" t="s">
        <v>9</v>
      </c>
      <c r="X1263" s="326"/>
    </row>
    <row r="1264" spans="1:24" s="324" customFormat="1" ht="0.65" hidden="1" customHeight="1">
      <c r="A1264" s="324">
        <v>6022</v>
      </c>
      <c r="H1264" s="324" t="s">
        <v>338</v>
      </c>
      <c r="I1264" s="324" t="s">
        <v>55</v>
      </c>
      <c r="L1264" s="324" t="s">
        <v>367</v>
      </c>
      <c r="X1264" s="326"/>
    </row>
    <row r="1265" spans="1:24" s="324" customFormat="1" ht="0.65" hidden="1" customHeight="1">
      <c r="A1265" s="324">
        <v>6023</v>
      </c>
      <c r="C1265" s="324" t="s">
        <v>10</v>
      </c>
      <c r="D1265" s="324">
        <v>420000.00000000006</v>
      </c>
      <c r="G1265" s="324" t="s">
        <v>0</v>
      </c>
      <c r="H1265" s="324" t="s">
        <v>1</v>
      </c>
      <c r="L1265" s="324">
        <v>1</v>
      </c>
      <c r="X1265" s="326"/>
    </row>
    <row r="1266" spans="1:24" s="324" customFormat="1" ht="0.65" hidden="1" customHeight="1">
      <c r="A1266" s="324">
        <v>6024</v>
      </c>
      <c r="C1266" s="324" t="s">
        <v>11</v>
      </c>
      <c r="D1266" s="324">
        <v>1800000</v>
      </c>
      <c r="G1266" s="324">
        <v>2022</v>
      </c>
      <c r="H1266" s="324">
        <v>-534375</v>
      </c>
      <c r="V1266" s="324">
        <v>-534375</v>
      </c>
      <c r="W1266" s="324">
        <v>-534375</v>
      </c>
      <c r="X1266" s="326">
        <v>1</v>
      </c>
    </row>
    <row r="1267" spans="1:24" s="324" customFormat="1" ht="0.65" hidden="1" customHeight="1">
      <c r="A1267" s="324">
        <v>6025</v>
      </c>
      <c r="C1267" s="324" t="s">
        <v>12</v>
      </c>
      <c r="D1267" s="324">
        <v>0.02</v>
      </c>
      <c r="G1267" s="324">
        <v>2023</v>
      </c>
      <c r="H1267" s="324">
        <v>144531.25</v>
      </c>
      <c r="V1267" s="324">
        <v>144531.25</v>
      </c>
      <c r="W1267" s="324">
        <v>144531.25</v>
      </c>
      <c r="X1267" s="326">
        <v>1</v>
      </c>
    </row>
    <row r="1268" spans="1:24" s="324" customFormat="1" ht="0.65" hidden="1" customHeight="1">
      <c r="A1268" s="324">
        <v>6026</v>
      </c>
      <c r="C1268" s="324" t="s">
        <v>2</v>
      </c>
      <c r="D1268" s="324">
        <v>6000000</v>
      </c>
      <c r="G1268" s="324">
        <v>2024</v>
      </c>
      <c r="H1268" s="324">
        <v>213281.25</v>
      </c>
      <c r="V1268" s="324">
        <v>213281.25</v>
      </c>
      <c r="W1268" s="324">
        <v>213281.25</v>
      </c>
      <c r="X1268" s="326">
        <v>1</v>
      </c>
    </row>
    <row r="1269" spans="1:24" s="324" customFormat="1" ht="0.65" hidden="1" customHeight="1">
      <c r="A1269" s="324">
        <v>6027</v>
      </c>
      <c r="C1269" s="324" t="s">
        <v>3</v>
      </c>
      <c r="D1269" s="324">
        <v>18000000</v>
      </c>
      <c r="G1269" s="324">
        <v>2025</v>
      </c>
      <c r="H1269" s="324">
        <v>424062.5</v>
      </c>
      <c r="V1269" s="324">
        <v>424062.5</v>
      </c>
      <c r="W1269" s="324">
        <v>424062.5</v>
      </c>
      <c r="X1269" s="326">
        <v>1</v>
      </c>
    </row>
    <row r="1270" spans="1:24" s="324" customFormat="1" ht="0.65" hidden="1" customHeight="1">
      <c r="A1270" s="324">
        <v>6028</v>
      </c>
      <c r="X1270" s="326"/>
    </row>
    <row r="1271" spans="1:24" s="324" customFormat="1" ht="0.65" hidden="1" customHeight="1">
      <c r="A1271" s="324">
        <v>6029</v>
      </c>
      <c r="C1271" s="324" t="s">
        <v>14</v>
      </c>
      <c r="D1271" s="324" t="s">
        <v>16</v>
      </c>
      <c r="G1271" s="324" t="s">
        <v>2050</v>
      </c>
      <c r="H1271" s="324">
        <v>87817.478696592501</v>
      </c>
      <c r="I1271" s="324" t="s">
        <v>55</v>
      </c>
      <c r="J1271" s="324" t="s">
        <v>800</v>
      </c>
      <c r="N1271" s="324" t="s">
        <v>2051</v>
      </c>
      <c r="X1271" s="326"/>
    </row>
    <row r="1272" spans="1:24" s="324" customFormat="1" ht="0.65" hidden="1" customHeight="1">
      <c r="A1272" s="324">
        <v>6030</v>
      </c>
      <c r="D1272" s="324" t="s">
        <v>424</v>
      </c>
      <c r="G1272" s="324" t="s">
        <v>2052</v>
      </c>
      <c r="H1272" s="324">
        <v>0.16433680223923744</v>
      </c>
      <c r="I1272" s="324" t="s">
        <v>55</v>
      </c>
      <c r="J1272" s="324" t="s">
        <v>800</v>
      </c>
      <c r="N1272" s="324" t="s">
        <v>2053</v>
      </c>
      <c r="X1272" s="326"/>
    </row>
    <row r="1273" spans="1:24" s="324" customFormat="1" ht="0.65" hidden="1" customHeight="1">
      <c r="A1273" s="324">
        <v>6031</v>
      </c>
      <c r="G1273" s="324" t="s">
        <v>358</v>
      </c>
      <c r="H1273" s="324">
        <v>0.17939434472028948</v>
      </c>
      <c r="I1273" s="324" t="s">
        <v>55</v>
      </c>
      <c r="J1273" s="324" t="s">
        <v>800</v>
      </c>
      <c r="N1273" s="324" t="s">
        <v>2054</v>
      </c>
      <c r="X1273" s="326"/>
    </row>
    <row r="1274" spans="1:24" s="324" customFormat="1" ht="0.65" hidden="1" customHeight="1">
      <c r="A1274" s="324">
        <v>6032</v>
      </c>
      <c r="B1274" s="324" t="s">
        <v>460</v>
      </c>
      <c r="X1274" s="326"/>
    </row>
    <row r="1275" spans="1:24" s="324" customFormat="1" ht="0.65" hidden="1" customHeight="1">
      <c r="A1275" s="324">
        <v>6033</v>
      </c>
      <c r="B1275" s="324" t="s">
        <v>464</v>
      </c>
      <c r="X1275" s="326"/>
    </row>
    <row r="1276" spans="1:24" s="324" customFormat="1" ht="0.65" hidden="1" customHeight="1">
      <c r="A1276" s="324">
        <v>6034</v>
      </c>
      <c r="H1276" s="324" t="s">
        <v>360</v>
      </c>
      <c r="I1276" s="324" t="s">
        <v>36</v>
      </c>
      <c r="J1276" s="324" t="s">
        <v>55</v>
      </c>
      <c r="X1276" s="326"/>
    </row>
    <row r="1277" spans="1:24" s="324" customFormat="1" ht="0.65" hidden="1" customHeight="1">
      <c r="A1277" s="324">
        <v>6035</v>
      </c>
      <c r="X1277" s="326"/>
    </row>
    <row r="1278" spans="1:24" s="324" customFormat="1" ht="0.65" hidden="1" customHeight="1">
      <c r="A1278" s="324">
        <v>6036</v>
      </c>
      <c r="H1278" s="324" t="s">
        <v>361</v>
      </c>
      <c r="I1278" s="324">
        <v>0</v>
      </c>
      <c r="X1278" s="326"/>
    </row>
    <row r="1279" spans="1:24" s="324" customFormat="1" ht="0.65" hidden="1" customHeight="1">
      <c r="A1279" s="324">
        <v>6037</v>
      </c>
      <c r="X1279" s="326"/>
    </row>
    <row r="1280" spans="1:24" s="324" customFormat="1" ht="0.65" hidden="1" customHeight="1">
      <c r="A1280" s="324">
        <v>6038</v>
      </c>
      <c r="F1280" s="324" t="s">
        <v>944</v>
      </c>
      <c r="X1280" s="326"/>
    </row>
    <row r="1281" spans="1:24" s="324" customFormat="1" ht="0.65" hidden="1" customHeight="1">
      <c r="A1281" s="324">
        <v>6039</v>
      </c>
      <c r="X1281" s="326"/>
    </row>
    <row r="1282" spans="1:24" s="324" customFormat="1" ht="0.65" hidden="1" customHeight="1">
      <c r="A1282" s="324">
        <v>6040</v>
      </c>
      <c r="F1282" s="324" t="s">
        <v>448</v>
      </c>
      <c r="X1282" s="326"/>
    </row>
    <row r="1283" spans="1:24" s="324" customFormat="1" ht="0.65" hidden="1" customHeight="1">
      <c r="A1283" s="324">
        <v>6041</v>
      </c>
      <c r="X1283" s="326"/>
    </row>
    <row r="1284" spans="1:24" s="324" customFormat="1" ht="0.65" hidden="1" customHeight="1">
      <c r="A1284" s="324">
        <v>6042</v>
      </c>
      <c r="F1284" s="324" t="s">
        <v>377</v>
      </c>
      <c r="X1284" s="326"/>
    </row>
    <row r="1285" spans="1:24" s="324" customFormat="1" ht="0.65" hidden="1" customHeight="1">
      <c r="A1285" s="324">
        <v>6043</v>
      </c>
      <c r="X1285" s="326"/>
    </row>
    <row r="1286" spans="1:24" s="324" customFormat="1" ht="0.65" hidden="1" customHeight="1">
      <c r="A1286" s="324">
        <v>6044</v>
      </c>
      <c r="H1286" s="324" t="s">
        <v>406</v>
      </c>
      <c r="I1286" s="324">
        <v>0.10312499999999999</v>
      </c>
      <c r="J1286" s="324">
        <v>0.17939434472028948</v>
      </c>
      <c r="V1286" s="324">
        <v>0.10312499999999999</v>
      </c>
      <c r="W1286" s="324">
        <v>0.10312499999999999</v>
      </c>
      <c r="X1286" s="326">
        <v>1</v>
      </c>
    </row>
    <row r="1287" spans="1:24" s="324" customFormat="1" ht="0.65" hidden="1" customHeight="1">
      <c r="A1287" s="324">
        <v>6045</v>
      </c>
      <c r="V1287" s="324">
        <v>0.17939434472028948</v>
      </c>
      <c r="W1287" s="324">
        <v>0.17939434472028948</v>
      </c>
      <c r="X1287" s="326">
        <v>1</v>
      </c>
    </row>
    <row r="1288" spans="1:24" s="324" customFormat="1" ht="0.65" hidden="1" customHeight="1">
      <c r="A1288" s="324">
        <v>6046</v>
      </c>
      <c r="H1288" s="324" t="s">
        <v>338</v>
      </c>
      <c r="I1288" s="324" t="s">
        <v>362</v>
      </c>
      <c r="J1288" s="324" t="s">
        <v>363</v>
      </c>
      <c r="L1288" s="324" t="s">
        <v>368</v>
      </c>
      <c r="X1288" s="326"/>
    </row>
    <row r="1289" spans="1:24" s="324" customFormat="1" ht="0.65" hidden="1" customHeight="1">
      <c r="A1289" s="324">
        <v>6047</v>
      </c>
      <c r="C1289" s="324" t="s">
        <v>55</v>
      </c>
      <c r="G1289" s="324" t="s">
        <v>0</v>
      </c>
      <c r="H1289" s="324" t="s">
        <v>1</v>
      </c>
      <c r="I1289" s="324" t="s">
        <v>1</v>
      </c>
      <c r="J1289" s="324" t="s">
        <v>1</v>
      </c>
      <c r="L1289" s="324">
        <v>2</v>
      </c>
      <c r="X1289" s="326"/>
    </row>
    <row r="1290" spans="1:24" s="324" customFormat="1" ht="0.65" hidden="1" customHeight="1">
      <c r="A1290" s="324">
        <v>6048</v>
      </c>
      <c r="G1290" s="324">
        <v>2022</v>
      </c>
      <c r="H1290" s="324">
        <v>-534375</v>
      </c>
      <c r="I1290" s="324">
        <v>-534375</v>
      </c>
      <c r="J1290" s="324">
        <v>-534375</v>
      </c>
      <c r="V1290" s="324">
        <v>-534375</v>
      </c>
      <c r="W1290" s="324">
        <v>-534375</v>
      </c>
      <c r="X1290" s="326">
        <v>1</v>
      </c>
    </row>
    <row r="1291" spans="1:24" s="324" customFormat="1" ht="0.65" hidden="1" customHeight="1">
      <c r="A1291" s="324">
        <v>6049</v>
      </c>
      <c r="G1291" s="324">
        <v>2023</v>
      </c>
      <c r="H1291" s="324">
        <v>144531.25</v>
      </c>
      <c r="I1291" s="324">
        <v>0</v>
      </c>
      <c r="J1291" s="324">
        <v>0</v>
      </c>
      <c r="N1291" s="324" t="s">
        <v>2055</v>
      </c>
      <c r="V1291" s="324">
        <v>144531.25</v>
      </c>
      <c r="W1291" s="324">
        <v>144531.25</v>
      </c>
      <c r="X1291" s="326">
        <v>1</v>
      </c>
    </row>
    <row r="1292" spans="1:24" s="324" customFormat="1" ht="0.65" hidden="1" customHeight="1">
      <c r="A1292" s="324">
        <v>6050</v>
      </c>
      <c r="G1292" s="324">
        <v>2024</v>
      </c>
      <c r="H1292" s="324">
        <v>213281.25</v>
      </c>
      <c r="I1292" s="324">
        <v>0</v>
      </c>
      <c r="J1292" s="324">
        <v>0</v>
      </c>
      <c r="N1292" s="324" t="s">
        <v>2056</v>
      </c>
      <c r="V1292" s="324">
        <v>213281.25</v>
      </c>
      <c r="W1292" s="324">
        <v>213281.25</v>
      </c>
      <c r="X1292" s="326">
        <v>1</v>
      </c>
    </row>
    <row r="1293" spans="1:24" s="324" customFormat="1" ht="0.65" hidden="1" customHeight="1">
      <c r="A1293" s="324">
        <v>6051</v>
      </c>
      <c r="G1293" s="324">
        <v>2025</v>
      </c>
      <c r="H1293" s="324">
        <v>424062.5</v>
      </c>
      <c r="I1293" s="324">
        <v>835216.25518798828</v>
      </c>
      <c r="J1293" s="324">
        <v>876643.9803710205</v>
      </c>
      <c r="K1293" s="324" t="s">
        <v>55</v>
      </c>
      <c r="V1293" s="324">
        <v>424062.5</v>
      </c>
      <c r="W1293" s="324">
        <v>424062.5</v>
      </c>
      <c r="X1293" s="326">
        <v>1</v>
      </c>
    </row>
    <row r="1294" spans="1:24" s="324" customFormat="1" ht="0.65" hidden="1" customHeight="1">
      <c r="A1294" s="324">
        <v>6052</v>
      </c>
      <c r="X1294" s="326"/>
    </row>
    <row r="1295" spans="1:24" s="324" customFormat="1" ht="0.65" hidden="1" customHeight="1">
      <c r="A1295" s="324">
        <v>6053</v>
      </c>
      <c r="I1295" s="324" t="s">
        <v>800</v>
      </c>
      <c r="J1295" s="324" t="s">
        <v>800</v>
      </c>
      <c r="V1295" s="324">
        <v>-534375</v>
      </c>
      <c r="W1295" s="324">
        <v>-534375</v>
      </c>
      <c r="X1295" s="326">
        <v>1</v>
      </c>
    </row>
    <row r="1296" spans="1:24" s="324" customFormat="1" ht="0.65" hidden="1" customHeight="1">
      <c r="A1296" s="324">
        <v>6054</v>
      </c>
      <c r="V1296" s="324">
        <v>0</v>
      </c>
      <c r="W1296" s="324">
        <v>0</v>
      </c>
      <c r="X1296" s="326">
        <v>1</v>
      </c>
    </row>
    <row r="1297" spans="1:24" s="324" customFormat="1" ht="0.65" hidden="1" customHeight="1">
      <c r="A1297" s="324">
        <v>6055</v>
      </c>
      <c r="H1297" s="324" t="s">
        <v>360</v>
      </c>
      <c r="I1297" s="324" t="s">
        <v>36</v>
      </c>
      <c r="J1297" s="324" t="s">
        <v>55</v>
      </c>
      <c r="V1297" s="324">
        <v>0</v>
      </c>
      <c r="W1297" s="324">
        <v>0</v>
      </c>
      <c r="X1297" s="326">
        <v>1</v>
      </c>
    </row>
    <row r="1298" spans="1:24" s="324" customFormat="1" ht="0.65" hidden="1" customHeight="1">
      <c r="A1298" s="324">
        <v>6056</v>
      </c>
      <c r="X1298" s="326"/>
    </row>
    <row r="1299" spans="1:24" s="324" customFormat="1" ht="0.65" hidden="1" customHeight="1">
      <c r="A1299" s="324">
        <v>6057</v>
      </c>
      <c r="H1299" s="324" t="s">
        <v>361</v>
      </c>
      <c r="I1299" s="324">
        <v>0</v>
      </c>
      <c r="V1299" s="324">
        <v>-534375</v>
      </c>
      <c r="W1299" s="324">
        <v>-534375</v>
      </c>
      <c r="X1299" s="326">
        <v>1</v>
      </c>
    </row>
    <row r="1300" spans="1:24" s="324" customFormat="1" ht="0.65" hidden="1" customHeight="1">
      <c r="A1300" s="324">
        <v>6058</v>
      </c>
      <c r="F1300" s="324" t="s">
        <v>55</v>
      </c>
      <c r="V1300" s="324">
        <v>0</v>
      </c>
      <c r="W1300" s="324">
        <v>0</v>
      </c>
      <c r="X1300" s="326">
        <v>1</v>
      </c>
    </row>
    <row r="1301" spans="1:24" s="324" customFormat="1" ht="0.65" hidden="1" customHeight="1">
      <c r="A1301" s="324">
        <v>6059</v>
      </c>
      <c r="F1301" s="324" t="s">
        <v>55</v>
      </c>
      <c r="V1301" s="324">
        <v>0</v>
      </c>
      <c r="W1301" s="324">
        <v>0</v>
      </c>
      <c r="X1301" s="326">
        <v>1</v>
      </c>
    </row>
    <row r="1302" spans="1:24" s="324" customFormat="1" ht="0.65" hidden="1" customHeight="1">
      <c r="A1302" s="324">
        <v>6060</v>
      </c>
      <c r="F1302" s="324" t="s">
        <v>944</v>
      </c>
      <c r="X1302" s="326"/>
    </row>
    <row r="1303" spans="1:24" s="324" customFormat="1" ht="0.65" hidden="1" customHeight="1">
      <c r="A1303" s="324">
        <v>6061</v>
      </c>
      <c r="X1303" s="326"/>
    </row>
    <row r="1304" spans="1:24" s="324" customFormat="1" ht="0.65" hidden="1" customHeight="1">
      <c r="A1304" s="324">
        <v>6062</v>
      </c>
      <c r="F1304" s="324" t="s">
        <v>378</v>
      </c>
      <c r="X1304" s="326"/>
    </row>
    <row r="1305" spans="1:24" s="324" customFormat="1" ht="0.65" hidden="1" customHeight="1">
      <c r="A1305" s="324">
        <v>6063</v>
      </c>
      <c r="X1305" s="326"/>
    </row>
    <row r="1306" spans="1:24" s="324" customFormat="1" ht="0.65" hidden="1" customHeight="1">
      <c r="A1306" s="324">
        <v>6064</v>
      </c>
      <c r="X1306" s="326"/>
    </row>
    <row r="1307" spans="1:24" s="324" customFormat="1" ht="0.65" hidden="1" customHeight="1">
      <c r="A1307" s="324">
        <v>6065</v>
      </c>
      <c r="F1307" s="324" t="s">
        <v>379</v>
      </c>
      <c r="X1307" s="326"/>
    </row>
    <row r="1308" spans="1:24" s="324" customFormat="1" ht="0.65" hidden="1" customHeight="1">
      <c r="A1308" s="324">
        <v>6066</v>
      </c>
      <c r="X1308" s="326"/>
    </row>
    <row r="1309" spans="1:24" s="324" customFormat="1" ht="0.65" hidden="1" customHeight="1">
      <c r="A1309" s="324">
        <v>6067</v>
      </c>
      <c r="H1309" s="324" t="s">
        <v>338</v>
      </c>
      <c r="I1309" s="324" t="s">
        <v>362</v>
      </c>
      <c r="J1309" s="324" t="s">
        <v>363</v>
      </c>
      <c r="L1309" s="324" t="s">
        <v>369</v>
      </c>
      <c r="X1309" s="326"/>
    </row>
    <row r="1310" spans="1:24" s="324" customFormat="1" ht="0.65" hidden="1" customHeight="1">
      <c r="A1310" s="324">
        <v>6068</v>
      </c>
      <c r="C1310" s="324" t="s">
        <v>55</v>
      </c>
      <c r="G1310" s="324" t="s">
        <v>0</v>
      </c>
      <c r="H1310" s="324" t="s">
        <v>1</v>
      </c>
      <c r="I1310" s="324" t="s">
        <v>1</v>
      </c>
      <c r="J1310" s="324" t="s">
        <v>1</v>
      </c>
      <c r="L1310" s="324">
        <v>3</v>
      </c>
      <c r="X1310" s="326"/>
    </row>
    <row r="1311" spans="1:24" s="324" customFormat="1" ht="0.65" hidden="1" customHeight="1">
      <c r="A1311" s="324">
        <v>6069</v>
      </c>
      <c r="G1311" s="324">
        <v>2022</v>
      </c>
      <c r="H1311" s="324">
        <v>-534375</v>
      </c>
      <c r="I1311" s="324">
        <v>-534375</v>
      </c>
      <c r="J1311" s="324">
        <v>-534375</v>
      </c>
      <c r="V1311" s="324">
        <v>-534375</v>
      </c>
      <c r="W1311" s="324">
        <v>-534375</v>
      </c>
      <c r="X1311" s="326">
        <v>1</v>
      </c>
    </row>
    <row r="1312" spans="1:24" s="324" customFormat="1" ht="0.65" hidden="1" customHeight="1">
      <c r="A1312" s="324">
        <v>6070</v>
      </c>
      <c r="G1312" s="324">
        <v>2023</v>
      </c>
      <c r="H1312" s="324">
        <v>144531.25</v>
      </c>
      <c r="I1312" s="324">
        <v>0</v>
      </c>
      <c r="J1312" s="324">
        <v>0</v>
      </c>
      <c r="V1312" s="324">
        <v>144531.25</v>
      </c>
      <c r="W1312" s="324">
        <v>144531.25</v>
      </c>
      <c r="X1312" s="326">
        <v>1</v>
      </c>
    </row>
    <row r="1313" spans="1:24" s="324" customFormat="1" ht="0.65" hidden="1" customHeight="1">
      <c r="A1313" s="324">
        <v>6071</v>
      </c>
      <c r="G1313" s="324">
        <v>2024</v>
      </c>
      <c r="H1313" s="324">
        <v>213281.25</v>
      </c>
      <c r="I1313" s="324">
        <v>0</v>
      </c>
      <c r="J1313" s="324">
        <v>0</v>
      </c>
      <c r="V1313" s="324">
        <v>213281.25</v>
      </c>
      <c r="W1313" s="324">
        <v>213281.25</v>
      </c>
      <c r="X1313" s="326">
        <v>1</v>
      </c>
    </row>
    <row r="1314" spans="1:24" s="324" customFormat="1" ht="0.65" hidden="1" customHeight="1">
      <c r="A1314" s="324">
        <v>6072</v>
      </c>
      <c r="G1314" s="324">
        <v>2025</v>
      </c>
      <c r="H1314" s="324">
        <v>424062.5</v>
      </c>
      <c r="I1314" s="324">
        <v>835216.25518798828</v>
      </c>
      <c r="J1314" s="324">
        <v>876643.9803710205</v>
      </c>
      <c r="V1314" s="324">
        <v>424062.5</v>
      </c>
      <c r="W1314" s="324">
        <v>424062.5</v>
      </c>
      <c r="X1314" s="326">
        <v>1</v>
      </c>
    </row>
    <row r="1315" spans="1:24" s="324" customFormat="1" ht="0.65" hidden="1" customHeight="1">
      <c r="A1315" s="324">
        <v>6073</v>
      </c>
      <c r="G1315" s="324" t="s">
        <v>408</v>
      </c>
      <c r="H1315" s="324">
        <v>0.17939434472028948</v>
      </c>
      <c r="V1315" s="324">
        <v>0.17939434472028948</v>
      </c>
      <c r="W1315" s="324">
        <v>0.17939434472028948</v>
      </c>
      <c r="X1315" s="326">
        <v>1</v>
      </c>
    </row>
    <row r="1316" spans="1:24" s="324" customFormat="1" ht="0.65" hidden="1" customHeight="1">
      <c r="A1316" s="324">
        <v>6074</v>
      </c>
      <c r="G1316" s="324" t="s">
        <v>407</v>
      </c>
      <c r="H1316" s="324">
        <v>0.10312499999999999</v>
      </c>
      <c r="V1316" s="324">
        <v>0.10312499999999999</v>
      </c>
      <c r="W1316" s="324">
        <v>0.10312499999999999</v>
      </c>
      <c r="X1316" s="326">
        <v>1</v>
      </c>
    </row>
    <row r="1317" spans="1:24" s="324" customFormat="1" ht="0.65" hidden="1" customHeight="1">
      <c r="A1317" s="324">
        <v>6075</v>
      </c>
      <c r="I1317" s="324" t="s">
        <v>55</v>
      </c>
      <c r="J1317" s="324" t="s">
        <v>55</v>
      </c>
      <c r="X1317" s="326"/>
    </row>
    <row r="1318" spans="1:24" s="324" customFormat="1" ht="0.65" hidden="1" customHeight="1">
      <c r="A1318" s="324">
        <v>6076</v>
      </c>
      <c r="G1318" s="324" t="s">
        <v>2050</v>
      </c>
      <c r="H1318" s="324">
        <v>87817.478696592501</v>
      </c>
      <c r="I1318" s="324">
        <v>87817.478696592618</v>
      </c>
      <c r="J1318" s="324">
        <v>118678.96978741244</v>
      </c>
      <c r="K1318" s="324" t="s">
        <v>800</v>
      </c>
      <c r="L1318" s="324" t="s">
        <v>800</v>
      </c>
      <c r="N1318" s="324" t="s">
        <v>2057</v>
      </c>
      <c r="O1318" s="324" t="s">
        <v>2058</v>
      </c>
      <c r="V1318" s="324">
        <v>-534375</v>
      </c>
      <c r="W1318" s="324">
        <v>-534375</v>
      </c>
      <c r="X1318" s="326">
        <v>1</v>
      </c>
    </row>
    <row r="1319" spans="1:24" s="324" customFormat="1" ht="0.65" hidden="1" customHeight="1">
      <c r="A1319" s="324">
        <v>6077</v>
      </c>
      <c r="G1319" s="324" t="s">
        <v>2052</v>
      </c>
      <c r="H1319" s="324">
        <v>0.16433680223923744</v>
      </c>
      <c r="I1319" s="324">
        <v>0.16433680223923763</v>
      </c>
      <c r="J1319" s="324">
        <v>0.22208930018697065</v>
      </c>
      <c r="K1319" s="324" t="s">
        <v>800</v>
      </c>
      <c r="L1319" s="324" t="s">
        <v>800</v>
      </c>
      <c r="N1319" s="324" t="s">
        <v>2059</v>
      </c>
      <c r="O1319" s="324" t="s">
        <v>2060</v>
      </c>
      <c r="V1319" s="324">
        <v>0</v>
      </c>
      <c r="W1319" s="324">
        <v>0</v>
      </c>
      <c r="X1319" s="326">
        <v>1</v>
      </c>
    </row>
    <row r="1320" spans="1:24" s="324" customFormat="1" ht="0.65" hidden="1" customHeight="1">
      <c r="A1320" s="324">
        <v>6078</v>
      </c>
      <c r="V1320" s="324">
        <v>0</v>
      </c>
      <c r="W1320" s="324">
        <v>0</v>
      </c>
      <c r="X1320" s="326">
        <v>1</v>
      </c>
    </row>
    <row r="1321" spans="1:24" s="324" customFormat="1" ht="0.65" hidden="1" customHeight="1">
      <c r="A1321" s="324">
        <v>6079</v>
      </c>
      <c r="G1321" s="324" t="s">
        <v>2061</v>
      </c>
      <c r="H1321" s="324">
        <v>0</v>
      </c>
      <c r="I1321" s="324">
        <v>-25253.057273391227</v>
      </c>
      <c r="J1321" s="324">
        <v>0</v>
      </c>
      <c r="K1321" s="324" t="s">
        <v>800</v>
      </c>
      <c r="L1321" s="324" t="s">
        <v>800</v>
      </c>
      <c r="N1321" s="324" t="s">
        <v>2062</v>
      </c>
      <c r="O1321" s="324" t="s">
        <v>2063</v>
      </c>
      <c r="V1321" s="324">
        <v>835216.25518798828</v>
      </c>
      <c r="W1321" s="324">
        <v>835216.25518798828</v>
      </c>
      <c r="X1321" s="326">
        <v>1</v>
      </c>
    </row>
    <row r="1322" spans="1:24" s="324" customFormat="1" ht="0.65" hidden="1" customHeight="1">
      <c r="A1322" s="324">
        <v>6080</v>
      </c>
      <c r="G1322" s="324" t="s">
        <v>2064</v>
      </c>
      <c r="H1322" s="324">
        <v>-4.3570646765636424E-16</v>
      </c>
      <c r="I1322" s="324">
        <v>-4.7257183201667795E-2</v>
      </c>
      <c r="J1322" s="324">
        <v>0</v>
      </c>
      <c r="K1322" s="324" t="s">
        <v>800</v>
      </c>
      <c r="L1322" s="324" t="s">
        <v>800</v>
      </c>
      <c r="N1322" s="324" t="s">
        <v>2065</v>
      </c>
      <c r="O1322" s="324" t="s">
        <v>2066</v>
      </c>
      <c r="X1322" s="326"/>
    </row>
    <row r="1323" spans="1:24" s="324" customFormat="1" ht="0.65" hidden="1" customHeight="1">
      <c r="A1323" s="324">
        <v>6081</v>
      </c>
      <c r="V1323" s="324">
        <v>-534375</v>
      </c>
      <c r="W1323" s="324">
        <v>-534375</v>
      </c>
      <c r="X1323" s="326">
        <v>1</v>
      </c>
    </row>
    <row r="1324" spans="1:24" s="324" customFormat="1" ht="0.65" hidden="1" customHeight="1">
      <c r="A1324" s="324">
        <v>6082</v>
      </c>
      <c r="G1324" s="324" t="s">
        <v>358</v>
      </c>
      <c r="H1324" s="324">
        <v>0.17939434472028948</v>
      </c>
      <c r="I1324" s="324">
        <v>0.16051547331277338</v>
      </c>
      <c r="J1324" s="324">
        <v>0.17939434472028815</v>
      </c>
      <c r="K1324" s="324" t="s">
        <v>800</v>
      </c>
      <c r="L1324" s="324" t="s">
        <v>800</v>
      </c>
      <c r="N1324" s="324" t="s">
        <v>2067</v>
      </c>
      <c r="O1324" s="324" t="s">
        <v>2068</v>
      </c>
      <c r="V1324" s="324">
        <v>0</v>
      </c>
      <c r="W1324" s="324">
        <v>0</v>
      </c>
      <c r="X1324" s="326">
        <v>1</v>
      </c>
    </row>
    <row r="1325" spans="1:24" s="324" customFormat="1" ht="0.65" hidden="1" customHeight="1">
      <c r="A1325" s="324">
        <v>6083</v>
      </c>
      <c r="V1325" s="324">
        <v>0</v>
      </c>
      <c r="W1325" s="324">
        <v>0</v>
      </c>
      <c r="X1325" s="326">
        <v>1</v>
      </c>
    </row>
    <row r="1326" spans="1:24" s="324" customFormat="1" ht="0.65" hidden="1" customHeight="1">
      <c r="A1326" s="324">
        <v>6084</v>
      </c>
      <c r="V1326" s="324">
        <v>876643.9803710205</v>
      </c>
      <c r="W1326" s="324">
        <v>876643.9803710205</v>
      </c>
      <c r="X1326" s="326">
        <v>1</v>
      </c>
    </row>
    <row r="1327" spans="1:24" s="324" customFormat="1" ht="0.65" hidden="1" customHeight="1">
      <c r="A1327" s="324">
        <v>6085</v>
      </c>
      <c r="H1327" s="324" t="s">
        <v>360</v>
      </c>
      <c r="I1327" s="324" t="s">
        <v>36</v>
      </c>
      <c r="J1327" s="324" t="s">
        <v>55</v>
      </c>
      <c r="K1327" s="324" t="s">
        <v>361</v>
      </c>
      <c r="L1327" s="324">
        <v>0</v>
      </c>
      <c r="X1327" s="326"/>
    </row>
    <row r="1328" spans="1:24" s="324" customFormat="1" ht="0.65" hidden="1" customHeight="1">
      <c r="A1328" s="324">
        <v>6086</v>
      </c>
      <c r="X1328" s="326"/>
    </row>
    <row r="1329" spans="1:24" s="324" customFormat="1" ht="0.65" hidden="1" customHeight="1">
      <c r="A1329" s="324">
        <v>6087</v>
      </c>
      <c r="F1329" s="324" t="s">
        <v>55</v>
      </c>
      <c r="X1329" s="326"/>
    </row>
    <row r="1330" spans="1:24" s="324" customFormat="1" ht="0.65" hidden="1" customHeight="1">
      <c r="A1330" s="324">
        <v>6088</v>
      </c>
      <c r="F1330" s="324" t="s">
        <v>55</v>
      </c>
      <c r="X1330" s="326"/>
    </row>
    <row r="1331" spans="1:24" s="324" customFormat="1" ht="0.65" hidden="1" customHeight="1">
      <c r="A1331" s="324">
        <v>6089</v>
      </c>
      <c r="F1331" s="324" t="s">
        <v>944</v>
      </c>
      <c r="X1331" s="326"/>
    </row>
    <row r="1332" spans="1:24" s="324" customFormat="1" ht="0.65" hidden="1" customHeight="1">
      <c r="A1332" s="324">
        <v>6090</v>
      </c>
      <c r="X1332" s="326"/>
    </row>
    <row r="1333" spans="1:24" s="324" customFormat="1" ht="0.65" hidden="1" customHeight="1">
      <c r="A1333" s="324">
        <v>6091</v>
      </c>
      <c r="F1333" s="324" t="s">
        <v>449</v>
      </c>
      <c r="X1333" s="326"/>
    </row>
    <row r="1334" spans="1:24" s="324" customFormat="1" ht="0.65" hidden="1" customHeight="1">
      <c r="A1334" s="324">
        <v>6092</v>
      </c>
      <c r="X1334" s="326"/>
    </row>
    <row r="1335" spans="1:24" s="324" customFormat="1" ht="0.65" hidden="1" customHeight="1">
      <c r="A1335" s="324">
        <v>6093</v>
      </c>
      <c r="F1335" s="324" t="s">
        <v>380</v>
      </c>
      <c r="X1335" s="326"/>
    </row>
    <row r="1336" spans="1:24" s="324" customFormat="1" ht="0.65" hidden="1" customHeight="1">
      <c r="A1336" s="324">
        <v>6094</v>
      </c>
      <c r="F1336" s="324" t="s">
        <v>381</v>
      </c>
      <c r="X1336" s="326"/>
    </row>
    <row r="1337" spans="1:24" s="324" customFormat="1" ht="0.65" hidden="1" customHeight="1">
      <c r="A1337" s="324">
        <v>6095</v>
      </c>
      <c r="X1337" s="326"/>
    </row>
    <row r="1338" spans="1:24" s="324" customFormat="1" ht="0.65" hidden="1" customHeight="1">
      <c r="A1338" s="324">
        <v>6096</v>
      </c>
      <c r="F1338" s="324" t="s">
        <v>402</v>
      </c>
      <c r="X1338" s="326"/>
    </row>
    <row r="1339" spans="1:24" s="324" customFormat="1" ht="0.65" hidden="1" customHeight="1">
      <c r="A1339" s="324">
        <v>6097</v>
      </c>
      <c r="X1339" s="326"/>
    </row>
    <row r="1340" spans="1:24" s="324" customFormat="1" ht="0.65" hidden="1" customHeight="1">
      <c r="A1340" s="324">
        <v>6098</v>
      </c>
      <c r="F1340" s="324" t="s">
        <v>382</v>
      </c>
      <c r="X1340" s="326"/>
    </row>
    <row r="1341" spans="1:24" s="324" customFormat="1" ht="0.65" hidden="1" customHeight="1">
      <c r="A1341" s="324">
        <v>6099</v>
      </c>
      <c r="X1341" s="326"/>
    </row>
    <row r="1342" spans="1:24" s="324" customFormat="1" ht="0.65" hidden="1" customHeight="1">
      <c r="A1342" s="324">
        <v>6100</v>
      </c>
      <c r="F1342" s="324" t="s">
        <v>403</v>
      </c>
      <c r="X1342" s="326"/>
    </row>
    <row r="1343" spans="1:24" s="324" customFormat="1" ht="0.65" hidden="1" customHeight="1">
      <c r="A1343" s="324">
        <v>6101</v>
      </c>
      <c r="X1343" s="326"/>
    </row>
    <row r="1344" spans="1:24" s="324" customFormat="1" ht="0.65" hidden="1" customHeight="1">
      <c r="A1344" s="324">
        <v>6102</v>
      </c>
      <c r="F1344" s="324" t="s">
        <v>370</v>
      </c>
      <c r="X1344" s="326"/>
    </row>
    <row r="1345" spans="1:24" s="324" customFormat="1" ht="0.65" hidden="1" customHeight="1">
      <c r="A1345" s="324">
        <v>6103</v>
      </c>
      <c r="X1345" s="326"/>
    </row>
    <row r="1346" spans="1:24" s="324" customFormat="1" ht="0.65" hidden="1" customHeight="1">
      <c r="A1346" s="324">
        <v>6104</v>
      </c>
      <c r="F1346" s="324" t="s">
        <v>443</v>
      </c>
      <c r="X1346" s="326"/>
    </row>
    <row r="1347" spans="1:24" s="324" customFormat="1" ht="0.65" hidden="1" customHeight="1">
      <c r="A1347" s="324">
        <v>6105</v>
      </c>
      <c r="X1347" s="326"/>
    </row>
    <row r="1348" spans="1:24" s="324" customFormat="1" ht="0.65" hidden="1" customHeight="1">
      <c r="A1348" s="324">
        <v>6106</v>
      </c>
      <c r="F1348" s="324" t="s">
        <v>404</v>
      </c>
      <c r="X1348" s="326"/>
    </row>
    <row r="1349" spans="1:24" s="324" customFormat="1" ht="0.65" hidden="1" customHeight="1">
      <c r="A1349" s="324">
        <v>6107</v>
      </c>
      <c r="X1349" s="326"/>
    </row>
    <row r="1350" spans="1:24" s="324" customFormat="1" ht="0.65" hidden="1" customHeight="1">
      <c r="A1350" s="324">
        <v>6108</v>
      </c>
      <c r="F1350" s="324" t="s">
        <v>365</v>
      </c>
      <c r="X1350" s="326"/>
    </row>
    <row r="1351" spans="1:24" s="324" customFormat="1" ht="0.65" hidden="1" customHeight="1">
      <c r="A1351" s="324">
        <v>6109</v>
      </c>
      <c r="X1351" s="326"/>
    </row>
    <row r="1352" spans="1:24" s="324" customFormat="1" ht="0.65" hidden="1" customHeight="1">
      <c r="A1352" s="324">
        <v>6110</v>
      </c>
      <c r="F1352" s="324" t="s">
        <v>383</v>
      </c>
      <c r="X1352" s="326"/>
    </row>
    <row r="1353" spans="1:24" s="324" customFormat="1" ht="0.65" hidden="1" customHeight="1">
      <c r="A1353" s="324">
        <v>6111</v>
      </c>
      <c r="X1353" s="326"/>
    </row>
    <row r="1354" spans="1:24" s="324" customFormat="1" ht="0.65" hidden="1" customHeight="1">
      <c r="A1354" s="324">
        <v>6112</v>
      </c>
      <c r="F1354" s="324" t="s">
        <v>366</v>
      </c>
      <c r="X1354" s="326"/>
    </row>
    <row r="1355" spans="1:24" s="324" customFormat="1" ht="0.65" hidden="1" customHeight="1">
      <c r="A1355" s="324">
        <v>6113</v>
      </c>
      <c r="X1355" s="326"/>
    </row>
    <row r="1356" spans="1:24" s="324" customFormat="1" ht="0.65" hidden="1" customHeight="1">
      <c r="A1356" s="324">
        <v>6114</v>
      </c>
      <c r="F1356" s="324" t="s">
        <v>418</v>
      </c>
      <c r="X1356" s="326"/>
    </row>
    <row r="1357" spans="1:24" s="324" customFormat="1" ht="0.65" hidden="1" customHeight="1">
      <c r="A1357" s="324">
        <v>6115</v>
      </c>
      <c r="X1357" s="326"/>
    </row>
    <row r="1358" spans="1:24" s="324" customFormat="1" ht="0.65" hidden="1" customHeight="1">
      <c r="A1358" s="324">
        <v>6116</v>
      </c>
      <c r="F1358" s="324" t="s">
        <v>371</v>
      </c>
      <c r="X1358" s="326"/>
    </row>
    <row r="1359" spans="1:24" s="324" customFormat="1" ht="0.65" hidden="1" customHeight="1">
      <c r="A1359" s="324">
        <v>6117</v>
      </c>
      <c r="X1359" s="326"/>
    </row>
    <row r="1360" spans="1:24" s="324" customFormat="1" ht="0.65" hidden="1" customHeight="1">
      <c r="A1360" s="324">
        <v>6118</v>
      </c>
      <c r="H1360" s="324" t="s">
        <v>359</v>
      </c>
      <c r="I1360" s="324" t="s">
        <v>36</v>
      </c>
      <c r="J1360" s="324" t="s">
        <v>55</v>
      </c>
      <c r="L1360" s="324" t="s">
        <v>372</v>
      </c>
      <c r="X1360" s="326"/>
    </row>
    <row r="1361" spans="1:24" s="324" customFormat="1" ht="0.65" hidden="1" customHeight="1">
      <c r="A1361" s="324">
        <v>6119</v>
      </c>
      <c r="L1361" s="324">
        <v>4</v>
      </c>
      <c r="X1361" s="326"/>
    </row>
    <row r="1362" spans="1:24" s="324" customFormat="1" ht="0.65" hidden="1" customHeight="1">
      <c r="A1362" s="324">
        <v>6120</v>
      </c>
      <c r="X1362" s="326"/>
    </row>
    <row r="1363" spans="1:24" s="324" customFormat="1" ht="0.65" hidden="1" customHeight="1">
      <c r="A1363" s="324">
        <v>6121</v>
      </c>
      <c r="F1363" s="324" t="s">
        <v>384</v>
      </c>
      <c r="X1363" s="326"/>
    </row>
    <row r="1364" spans="1:24" s="324" customFormat="1" ht="0.65" hidden="1" customHeight="1">
      <c r="A1364" s="324">
        <v>6122</v>
      </c>
      <c r="X1364" s="326"/>
    </row>
    <row r="1365" spans="1:24" s="324" customFormat="1" ht="0.65" hidden="1" customHeight="1">
      <c r="A1365" s="324">
        <v>6123</v>
      </c>
      <c r="X1365" s="326"/>
    </row>
    <row r="1366" spans="1:24" s="324" customFormat="1" ht="0.65" hidden="1" customHeight="1">
      <c r="A1366" s="324">
        <v>6124</v>
      </c>
      <c r="H1366" s="324" t="s">
        <v>340</v>
      </c>
      <c r="X1366" s="326"/>
    </row>
    <row r="1367" spans="1:24" s="324" customFormat="1" ht="0.65" hidden="1" customHeight="1">
      <c r="A1367" s="324">
        <v>6125</v>
      </c>
      <c r="G1367" s="324" t="s">
        <v>0</v>
      </c>
      <c r="H1367" s="324" t="s">
        <v>1</v>
      </c>
      <c r="X1367" s="326"/>
    </row>
    <row r="1368" spans="1:24" s="324" customFormat="1" ht="0.65" hidden="1" customHeight="1">
      <c r="A1368" s="324">
        <v>6126</v>
      </c>
      <c r="G1368" s="324">
        <v>2022</v>
      </c>
      <c r="H1368" s="324">
        <v>-534375</v>
      </c>
      <c r="X1368" s="326"/>
    </row>
    <row r="1369" spans="1:24" s="324" customFormat="1" ht="0.65" hidden="1" customHeight="1">
      <c r="A1369" s="324">
        <v>6127</v>
      </c>
      <c r="G1369" s="324">
        <v>2023</v>
      </c>
      <c r="H1369" s="324">
        <v>547312.5</v>
      </c>
      <c r="X1369" s="326"/>
    </row>
    <row r="1370" spans="1:24" s="324" customFormat="1" ht="0.65" hidden="1" customHeight="1">
      <c r="A1370" s="324">
        <v>6128</v>
      </c>
      <c r="G1370" s="324">
        <v>2024</v>
      </c>
      <c r="H1370" s="324">
        <v>117281.25</v>
      </c>
      <c r="I1370" s="324" t="s">
        <v>354</v>
      </c>
      <c r="J1370" s="324" t="s">
        <v>355</v>
      </c>
      <c r="K1370" s="324" t="s">
        <v>356</v>
      </c>
      <c r="L1370" s="324" t="s">
        <v>28</v>
      </c>
      <c r="X1370" s="326"/>
    </row>
    <row r="1371" spans="1:24" s="324" customFormat="1" ht="0.65" hidden="1" customHeight="1">
      <c r="A1371" s="324">
        <v>6129</v>
      </c>
      <c r="G1371" s="324">
        <v>2025</v>
      </c>
      <c r="H1371" s="324">
        <v>39093.75</v>
      </c>
      <c r="I1371" s="324">
        <v>621648.38151983032</v>
      </c>
      <c r="J1371" s="324">
        <v>1.2487320466683685</v>
      </c>
      <c r="K1371" s="324">
        <v>703687.5</v>
      </c>
      <c r="L1371" s="324">
        <v>0.24721247118236711</v>
      </c>
      <c r="X1371" s="326"/>
    </row>
    <row r="1372" spans="1:24" s="324" customFormat="1" ht="0.65" hidden="1" customHeight="1">
      <c r="A1372" s="324">
        <v>6130</v>
      </c>
      <c r="X1372" s="326"/>
    </row>
    <row r="1373" spans="1:24" s="324" customFormat="1" ht="0.65" hidden="1" customHeight="1">
      <c r="A1373" s="324">
        <v>6131</v>
      </c>
      <c r="X1373" s="326"/>
    </row>
    <row r="1374" spans="1:24" s="324" customFormat="1" ht="0.65" hidden="1" customHeight="1">
      <c r="A1374" s="324">
        <v>6132</v>
      </c>
      <c r="F1374" s="324" t="s">
        <v>1847</v>
      </c>
      <c r="X1374" s="326"/>
    </row>
    <row r="1375" spans="1:24" s="324" customFormat="1" ht="0.65" hidden="1" customHeight="1">
      <c r="A1375" s="324">
        <v>6133</v>
      </c>
      <c r="X1375" s="326"/>
    </row>
    <row r="1376" spans="1:24" s="324" customFormat="1" ht="0.65" hidden="1" customHeight="1">
      <c r="A1376" s="324">
        <v>6134</v>
      </c>
      <c r="F1376" s="324" t="s">
        <v>428</v>
      </c>
      <c r="X1376" s="326"/>
    </row>
    <row r="1377" spans="1:24" s="324" customFormat="1" ht="0.65" hidden="1" customHeight="1">
      <c r="A1377" s="324">
        <v>6135</v>
      </c>
      <c r="X1377" s="326"/>
    </row>
    <row r="1378" spans="1:24" s="324" customFormat="1" ht="0.65" hidden="1" customHeight="1">
      <c r="A1378" s="324">
        <v>6136</v>
      </c>
      <c r="X1378" s="326"/>
    </row>
    <row r="1379" spans="1:24" s="324" customFormat="1" ht="0.65" hidden="1" customHeight="1">
      <c r="A1379" s="324">
        <v>6137</v>
      </c>
      <c r="C1379" s="324" t="s">
        <v>357</v>
      </c>
      <c r="G1379" s="324" t="s">
        <v>338</v>
      </c>
      <c r="H1379" s="324" t="s">
        <v>340</v>
      </c>
      <c r="I1379" s="324" t="s">
        <v>55</v>
      </c>
      <c r="L1379" s="324" t="s">
        <v>385</v>
      </c>
      <c r="X1379" s="326"/>
    </row>
    <row r="1380" spans="1:24" s="324" customFormat="1" ht="0.65" hidden="1" customHeight="1">
      <c r="A1380" s="324">
        <v>6138</v>
      </c>
      <c r="C1380" s="324" t="s">
        <v>1</v>
      </c>
      <c r="F1380" s="324" t="s">
        <v>0</v>
      </c>
      <c r="G1380" s="324" t="s">
        <v>1</v>
      </c>
      <c r="H1380" s="324" t="s">
        <v>1</v>
      </c>
      <c r="L1380" s="324">
        <v>5</v>
      </c>
      <c r="X1380" s="326"/>
    </row>
    <row r="1381" spans="1:24" s="324" customFormat="1" ht="0.65" hidden="1" customHeight="1">
      <c r="A1381" s="324">
        <v>6139</v>
      </c>
      <c r="C1381" s="324">
        <v>0</v>
      </c>
      <c r="F1381" s="324">
        <v>2022</v>
      </c>
      <c r="G1381" s="324">
        <v>-534375</v>
      </c>
      <c r="H1381" s="324">
        <v>-534375</v>
      </c>
      <c r="V1381" s="324">
        <v>-534375</v>
      </c>
      <c r="W1381" s="324">
        <v>-534375</v>
      </c>
      <c r="X1381" s="326">
        <v>1</v>
      </c>
    </row>
    <row r="1382" spans="1:24" s="324" customFormat="1" ht="0.65" hidden="1" customHeight="1">
      <c r="A1382" s="324">
        <v>6140</v>
      </c>
      <c r="C1382" s="324">
        <v>402781.25</v>
      </c>
      <c r="F1382" s="324">
        <v>2023</v>
      </c>
      <c r="G1382" s="324">
        <v>144531.25</v>
      </c>
      <c r="H1382" s="324">
        <v>547312.5</v>
      </c>
      <c r="V1382" s="324">
        <v>144531.25</v>
      </c>
      <c r="W1382" s="324">
        <v>144531.25</v>
      </c>
      <c r="X1382" s="326">
        <v>1</v>
      </c>
    </row>
    <row r="1383" spans="1:24" s="324" customFormat="1" ht="0.65" hidden="1" customHeight="1">
      <c r="A1383" s="324">
        <v>6141</v>
      </c>
      <c r="C1383" s="324">
        <v>-96000</v>
      </c>
      <c r="F1383" s="324">
        <v>2024</v>
      </c>
      <c r="G1383" s="324">
        <v>213281.25</v>
      </c>
      <c r="H1383" s="324">
        <v>117281.25</v>
      </c>
      <c r="V1383" s="324">
        <v>213281.25</v>
      </c>
      <c r="W1383" s="324">
        <v>213281.25</v>
      </c>
      <c r="X1383" s="326">
        <v>1</v>
      </c>
    </row>
    <row r="1384" spans="1:24" s="324" customFormat="1" ht="0.65" hidden="1" customHeight="1">
      <c r="A1384" s="324">
        <v>6142</v>
      </c>
      <c r="C1384" s="324">
        <v>-384968.75</v>
      </c>
      <c r="F1384" s="324">
        <v>2025</v>
      </c>
      <c r="G1384" s="324">
        <v>424062.5</v>
      </c>
      <c r="H1384" s="324">
        <v>39093.75</v>
      </c>
      <c r="V1384" s="324">
        <v>424062.5</v>
      </c>
      <c r="W1384" s="324">
        <v>424062.5</v>
      </c>
      <c r="X1384" s="326">
        <v>1</v>
      </c>
    </row>
    <row r="1385" spans="1:24" s="324" customFormat="1" ht="0.65" hidden="1" customHeight="1">
      <c r="A1385" s="324">
        <v>6143</v>
      </c>
      <c r="X1385" s="326"/>
    </row>
    <row r="1386" spans="1:24" s="324" customFormat="1" ht="0.65" hidden="1" customHeight="1">
      <c r="A1386" s="324">
        <v>6144</v>
      </c>
      <c r="V1386" s="324">
        <v>-534375</v>
      </c>
      <c r="W1386" s="324">
        <v>-534375</v>
      </c>
      <c r="X1386" s="326">
        <v>1</v>
      </c>
    </row>
    <row r="1387" spans="1:24" s="324" customFormat="1" ht="0.65" hidden="1" customHeight="1">
      <c r="A1387" s="324">
        <v>6145</v>
      </c>
      <c r="F1387" s="324" t="s">
        <v>1848</v>
      </c>
      <c r="G1387" s="324">
        <v>118939.01145658689</v>
      </c>
      <c r="H1387" s="324">
        <v>103979.48102423409</v>
      </c>
      <c r="I1387" s="324" t="s">
        <v>55</v>
      </c>
      <c r="J1387" s="324" t="s">
        <v>800</v>
      </c>
      <c r="K1387" s="324" t="s">
        <v>800</v>
      </c>
      <c r="N1387" s="324">
        <v>118939.01145658689</v>
      </c>
      <c r="O1387" s="324">
        <v>103979.48102423409</v>
      </c>
      <c r="V1387" s="324">
        <v>547312.5</v>
      </c>
      <c r="W1387" s="324">
        <v>547312.5</v>
      </c>
      <c r="X1387" s="326">
        <v>1</v>
      </c>
    </row>
    <row r="1388" spans="1:24" s="324" customFormat="1" ht="0.65" hidden="1" customHeight="1">
      <c r="A1388" s="324">
        <v>6146</v>
      </c>
      <c r="C1388" s="324">
        <v>0.08</v>
      </c>
      <c r="F1388" s="324" t="s">
        <v>1849</v>
      </c>
      <c r="G1388" s="324">
        <v>31403.591682419763</v>
      </c>
      <c r="H1388" s="324">
        <v>55935.162735267659</v>
      </c>
      <c r="I1388" s="324" t="s">
        <v>55</v>
      </c>
      <c r="J1388" s="324" t="s">
        <v>800</v>
      </c>
      <c r="K1388" s="324" t="s">
        <v>800</v>
      </c>
      <c r="N1388" s="324">
        <v>31403.591682419763</v>
      </c>
      <c r="O1388" s="324">
        <v>55935.162735267659</v>
      </c>
      <c r="V1388" s="324">
        <v>117281.25</v>
      </c>
      <c r="W1388" s="324">
        <v>117281.25</v>
      </c>
      <c r="X1388" s="326">
        <v>1</v>
      </c>
    </row>
    <row r="1389" spans="1:24" s="324" customFormat="1" ht="0.65" hidden="1" customHeight="1">
      <c r="A1389" s="324">
        <v>6147</v>
      </c>
      <c r="C1389" s="324">
        <v>0.10404602957191345</v>
      </c>
      <c r="F1389" s="324" t="s">
        <v>358</v>
      </c>
      <c r="G1389" s="324">
        <v>0.17939434472028948</v>
      </c>
      <c r="H1389" s="324">
        <v>0.24721247118236711</v>
      </c>
      <c r="I1389" s="324" t="s">
        <v>55</v>
      </c>
      <c r="J1389" s="324" t="s">
        <v>800</v>
      </c>
      <c r="K1389" s="324" t="s">
        <v>800</v>
      </c>
      <c r="N1389" s="324">
        <v>0.17939434472028948</v>
      </c>
      <c r="O1389" s="324">
        <v>0.24721247118236711</v>
      </c>
      <c r="V1389" s="324">
        <v>39093.75</v>
      </c>
      <c r="W1389" s="324">
        <v>39093.75</v>
      </c>
      <c r="X1389" s="326">
        <v>1</v>
      </c>
    </row>
    <row r="1390" spans="1:24" s="324" customFormat="1" ht="0.65" hidden="1" customHeight="1">
      <c r="A1390" s="324">
        <v>6148</v>
      </c>
      <c r="C1390" s="324">
        <v>0.15</v>
      </c>
      <c r="N1390" s="324">
        <v>0.08</v>
      </c>
      <c r="X1390" s="326"/>
    </row>
    <row r="1391" spans="1:24" s="324" customFormat="1" ht="0.65" hidden="1" customHeight="1">
      <c r="A1391" s="324">
        <v>6149</v>
      </c>
      <c r="G1391" s="324" t="s">
        <v>360</v>
      </c>
      <c r="H1391" s="324" t="s">
        <v>36</v>
      </c>
      <c r="I1391" s="324" t="s">
        <v>55</v>
      </c>
      <c r="X1391" s="326"/>
    </row>
    <row r="1392" spans="1:24" s="324" customFormat="1" ht="0.65" hidden="1" customHeight="1">
      <c r="A1392" s="324">
        <v>6150</v>
      </c>
      <c r="X1392" s="326"/>
    </row>
    <row r="1393" spans="1:24" s="324" customFormat="1" ht="0.65" hidden="1" customHeight="1">
      <c r="A1393" s="324">
        <v>6151</v>
      </c>
      <c r="G1393" s="324" t="s">
        <v>361</v>
      </c>
      <c r="H1393" s="324">
        <v>0</v>
      </c>
      <c r="X1393" s="326"/>
    </row>
    <row r="1394" spans="1:24" s="324" customFormat="1" ht="0.65" hidden="1" customHeight="1">
      <c r="A1394" s="324">
        <v>6152</v>
      </c>
      <c r="X1394" s="326"/>
    </row>
    <row r="1395" spans="1:24" s="324" customFormat="1" ht="0.65" hidden="1" customHeight="1">
      <c r="A1395" s="324">
        <v>6153</v>
      </c>
      <c r="F1395" s="324" t="s">
        <v>944</v>
      </c>
      <c r="X1395" s="326"/>
    </row>
    <row r="1396" spans="1:24" s="324" customFormat="1" ht="0.65" hidden="1" customHeight="1">
      <c r="A1396" s="324">
        <v>6154</v>
      </c>
      <c r="X1396" s="326"/>
    </row>
    <row r="1397" spans="1:24" s="324" customFormat="1" ht="0.65" hidden="1" customHeight="1">
      <c r="A1397" s="324">
        <v>6155</v>
      </c>
      <c r="F1397" s="324" t="s">
        <v>1850</v>
      </c>
      <c r="X1397" s="326"/>
    </row>
    <row r="1398" spans="1:24" s="324" customFormat="1" ht="0.65" hidden="1" customHeight="1">
      <c r="A1398" s="324">
        <v>6156</v>
      </c>
      <c r="X1398" s="326"/>
    </row>
    <row r="1399" spans="1:24" s="324" customFormat="1" ht="0.65" hidden="1" customHeight="1">
      <c r="A1399" s="324">
        <v>6157</v>
      </c>
      <c r="F1399" s="324" t="s">
        <v>2072</v>
      </c>
      <c r="X1399" s="326"/>
    </row>
    <row r="1400" spans="1:24" s="324" customFormat="1" ht="0.65" hidden="1" customHeight="1">
      <c r="A1400" s="324">
        <v>6158</v>
      </c>
      <c r="X1400" s="326"/>
    </row>
    <row r="1401" spans="1:24" s="324" customFormat="1" ht="0.65" hidden="1" customHeight="1">
      <c r="A1401" s="324">
        <v>6159</v>
      </c>
      <c r="F1401" s="324" t="s">
        <v>444</v>
      </c>
      <c r="X1401" s="326"/>
    </row>
    <row r="1402" spans="1:24" s="324" customFormat="1" ht="0.65" hidden="1" customHeight="1">
      <c r="A1402" s="324">
        <v>6160</v>
      </c>
      <c r="X1402" s="326"/>
    </row>
    <row r="1403" spans="1:24" s="324" customFormat="1" ht="0.65" hidden="1" customHeight="1">
      <c r="A1403" s="324">
        <v>6161</v>
      </c>
      <c r="F1403" s="324" t="s">
        <v>450</v>
      </c>
      <c r="X1403" s="326"/>
    </row>
    <row r="1404" spans="1:24" s="324" customFormat="1" ht="0.65" hidden="1" customHeight="1">
      <c r="A1404" s="324">
        <v>6162</v>
      </c>
      <c r="X1404" s="326"/>
    </row>
    <row r="1405" spans="1:24" s="324" customFormat="1" ht="0.65" hidden="1" customHeight="1">
      <c r="A1405" s="324">
        <v>6163</v>
      </c>
      <c r="F1405" s="324" t="s">
        <v>451</v>
      </c>
      <c r="X1405" s="326"/>
    </row>
    <row r="1406" spans="1:24" s="324" customFormat="1" ht="0.65" hidden="1" customHeight="1">
      <c r="A1406" s="324">
        <v>6164</v>
      </c>
      <c r="X1406" s="326"/>
    </row>
    <row r="1407" spans="1:24" s="324" customFormat="1" ht="0.65" hidden="1" customHeight="1">
      <c r="A1407" s="324">
        <v>6165</v>
      </c>
      <c r="F1407" s="324" t="s">
        <v>373</v>
      </c>
      <c r="X1407" s="326"/>
    </row>
    <row r="1408" spans="1:24" s="324" customFormat="1" ht="0.65" hidden="1" customHeight="1">
      <c r="A1408" s="324">
        <v>6166</v>
      </c>
      <c r="X1408" s="326"/>
    </row>
    <row r="1409" spans="1:24" s="324" customFormat="1" ht="0.65" hidden="1" customHeight="1">
      <c r="A1409" s="324">
        <v>6167</v>
      </c>
      <c r="F1409" s="324" t="s">
        <v>445</v>
      </c>
      <c r="X1409" s="326"/>
    </row>
    <row r="1410" spans="1:24" s="324" customFormat="1" ht="0.65" hidden="1" customHeight="1">
      <c r="A1410" s="324">
        <v>6168</v>
      </c>
      <c r="X1410" s="326"/>
    </row>
    <row r="1411" spans="1:24" s="324" customFormat="1" ht="0.65" hidden="1" customHeight="1">
      <c r="A1411" s="324">
        <v>6169</v>
      </c>
      <c r="L1411" s="324" t="s">
        <v>389</v>
      </c>
      <c r="X1411" s="326"/>
    </row>
    <row r="1412" spans="1:24" s="324" customFormat="1" ht="0.65" hidden="1" customHeight="1">
      <c r="A1412" s="324">
        <v>6170</v>
      </c>
      <c r="C1412" s="324" t="s">
        <v>55</v>
      </c>
      <c r="H1412" s="324" t="s">
        <v>338</v>
      </c>
      <c r="I1412" s="324" t="s">
        <v>386</v>
      </c>
      <c r="L1412" s="324">
        <v>6</v>
      </c>
      <c r="X1412" s="326"/>
    </row>
    <row r="1413" spans="1:24" s="324" customFormat="1" ht="0.65" hidden="1" customHeight="1">
      <c r="A1413" s="324">
        <v>6171</v>
      </c>
      <c r="G1413" s="324" t="s">
        <v>0</v>
      </c>
      <c r="H1413" s="324" t="s">
        <v>1</v>
      </c>
      <c r="I1413" s="324" t="s">
        <v>387</v>
      </c>
      <c r="P1413" s="324" t="s">
        <v>390</v>
      </c>
      <c r="Q1413" s="324" t="s">
        <v>390</v>
      </c>
      <c r="X1413" s="326"/>
    </row>
    <row r="1414" spans="1:24" s="324" customFormat="1" ht="0.65" hidden="1" customHeight="1">
      <c r="A1414" s="324">
        <v>6172</v>
      </c>
      <c r="G1414" s="324">
        <v>2022</v>
      </c>
      <c r="H1414" s="324">
        <v>-534375</v>
      </c>
      <c r="I1414" s="324">
        <v>-534375</v>
      </c>
      <c r="J1414" s="324" t="s">
        <v>55</v>
      </c>
      <c r="K1414" s="324" t="s">
        <v>800</v>
      </c>
      <c r="N1414" s="324">
        <v>-534375</v>
      </c>
      <c r="P1414" s="324" t="s">
        <v>391</v>
      </c>
      <c r="Q1414" s="324" t="s">
        <v>392</v>
      </c>
      <c r="V1414" s="324">
        <v>-534375</v>
      </c>
      <c r="W1414" s="324">
        <v>-534375</v>
      </c>
      <c r="X1414" s="326">
        <v>1</v>
      </c>
    </row>
    <row r="1415" spans="1:24" s="324" customFormat="1" ht="0.65" hidden="1" customHeight="1">
      <c r="A1415" s="324">
        <v>6173</v>
      </c>
      <c r="G1415" s="324">
        <v>2023</v>
      </c>
      <c r="H1415" s="324">
        <v>144531.25</v>
      </c>
      <c r="I1415" s="324">
        <v>-485707.6029599047</v>
      </c>
      <c r="J1415" s="324" t="s">
        <v>55</v>
      </c>
      <c r="K1415" s="324" t="s">
        <v>800</v>
      </c>
      <c r="N1415" s="324">
        <v>-485707.6029599047</v>
      </c>
      <c r="P1415" s="324">
        <v>1</v>
      </c>
      <c r="Q1415" s="324">
        <v>0</v>
      </c>
      <c r="V1415" s="324">
        <v>144531.25</v>
      </c>
      <c r="W1415" s="324">
        <v>144531.25</v>
      </c>
      <c r="X1415" s="326">
        <v>1</v>
      </c>
    </row>
    <row r="1416" spans="1:24" s="324" customFormat="1" ht="0.65" hidden="1" customHeight="1">
      <c r="A1416" s="324">
        <v>6174</v>
      </c>
      <c r="G1416" s="324">
        <v>2024</v>
      </c>
      <c r="H1416" s="324">
        <v>213281.25</v>
      </c>
      <c r="I1416" s="324">
        <v>-359559.55011855939</v>
      </c>
      <c r="J1416" s="324" t="s">
        <v>55</v>
      </c>
      <c r="K1416" s="324" t="s">
        <v>800</v>
      </c>
      <c r="N1416" s="324">
        <v>-359559.55011855939</v>
      </c>
      <c r="P1416" s="324">
        <v>0</v>
      </c>
      <c r="Q1416" s="324">
        <v>0</v>
      </c>
      <c r="V1416" s="324">
        <v>213281.25</v>
      </c>
      <c r="W1416" s="324">
        <v>213281.25</v>
      </c>
      <c r="X1416" s="326">
        <v>1</v>
      </c>
    </row>
    <row r="1417" spans="1:24" s="324" customFormat="1" ht="0.65" hidden="1" customHeight="1">
      <c r="A1417" s="324">
        <v>6175</v>
      </c>
      <c r="G1417" s="324">
        <v>2025</v>
      </c>
      <c r="H1417" s="324">
        <v>424062.5</v>
      </c>
      <c r="I1417" s="324">
        <v>0</v>
      </c>
      <c r="J1417" s="324" t="s">
        <v>55</v>
      </c>
      <c r="K1417" s="324" t="s">
        <v>800</v>
      </c>
      <c r="N1417" s="324">
        <v>-3.819594520796726E-10</v>
      </c>
      <c r="P1417" s="324">
        <v>0</v>
      </c>
      <c r="V1417" s="324">
        <v>424062.5</v>
      </c>
      <c r="W1417" s="324">
        <v>424062.5</v>
      </c>
      <c r="X1417" s="326">
        <v>1</v>
      </c>
    </row>
    <row r="1418" spans="1:24" s="324" customFormat="1" ht="0.65" hidden="1" customHeight="1">
      <c r="A1418" s="324">
        <v>6176</v>
      </c>
      <c r="P1418" s="324">
        <v>1</v>
      </c>
      <c r="Q1418" s="324">
        <v>0</v>
      </c>
      <c r="X1418" s="326"/>
    </row>
    <row r="1419" spans="1:24" s="324" customFormat="1" ht="0.65" hidden="1" customHeight="1">
      <c r="A1419" s="324">
        <v>6177</v>
      </c>
      <c r="G1419" s="324" t="s">
        <v>358</v>
      </c>
      <c r="H1419" s="324">
        <v>0.17939434472028948</v>
      </c>
      <c r="V1419" s="324">
        <v>0.17939434472028948</v>
      </c>
      <c r="W1419" s="324">
        <v>0.17939434472028948</v>
      </c>
      <c r="X1419" s="326">
        <v>1</v>
      </c>
    </row>
    <row r="1420" spans="1:24" s="324" customFormat="1" ht="0.65" hidden="1" customHeight="1">
      <c r="A1420" s="324">
        <v>6178</v>
      </c>
      <c r="O1420" s="324" t="s">
        <v>388</v>
      </c>
      <c r="P1420" s="324" t="s">
        <v>398</v>
      </c>
      <c r="X1420" s="326"/>
    </row>
    <row r="1421" spans="1:24" s="324" customFormat="1" ht="0.65" hidden="1" customHeight="1">
      <c r="A1421" s="324">
        <v>6179</v>
      </c>
      <c r="H1421" s="324" t="s">
        <v>360</v>
      </c>
      <c r="I1421" s="324" t="s">
        <v>36</v>
      </c>
      <c r="J1421" s="324" t="s">
        <v>55</v>
      </c>
      <c r="K1421" s="324" t="s">
        <v>361</v>
      </c>
      <c r="L1421" s="324">
        <v>0</v>
      </c>
      <c r="P1421" s="324" t="s">
        <v>400</v>
      </c>
      <c r="X1421" s="326"/>
    </row>
    <row r="1422" spans="1:24" s="324" customFormat="1" ht="0.65" hidden="1" customHeight="1">
      <c r="A1422" s="324">
        <v>6180</v>
      </c>
      <c r="W1422" s="324" t="s">
        <v>422</v>
      </c>
      <c r="X1422" s="326">
        <v>44</v>
      </c>
    </row>
    <row r="1423" spans="1:24" s="324" customFormat="1" ht="0.65" hidden="1" customHeight="1">
      <c r="A1423" s="324">
        <v>6181</v>
      </c>
      <c r="F1423" s="324" t="s">
        <v>55</v>
      </c>
      <c r="W1423" s="324" t="s">
        <v>423</v>
      </c>
      <c r="X1423" s="326" t="s">
        <v>520</v>
      </c>
    </row>
    <row r="1424" spans="1:24" s="324" customFormat="1" ht="0.65" hidden="1" customHeight="1">
      <c r="A1424" s="324">
        <v>6182</v>
      </c>
      <c r="F1424" s="324" t="s">
        <v>55</v>
      </c>
      <c r="X1424" s="326"/>
    </row>
    <row r="1425" spans="1:24" s="324" customFormat="1" ht="0.65" hidden="1" customHeight="1">
      <c r="A1425" s="324">
        <v>6183</v>
      </c>
      <c r="F1425" s="324" t="s">
        <v>944</v>
      </c>
      <c r="X1425" s="326"/>
    </row>
    <row r="1426" spans="1:24" s="324" customFormat="1" ht="0.65" hidden="1" customHeight="1">
      <c r="A1426" s="324">
        <v>6184</v>
      </c>
      <c r="X1426" s="326"/>
    </row>
    <row r="1427" spans="1:24" s="324" customFormat="1" ht="0.65" hidden="1" customHeight="1">
      <c r="A1427" s="324">
        <v>6185</v>
      </c>
      <c r="F1427" s="324" t="s">
        <v>446</v>
      </c>
      <c r="X1427" s="326"/>
    </row>
    <row r="1428" spans="1:24" s="324" customFormat="1" ht="0.65" hidden="1" customHeight="1">
      <c r="A1428" s="324">
        <v>6186</v>
      </c>
      <c r="O1428" s="324" t="s">
        <v>40</v>
      </c>
      <c r="P1428" s="324" t="s">
        <v>398</v>
      </c>
      <c r="X1428" s="326"/>
    </row>
    <row r="1429" spans="1:24" s="324" customFormat="1" ht="0.65" hidden="1" customHeight="1">
      <c r="A1429" s="324">
        <v>6187</v>
      </c>
      <c r="F1429" s="324" t="s">
        <v>393</v>
      </c>
      <c r="O1429" s="324" t="s">
        <v>38</v>
      </c>
      <c r="P1429" s="324" t="s">
        <v>399</v>
      </c>
      <c r="X1429" s="326"/>
    </row>
    <row r="1430" spans="1:24" s="324" customFormat="1" ht="0.65" hidden="1" customHeight="1">
      <c r="A1430" s="324">
        <v>6188</v>
      </c>
      <c r="O1430" s="324" t="s">
        <v>397</v>
      </c>
      <c r="P1430" s="324" t="s">
        <v>400</v>
      </c>
      <c r="X1430" s="326"/>
    </row>
    <row r="1431" spans="1:24" s="324" customFormat="1" ht="0.65" hidden="1" customHeight="1">
      <c r="A1431" s="324">
        <v>6189</v>
      </c>
      <c r="F1431" s="324" t="s">
        <v>394</v>
      </c>
      <c r="J1431" s="324" t="s">
        <v>40</v>
      </c>
      <c r="K1431" s="324" t="s">
        <v>55</v>
      </c>
      <c r="L1431" s="324" t="s">
        <v>800</v>
      </c>
      <c r="O1431" s="324" t="s">
        <v>396</v>
      </c>
      <c r="P1431" s="324" t="s">
        <v>401</v>
      </c>
      <c r="X1431" s="326"/>
    </row>
    <row r="1432" spans="1:24" s="324" customFormat="1" ht="0.65" hidden="1" customHeight="1">
      <c r="A1432" s="324">
        <v>6190</v>
      </c>
      <c r="F1432" s="324" t="s">
        <v>395</v>
      </c>
      <c r="J1432" s="324" t="s">
        <v>397</v>
      </c>
      <c r="K1432" s="324" t="s">
        <v>55</v>
      </c>
      <c r="L1432" s="324" t="s">
        <v>800</v>
      </c>
      <c r="X1432" s="326"/>
    </row>
    <row r="1433" spans="1:24" s="324" customFormat="1" ht="0.65" hidden="1" customHeight="1">
      <c r="A1433" s="324">
        <v>6191</v>
      </c>
      <c r="X1433" s="326"/>
    </row>
    <row r="1434" spans="1:24" s="324" customFormat="1" ht="0.65" hidden="1" customHeight="1">
      <c r="A1434" s="324">
        <v>6192</v>
      </c>
      <c r="I1434" s="324" t="s">
        <v>360</v>
      </c>
      <c r="J1434" s="324" t="s">
        <v>36</v>
      </c>
      <c r="K1434" s="324" t="s">
        <v>55</v>
      </c>
      <c r="L1434" s="324" t="s">
        <v>405</v>
      </c>
      <c r="X1434" s="326"/>
    </row>
    <row r="1435" spans="1:24" s="324" customFormat="1" ht="0.65" hidden="1" customHeight="1">
      <c r="A1435" s="324">
        <v>6193</v>
      </c>
      <c r="L1435" s="324">
        <v>7</v>
      </c>
      <c r="X1435" s="326"/>
    </row>
    <row r="1436" spans="1:24" s="324" customFormat="1" ht="0.65" hidden="1" customHeight="1">
      <c r="A1436" s="324">
        <v>6194</v>
      </c>
      <c r="I1436" s="324" t="s">
        <v>361</v>
      </c>
      <c r="J1436" s="324">
        <v>0</v>
      </c>
      <c r="X1436" s="326"/>
    </row>
    <row r="1437" spans="1:24" s="324" customFormat="1" ht="0.65" hidden="1" customHeight="1">
      <c r="A1437" s="324">
        <v>6195</v>
      </c>
      <c r="X1437" s="326"/>
    </row>
    <row r="1438" spans="1:24" s="324" customFormat="1" ht="0.65" hidden="1" customHeight="1">
      <c r="A1438" s="324">
        <v>6196</v>
      </c>
      <c r="F1438" s="324" t="s">
        <v>944</v>
      </c>
      <c r="X1438" s="326"/>
    </row>
    <row r="1439" spans="1:24" s="324" customFormat="1" ht="0.65" hidden="1" customHeight="1">
      <c r="A1439" s="324">
        <v>6197</v>
      </c>
      <c r="X1439" s="326"/>
    </row>
    <row r="1440" spans="1:24" s="324" customFormat="1" ht="0.65" hidden="1" customHeight="1">
      <c r="A1440" s="324">
        <v>6198</v>
      </c>
      <c r="F1440" s="324" t="s">
        <v>419</v>
      </c>
      <c r="X1440" s="326"/>
    </row>
    <row r="1441" spans="1:24" s="324" customFormat="1" ht="0.65" hidden="1" customHeight="1">
      <c r="A1441" s="324">
        <v>6199</v>
      </c>
      <c r="X1441" s="326"/>
    </row>
    <row r="1442" spans="1:24" s="324" customFormat="1" ht="0.65" hidden="1" customHeight="1">
      <c r="A1442" s="324">
        <v>6200</v>
      </c>
      <c r="F1442" s="324" t="s">
        <v>447</v>
      </c>
      <c r="X1442" s="326"/>
    </row>
    <row r="1443" spans="1:24" hidden="1"/>
  </sheetData>
  <sheetProtection algorithmName="SHA-512" hashValue="1W+xDk51Z0HhT9pm3TIkUaIZDG0cw//mHkpdeNpDZGzzCyLEDzq/dWhvIvLiZPiNPkzgMAXN9ahwLudd4lrGCQ==" saltValue="vRkKs93nBAdL6fWFtaWulQ==" spinCount="100000" sheet="1" selectLockedCells="1"/>
  <mergeCells count="37">
    <mergeCell ref="F202:L202"/>
    <mergeCell ref="F167:L167"/>
    <mergeCell ref="F169:L169"/>
    <mergeCell ref="C172:E176"/>
    <mergeCell ref="F187:L187"/>
    <mergeCell ref="F189:L189"/>
    <mergeCell ref="F200:L200"/>
    <mergeCell ref="F165:L165"/>
    <mergeCell ref="F114:L114"/>
    <mergeCell ref="F116:L116"/>
    <mergeCell ref="F118:L118"/>
    <mergeCell ref="F123:L123"/>
    <mergeCell ref="F134:L134"/>
    <mergeCell ref="F136:L136"/>
    <mergeCell ref="I139:K143"/>
    <mergeCell ref="F157:L157"/>
    <mergeCell ref="F159:L159"/>
    <mergeCell ref="F161:L161"/>
    <mergeCell ref="F163:L163"/>
    <mergeCell ref="F112:L112"/>
    <mergeCell ref="C70:E74"/>
    <mergeCell ref="F93:L93"/>
    <mergeCell ref="F95:L95"/>
    <mergeCell ref="F96:L96"/>
    <mergeCell ref="F98:L98"/>
    <mergeCell ref="F100:L100"/>
    <mergeCell ref="F102:L102"/>
    <mergeCell ref="F104:L104"/>
    <mergeCell ref="F106:L106"/>
    <mergeCell ref="F108:L108"/>
    <mergeCell ref="F110:L110"/>
    <mergeCell ref="F67:L67"/>
    <mergeCell ref="I24:K29"/>
    <mergeCell ref="F42:L42"/>
    <mergeCell ref="F44:L44"/>
    <mergeCell ref="C49:E53"/>
    <mergeCell ref="F64:L64"/>
  </mergeCells>
  <conditionalFormatting sqref="A1:A208 C139:C150 E1:F2 I10:L11 L24:L25 H38:I38 L48:L49 H59:I59 L69:L70 K87:L87 L120:L121 I130:L131 L139:L140 G153:H153 L171:L172 K181:L181 L194:L195 I196:J196 M1:X202 B208:X208 A216:XFD1442">
    <cfRule type="expression" dxfId="167" priority="15" stopIfTrue="1">
      <formula>NOT($D$32="javi")</formula>
    </cfRule>
  </conditionalFormatting>
  <conditionalFormatting sqref="F139:I139 F140:H143 L139:M143 F42:M138 F144:M207">
    <cfRule type="expression" dxfId="166" priority="2" stopIfTrue="1">
      <formula>NOT($L$25=1)</formula>
    </cfRule>
  </conditionalFormatting>
  <conditionalFormatting sqref="F139:I139 F140:H143 L139:M143 F64:M138 F144:M207">
    <cfRule type="expression" dxfId="165" priority="3" stopIfTrue="1">
      <formula>NOT($L$49=2)</formula>
    </cfRule>
  </conditionalFormatting>
  <conditionalFormatting sqref="F93:M138 F139:I139 F140:H143 L139:M143 F144:M207">
    <cfRule type="expression" dxfId="164" priority="4" stopIfTrue="1">
      <formula>NOT($L$70=3)</formula>
    </cfRule>
  </conditionalFormatting>
  <conditionalFormatting sqref="F157:M207">
    <cfRule type="expression" dxfId="163" priority="9" stopIfTrue="1">
      <formula>NOT($L$140=5)</formula>
    </cfRule>
  </conditionalFormatting>
  <conditionalFormatting sqref="F123:M138 F139:I139 F140:H143 L139:M143 F144:M207">
    <cfRule type="expression" dxfId="162" priority="8" stopIfTrue="1">
      <formula>NOT($L$121=4)</formula>
    </cfRule>
  </conditionalFormatting>
  <conditionalFormatting sqref="F187:L207">
    <cfRule type="expression" dxfId="161" priority="11" stopIfTrue="1">
      <formula>NOT($L$172=6)</formula>
    </cfRule>
  </conditionalFormatting>
  <conditionalFormatting sqref="J147:K149 K174:K177 L191:L192 K78:L84 I55:J55 J31:J33">
    <cfRule type="expression" dxfId="160" priority="13" stopIfTrue="1">
      <formula>I31="CORRECTO"</formula>
    </cfRule>
    <cfRule type="expression" dxfId="159" priority="14" stopIfTrue="1">
      <formula>AND(NOT(I31=""),NOT(I31="CORRECTO"))</formula>
    </cfRule>
  </conditionalFormatting>
  <conditionalFormatting sqref="F200:L207">
    <cfRule type="expression" dxfId="158" priority="12" stopIfTrue="1">
      <formula>NOT($L$195=7)</formula>
    </cfRule>
  </conditionalFormatting>
  <conditionalFormatting sqref="F60:L61">
    <cfRule type="expression" dxfId="157" priority="6" stopIfTrue="1">
      <formula>NOT($F$60="")</formula>
    </cfRule>
  </conditionalFormatting>
  <conditionalFormatting sqref="F89:L90">
    <cfRule type="expression" dxfId="156" priority="7" stopIfTrue="1">
      <formula>NOT($F$89="")</formula>
    </cfRule>
  </conditionalFormatting>
  <conditionalFormatting sqref="F183:L184">
    <cfRule type="expression" dxfId="155" priority="10" stopIfTrue="1">
      <formula>NOT($F$183="")</formula>
    </cfRule>
  </conditionalFormatting>
  <conditionalFormatting sqref="I24:K29 C49:E53 C70:E74 I139:K143 C172:E176">
    <cfRule type="expression" dxfId="154" priority="1" stopIfTrue="1">
      <formula>NOT($I$24="")</formula>
    </cfRule>
  </conditionalFormatting>
  <conditionalFormatting sqref="A1:XFD1048576">
    <cfRule type="expression" dxfId="153" priority="5" stopIfTrue="1">
      <formula>OR($F$1="",NOT($F$2="SI"),NOT($E$1=$E$2),$X$183="SI")</formula>
    </cfRule>
  </conditionalFormatting>
  <pageMargins left="0.70866141732283472" right="0.70866141732283472" top="0.74803149606299213" bottom="0.74803149606299213" header="0.31496062992125984" footer="0.31496062992125984"/>
  <pageSetup paperSize="9" scale="65" pageOrder="overThenDown" orientation="portrait" r:id="rId1"/>
  <headerFooter>
    <oddHeader>&amp;CCaso práctico de inversión en condiciones de certeza: Sustitución de maquinaria con inversiones en fondo de maniobra - &amp;A</oddHeader>
    <oddFooter>&amp;CPágina &amp;P de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5612-1C18-4EFB-98E3-1F860987CA71}">
  <dimension ref="A1:P68"/>
  <sheetViews>
    <sheetView showGridLines="0" workbookViewId="0">
      <selection activeCell="B4" sqref="B4:P4"/>
    </sheetView>
  </sheetViews>
  <sheetFormatPr baseColWidth="10" defaultColWidth="11.453125" defaultRowHeight="14.5"/>
  <cols>
    <col min="1" max="2" width="11.453125" style="59"/>
    <col min="3" max="9" width="6.54296875" style="59" customWidth="1"/>
    <col min="10" max="16384" width="11.453125" style="59"/>
  </cols>
  <sheetData>
    <row r="1" spans="1:16">
      <c r="A1" s="66"/>
    </row>
    <row r="2" spans="1:16">
      <c r="A2" s="66"/>
    </row>
    <row r="3" spans="1:16">
      <c r="A3" s="66" t="str">
        <f>IF(AND('Instrucciones de uso'!$J$14="x",'Instrucciones de uso'!$I$33="SI"),"SI","NO")</f>
        <v>NO</v>
      </c>
      <c r="B3" s="594" t="s">
        <v>3951</v>
      </c>
    </row>
    <row r="4" spans="1:16">
      <c r="A4" s="66"/>
      <c r="B4" s="980" t="s">
        <v>2751</v>
      </c>
      <c r="C4" s="980"/>
      <c r="D4" s="980"/>
      <c r="E4" s="980"/>
      <c r="F4" s="980"/>
      <c r="G4" s="980"/>
      <c r="H4" s="980"/>
      <c r="I4" s="980"/>
      <c r="J4" s="980"/>
      <c r="K4" s="980"/>
      <c r="L4" s="980"/>
      <c r="M4" s="980"/>
      <c r="N4" s="980"/>
      <c r="O4" s="980"/>
      <c r="P4" s="980"/>
    </row>
    <row r="5" spans="1:16">
      <c r="B5" s="595"/>
      <c r="C5" s="595"/>
      <c r="D5" s="595"/>
      <c r="E5" s="595"/>
      <c r="F5" s="595"/>
      <c r="G5" s="595"/>
      <c r="H5" s="595"/>
      <c r="I5" s="595"/>
      <c r="J5" s="595"/>
      <c r="K5" s="595"/>
      <c r="L5" s="595"/>
      <c r="M5" s="595"/>
      <c r="N5" s="595"/>
      <c r="O5" s="595"/>
      <c r="P5" s="595"/>
    </row>
    <row r="6" spans="1:16">
      <c r="B6" s="981" t="s">
        <v>2752</v>
      </c>
      <c r="C6" s="981"/>
      <c r="D6" s="981"/>
      <c r="E6" s="981"/>
      <c r="F6" s="981"/>
      <c r="G6" s="981"/>
      <c r="H6" s="981"/>
      <c r="I6" s="981"/>
      <c r="J6" s="981"/>
      <c r="K6" s="981"/>
      <c r="L6" s="981"/>
      <c r="M6" s="981"/>
      <c r="N6" s="981"/>
      <c r="O6" s="981"/>
      <c r="P6" s="981"/>
    </row>
    <row r="7" spans="1:16">
      <c r="B7" s="595"/>
      <c r="C7" s="595"/>
      <c r="D7" s="595"/>
      <c r="E7" s="595"/>
      <c r="F7" s="595"/>
      <c r="G7" s="595"/>
      <c r="H7" s="595"/>
      <c r="I7" s="595"/>
      <c r="J7" s="595"/>
      <c r="K7" s="595"/>
      <c r="L7" s="595"/>
      <c r="M7" s="595"/>
      <c r="N7" s="595"/>
      <c r="O7" s="595"/>
      <c r="P7" s="595"/>
    </row>
    <row r="10" spans="1:16">
      <c r="B10" s="980" t="s">
        <v>2753</v>
      </c>
      <c r="C10" s="980"/>
      <c r="D10" s="980"/>
      <c r="E10" s="980"/>
      <c r="F10" s="980"/>
      <c r="G10" s="980"/>
      <c r="H10" s="980"/>
      <c r="I10" s="980"/>
      <c r="L10" s="980" t="s">
        <v>2754</v>
      </c>
      <c r="M10" s="980"/>
      <c r="N10" s="980"/>
      <c r="O10" s="980"/>
      <c r="P10" s="980"/>
    </row>
    <row r="11" spans="1:16">
      <c r="B11" s="596"/>
      <c r="C11" s="596"/>
      <c r="D11" s="596"/>
      <c r="E11" s="596"/>
      <c r="F11" s="596"/>
      <c r="G11" s="596"/>
      <c r="H11" s="596"/>
      <c r="I11" s="596"/>
      <c r="L11" s="597"/>
      <c r="M11" s="597"/>
      <c r="N11" s="597"/>
      <c r="O11" s="597"/>
      <c r="P11" s="597"/>
    </row>
    <row r="12" spans="1:16">
      <c r="B12" s="982" t="s">
        <v>2755</v>
      </c>
      <c r="C12" s="982"/>
      <c r="D12" s="982"/>
      <c r="E12" s="982"/>
      <c r="F12" s="982"/>
      <c r="G12" s="982"/>
      <c r="H12" s="982"/>
      <c r="I12" s="982"/>
      <c r="L12" s="983" t="s">
        <v>2756</v>
      </c>
      <c r="M12" s="983"/>
      <c r="N12" s="983"/>
      <c r="O12" s="983"/>
      <c r="P12" s="983"/>
    </row>
    <row r="13" spans="1:16">
      <c r="B13" s="982" t="s">
        <v>2757</v>
      </c>
      <c r="C13" s="982"/>
      <c r="D13" s="982"/>
      <c r="E13" s="982"/>
      <c r="F13" s="982"/>
      <c r="G13" s="982"/>
      <c r="H13" s="982"/>
      <c r="I13" s="982"/>
      <c r="L13" s="983" t="s">
        <v>2758</v>
      </c>
      <c r="M13" s="983"/>
      <c r="N13" s="983"/>
      <c r="O13" s="983"/>
      <c r="P13" s="983"/>
    </row>
    <row r="14" spans="1:16">
      <c r="B14" s="596"/>
      <c r="C14" s="596"/>
      <c r="D14" s="596"/>
      <c r="E14" s="596"/>
      <c r="F14" s="596"/>
      <c r="G14" s="596"/>
      <c r="H14" s="596"/>
      <c r="I14" s="596"/>
      <c r="L14" s="597"/>
      <c r="M14" s="597"/>
      <c r="N14" s="597"/>
      <c r="O14" s="597"/>
      <c r="P14" s="597"/>
    </row>
    <row r="17" spans="10:11">
      <c r="J17" s="980" t="s">
        <v>2759</v>
      </c>
      <c r="K17" s="980"/>
    </row>
    <row r="19" spans="10:11">
      <c r="J19" s="984" t="s">
        <v>2760</v>
      </c>
      <c r="K19" s="984"/>
    </row>
    <row r="21" spans="10:11">
      <c r="J21" s="985" t="s">
        <v>2761</v>
      </c>
      <c r="K21" s="985"/>
    </row>
    <row r="44" spans="2:11">
      <c r="B44" s="594" t="s">
        <v>3951</v>
      </c>
    </row>
    <row r="47" spans="2:11">
      <c r="B47" s="598"/>
      <c r="C47" s="598"/>
      <c r="D47" s="598"/>
      <c r="E47" s="598"/>
      <c r="F47" s="598"/>
      <c r="G47" s="598"/>
      <c r="H47" s="598"/>
      <c r="I47" s="598"/>
      <c r="J47" s="598"/>
      <c r="K47" s="598"/>
    </row>
    <row r="48" spans="2:11">
      <c r="B48" s="598"/>
      <c r="C48" s="598">
        <f>SUM(E48:I48)</f>
        <v>295.751334375</v>
      </c>
      <c r="D48" s="598"/>
      <c r="E48" s="599">
        <v>31.5</v>
      </c>
      <c r="F48" s="599">
        <v>44.1</v>
      </c>
      <c r="G48" s="599">
        <v>57.881250000000009</v>
      </c>
      <c r="H48" s="599">
        <v>72.930374999999998</v>
      </c>
      <c r="I48" s="599">
        <v>89.339709375000012</v>
      </c>
      <c r="J48" s="598"/>
      <c r="K48" s="598"/>
    </row>
    <row r="49" spans="1:11">
      <c r="B49" s="598"/>
      <c r="C49" s="598"/>
      <c r="D49" s="598"/>
      <c r="E49" s="598"/>
      <c r="F49" s="598"/>
      <c r="G49" s="598"/>
      <c r="H49" s="598"/>
      <c r="I49" s="598"/>
      <c r="J49" s="598"/>
      <c r="K49" s="598"/>
    </row>
    <row r="50" spans="1:11">
      <c r="B50" s="598"/>
      <c r="C50" s="598"/>
      <c r="D50" s="598"/>
      <c r="E50" s="598"/>
      <c r="F50" s="598"/>
      <c r="G50" s="598"/>
      <c r="H50" s="598"/>
      <c r="I50" s="598"/>
      <c r="J50" s="598"/>
      <c r="K50" s="598"/>
    </row>
    <row r="51" spans="1:11">
      <c r="B51" s="598"/>
      <c r="C51" s="598"/>
      <c r="D51" s="598"/>
      <c r="E51" s="598"/>
      <c r="F51" s="598"/>
      <c r="G51" s="598"/>
      <c r="H51" s="598"/>
      <c r="I51" s="598"/>
      <c r="J51" s="600" t="s">
        <v>2762</v>
      </c>
      <c r="K51" s="601">
        <v>0.15500000000000025</v>
      </c>
    </row>
    <row r="52" spans="1:11">
      <c r="B52" s="598"/>
      <c r="C52" s="598"/>
      <c r="D52" s="598"/>
      <c r="E52" s="598"/>
      <c r="F52" s="598"/>
      <c r="G52" s="598"/>
      <c r="H52" s="598"/>
      <c r="I52" s="598"/>
      <c r="J52" s="600" t="s">
        <v>2763</v>
      </c>
      <c r="K52" s="602">
        <f>NPV(K51,E48:I48)-D53</f>
        <v>82.341618493520542</v>
      </c>
    </row>
    <row r="53" spans="1:11">
      <c r="B53" s="598"/>
      <c r="C53" s="598"/>
      <c r="D53" s="599">
        <v>100</v>
      </c>
      <c r="E53" s="598"/>
      <c r="F53" s="598"/>
      <c r="G53" s="598"/>
      <c r="H53" s="598"/>
      <c r="I53" s="598"/>
      <c r="J53" s="598"/>
      <c r="K53" s="598"/>
    </row>
    <row r="54" spans="1:11">
      <c r="B54" s="598"/>
      <c r="C54" s="598"/>
      <c r="D54" s="598"/>
      <c r="E54" s="598" t="s">
        <v>2764</v>
      </c>
      <c r="F54" s="598"/>
      <c r="G54" s="598"/>
      <c r="H54" s="598"/>
      <c r="I54" s="598"/>
      <c r="J54" s="598"/>
      <c r="K54" s="598"/>
    </row>
    <row r="55" spans="1:11">
      <c r="B55" s="598"/>
      <c r="C55" s="598"/>
      <c r="D55" s="598"/>
      <c r="E55" s="598" t="s">
        <v>2765</v>
      </c>
      <c r="F55" s="598"/>
      <c r="G55" s="598"/>
      <c r="H55" s="598"/>
      <c r="I55" s="598"/>
      <c r="J55" s="598"/>
      <c r="K55" s="598"/>
    </row>
    <row r="56" spans="1:11">
      <c r="B56" s="598"/>
      <c r="C56" s="598"/>
      <c r="D56" s="598"/>
      <c r="E56" s="598"/>
      <c r="F56" s="598"/>
      <c r="G56" s="598"/>
      <c r="H56" s="598"/>
      <c r="I56" s="598"/>
      <c r="J56" s="598"/>
      <c r="K56" s="598"/>
    </row>
    <row r="57" spans="1:11">
      <c r="A57" s="603" t="s">
        <v>2766</v>
      </c>
      <c r="B57" s="604">
        <v>0.05</v>
      </c>
    </row>
    <row r="58" spans="1:11">
      <c r="B58" s="598"/>
      <c r="C58" s="598"/>
      <c r="D58" s="598"/>
      <c r="E58" s="598"/>
      <c r="F58" s="598"/>
      <c r="G58" s="598"/>
      <c r="H58" s="598"/>
      <c r="I58" s="598"/>
      <c r="J58" s="598"/>
      <c r="K58" s="598"/>
    </row>
    <row r="59" spans="1:11">
      <c r="B59" s="598"/>
      <c r="C59" s="598">
        <f>SUM(E59:I59)</f>
        <v>250</v>
      </c>
      <c r="D59" s="598"/>
      <c r="E59" s="599">
        <f>E48/(1+$B$57)^1</f>
        <v>30</v>
      </c>
      <c r="F59" s="599">
        <f>F48/(1+$B$57)^2</f>
        <v>40</v>
      </c>
      <c r="G59" s="599">
        <f>G48/(1+$B$57)^3</f>
        <v>50</v>
      </c>
      <c r="H59" s="599">
        <f>H48/(1+$B$57)^4</f>
        <v>60</v>
      </c>
      <c r="I59" s="599">
        <f>I48/(1+$B$57)^5</f>
        <v>70</v>
      </c>
      <c r="J59" s="598"/>
      <c r="K59" s="598"/>
    </row>
    <row r="60" spans="1:11">
      <c r="B60" s="598"/>
      <c r="C60" s="598"/>
      <c r="D60" s="598"/>
      <c r="E60" s="598"/>
      <c r="F60" s="598"/>
      <c r="G60" s="598"/>
      <c r="H60" s="598"/>
      <c r="I60" s="598"/>
      <c r="J60" s="598"/>
      <c r="K60" s="598"/>
    </row>
    <row r="61" spans="1:11">
      <c r="B61" s="598"/>
      <c r="C61" s="598"/>
      <c r="D61" s="598"/>
      <c r="E61" s="598"/>
      <c r="F61" s="598"/>
      <c r="G61" s="598"/>
      <c r="H61" s="598"/>
      <c r="I61" s="598"/>
      <c r="J61" s="598"/>
      <c r="K61" s="598"/>
    </row>
    <row r="62" spans="1:11">
      <c r="B62" s="598"/>
      <c r="C62" s="598"/>
      <c r="D62" s="598"/>
      <c r="E62" s="598"/>
      <c r="F62" s="598"/>
      <c r="G62" s="598"/>
      <c r="H62" s="598"/>
      <c r="I62" s="598"/>
      <c r="J62" s="600" t="s">
        <v>2767</v>
      </c>
      <c r="K62" s="601">
        <f>(1+K51)/(1+$B$57)-1</f>
        <v>0.10000000000000009</v>
      </c>
    </row>
    <row r="63" spans="1:11">
      <c r="B63" s="598"/>
      <c r="C63" s="598"/>
      <c r="D63" s="598"/>
      <c r="E63" s="598"/>
      <c r="F63" s="598"/>
      <c r="G63" s="598"/>
      <c r="H63" s="598"/>
      <c r="I63" s="598"/>
      <c r="J63" s="600" t="s">
        <v>2763</v>
      </c>
      <c r="K63" s="602">
        <f>NPV(K62,E59:I59)-D64</f>
        <v>82.341618493520627</v>
      </c>
    </row>
    <row r="64" spans="1:11">
      <c r="B64" s="598"/>
      <c r="C64" s="598"/>
      <c r="D64" s="599">
        <v>100</v>
      </c>
      <c r="E64" s="598"/>
      <c r="F64" s="598"/>
      <c r="G64" s="598"/>
      <c r="H64" s="598"/>
      <c r="I64" s="598"/>
      <c r="J64" s="598"/>
      <c r="K64" s="598"/>
    </row>
    <row r="65" spans="2:11">
      <c r="B65" s="598"/>
      <c r="C65" s="598"/>
      <c r="D65" s="598"/>
      <c r="E65" s="598"/>
      <c r="F65" s="598"/>
      <c r="G65" s="598"/>
      <c r="H65" s="598"/>
      <c r="I65" s="598"/>
      <c r="J65" s="598"/>
      <c r="K65" s="598"/>
    </row>
    <row r="66" spans="2:11">
      <c r="B66" s="598"/>
      <c r="C66" s="598"/>
      <c r="D66" s="598"/>
      <c r="E66" s="598" t="s">
        <v>2768</v>
      </c>
      <c r="F66" s="598"/>
      <c r="G66" s="598"/>
      <c r="H66" s="598"/>
      <c r="I66" s="598"/>
      <c r="J66" s="598"/>
      <c r="K66" s="598"/>
    </row>
    <row r="67" spans="2:11">
      <c r="B67" s="598"/>
      <c r="C67" s="598"/>
      <c r="D67" s="598"/>
      <c r="E67" s="598" t="s">
        <v>2769</v>
      </c>
      <c r="F67" s="598"/>
      <c r="G67" s="598"/>
      <c r="H67" s="598"/>
      <c r="I67" s="598"/>
      <c r="J67" s="598"/>
      <c r="K67" s="598"/>
    </row>
    <row r="68" spans="2:11">
      <c r="B68" s="598"/>
      <c r="C68" s="598"/>
      <c r="D68" s="598"/>
      <c r="E68" s="598"/>
      <c r="F68" s="598"/>
      <c r="G68" s="598"/>
      <c r="H68" s="598"/>
      <c r="I68" s="598"/>
      <c r="J68" s="598"/>
      <c r="K68" s="598"/>
    </row>
  </sheetData>
  <sheetProtection algorithmName="SHA-512" hashValue="7c2AFx6gfe8/0cx1KUSPTWxGx9Trv1jf+PGgJnjXdWzVpB19a2aNITZS/b7MO45iM36T9LrD9o11TBEQnLXk8A==" saltValue="Tq5XvmtIcBLf3NiGvka7dA==" spinCount="100000" sheet="1" selectLockedCells="1"/>
  <mergeCells count="11">
    <mergeCell ref="B13:I13"/>
    <mergeCell ref="L13:P13"/>
    <mergeCell ref="J17:K17"/>
    <mergeCell ref="J19:K19"/>
    <mergeCell ref="J21:K21"/>
    <mergeCell ref="B4:P4"/>
    <mergeCell ref="B6:P6"/>
    <mergeCell ref="B10:I10"/>
    <mergeCell ref="L10:P10"/>
    <mergeCell ref="B12:I12"/>
    <mergeCell ref="L12:P12"/>
  </mergeCells>
  <conditionalFormatting sqref="A3:A4">
    <cfRule type="expression" dxfId="152" priority="2" stopIfTrue="1">
      <formula>NOT($A$1="javi")</formula>
    </cfRule>
  </conditionalFormatting>
  <conditionalFormatting sqref="A1:XFD1048576">
    <cfRule type="expression" dxfId="151" priority="1" stopIfTrue="1">
      <formula>NOT($A$3="SI")</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oddHeader>
    <oddFooter>&amp;CPágina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BB6-140C-4588-A051-E5023D0E10BC}">
  <dimension ref="A1:M42"/>
  <sheetViews>
    <sheetView showGridLines="0" zoomScale="90" zoomScaleNormal="90" workbookViewId="0">
      <selection activeCell="B5" sqref="B5"/>
    </sheetView>
  </sheetViews>
  <sheetFormatPr baseColWidth="10" defaultColWidth="11.453125" defaultRowHeight="12.75" customHeight="1"/>
  <cols>
    <col min="1" max="1" width="16.453125" style="542" customWidth="1"/>
    <col min="2" max="2" width="11.453125" style="542"/>
    <col min="3" max="3" width="5.1796875" style="543" customWidth="1"/>
    <col min="4" max="9" width="11.453125" style="542"/>
    <col min="10" max="11" width="12.54296875" style="542" customWidth="1"/>
    <col min="12" max="12" width="5.1796875" style="542" customWidth="1"/>
    <col min="13" max="16384" width="11.453125" style="542"/>
  </cols>
  <sheetData>
    <row r="1" spans="1:13" s="540" customFormat="1" ht="12.75" customHeight="1">
      <c r="A1" s="540" t="str">
        <f>IF(AND('Instrucciones de uso'!$J$14="x",'Instrucciones de uso'!$I$33="SI"),"SI","NO")</f>
        <v>NO</v>
      </c>
      <c r="B1" s="540" t="str">
        <f>'Instrucciones de uso'!$H$15</f>
        <v>contraseña</v>
      </c>
      <c r="C1" s="541" t="str">
        <f>'Instrucciones de uso'!$J$15</f>
        <v>contraseña</v>
      </c>
      <c r="L1" s="829"/>
      <c r="M1" s="830" t="s">
        <v>3951</v>
      </c>
    </row>
    <row r="2" spans="1:13" s="540" customFormat="1" ht="12.75" customHeight="1">
      <c r="C2" s="541"/>
    </row>
    <row r="3" spans="1:13" ht="12.75" customHeight="1">
      <c r="D3" s="544" t="s">
        <v>2620</v>
      </c>
      <c r="E3" s="545"/>
    </row>
    <row r="4" spans="1:13" ht="12.75" customHeight="1">
      <c r="K4" s="546" t="s">
        <v>2621</v>
      </c>
    </row>
    <row r="5" spans="1:13" ht="12.75" customHeight="1">
      <c r="A5" s="547" t="s">
        <v>2622</v>
      </c>
      <c r="B5" s="548"/>
      <c r="C5" s="549" t="str">
        <f>IF(OR(B5="",ISNUMBER(B5)),"","ERROR")</f>
        <v/>
      </c>
      <c r="D5" s="550" t="s">
        <v>0</v>
      </c>
      <c r="E5" s="550" t="s">
        <v>2622</v>
      </c>
      <c r="F5" s="550" t="s">
        <v>2148</v>
      </c>
      <c r="G5" s="550" t="s">
        <v>2623</v>
      </c>
      <c r="H5" s="550" t="s">
        <v>2624</v>
      </c>
      <c r="I5" s="550" t="s">
        <v>2625</v>
      </c>
      <c r="J5" s="550" t="s">
        <v>2626</v>
      </c>
      <c r="K5" s="551" t="s">
        <v>2627</v>
      </c>
    </row>
    <row r="6" spans="1:13" ht="12.75" customHeight="1">
      <c r="A6" s="547" t="s">
        <v>2148</v>
      </c>
      <c r="B6" s="548"/>
      <c r="C6" s="549" t="str">
        <f>IF(OR(B6="",ISNUMBER(B6)),"","ERROR")</f>
        <v/>
      </c>
      <c r="D6" s="552">
        <v>1</v>
      </c>
      <c r="E6" s="542">
        <f>$B$5</f>
        <v>0</v>
      </c>
      <c r="F6" s="542">
        <f>$B$6</f>
        <v>0</v>
      </c>
      <c r="G6" s="542">
        <f>$B$7</f>
        <v>0</v>
      </c>
      <c r="H6" s="542">
        <f>E6-F6-G6</f>
        <v>0</v>
      </c>
      <c r="I6" s="542">
        <f>H6*$B$8</f>
        <v>0</v>
      </c>
      <c r="J6" s="542">
        <f>H6-I6</f>
        <v>0</v>
      </c>
      <c r="K6" s="546">
        <f>J6+G6-H13</f>
        <v>0</v>
      </c>
    </row>
    <row r="7" spans="1:13" ht="12.75" customHeight="1">
      <c r="A7" s="547" t="s">
        <v>2623</v>
      </c>
      <c r="B7" s="548"/>
      <c r="C7" s="549" t="str">
        <f>IF(OR(B7="",ISNUMBER(B7)),"","ERROR")</f>
        <v/>
      </c>
      <c r="D7" s="552">
        <v>2</v>
      </c>
      <c r="E7" s="542">
        <f>$B$5</f>
        <v>0</v>
      </c>
      <c r="F7" s="542">
        <f>$B$6</f>
        <v>0</v>
      </c>
      <c r="G7" s="542">
        <f>$B$7</f>
        <v>0</v>
      </c>
      <c r="H7" s="542">
        <f>E7-F7-G7</f>
        <v>0</v>
      </c>
      <c r="I7" s="542">
        <f>H7*$B$8</f>
        <v>0</v>
      </c>
      <c r="J7" s="542">
        <f>H7-I7</f>
        <v>0</v>
      </c>
      <c r="K7" s="546">
        <f>J7+G7-H14</f>
        <v>0</v>
      </c>
    </row>
    <row r="8" spans="1:13" ht="12.75" customHeight="1">
      <c r="A8" s="547" t="s">
        <v>4</v>
      </c>
      <c r="B8" s="553"/>
      <c r="C8" s="549" t="str">
        <f>IF(OR(B8="",AND(ISNUMBER(B8),NOT(B8&lt;0),B8&lt;0.5)),"","ERROR")</f>
        <v/>
      </c>
      <c r="D8" s="552">
        <v>3</v>
      </c>
      <c r="E8" s="542">
        <f>$B$5</f>
        <v>0</v>
      </c>
      <c r="F8" s="542">
        <f>$B$6</f>
        <v>0</v>
      </c>
      <c r="G8" s="542">
        <f>$B$7</f>
        <v>0</v>
      </c>
      <c r="H8" s="542">
        <f>E8-F8-G8</f>
        <v>0</v>
      </c>
      <c r="I8" s="542">
        <f>H8*$B$8</f>
        <v>0</v>
      </c>
      <c r="J8" s="542">
        <f>H8-I8</f>
        <v>0</v>
      </c>
      <c r="K8" s="546">
        <f>J8+G8-H15+G15</f>
        <v>0</v>
      </c>
    </row>
    <row r="9" spans="1:13" ht="12.75" customHeight="1">
      <c r="A9" s="547" t="s">
        <v>2628</v>
      </c>
      <c r="B9" s="554">
        <v>0</v>
      </c>
      <c r="C9" s="555" t="s">
        <v>2629</v>
      </c>
    </row>
    <row r="10" spans="1:13" ht="12.75" customHeight="1">
      <c r="A10" s="547"/>
      <c r="B10" s="547"/>
      <c r="J10" s="556" t="str">
        <f>CONCATENATE("VAN (r = ",B14*100,"%)")</f>
        <v>VAN (r = 0%)</v>
      </c>
      <c r="K10" s="557">
        <f>NPV(B14,K6:K8)</f>
        <v>0</v>
      </c>
    </row>
    <row r="11" spans="1:13" ht="12.75" customHeight="1">
      <c r="A11" s="547"/>
      <c r="B11" s="547"/>
    </row>
    <row r="12" spans="1:13" ht="12.75" customHeight="1">
      <c r="A12" s="547" t="s">
        <v>2630</v>
      </c>
      <c r="B12" s="553"/>
      <c r="C12" s="549" t="str">
        <f>IF(OR(B12="",AND(ISNUMBER(B12),B12&gt;0,B12&lt;1)),"","ERROR")</f>
        <v/>
      </c>
      <c r="D12" s="550" t="s">
        <v>0</v>
      </c>
      <c r="E12" s="550" t="s">
        <v>2631</v>
      </c>
      <c r="F12" s="550" t="s">
        <v>2632</v>
      </c>
      <c r="G12" s="550" t="s">
        <v>2633</v>
      </c>
      <c r="H12" s="550" t="s">
        <v>2634</v>
      </c>
    </row>
    <row r="13" spans="1:13" ht="12.75" customHeight="1">
      <c r="C13" s="549"/>
      <c r="D13" s="552">
        <v>1</v>
      </c>
      <c r="E13" s="542">
        <f t="shared" ref="E13:F15" si="0">E6/360*$B$9</f>
        <v>0</v>
      </c>
      <c r="F13" s="542">
        <f t="shared" si="0"/>
        <v>0</v>
      </c>
      <c r="G13" s="542">
        <f>E13-F13</f>
        <v>0</v>
      </c>
      <c r="H13" s="542">
        <f>G13</f>
        <v>0</v>
      </c>
    </row>
    <row r="14" spans="1:13" ht="12.75" customHeight="1">
      <c r="A14" s="547" t="s">
        <v>2635</v>
      </c>
      <c r="B14" s="553"/>
      <c r="C14" s="549" t="str">
        <f>IF(OR(B14="",AND(ISNUMBER(B14),B14&gt;0,B14&lt;1)),"","ERROR")</f>
        <v/>
      </c>
      <c r="D14" s="552">
        <v>2</v>
      </c>
      <c r="E14" s="542">
        <f t="shared" si="0"/>
        <v>0</v>
      </c>
      <c r="F14" s="542">
        <f t="shared" si="0"/>
        <v>0</v>
      </c>
      <c r="G14" s="542">
        <f>E14-F14</f>
        <v>0</v>
      </c>
      <c r="H14" s="542">
        <f>G14-G13</f>
        <v>0</v>
      </c>
    </row>
    <row r="15" spans="1:13" ht="12.75" customHeight="1">
      <c r="B15" s="558"/>
      <c r="D15" s="552">
        <v>3</v>
      </c>
      <c r="E15" s="542">
        <f t="shared" si="0"/>
        <v>0</v>
      </c>
      <c r="F15" s="542">
        <f t="shared" si="0"/>
        <v>0</v>
      </c>
      <c r="G15" s="542">
        <f>E15-F15</f>
        <v>0</v>
      </c>
      <c r="H15" s="542">
        <f>G15-G14</f>
        <v>0</v>
      </c>
    </row>
    <row r="16" spans="1:13" ht="12.75" customHeight="1">
      <c r="A16" s="547" t="s">
        <v>2636</v>
      </c>
      <c r="B16" s="559">
        <f>(1+B14)*(1+B12)-1</f>
        <v>0</v>
      </c>
    </row>
    <row r="18" spans="2:13" ht="12.75" customHeight="1">
      <c r="B18" s="560" t="str">
        <f>IF(AND(COUNTIF(B5:B16,"")=4,COUNTIF(C5:C16,"")=11),"SI","")</f>
        <v/>
      </c>
    </row>
    <row r="22" spans="2:13" ht="12.75" customHeight="1">
      <c r="D22" s="544" t="s">
        <v>2637</v>
      </c>
      <c r="E22" s="545"/>
    </row>
    <row r="23" spans="2:13" ht="12.75" customHeight="1">
      <c r="K23" s="546" t="s">
        <v>2638</v>
      </c>
      <c r="M23" s="546" t="s">
        <v>2639</v>
      </c>
    </row>
    <row r="24" spans="2:13" ht="12.75" customHeight="1">
      <c r="D24" s="550" t="s">
        <v>0</v>
      </c>
      <c r="E24" s="550" t="s">
        <v>2622</v>
      </c>
      <c r="F24" s="550" t="s">
        <v>2148</v>
      </c>
      <c r="G24" s="550" t="s">
        <v>2623</v>
      </c>
      <c r="H24" s="550" t="s">
        <v>2624</v>
      </c>
      <c r="I24" s="550" t="s">
        <v>2625</v>
      </c>
      <c r="J24" s="550" t="s">
        <v>2626</v>
      </c>
      <c r="K24" s="551" t="s">
        <v>2627</v>
      </c>
      <c r="M24" s="551" t="s">
        <v>2627</v>
      </c>
    </row>
    <row r="25" spans="2:13" ht="12.75" customHeight="1">
      <c r="D25" s="552">
        <v>1</v>
      </c>
      <c r="E25" s="542">
        <f>$B$5*(1+$B$12)^$D25</f>
        <v>0</v>
      </c>
      <c r="F25" s="542">
        <f>$B$6*(1+$B$12)^$D25</f>
        <v>0</v>
      </c>
      <c r="G25" s="542">
        <f>$B$7</f>
        <v>0</v>
      </c>
      <c r="H25" s="542">
        <f>E25-F25-G25</f>
        <v>0</v>
      </c>
      <c r="I25" s="542">
        <f>H25*$B$8</f>
        <v>0</v>
      </c>
      <c r="J25" s="542">
        <f>H25-I25</f>
        <v>0</v>
      </c>
      <c r="K25" s="546">
        <f>J25+G25-H32</f>
        <v>0</v>
      </c>
      <c r="M25" s="546">
        <f>K25/(1+$B$12)^D25</f>
        <v>0</v>
      </c>
    </row>
    <row r="26" spans="2:13" ht="12.75" customHeight="1">
      <c r="D26" s="552">
        <v>2</v>
      </c>
      <c r="E26" s="542">
        <f>$B$5*(1+$B$12)^$D26</f>
        <v>0</v>
      </c>
      <c r="F26" s="542">
        <f>$B$6*(1+$B$12)^$D26</f>
        <v>0</v>
      </c>
      <c r="G26" s="542">
        <f>$B$7</f>
        <v>0</v>
      </c>
      <c r="H26" s="542">
        <f>E26-F26-G26</f>
        <v>0</v>
      </c>
      <c r="I26" s="542">
        <f>H26*$B$8</f>
        <v>0</v>
      </c>
      <c r="J26" s="542">
        <f>H26-I26</f>
        <v>0</v>
      </c>
      <c r="K26" s="546">
        <f>J26+G26-H33</f>
        <v>0</v>
      </c>
      <c r="M26" s="546">
        <f>K26/(1+$B$12)^D26</f>
        <v>0</v>
      </c>
    </row>
    <row r="27" spans="2:13" ht="12.75" customHeight="1">
      <c r="D27" s="552">
        <v>3</v>
      </c>
      <c r="E27" s="542">
        <f>$B$5*(1+$B$12)^$D27</f>
        <v>0</v>
      </c>
      <c r="F27" s="542">
        <f>$B$6*(1+$B$12)^$D27</f>
        <v>0</v>
      </c>
      <c r="G27" s="542">
        <f>$B$7</f>
        <v>0</v>
      </c>
      <c r="H27" s="542">
        <f>E27-F27-G27</f>
        <v>0</v>
      </c>
      <c r="I27" s="542">
        <f>H27*$B$8</f>
        <v>0</v>
      </c>
      <c r="J27" s="542">
        <f>H27-I27</f>
        <v>0</v>
      </c>
      <c r="K27" s="546">
        <f>J27+G27-H34+G34</f>
        <v>0</v>
      </c>
      <c r="M27" s="546">
        <f>K27/(1+$B$12)^D27</f>
        <v>0</v>
      </c>
    </row>
    <row r="29" spans="2:13" ht="12.75" customHeight="1">
      <c r="J29" s="556" t="str">
        <f>CONCATENATE("VAN (k = ",B16*100,"%)")</f>
        <v>VAN (k = 0%)</v>
      </c>
      <c r="K29" s="557">
        <f>NPV(B16,K25:K27)</f>
        <v>0</v>
      </c>
    </row>
    <row r="31" spans="2:13" ht="12.75" customHeight="1">
      <c r="D31" s="550" t="s">
        <v>0</v>
      </c>
      <c r="E31" s="550" t="s">
        <v>2631</v>
      </c>
      <c r="F31" s="550" t="s">
        <v>2632</v>
      </c>
      <c r="G31" s="550" t="s">
        <v>2633</v>
      </c>
      <c r="H31" s="550" t="s">
        <v>2634</v>
      </c>
      <c r="K31" s="556"/>
      <c r="L31" s="556" t="str">
        <f>CONCATENATE("VAN (r = ",B14*100,"%)")</f>
        <v>VAN (r = 0%)</v>
      </c>
      <c r="M31" s="557">
        <f>NPV(B14,M25:M27)</f>
        <v>0</v>
      </c>
    </row>
    <row r="32" spans="2:13" ht="12.75" customHeight="1">
      <c r="D32" s="552">
        <v>1</v>
      </c>
      <c r="E32" s="542">
        <f t="shared" ref="E32:F34" si="1">E25/360*$B$9</f>
        <v>0</v>
      </c>
      <c r="F32" s="542">
        <f t="shared" si="1"/>
        <v>0</v>
      </c>
      <c r="G32" s="542">
        <f>E32-F32</f>
        <v>0</v>
      </c>
      <c r="H32" s="542">
        <f>G32</f>
        <v>0</v>
      </c>
    </row>
    <row r="33" spans="4:8" ht="12.75" customHeight="1">
      <c r="D33" s="552">
        <v>2</v>
      </c>
      <c r="E33" s="542">
        <f t="shared" si="1"/>
        <v>0</v>
      </c>
      <c r="F33" s="542">
        <f t="shared" si="1"/>
        <v>0</v>
      </c>
      <c r="G33" s="542">
        <f>E33-F33</f>
        <v>0</v>
      </c>
      <c r="H33" s="542">
        <f>G33-G32</f>
        <v>0</v>
      </c>
    </row>
    <row r="34" spans="4:8" ht="12.75" customHeight="1">
      <c r="D34" s="552">
        <v>3</v>
      </c>
      <c r="E34" s="542">
        <f t="shared" si="1"/>
        <v>0</v>
      </c>
      <c r="F34" s="542">
        <f t="shared" si="1"/>
        <v>0</v>
      </c>
      <c r="G34" s="542">
        <f>E34-F34</f>
        <v>0</v>
      </c>
      <c r="H34" s="542">
        <f>G34-G33</f>
        <v>0</v>
      </c>
    </row>
    <row r="38" spans="4:8" ht="12.75" customHeight="1">
      <c r="D38" s="561" t="s">
        <v>2640</v>
      </c>
    </row>
    <row r="39" spans="4:8" ht="12.75" customHeight="1">
      <c r="D39" s="562" t="s">
        <v>2641</v>
      </c>
    </row>
    <row r="40" spans="4:8" ht="12.75" customHeight="1">
      <c r="D40" s="563" t="str">
        <f>IF(OR($B$7=0,$B$8=0),"Como en este caso, no hay escudos fiscales asociados a las amortizaciones (y se supone que la inflación","")</f>
        <v>Como en este caso, no hay escudos fiscales asociados a las amortizaciones (y se supone que la inflación</v>
      </c>
    </row>
    <row r="41" spans="4:8" ht="12.75" customHeight="1">
      <c r="D41" s="563" t="str">
        <f>IF(OR($B$7=0,$B$8=0),"general afecta por igual a todos los componentes de la GF y no hay inversiones en fondo de maniobra),","")</f>
        <v>general afecta por igual a todos los componentes de la GF y no hay inversiones en fondo de maniobra),</v>
      </c>
    </row>
    <row r="42" spans="4:8" ht="12.75" customHeight="1">
      <c r="D42" s="563" t="str">
        <f>IF(OR($B$7=0,$B$8=0),"el VAN coincide en todas las aproximaciones","")</f>
        <v>el VAN coincide en todas las aproximaciones</v>
      </c>
    </row>
  </sheetData>
  <sheetProtection algorithmName="SHA-512" hashValue="c6c4KHBSX/DfwCV798dXVTr6rA2alyQJcSb9C+Wnp3xaOzGPPuuFLKqbhLXQXV2E6Td8l5olC3m55M2av4Q5iA==" saltValue="vfLzo7MXXXeFXEs1wQLCHA==" spinCount="100000" sheet="1" selectLockedCells="1"/>
  <conditionalFormatting sqref="A9:C9">
    <cfRule type="expression" dxfId="150" priority="7" stopIfTrue="1">
      <formula>OR(NOT(COUNTIF($B$5:$B$8,"")=0),NOT(COUNTIF($C$5:$C$8,"")=4))</formula>
    </cfRule>
  </conditionalFormatting>
  <conditionalFormatting sqref="A16:B16">
    <cfRule type="expression" dxfId="149" priority="6" stopIfTrue="1">
      <formula>OR(NOT(COUNTIF($B$12:$B$14,"")=1),NOT(COUNTIF($C$12:$C$14,"")=3))</formula>
    </cfRule>
  </conditionalFormatting>
  <conditionalFormatting sqref="D3:K8 D12:H15">
    <cfRule type="expression" dxfId="148" priority="5" stopIfTrue="1">
      <formula>OR(COUNTIF($B$5:$B$8,"")&gt;0,COUNTIF($C$5:$C$8,"ERROR")&gt;0)</formula>
    </cfRule>
  </conditionalFormatting>
  <conditionalFormatting sqref="D22:M27 D31:H34">
    <cfRule type="expression" dxfId="147" priority="4" stopIfTrue="1">
      <formula>OR(COUNTIF($B$5:$B$12,"")&gt;2,COUNTIF($C$5:$C$12,"ERROR")&gt;0)</formula>
    </cfRule>
  </conditionalFormatting>
  <conditionalFormatting sqref="J10:K10 J29:K29 K31:M31 D38:D42">
    <cfRule type="expression" dxfId="146" priority="3" stopIfTrue="1">
      <formula>OR(COUNTIF($B$5:$B$14,"")&gt;3,COUNTIF($C$5:$C$14,"ERROR")&gt;0)</formula>
    </cfRule>
  </conditionalFormatting>
  <conditionalFormatting sqref="A1:XFD1048576">
    <cfRule type="expression" dxfId="145" priority="1" stopIfTrue="1">
      <formula>NOT($A$1="SI")</formula>
    </cfRule>
  </conditionalFormatting>
  <conditionalFormatting sqref="A1:C1">
    <cfRule type="expression" dxfId="144" priority="2" stopIfTrue="1">
      <formula>NOT($B$15="javi")</formula>
    </cfRule>
  </conditionalFormatting>
  <pageMargins left="0.39370078740157483" right="0.39370078740157483" top="0.78740157480314965" bottom="0.78740157480314965" header="0.39370078740157483" footer="0.39370078740157483"/>
  <pageSetup paperSize="9" scale="95" orientation="landscape" r:id="rId1"/>
  <headerFooter alignWithMargins="0">
    <oddHeader>&amp;CEjemplo sencillo efectos de la inflación en escudos fiscales de la amortización</oddHeader>
    <oddFooter>&amp;CPágina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DBB02-5769-4F6D-804D-33D17810FB3A}">
  <dimension ref="A1:M41"/>
  <sheetViews>
    <sheetView showGridLines="0" zoomScale="90" zoomScaleNormal="90" workbookViewId="0">
      <selection activeCell="B5" sqref="B5"/>
    </sheetView>
  </sheetViews>
  <sheetFormatPr baseColWidth="10" defaultColWidth="11.453125" defaultRowHeight="12.75" customHeight="1"/>
  <cols>
    <col min="1" max="1" width="16.453125" style="543" customWidth="1"/>
    <col min="2" max="2" width="11.453125" style="543"/>
    <col min="3" max="3" width="5.1796875" style="543" customWidth="1"/>
    <col min="4" max="9" width="11.453125" style="543"/>
    <col min="10" max="11" width="12.54296875" style="543" customWidth="1"/>
    <col min="12" max="12" width="5.1796875" style="543" customWidth="1"/>
    <col min="13" max="16384" width="11.453125" style="543"/>
  </cols>
  <sheetData>
    <row r="1" spans="1:13" ht="12.75" customHeight="1">
      <c r="A1" s="543" t="str">
        <f>IF(AND('Instrucciones de uso'!$J$14="x",'Instrucciones de uso'!$I$33="SI"),"SI","NO")</f>
        <v>NO</v>
      </c>
      <c r="B1" s="543" t="str">
        <f>'Instrucciones de uso'!$H$15</f>
        <v>contraseña</v>
      </c>
      <c r="C1" s="543" t="str">
        <f>'Instrucciones de uso'!$J$15</f>
        <v>contraseña</v>
      </c>
      <c r="M1" s="831" t="s">
        <v>3951</v>
      </c>
    </row>
    <row r="3" spans="1:13" ht="12.75" customHeight="1">
      <c r="D3" s="564" t="s">
        <v>2620</v>
      </c>
      <c r="E3" s="565"/>
    </row>
    <row r="4" spans="1:13" ht="12.75" customHeight="1">
      <c r="I4" s="566" t="s">
        <v>2621</v>
      </c>
      <c r="K4" s="566" t="s">
        <v>2621</v>
      </c>
      <c r="L4" s="566"/>
    </row>
    <row r="5" spans="1:13" ht="12.75" customHeight="1">
      <c r="A5" s="567" t="s">
        <v>2622</v>
      </c>
      <c r="B5" s="548"/>
      <c r="C5" s="549" t="str">
        <f>IF(OR(B5="",ISNUMBER(B5)),"","ERROR")</f>
        <v/>
      </c>
      <c r="D5" s="568" t="s">
        <v>0</v>
      </c>
      <c r="E5" s="568" t="s">
        <v>2622</v>
      </c>
      <c r="F5" s="568" t="s">
        <v>2148</v>
      </c>
      <c r="G5" s="568" t="s">
        <v>2642</v>
      </c>
      <c r="H5" s="568" t="s">
        <v>2634</v>
      </c>
      <c r="I5" s="569" t="s">
        <v>2643</v>
      </c>
      <c r="K5" s="569" t="s">
        <v>1</v>
      </c>
      <c r="L5" s="570"/>
    </row>
    <row r="6" spans="1:13" ht="12.75" customHeight="1">
      <c r="A6" s="567" t="s">
        <v>2148</v>
      </c>
      <c r="B6" s="548"/>
      <c r="C6" s="549" t="str">
        <f>IF(OR(B6="",ISNUMBER(B6)),"","ERROR")</f>
        <v/>
      </c>
      <c r="D6" s="571">
        <v>1</v>
      </c>
      <c r="E6" s="543">
        <f>$B$5</f>
        <v>0</v>
      </c>
      <c r="F6" s="543">
        <f>$B$6</f>
        <v>0</v>
      </c>
      <c r="G6" s="543">
        <f>E6-F6</f>
        <v>0</v>
      </c>
      <c r="H6" s="543">
        <f>H13</f>
        <v>0</v>
      </c>
      <c r="I6" s="566">
        <f>G6-H6</f>
        <v>0</v>
      </c>
      <c r="K6" s="566">
        <f>I6</f>
        <v>0</v>
      </c>
      <c r="L6" s="566"/>
    </row>
    <row r="7" spans="1:13" ht="12.75" customHeight="1">
      <c r="A7" s="567" t="s">
        <v>2623</v>
      </c>
      <c r="B7" s="572">
        <v>0</v>
      </c>
      <c r="D7" s="571">
        <v>2</v>
      </c>
      <c r="E7" s="543">
        <f>$B$5</f>
        <v>0</v>
      </c>
      <c r="F7" s="543">
        <f>$B$6</f>
        <v>0</v>
      </c>
      <c r="G7" s="543">
        <f>E7-F7</f>
        <v>0</v>
      </c>
      <c r="H7" s="543">
        <f>H14</f>
        <v>0</v>
      </c>
      <c r="I7" s="566">
        <f>G7-H7</f>
        <v>0</v>
      </c>
      <c r="K7" s="566">
        <f>I7</f>
        <v>0</v>
      </c>
      <c r="L7" s="566"/>
    </row>
    <row r="8" spans="1:13" ht="12.75" customHeight="1">
      <c r="A8" s="567" t="s">
        <v>4</v>
      </c>
      <c r="B8" s="573">
        <v>0</v>
      </c>
      <c r="D8" s="571">
        <v>3</v>
      </c>
      <c r="E8" s="543">
        <f>$B$5</f>
        <v>0</v>
      </c>
      <c r="F8" s="543">
        <f>$B$6</f>
        <v>0</v>
      </c>
      <c r="G8" s="543">
        <f>E8-F8</f>
        <v>0</v>
      </c>
      <c r="H8" s="543">
        <f>H15</f>
        <v>0</v>
      </c>
      <c r="I8" s="566">
        <f>G8-H8</f>
        <v>0</v>
      </c>
      <c r="K8" s="566">
        <f>I8+G15</f>
        <v>0</v>
      </c>
      <c r="L8" s="566"/>
    </row>
    <row r="9" spans="1:13" ht="12.75" customHeight="1">
      <c r="A9" s="567" t="s">
        <v>2628</v>
      </c>
      <c r="B9" s="574"/>
      <c r="C9" s="575" t="str">
        <f>IF(OR(B9=0,ISNUMBER(B9)),"días","ERROR")</f>
        <v>días</v>
      </c>
    </row>
    <row r="10" spans="1:13" ht="12.75" customHeight="1">
      <c r="A10" s="567"/>
      <c r="B10" s="567"/>
      <c r="J10" s="576" t="str">
        <f>CONCATENATE("VAN (r = ",B14*100,"%)")</f>
        <v>VAN (r = 0%)</v>
      </c>
      <c r="K10" s="577">
        <f>NPV(B14,K6:K8)</f>
        <v>0</v>
      </c>
    </row>
    <row r="11" spans="1:13" ht="12.75" customHeight="1">
      <c r="A11" s="567"/>
      <c r="B11" s="567"/>
    </row>
    <row r="12" spans="1:13" ht="12.75" customHeight="1">
      <c r="A12" s="567" t="s">
        <v>2630</v>
      </c>
      <c r="B12" s="553"/>
      <c r="C12" s="549" t="str">
        <f>IF(OR(B12="",AND(ISNUMBER(B12),B12&gt;0,B12&lt;1)),"","ERROR")</f>
        <v/>
      </c>
      <c r="D12" s="568" t="s">
        <v>0</v>
      </c>
      <c r="E12" s="568" t="s">
        <v>2631</v>
      </c>
      <c r="F12" s="568" t="s">
        <v>2632</v>
      </c>
      <c r="G12" s="568" t="s">
        <v>2633</v>
      </c>
      <c r="H12" s="568" t="s">
        <v>2634</v>
      </c>
    </row>
    <row r="13" spans="1:13" ht="12.75" customHeight="1">
      <c r="D13" s="571">
        <v>1</v>
      </c>
      <c r="E13" s="543">
        <f t="shared" ref="E13:F15" si="0">E6/360*$B$9</f>
        <v>0</v>
      </c>
      <c r="F13" s="543">
        <f t="shared" si="0"/>
        <v>0</v>
      </c>
      <c r="G13" s="543">
        <f>E13-F13</f>
        <v>0</v>
      </c>
      <c r="H13" s="543">
        <f>G13</f>
        <v>0</v>
      </c>
    </row>
    <row r="14" spans="1:13" ht="12.75" customHeight="1">
      <c r="A14" s="567" t="s">
        <v>2635</v>
      </c>
      <c r="B14" s="553"/>
      <c r="C14" s="549" t="str">
        <f>IF(OR(B14="",AND(ISNUMBER(B14),B14&gt;0,B14&lt;1)),"","ERROR")</f>
        <v/>
      </c>
      <c r="D14" s="571">
        <v>2</v>
      </c>
      <c r="E14" s="543">
        <f t="shared" si="0"/>
        <v>0</v>
      </c>
      <c r="F14" s="543">
        <f t="shared" si="0"/>
        <v>0</v>
      </c>
      <c r="G14" s="543">
        <f>E14-F14</f>
        <v>0</v>
      </c>
      <c r="H14" s="543">
        <f>G14-G13</f>
        <v>0</v>
      </c>
    </row>
    <row r="15" spans="1:13" ht="12.75" customHeight="1">
      <c r="B15" s="558"/>
      <c r="D15" s="571">
        <v>3</v>
      </c>
      <c r="E15" s="543">
        <f t="shared" si="0"/>
        <v>0</v>
      </c>
      <c r="F15" s="543">
        <f t="shared" si="0"/>
        <v>0</v>
      </c>
      <c r="G15" s="543">
        <f>E15-F15</f>
        <v>0</v>
      </c>
      <c r="H15" s="543">
        <f>G15-G14</f>
        <v>0</v>
      </c>
    </row>
    <row r="16" spans="1:13" ht="12.75" customHeight="1">
      <c r="A16" s="567" t="s">
        <v>2636</v>
      </c>
      <c r="B16" s="578">
        <f>(1+B14)*(1+B12)-1</f>
        <v>0</v>
      </c>
    </row>
    <row r="18" spans="2:13" ht="12.75" customHeight="1">
      <c r="B18" s="560" t="str">
        <f>IF(AND(COUNTIF(B5:B16,"")=4,COUNTIF(C5:C16,"")=11),"SI","")</f>
        <v/>
      </c>
    </row>
    <row r="22" spans="2:13" ht="12.75" customHeight="1">
      <c r="D22" s="564" t="s">
        <v>2637</v>
      </c>
      <c r="E22" s="565"/>
    </row>
    <row r="23" spans="2:13" ht="12.75" customHeight="1">
      <c r="I23" s="567" t="s">
        <v>2638</v>
      </c>
      <c r="J23" s="566" t="s">
        <v>2639</v>
      </c>
      <c r="K23" s="566" t="s">
        <v>2639</v>
      </c>
      <c r="M23" s="566" t="s">
        <v>2638</v>
      </c>
    </row>
    <row r="24" spans="2:13" ht="12.75" customHeight="1">
      <c r="D24" s="568" t="s">
        <v>0</v>
      </c>
      <c r="E24" s="568" t="s">
        <v>2622</v>
      </c>
      <c r="F24" s="568" t="s">
        <v>2148</v>
      </c>
      <c r="G24" s="568" t="s">
        <v>2642</v>
      </c>
      <c r="H24" s="568" t="s">
        <v>2634</v>
      </c>
      <c r="I24" s="568" t="s">
        <v>2643</v>
      </c>
      <c r="J24" s="569" t="s">
        <v>2643</v>
      </c>
      <c r="K24" s="569" t="s">
        <v>1</v>
      </c>
      <c r="M24" s="569" t="s">
        <v>1</v>
      </c>
    </row>
    <row r="25" spans="2:13" ht="12.75" customHeight="1">
      <c r="D25" s="571">
        <v>1</v>
      </c>
      <c r="E25" s="543">
        <f>$B$5*(1+$B$12)^$D25</f>
        <v>0</v>
      </c>
      <c r="F25" s="543">
        <f>$B$6*(1+$B$12)^$D25</f>
        <v>0</v>
      </c>
      <c r="G25" s="543">
        <f>E25-F25</f>
        <v>0</v>
      </c>
      <c r="H25" s="543">
        <f>H32</f>
        <v>0</v>
      </c>
      <c r="I25" s="543">
        <f>G25-H25</f>
        <v>0</v>
      </c>
      <c r="J25" s="566">
        <f>I25/(1+$B$12)^$D25</f>
        <v>0</v>
      </c>
      <c r="K25" s="566">
        <f>J25</f>
        <v>0</v>
      </c>
      <c r="M25" s="566">
        <f>I25</f>
        <v>0</v>
      </c>
    </row>
    <row r="26" spans="2:13" ht="12.75" customHeight="1">
      <c r="D26" s="571">
        <v>2</v>
      </c>
      <c r="E26" s="543">
        <f>$B$5*(1+$B$12)^$D26</f>
        <v>0</v>
      </c>
      <c r="F26" s="543">
        <f>$B$6*(1+$B$12)^$D26</f>
        <v>0</v>
      </c>
      <c r="G26" s="543">
        <f>E26-F26</f>
        <v>0</v>
      </c>
      <c r="H26" s="543">
        <f>H33</f>
        <v>0</v>
      </c>
      <c r="I26" s="543">
        <f>G26-H26</f>
        <v>0</v>
      </c>
      <c r="J26" s="566">
        <f>I26/(1+$B$12)^$D26</f>
        <v>0</v>
      </c>
      <c r="K26" s="566">
        <f>J26</f>
        <v>0</v>
      </c>
      <c r="M26" s="566">
        <f>I26</f>
        <v>0</v>
      </c>
    </row>
    <row r="27" spans="2:13" ht="12.75" customHeight="1">
      <c r="D27" s="571">
        <v>3</v>
      </c>
      <c r="E27" s="543">
        <f>$B$5*(1+$B$12)^$D27</f>
        <v>0</v>
      </c>
      <c r="F27" s="543">
        <f>$B$6*(1+$B$12)^$D27</f>
        <v>0</v>
      </c>
      <c r="G27" s="543">
        <f>E27-F27</f>
        <v>0</v>
      </c>
      <c r="H27" s="543">
        <f>H34</f>
        <v>0</v>
      </c>
      <c r="I27" s="543">
        <f>G27-H27</f>
        <v>0</v>
      </c>
      <c r="J27" s="566">
        <f>I27/(1+$B$12)^$D27</f>
        <v>0</v>
      </c>
      <c r="K27" s="566">
        <f>J27+G34/(1+B12)^3</f>
        <v>0</v>
      </c>
      <c r="M27" s="566">
        <f>I27+G34</f>
        <v>0</v>
      </c>
    </row>
    <row r="29" spans="2:13" ht="12.75" customHeight="1">
      <c r="J29" s="576" t="str">
        <f>CONCATENATE("VAN (r = ",B14*100,"%)")</f>
        <v>VAN (r = 0%)</v>
      </c>
      <c r="K29" s="577">
        <f>NPV(B14,K25:K27)</f>
        <v>0</v>
      </c>
    </row>
    <row r="31" spans="2:13" ht="12.75" customHeight="1">
      <c r="D31" s="568" t="s">
        <v>0</v>
      </c>
      <c r="E31" s="568" t="s">
        <v>2631</v>
      </c>
      <c r="F31" s="568" t="s">
        <v>2632</v>
      </c>
      <c r="G31" s="568" t="s">
        <v>2633</v>
      </c>
      <c r="H31" s="568" t="s">
        <v>2634</v>
      </c>
      <c r="K31" s="576" t="str">
        <f>CONCATENATE("VAN (k = ",B16*100,"%)")</f>
        <v>VAN (k = 0%)</v>
      </c>
      <c r="L31" s="576"/>
      <c r="M31" s="577">
        <f>NPV(B16,M25:M27)</f>
        <v>0</v>
      </c>
    </row>
    <row r="32" spans="2:13" ht="12.75" customHeight="1">
      <c r="D32" s="571">
        <v>1</v>
      </c>
      <c r="E32" s="543">
        <f t="shared" ref="E32:F34" si="1">E25/360*$B$9</f>
        <v>0</v>
      </c>
      <c r="F32" s="543">
        <f t="shared" si="1"/>
        <v>0</v>
      </c>
      <c r="G32" s="543">
        <f>E32-F32</f>
        <v>0</v>
      </c>
      <c r="H32" s="543">
        <f>G32</f>
        <v>0</v>
      </c>
    </row>
    <row r="33" spans="4:8" ht="12.75" customHeight="1">
      <c r="D33" s="571">
        <v>2</v>
      </c>
      <c r="E33" s="543">
        <f t="shared" si="1"/>
        <v>0</v>
      </c>
      <c r="F33" s="543">
        <f t="shared" si="1"/>
        <v>0</v>
      </c>
      <c r="G33" s="543">
        <f>E33-F33</f>
        <v>0</v>
      </c>
      <c r="H33" s="543">
        <f>G33-G32</f>
        <v>0</v>
      </c>
    </row>
    <row r="34" spans="4:8" ht="12.75" customHeight="1">
      <c r="D34" s="571">
        <v>3</v>
      </c>
      <c r="E34" s="543">
        <f t="shared" si="1"/>
        <v>0</v>
      </c>
      <c r="F34" s="543">
        <f t="shared" si="1"/>
        <v>0</v>
      </c>
      <c r="G34" s="543">
        <f>E34-F34</f>
        <v>0</v>
      </c>
      <c r="H34" s="543">
        <f>G34-G33</f>
        <v>0</v>
      </c>
    </row>
    <row r="38" spans="4:8" ht="12.75" customHeight="1">
      <c r="D38" s="579" t="s">
        <v>2640</v>
      </c>
    </row>
    <row r="39" spans="4:8" ht="12.75" customHeight="1">
      <c r="D39" s="563" t="s">
        <v>2644</v>
      </c>
    </row>
    <row r="40" spans="4:8" ht="12.75" customHeight="1">
      <c r="D40" s="563" t="str">
        <f>IF(B9=0,"Como en este caso, no hay tales inversiones en fondo de maniobra (y se supone que la inflación","")</f>
        <v>Como en este caso, no hay tales inversiones en fondo de maniobra (y se supone que la inflación</v>
      </c>
    </row>
    <row r="41" spans="4:8" ht="12.75" customHeight="1">
      <c r="D41" s="563" t="str">
        <f>IF(B9=0,"general afecta por igual a todos los componentes de la GF), el VAN coincide en todas las aproximaciones","")</f>
        <v>general afecta por igual a todos los componentes de la GF), el VAN coincide en todas las aproximaciones</v>
      </c>
    </row>
  </sheetData>
  <sheetProtection algorithmName="SHA-512" hashValue="YB/CrCn9chsj61IXJ8hlg314KAL5Iul/vAYFY5qi+G/juaQQIK3XDLmIPG5iJV7WtujEYESxkgKfckFJ0EVpjQ==" saltValue="UYFG3YGK1VvWry8eZlnyxQ==" spinCount="100000" sheet="1" selectLockedCells="1"/>
  <conditionalFormatting sqref="A7:B8">
    <cfRule type="expression" dxfId="143" priority="10" stopIfTrue="1">
      <formula>OR(NOT(COUNTIF($B$5:$B$6,"")=0),NOT(COUNTIF($C$5:$C$6,"")=2))</formula>
    </cfRule>
  </conditionalFormatting>
  <conditionalFormatting sqref="A16:B16">
    <cfRule type="expression" dxfId="142" priority="9" stopIfTrue="1">
      <formula>OR($B$14="",NOT($C$14=""))</formula>
    </cfRule>
  </conditionalFormatting>
  <conditionalFormatting sqref="D3:H8">
    <cfRule type="expression" dxfId="141" priority="8" stopIfTrue="1">
      <formula>OR($B$5="",$B$6="",NOT($C$5=""),NOT($C$6=""))</formula>
    </cfRule>
  </conditionalFormatting>
  <conditionalFormatting sqref="D12:H15 H5:H8">
    <cfRule type="expression" dxfId="140" priority="7" stopIfTrue="1">
      <formula>OR($B$9="",$C$9="ERROR")</formula>
    </cfRule>
  </conditionalFormatting>
  <conditionalFormatting sqref="C9">
    <cfRule type="expression" dxfId="139" priority="6" stopIfTrue="1">
      <formula>$C$9="ERROR"</formula>
    </cfRule>
  </conditionalFormatting>
  <conditionalFormatting sqref="I4:K8">
    <cfRule type="expression" dxfId="138" priority="5" stopIfTrue="1">
      <formula>OR(COUNTIF($C$5:$C$9,"ERROR")&gt;0,COUNTIF($B$5:$B$9,"")&gt;0)</formula>
    </cfRule>
  </conditionalFormatting>
  <conditionalFormatting sqref="D22:M27 D31:H34">
    <cfRule type="expression" dxfId="137" priority="4" stopIfTrue="1">
      <formula>OR(COUNTIF($C$5:$C$12,"ERROR")&gt;0,COUNTIF($B$5:$B$12,"")&gt;2)</formula>
    </cfRule>
  </conditionalFormatting>
  <conditionalFormatting sqref="J10:K10 J29:K29 K31:M31 D38:D41">
    <cfRule type="expression" dxfId="136" priority="3" stopIfTrue="1">
      <formula>OR(COUNTIF($C$5:$C$14,"ERROR")&gt;0,COUNTIF($B$5:$B$14,"")&gt;3)</formula>
    </cfRule>
  </conditionalFormatting>
  <conditionalFormatting sqref="A1:XFD1048576">
    <cfRule type="expression" dxfId="135" priority="1" stopIfTrue="1">
      <formula>NOT($A$1="SI")</formula>
    </cfRule>
  </conditionalFormatting>
  <conditionalFormatting sqref="A1:C1">
    <cfRule type="expression" dxfId="134" priority="2" stopIfTrue="1">
      <formula>NOT($B$15="javi")</formula>
    </cfRule>
  </conditionalFormatting>
  <pageMargins left="0.39370078740157483" right="0.39370078740157483" top="0.78740157480314965" bottom="0.78740157480314965" header="0.39370078740157483" footer="0.39370078740157483"/>
  <pageSetup paperSize="9" scale="95" orientation="landscape" r:id="rId1"/>
  <headerFooter alignWithMargins="0">
    <oddHeader>&amp;CEjemplo sencillo efectos de la inflación en el fondo de maniobra</oddHeader>
    <oddFooter>&amp;CPágina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4EE13-25F4-4CEB-9E81-D138CBF5F12D}">
  <dimension ref="A1:W322"/>
  <sheetViews>
    <sheetView showGridLines="0" zoomScale="80" zoomScaleNormal="80" workbookViewId="0">
      <selection activeCell="C12" sqref="C12"/>
    </sheetView>
  </sheetViews>
  <sheetFormatPr baseColWidth="10" defaultColWidth="11.453125" defaultRowHeight="14.5"/>
  <cols>
    <col min="1" max="1" width="3.54296875" style="605" customWidth="1"/>
    <col min="2" max="2" width="17.453125" style="605" customWidth="1"/>
    <col min="3" max="3" width="7.54296875" style="605" customWidth="1"/>
    <col min="4" max="4" width="7.54296875" style="606" customWidth="1"/>
    <col min="5" max="5" width="5.1796875" style="605" customWidth="1"/>
    <col min="6" max="6" width="5.54296875" style="605" customWidth="1"/>
    <col min="7" max="7" width="3.54296875" style="605" customWidth="1"/>
    <col min="8" max="8" width="11.453125" style="605"/>
    <col min="9" max="16" width="13.54296875" style="605" customWidth="1"/>
    <col min="17" max="17" width="5.1796875" style="605" customWidth="1"/>
    <col min="18" max="18" width="13.54296875" style="605" customWidth="1"/>
    <col min="19" max="19" width="3.54296875" style="605" customWidth="1"/>
    <col min="20" max="20" width="3.54296875" style="606" customWidth="1"/>
    <col min="21" max="23" width="11.453125" style="605"/>
    <col min="24" max="24" width="3.54296875" style="605" customWidth="1"/>
    <col min="25" max="16384" width="11.453125" style="605"/>
  </cols>
  <sheetData>
    <row r="1" spans="1:23">
      <c r="A1" s="605" t="str">
        <f>IF(AND('Instrucciones de uso'!$J$14="x",'Instrucciones de uso'!$I$33="SI"),"SI","NO")</f>
        <v>NO</v>
      </c>
      <c r="G1" s="986" t="str">
        <f>UPPER(IF(OR(C12="",NOT(D12="")),"",VLOOKUP(C12,$I$87:$J$98,2,FALSE)))</f>
        <v/>
      </c>
      <c r="H1" s="986"/>
      <c r="I1" s="986"/>
      <c r="J1" s="986"/>
      <c r="K1" s="986"/>
      <c r="L1" s="986"/>
      <c r="M1" s="986"/>
      <c r="N1" s="986"/>
      <c r="O1" s="986"/>
      <c r="P1" s="986"/>
      <c r="Q1" s="986"/>
      <c r="R1" s="986"/>
      <c r="S1" s="986"/>
    </row>
    <row r="2" spans="1:23">
      <c r="B2" s="987" t="s">
        <v>2770</v>
      </c>
      <c r="C2" s="987"/>
      <c r="D2" s="987"/>
      <c r="E2" s="987"/>
      <c r="G2" s="607" t="s">
        <v>3951</v>
      </c>
      <c r="T2" s="608"/>
    </row>
    <row r="3" spans="1:23">
      <c r="G3" s="609" t="s">
        <v>2620</v>
      </c>
      <c r="H3" s="610"/>
      <c r="I3" s="610"/>
      <c r="J3" s="610"/>
      <c r="K3" s="610"/>
      <c r="L3" s="610"/>
      <c r="M3" s="610"/>
      <c r="N3" s="610"/>
      <c r="O3" s="610"/>
      <c r="P3" s="610"/>
      <c r="Q3" s="610"/>
      <c r="R3" s="610"/>
      <c r="S3" s="610"/>
      <c r="T3" s="611"/>
      <c r="U3" s="988" t="e">
        <f>IF(VLOOKUP(C12,I102:U111,13,FALSE)="","",VLOOKUP(C12,I102:U111,13,FALSE))</f>
        <v>#N/A</v>
      </c>
      <c r="V3" s="988"/>
      <c r="W3" s="988"/>
    </row>
    <row r="4" spans="1:23">
      <c r="B4" s="612" t="s">
        <v>2771</v>
      </c>
      <c r="G4" s="613"/>
      <c r="H4" s="614"/>
      <c r="I4" s="614"/>
      <c r="J4" s="614"/>
      <c r="K4" s="614"/>
      <c r="L4" s="614"/>
      <c r="M4" s="614"/>
      <c r="N4" s="614"/>
      <c r="O4" s="614"/>
      <c r="P4" s="989" t="s">
        <v>2772</v>
      </c>
      <c r="Q4" s="614"/>
      <c r="R4" s="614"/>
      <c r="S4" s="615"/>
      <c r="T4" s="611"/>
      <c r="U4" s="988"/>
      <c r="V4" s="988"/>
      <c r="W4" s="988"/>
    </row>
    <row r="5" spans="1:23">
      <c r="B5" s="991" t="s">
        <v>2773</v>
      </c>
      <c r="C5" s="991"/>
      <c r="D5" s="991"/>
      <c r="E5" s="991"/>
      <c r="F5" s="380" t="s">
        <v>2774</v>
      </c>
      <c r="G5" s="616"/>
      <c r="H5" s="617" t="s">
        <v>0</v>
      </c>
      <c r="I5" s="617" t="s">
        <v>2622</v>
      </c>
      <c r="J5" s="617" t="s">
        <v>2148</v>
      </c>
      <c r="K5" s="617" t="s">
        <v>2623</v>
      </c>
      <c r="L5" s="617" t="s">
        <v>2624</v>
      </c>
      <c r="M5" s="617" t="s">
        <v>2625</v>
      </c>
      <c r="N5" s="617" t="s">
        <v>2626</v>
      </c>
      <c r="O5" s="617" t="s">
        <v>2775</v>
      </c>
      <c r="P5" s="990"/>
      <c r="Q5" s="618"/>
      <c r="R5" s="618"/>
      <c r="S5" s="619"/>
      <c r="T5" s="611"/>
      <c r="U5" s="988"/>
      <c r="V5" s="988"/>
      <c r="W5" s="988"/>
    </row>
    <row r="6" spans="1:23">
      <c r="G6" s="616"/>
      <c r="H6" s="620">
        <v>1</v>
      </c>
      <c r="I6" s="618" t="e">
        <f>HLOOKUP($C$12,$H$243:$R$321,I219+1,FALSE)</f>
        <v>#N/A</v>
      </c>
      <c r="J6" s="618" t="e">
        <f t="shared" ref="J6:P6" si="0">HLOOKUP($C$12,$H$243:$R$321,J219+1,FALSE)</f>
        <v>#N/A</v>
      </c>
      <c r="K6" s="618" t="e">
        <f t="shared" si="0"/>
        <v>#N/A</v>
      </c>
      <c r="L6" s="618" t="e">
        <f t="shared" si="0"/>
        <v>#N/A</v>
      </c>
      <c r="M6" s="618" t="e">
        <f t="shared" si="0"/>
        <v>#N/A</v>
      </c>
      <c r="N6" s="618" t="e">
        <f t="shared" si="0"/>
        <v>#N/A</v>
      </c>
      <c r="O6" s="618" t="e">
        <f t="shared" si="0"/>
        <v>#N/A</v>
      </c>
      <c r="P6" s="621" t="e">
        <f t="shared" si="0"/>
        <v>#N/A</v>
      </c>
      <c r="Q6" s="618"/>
      <c r="R6" s="618"/>
      <c r="S6" s="619"/>
      <c r="T6" s="611"/>
      <c r="U6" s="988"/>
      <c r="V6" s="988"/>
      <c r="W6" s="988"/>
    </row>
    <row r="7" spans="1:23">
      <c r="G7" s="622"/>
      <c r="H7" s="620">
        <v>2</v>
      </c>
      <c r="I7" s="618" t="e">
        <f t="shared" ref="I7:P8" si="1">HLOOKUP($C$12,$H$243:$R$321,I220+1,FALSE)</f>
        <v>#N/A</v>
      </c>
      <c r="J7" s="618" t="e">
        <f t="shared" si="1"/>
        <v>#N/A</v>
      </c>
      <c r="K7" s="618" t="e">
        <f t="shared" si="1"/>
        <v>#N/A</v>
      </c>
      <c r="L7" s="618" t="e">
        <f t="shared" si="1"/>
        <v>#N/A</v>
      </c>
      <c r="M7" s="618" t="e">
        <f t="shared" si="1"/>
        <v>#N/A</v>
      </c>
      <c r="N7" s="618" t="e">
        <f t="shared" si="1"/>
        <v>#N/A</v>
      </c>
      <c r="O7" s="618" t="e">
        <f t="shared" si="1"/>
        <v>#N/A</v>
      </c>
      <c r="P7" s="621" t="e">
        <f t="shared" si="1"/>
        <v>#N/A</v>
      </c>
      <c r="Q7" s="618"/>
      <c r="R7" s="618"/>
      <c r="S7" s="619"/>
      <c r="T7" s="611"/>
      <c r="U7" s="988"/>
      <c r="V7" s="988"/>
      <c r="W7" s="988"/>
    </row>
    <row r="8" spans="1:23">
      <c r="B8" s="623"/>
      <c r="G8" s="622"/>
      <c r="H8" s="620">
        <v>3</v>
      </c>
      <c r="I8" s="618" t="e">
        <f t="shared" si="1"/>
        <v>#N/A</v>
      </c>
      <c r="J8" s="618" t="e">
        <f t="shared" si="1"/>
        <v>#N/A</v>
      </c>
      <c r="K8" s="618" t="e">
        <f t="shared" si="1"/>
        <v>#N/A</v>
      </c>
      <c r="L8" s="618" t="e">
        <f t="shared" si="1"/>
        <v>#N/A</v>
      </c>
      <c r="M8" s="618" t="e">
        <f t="shared" si="1"/>
        <v>#N/A</v>
      </c>
      <c r="N8" s="618" t="e">
        <f t="shared" si="1"/>
        <v>#N/A</v>
      </c>
      <c r="O8" s="618" t="e">
        <f t="shared" si="1"/>
        <v>#N/A</v>
      </c>
      <c r="P8" s="621" t="e">
        <f t="shared" si="1"/>
        <v>#N/A</v>
      </c>
      <c r="Q8" s="618"/>
      <c r="R8" s="618"/>
      <c r="S8" s="619"/>
      <c r="T8" s="611"/>
      <c r="U8" s="988"/>
      <c r="V8" s="988"/>
      <c r="W8" s="988"/>
    </row>
    <row r="9" spans="1:23">
      <c r="B9" s="623"/>
      <c r="G9" s="624"/>
      <c r="H9" s="618"/>
      <c r="I9" s="618"/>
      <c r="J9" s="618"/>
      <c r="K9" s="618"/>
      <c r="L9" s="618"/>
      <c r="M9" s="618"/>
      <c r="N9" s="618"/>
      <c r="O9" s="618"/>
      <c r="P9" s="618"/>
      <c r="Q9" s="618"/>
      <c r="R9" s="618"/>
      <c r="S9" s="619"/>
      <c r="T9" s="611"/>
      <c r="U9" s="988"/>
      <c r="V9" s="988"/>
      <c r="W9" s="988"/>
    </row>
    <row r="10" spans="1:23">
      <c r="B10" s="623" t="s">
        <v>2776</v>
      </c>
      <c r="G10" s="624"/>
      <c r="H10" s="617" t="s">
        <v>0</v>
      </c>
      <c r="I10" s="617" t="s">
        <v>2631</v>
      </c>
      <c r="J10" s="617" t="s">
        <v>2632</v>
      </c>
      <c r="K10" s="617" t="s">
        <v>2633</v>
      </c>
      <c r="L10" s="617" t="s">
        <v>2777</v>
      </c>
      <c r="M10" s="618"/>
      <c r="N10" s="618"/>
      <c r="O10" s="625" t="e">
        <f>CONCATENATE("VAN (r = ",$C$74*100,"%)")</f>
        <v>#VALUE!</v>
      </c>
      <c r="P10" s="626" t="e">
        <f>HLOOKUP($C$12,$H$243:$R$321,P223+1,FALSE)</f>
        <v>#N/A</v>
      </c>
      <c r="Q10" s="618"/>
      <c r="R10" s="618"/>
      <c r="S10" s="619"/>
      <c r="T10" s="611"/>
      <c r="U10" s="988"/>
      <c r="V10" s="988"/>
      <c r="W10" s="988"/>
    </row>
    <row r="11" spans="1:23">
      <c r="B11" s="623" t="s">
        <v>2778</v>
      </c>
      <c r="G11" s="622"/>
      <c r="H11" s="620">
        <v>1</v>
      </c>
      <c r="I11" s="618" t="e">
        <f t="shared" ref="I11:L13" si="2">HLOOKUP($C$12,$H$243:$R$321,I224+1,FALSE)</f>
        <v>#N/A</v>
      </c>
      <c r="J11" s="618" t="e">
        <f t="shared" si="2"/>
        <v>#N/A</v>
      </c>
      <c r="K11" s="618" t="e">
        <f t="shared" si="2"/>
        <v>#N/A</v>
      </c>
      <c r="L11" s="618" t="e">
        <f t="shared" si="2"/>
        <v>#N/A</v>
      </c>
      <c r="M11" s="618"/>
      <c r="N11" s="618"/>
      <c r="O11" s="618"/>
      <c r="P11" s="618"/>
      <c r="Q11" s="618"/>
      <c r="R11" s="618"/>
      <c r="S11" s="619"/>
      <c r="T11" s="611"/>
      <c r="U11" s="988"/>
      <c r="V11" s="988"/>
      <c r="W11" s="988"/>
    </row>
    <row r="12" spans="1:23">
      <c r="B12" s="623" t="s">
        <v>2779</v>
      </c>
      <c r="C12" s="104"/>
      <c r="D12" s="627" t="str">
        <f>IF(AND(NOT(C12=""),ISERROR(HLOOKUP(C12,J62:W62,1,FALSE))),"ERROR","")</f>
        <v/>
      </c>
      <c r="G12" s="616"/>
      <c r="H12" s="620">
        <v>2</v>
      </c>
      <c r="I12" s="618" t="e">
        <f t="shared" si="2"/>
        <v>#N/A</v>
      </c>
      <c r="J12" s="618" t="e">
        <f t="shared" si="2"/>
        <v>#N/A</v>
      </c>
      <c r="K12" s="618" t="e">
        <f t="shared" si="2"/>
        <v>#N/A</v>
      </c>
      <c r="L12" s="618" t="e">
        <f t="shared" si="2"/>
        <v>#N/A</v>
      </c>
      <c r="M12" s="618"/>
      <c r="N12" s="618"/>
      <c r="O12" s="992" t="str">
        <f>IF(OR($C$12="",NOT($D$12=""),AND($C$12="x",$C$32="NO")),"",IF(P10=P28,"Los cálculos son correctos","Los cálculos son incorrectos"))</f>
        <v/>
      </c>
      <c r="P12" s="992"/>
      <c r="Q12" s="618"/>
      <c r="R12" s="618"/>
      <c r="S12" s="619"/>
      <c r="T12" s="611"/>
      <c r="U12" s="988"/>
      <c r="V12" s="988"/>
      <c r="W12" s="988"/>
    </row>
    <row r="13" spans="1:23">
      <c r="G13" s="622"/>
      <c r="H13" s="620">
        <v>3</v>
      </c>
      <c r="I13" s="618" t="e">
        <f t="shared" si="2"/>
        <v>#N/A</v>
      </c>
      <c r="J13" s="618" t="e">
        <f t="shared" si="2"/>
        <v>#N/A</v>
      </c>
      <c r="K13" s="618" t="e">
        <f t="shared" si="2"/>
        <v>#N/A</v>
      </c>
      <c r="L13" s="618" t="e">
        <f t="shared" si="2"/>
        <v>#N/A</v>
      </c>
      <c r="M13" s="618"/>
      <c r="N13" s="618"/>
      <c r="O13" s="993" t="e">
        <f>IF(OR($C$12="",NOT($D$12=""),AND($C$12="x",$C$32="NO"),P10=P28),"",IF(P10&gt;P28,"VAN sobrevalorado",IF(P10&lt;P28,"VAN infravalorado","")))</f>
        <v>#N/A</v>
      </c>
      <c r="P13" s="993"/>
      <c r="Q13" s="618"/>
      <c r="R13" s="618"/>
      <c r="S13" s="619"/>
      <c r="T13" s="611"/>
      <c r="U13" s="988"/>
      <c r="V13" s="988"/>
      <c r="W13" s="988"/>
    </row>
    <row r="14" spans="1:23">
      <c r="B14" s="994" t="str">
        <f>IF(OR(AND(C12="x",C32="SI"),AND(NOT(C12=""),NOT(C12="x"),D12="")),"Desplázate hacia abajo para ver el enunciado del caso","")</f>
        <v/>
      </c>
      <c r="C14" s="994"/>
      <c r="D14" s="994"/>
      <c r="E14" s="994"/>
      <c r="G14" s="628"/>
      <c r="H14" s="629"/>
      <c r="I14" s="629"/>
      <c r="J14" s="629"/>
      <c r="K14" s="629"/>
      <c r="L14" s="629"/>
      <c r="M14" s="629"/>
      <c r="N14" s="629"/>
      <c r="O14" s="629"/>
      <c r="P14" s="629"/>
      <c r="Q14" s="629"/>
      <c r="R14" s="629"/>
      <c r="S14" s="630"/>
      <c r="T14" s="611"/>
      <c r="U14" s="988"/>
      <c r="V14" s="988"/>
      <c r="W14" s="988"/>
    </row>
    <row r="15" spans="1:23">
      <c r="B15" s="994"/>
      <c r="C15" s="994"/>
      <c r="D15" s="994"/>
      <c r="E15" s="994"/>
      <c r="L15" s="605" t="str">
        <f>IF(A90=0,"No puede borrar el contenido de esta celdilla. Deshaga operación (Ctrl-Z) para continuar trabajando","")</f>
        <v/>
      </c>
      <c r="T15" s="611"/>
      <c r="U15" s="988"/>
      <c r="V15" s="988"/>
      <c r="W15" s="988"/>
    </row>
    <row r="16" spans="1:23">
      <c r="H16" s="995" t="str">
        <f>IF(OR(C12="",NOT(D12="")),"",CONCATENATE(VLOOKUP(C12,$I$102:$J$113,2,FALSE),VLOOKUP(C12,$I$102:$O$113,7,FALSE)))</f>
        <v/>
      </c>
      <c r="I16" s="995"/>
      <c r="J16" s="995"/>
      <c r="K16" s="995"/>
      <c r="L16" s="995"/>
      <c r="M16" s="995"/>
      <c r="N16" s="995"/>
      <c r="O16" s="995"/>
      <c r="P16" s="995"/>
      <c r="Q16" s="995"/>
      <c r="R16" s="995"/>
      <c r="U16" s="988"/>
      <c r="V16" s="988"/>
      <c r="W16" s="988"/>
    </row>
    <row r="17" spans="2:23">
      <c r="B17" s="631" t="s">
        <v>2780</v>
      </c>
      <c r="C17" s="621" t="str">
        <f t="shared" ref="C17:C22" si="3">IF(OR($C$12="",$C$12="x",NOT($D$12="")),"",C63)</f>
        <v/>
      </c>
      <c r="D17" s="632" t="s">
        <v>55</v>
      </c>
      <c r="F17" s="633"/>
      <c r="H17" s="995"/>
      <c r="I17" s="995"/>
      <c r="J17" s="995"/>
      <c r="K17" s="995"/>
      <c r="L17" s="995"/>
      <c r="M17" s="995"/>
      <c r="N17" s="995"/>
      <c r="O17" s="995"/>
      <c r="P17" s="995"/>
      <c r="Q17" s="995"/>
      <c r="R17" s="995"/>
      <c r="U17" s="988"/>
      <c r="V17" s="988"/>
      <c r="W17" s="988"/>
    </row>
    <row r="18" spans="2:23">
      <c r="B18" s="631" t="s">
        <v>2781</v>
      </c>
      <c r="C18" s="621" t="str">
        <f t="shared" si="3"/>
        <v/>
      </c>
      <c r="D18" s="632" t="s">
        <v>55</v>
      </c>
      <c r="F18" s="633"/>
      <c r="H18" s="995"/>
      <c r="I18" s="995"/>
      <c r="J18" s="995"/>
      <c r="K18" s="995"/>
      <c r="L18" s="995"/>
      <c r="M18" s="995"/>
      <c r="N18" s="995"/>
      <c r="O18" s="995"/>
      <c r="P18" s="995"/>
      <c r="Q18" s="995"/>
      <c r="R18" s="995"/>
      <c r="T18" s="634"/>
      <c r="U18" s="988"/>
      <c r="V18" s="988"/>
      <c r="W18" s="988"/>
    </row>
    <row r="19" spans="2:23">
      <c r="B19" s="631" t="s">
        <v>2782</v>
      </c>
      <c r="C19" s="621" t="str">
        <f t="shared" si="3"/>
        <v/>
      </c>
      <c r="D19" s="635"/>
      <c r="H19" s="995"/>
      <c r="I19" s="995"/>
      <c r="J19" s="995"/>
      <c r="K19" s="995"/>
      <c r="L19" s="995"/>
      <c r="M19" s="995"/>
      <c r="N19" s="995"/>
      <c r="O19" s="995"/>
      <c r="P19" s="995"/>
      <c r="Q19" s="995"/>
      <c r="R19" s="995"/>
      <c r="T19" s="611"/>
      <c r="U19" s="988"/>
      <c r="V19" s="988"/>
      <c r="W19" s="988"/>
    </row>
    <row r="20" spans="2:23">
      <c r="B20" s="631" t="s">
        <v>2783</v>
      </c>
      <c r="C20" s="636" t="str">
        <f t="shared" si="3"/>
        <v/>
      </c>
      <c r="D20" s="635"/>
      <c r="G20" s="607" t="s">
        <v>3951</v>
      </c>
      <c r="T20" s="611"/>
      <c r="U20" s="988"/>
      <c r="V20" s="988"/>
      <c r="W20" s="988"/>
    </row>
    <row r="21" spans="2:23">
      <c r="B21" s="631" t="s">
        <v>2784</v>
      </c>
      <c r="C21" s="620" t="str">
        <f t="shared" si="3"/>
        <v/>
      </c>
      <c r="D21" s="637" t="s">
        <v>2629</v>
      </c>
      <c r="F21" s="638"/>
      <c r="G21" s="609" t="s">
        <v>2637</v>
      </c>
      <c r="H21" s="639"/>
      <c r="I21" s="639"/>
      <c r="J21" s="639"/>
      <c r="K21" s="639"/>
      <c r="L21" s="639"/>
      <c r="M21" s="639"/>
      <c r="N21" s="639"/>
      <c r="O21" s="639"/>
      <c r="P21" s="639"/>
      <c r="Q21" s="639"/>
      <c r="R21" s="639"/>
      <c r="S21" s="639"/>
      <c r="T21" s="611"/>
      <c r="U21" s="988"/>
      <c r="V21" s="988"/>
      <c r="W21" s="988"/>
    </row>
    <row r="22" spans="2:23">
      <c r="B22" s="631" t="s">
        <v>2785</v>
      </c>
      <c r="C22" s="620" t="str">
        <f t="shared" si="3"/>
        <v/>
      </c>
      <c r="D22" s="637" t="s">
        <v>2629</v>
      </c>
      <c r="F22" s="638"/>
      <c r="G22" s="613"/>
      <c r="H22" s="614"/>
      <c r="I22" s="614"/>
      <c r="J22" s="614"/>
      <c r="K22" s="614"/>
      <c r="L22" s="614"/>
      <c r="M22" s="614"/>
      <c r="N22" s="614"/>
      <c r="O22" s="614"/>
      <c r="P22" s="989" t="s">
        <v>2786</v>
      </c>
      <c r="Q22" s="614"/>
      <c r="R22" s="997" t="s">
        <v>2787</v>
      </c>
      <c r="S22" s="615"/>
      <c r="T22" s="611"/>
      <c r="U22" s="988"/>
      <c r="V22" s="988"/>
      <c r="W22" s="988"/>
    </row>
    <row r="23" spans="2:23">
      <c r="B23" s="631"/>
      <c r="C23" s="640"/>
      <c r="D23" s="635"/>
      <c r="G23" s="622"/>
      <c r="H23" s="617" t="s">
        <v>0</v>
      </c>
      <c r="I23" s="617" t="s">
        <v>2622</v>
      </c>
      <c r="J23" s="617" t="s">
        <v>2148</v>
      </c>
      <c r="K23" s="617" t="s">
        <v>2623</v>
      </c>
      <c r="L23" s="617" t="s">
        <v>2624</v>
      </c>
      <c r="M23" s="617" t="s">
        <v>2625</v>
      </c>
      <c r="N23" s="617" t="s">
        <v>2626</v>
      </c>
      <c r="O23" s="617" t="s">
        <v>2775</v>
      </c>
      <c r="P23" s="990"/>
      <c r="Q23" s="618"/>
      <c r="R23" s="998"/>
      <c r="S23" s="619"/>
      <c r="T23" s="611"/>
      <c r="U23" s="988"/>
      <c r="V23" s="988"/>
      <c r="W23" s="988"/>
    </row>
    <row r="24" spans="2:23">
      <c r="B24" s="631" t="s">
        <v>2788</v>
      </c>
      <c r="C24" s="636" t="str">
        <f>IF(OR($C$12="",$C$12="x",NOT($D$12="")),"",C70)</f>
        <v/>
      </c>
      <c r="D24" s="632" t="s">
        <v>55</v>
      </c>
      <c r="F24" s="633"/>
      <c r="G24" s="622"/>
      <c r="H24" s="620">
        <v>1</v>
      </c>
      <c r="I24" s="618" t="e">
        <f>HLOOKUP($C$12,$H$243:$R$321,I232+1,FALSE)</f>
        <v>#N/A</v>
      </c>
      <c r="J24" s="618" t="e">
        <f t="shared" ref="J24:P24" si="4">HLOOKUP($C$12,$H$243:$R$321,J232+1,FALSE)</f>
        <v>#N/A</v>
      </c>
      <c r="K24" s="618" t="e">
        <f t="shared" si="4"/>
        <v>#N/A</v>
      </c>
      <c r="L24" s="618" t="e">
        <f t="shared" si="4"/>
        <v>#N/A</v>
      </c>
      <c r="M24" s="618" t="e">
        <f t="shared" si="4"/>
        <v>#N/A</v>
      </c>
      <c r="N24" s="618" t="e">
        <f t="shared" si="4"/>
        <v>#N/A</v>
      </c>
      <c r="O24" s="618" t="e">
        <f t="shared" si="4"/>
        <v>#N/A</v>
      </c>
      <c r="P24" s="621" t="e">
        <f t="shared" si="4"/>
        <v>#N/A</v>
      </c>
      <c r="Q24" s="618"/>
      <c r="R24" s="621" t="e">
        <f t="shared" ref="R24:R26" si="5">HLOOKUP($C$12,$H$243:$R$321,R232+1,FALSE)</f>
        <v>#N/A</v>
      </c>
      <c r="S24" s="619"/>
      <c r="T24" s="611"/>
      <c r="U24" s="988"/>
      <c r="V24" s="988"/>
      <c r="W24" s="988"/>
    </row>
    <row r="25" spans="2:23">
      <c r="B25" s="631" t="s">
        <v>2789</v>
      </c>
      <c r="C25" s="636" t="str">
        <f>IF(OR($C$12="",$C$12="x",NOT($D$12="")),"",C71)</f>
        <v/>
      </c>
      <c r="D25" s="632" t="s">
        <v>55</v>
      </c>
      <c r="G25" s="622"/>
      <c r="H25" s="620">
        <v>2</v>
      </c>
      <c r="I25" s="618" t="e">
        <f t="shared" ref="I25:P26" si="6">HLOOKUP($C$12,$H$243:$R$321,I233+1,FALSE)</f>
        <v>#N/A</v>
      </c>
      <c r="J25" s="618" t="e">
        <f t="shared" si="6"/>
        <v>#N/A</v>
      </c>
      <c r="K25" s="618" t="e">
        <f t="shared" si="6"/>
        <v>#N/A</v>
      </c>
      <c r="L25" s="618" t="e">
        <f t="shared" si="6"/>
        <v>#N/A</v>
      </c>
      <c r="M25" s="618" t="e">
        <f t="shared" si="6"/>
        <v>#N/A</v>
      </c>
      <c r="N25" s="618" t="e">
        <f t="shared" si="6"/>
        <v>#N/A</v>
      </c>
      <c r="O25" s="618" t="e">
        <f t="shared" si="6"/>
        <v>#N/A</v>
      </c>
      <c r="P25" s="621" t="e">
        <f t="shared" si="6"/>
        <v>#N/A</v>
      </c>
      <c r="Q25" s="618"/>
      <c r="R25" s="621" t="e">
        <f t="shared" si="5"/>
        <v>#N/A</v>
      </c>
      <c r="S25" s="619"/>
      <c r="T25" s="611"/>
      <c r="U25" s="988"/>
      <c r="V25" s="988"/>
      <c r="W25" s="988"/>
    </row>
    <row r="26" spans="2:23">
      <c r="B26" s="631" t="s">
        <v>2790</v>
      </c>
      <c r="C26" s="636" t="str">
        <f>IF(OR($C$12="",$C$12="x",NOT($D$12="")),"",C72)</f>
        <v/>
      </c>
      <c r="D26" s="632" t="s">
        <v>55</v>
      </c>
      <c r="F26" s="633"/>
      <c r="G26" s="622"/>
      <c r="H26" s="620">
        <v>3</v>
      </c>
      <c r="I26" s="618" t="e">
        <f t="shared" si="6"/>
        <v>#N/A</v>
      </c>
      <c r="J26" s="618" t="e">
        <f t="shared" si="6"/>
        <v>#N/A</v>
      </c>
      <c r="K26" s="618" t="e">
        <f t="shared" si="6"/>
        <v>#N/A</v>
      </c>
      <c r="L26" s="618" t="e">
        <f t="shared" si="6"/>
        <v>#N/A</v>
      </c>
      <c r="M26" s="618" t="e">
        <f t="shared" si="6"/>
        <v>#N/A</v>
      </c>
      <c r="N26" s="618" t="e">
        <f t="shared" si="6"/>
        <v>#N/A</v>
      </c>
      <c r="O26" s="618" t="e">
        <f t="shared" si="6"/>
        <v>#N/A</v>
      </c>
      <c r="P26" s="621" t="e">
        <f t="shared" si="6"/>
        <v>#N/A</v>
      </c>
      <c r="Q26" s="618"/>
      <c r="R26" s="621" t="e">
        <f t="shared" si="5"/>
        <v>#N/A</v>
      </c>
      <c r="S26" s="619"/>
      <c r="T26" s="611"/>
      <c r="U26" s="988"/>
      <c r="V26" s="988"/>
      <c r="W26" s="988"/>
    </row>
    <row r="27" spans="2:23">
      <c r="B27" s="641"/>
      <c r="C27" s="642"/>
      <c r="D27" s="635"/>
      <c r="G27" s="622"/>
      <c r="H27" s="618"/>
      <c r="I27" s="618"/>
      <c r="J27" s="618"/>
      <c r="K27" s="618"/>
      <c r="L27" s="618"/>
      <c r="M27" s="618"/>
      <c r="N27" s="618"/>
      <c r="O27" s="618"/>
      <c r="P27" s="618"/>
      <c r="Q27" s="618"/>
      <c r="R27" s="618"/>
      <c r="S27" s="619"/>
      <c r="T27" s="611"/>
      <c r="U27" s="988"/>
      <c r="V27" s="988"/>
      <c r="W27" s="988"/>
    </row>
    <row r="28" spans="2:23">
      <c r="B28" s="631" t="s">
        <v>2791</v>
      </c>
      <c r="C28" s="636" t="str">
        <f>IF(OR($C$12="",$C$12="x",NOT($D$12="")),"",C74)</f>
        <v/>
      </c>
      <c r="D28" s="632" t="s">
        <v>55</v>
      </c>
      <c r="G28" s="622"/>
      <c r="H28" s="617" t="s">
        <v>0</v>
      </c>
      <c r="I28" s="617" t="s">
        <v>2631</v>
      </c>
      <c r="J28" s="617" t="s">
        <v>2632</v>
      </c>
      <c r="K28" s="617" t="s">
        <v>2633</v>
      </c>
      <c r="L28" s="617" t="s">
        <v>2777</v>
      </c>
      <c r="M28" s="618"/>
      <c r="N28" s="618"/>
      <c r="O28" s="643" t="e">
        <f>CONCATENATE("VAN (k = ",$C$76*100,"%)")</f>
        <v>#VALUE!</v>
      </c>
      <c r="P28" s="643" t="e">
        <f>HLOOKUP($C$12,$H$243:$R$321,P236+1,FALSE)</f>
        <v>#N/A</v>
      </c>
      <c r="Q28" s="618"/>
      <c r="R28" s="618"/>
      <c r="S28" s="619"/>
      <c r="T28" s="611"/>
      <c r="U28" s="988"/>
      <c r="V28" s="988"/>
      <c r="W28" s="988"/>
    </row>
    <row r="29" spans="2:23">
      <c r="B29" s="641"/>
      <c r="C29" s="642"/>
      <c r="D29" s="642"/>
      <c r="G29" s="622"/>
      <c r="H29" s="620">
        <v>1</v>
      </c>
      <c r="I29" s="618" t="e">
        <f t="shared" ref="I29:L31" si="7">HLOOKUP($C$12,$H$243:$R$321,I237+1,FALSE)</f>
        <v>#N/A</v>
      </c>
      <c r="J29" s="618" t="e">
        <f t="shared" si="7"/>
        <v>#N/A</v>
      </c>
      <c r="K29" s="618" t="e">
        <f t="shared" si="7"/>
        <v>#N/A</v>
      </c>
      <c r="L29" s="618" t="e">
        <f t="shared" si="7"/>
        <v>#N/A</v>
      </c>
      <c r="M29" s="618"/>
      <c r="N29" s="618"/>
      <c r="O29" s="618"/>
      <c r="P29" s="618"/>
      <c r="Q29" s="618"/>
      <c r="R29" s="618"/>
      <c r="S29" s="619"/>
      <c r="T29" s="611"/>
      <c r="U29" s="988"/>
      <c r="V29" s="988"/>
      <c r="W29" s="988"/>
    </row>
    <row r="30" spans="2:23">
      <c r="B30" s="631" t="s">
        <v>2792</v>
      </c>
      <c r="C30" s="644" t="str">
        <f>IF(OR($C$12="",$C$12="x",NOT($D$12="")),"",C76)</f>
        <v/>
      </c>
      <c r="D30" s="642"/>
      <c r="G30" s="622"/>
      <c r="H30" s="620">
        <v>2</v>
      </c>
      <c r="I30" s="618" t="e">
        <f t="shared" si="7"/>
        <v>#N/A</v>
      </c>
      <c r="J30" s="618" t="e">
        <f t="shared" si="7"/>
        <v>#N/A</v>
      </c>
      <c r="K30" s="618" t="e">
        <f t="shared" si="7"/>
        <v>#N/A</v>
      </c>
      <c r="L30" s="618" t="e">
        <f t="shared" si="7"/>
        <v>#N/A</v>
      </c>
      <c r="M30" s="618"/>
      <c r="N30" s="618"/>
      <c r="O30" s="618"/>
      <c r="P30" s="645"/>
      <c r="Q30" s="645" t="e">
        <f>CONCATENATE("VAN (r = ",$C$74*100,"%)")</f>
        <v>#VALUE!</v>
      </c>
      <c r="R30" s="643" t="e">
        <f>HLOOKUP($C$12,$H$243:$R$321,R238+1,FALSE)</f>
        <v>#N/A</v>
      </c>
      <c r="S30" s="619"/>
      <c r="T30" s="611"/>
      <c r="U30" s="988"/>
      <c r="V30" s="988"/>
      <c r="W30" s="988"/>
    </row>
    <row r="31" spans="2:23">
      <c r="G31" s="622"/>
      <c r="H31" s="620">
        <v>3</v>
      </c>
      <c r="I31" s="618" t="e">
        <f t="shared" si="7"/>
        <v>#N/A</v>
      </c>
      <c r="J31" s="618" t="e">
        <f t="shared" si="7"/>
        <v>#N/A</v>
      </c>
      <c r="K31" s="618" t="e">
        <f t="shared" si="7"/>
        <v>#N/A</v>
      </c>
      <c r="L31" s="618" t="e">
        <f t="shared" si="7"/>
        <v>#N/A</v>
      </c>
      <c r="M31" s="618"/>
      <c r="N31" s="618"/>
      <c r="O31" s="618"/>
      <c r="P31" s="618"/>
      <c r="Q31" s="618"/>
      <c r="R31" s="618"/>
      <c r="S31" s="619"/>
      <c r="T31" s="611"/>
      <c r="U31" s="988"/>
      <c r="V31" s="988"/>
      <c r="W31" s="988"/>
    </row>
    <row r="32" spans="2:23">
      <c r="B32" s="646" t="s">
        <v>2793</v>
      </c>
      <c r="C32" s="647"/>
      <c r="D32" s="648"/>
      <c r="G32" s="628"/>
      <c r="H32" s="629"/>
      <c r="I32" s="629"/>
      <c r="J32" s="629"/>
      <c r="K32" s="629"/>
      <c r="L32" s="629"/>
      <c r="M32" s="629"/>
      <c r="N32" s="629"/>
      <c r="O32" s="629"/>
      <c r="P32" s="629"/>
      <c r="Q32" s="629"/>
      <c r="R32" s="629"/>
      <c r="S32" s="630"/>
    </row>
    <row r="33" spans="6:23">
      <c r="H33" s="60"/>
      <c r="I33" s="60"/>
      <c r="J33" s="60"/>
      <c r="K33" s="60"/>
      <c r="L33" s="60"/>
      <c r="M33" s="60"/>
      <c r="N33" s="60"/>
      <c r="O33" s="60"/>
    </row>
    <row r="34" spans="6:23">
      <c r="H34" s="60"/>
      <c r="I34" s="60"/>
      <c r="J34" s="60"/>
      <c r="K34" s="60"/>
      <c r="L34" s="60"/>
      <c r="M34" s="60"/>
      <c r="N34" s="60"/>
      <c r="O34" s="60"/>
    </row>
    <row r="35" spans="6:23">
      <c r="F35" s="649"/>
      <c r="G35" s="650"/>
      <c r="H35" s="651"/>
      <c r="I35" s="651"/>
      <c r="J35" s="651"/>
      <c r="K35" s="651"/>
      <c r="L35" s="651"/>
      <c r="M35" s="651"/>
      <c r="N35" s="651"/>
      <c r="O35" s="651"/>
      <c r="P35" s="650"/>
      <c r="Q35" s="650"/>
      <c r="R35" s="650"/>
      <c r="S35" s="650"/>
      <c r="T35" s="650"/>
      <c r="U35" s="650"/>
      <c r="V35" s="650"/>
      <c r="W35" s="650"/>
    </row>
    <row r="36" spans="6:23" ht="35.15" customHeight="1">
      <c r="F36" s="649" t="str">
        <f>IF(OR($C$12="",NOT($D$12="")),"",$C$12*100)</f>
        <v/>
      </c>
      <c r="G36" s="650"/>
      <c r="H36" s="996" t="str">
        <f>IF(F36="","",VLOOKUP(F36,$F$131:$I$210,3,FALSE))</f>
        <v/>
      </c>
      <c r="I36" s="996"/>
      <c r="J36" s="996"/>
      <c r="K36" s="996"/>
      <c r="L36" s="996"/>
      <c r="M36" s="996"/>
      <c r="N36" s="996"/>
      <c r="O36" s="996"/>
      <c r="P36" s="996"/>
      <c r="Q36" s="996"/>
      <c r="R36" s="996"/>
      <c r="S36" s="996"/>
      <c r="T36" s="996"/>
      <c r="U36" s="996"/>
      <c r="V36" s="996"/>
      <c r="W36" s="996"/>
    </row>
    <row r="37" spans="6:23" ht="20.149999999999999" customHeight="1">
      <c r="F37" s="649" t="str">
        <f>IF(F36="","",F36+1)</f>
        <v/>
      </c>
      <c r="G37" s="650"/>
      <c r="H37" s="996" t="str">
        <f t="shared" ref="H37:H43" si="8">IF(F37="","",VLOOKUP(F37,$F$131:$I$210,3,FALSE))</f>
        <v/>
      </c>
      <c r="I37" s="996"/>
      <c r="J37" s="996"/>
      <c r="K37" s="996"/>
      <c r="L37" s="996"/>
      <c r="M37" s="996"/>
      <c r="N37" s="996"/>
      <c r="O37" s="996"/>
      <c r="P37" s="996"/>
      <c r="Q37" s="996"/>
      <c r="R37" s="996"/>
      <c r="S37" s="996"/>
      <c r="T37" s="996"/>
      <c r="U37" s="996"/>
      <c r="V37" s="996"/>
      <c r="W37" s="996"/>
    </row>
    <row r="38" spans="6:23" ht="20.149999999999999" customHeight="1">
      <c r="F38" s="649" t="str">
        <f t="shared" ref="F38:F43" si="9">IF(F37="","",F37+1)</f>
        <v/>
      </c>
      <c r="G38" s="650"/>
      <c r="H38" s="996" t="str">
        <f t="shared" si="8"/>
        <v/>
      </c>
      <c r="I38" s="996"/>
      <c r="J38" s="996"/>
      <c r="K38" s="996"/>
      <c r="L38" s="996"/>
      <c r="M38" s="996"/>
      <c r="N38" s="996"/>
      <c r="O38" s="996"/>
      <c r="P38" s="996"/>
      <c r="Q38" s="996"/>
      <c r="R38" s="996"/>
      <c r="S38" s="996"/>
      <c r="T38" s="996"/>
      <c r="U38" s="996"/>
      <c r="V38" s="996"/>
      <c r="W38" s="996"/>
    </row>
    <row r="39" spans="6:23" ht="20.149999999999999" customHeight="1">
      <c r="F39" s="649" t="str">
        <f t="shared" si="9"/>
        <v/>
      </c>
      <c r="G39" s="650"/>
      <c r="H39" s="996" t="str">
        <f t="shared" si="8"/>
        <v/>
      </c>
      <c r="I39" s="996"/>
      <c r="J39" s="996"/>
      <c r="K39" s="996"/>
      <c r="L39" s="996"/>
      <c r="M39" s="996"/>
      <c r="N39" s="996"/>
      <c r="O39" s="996"/>
      <c r="P39" s="996"/>
      <c r="Q39" s="996"/>
      <c r="R39" s="996"/>
      <c r="S39" s="996"/>
      <c r="T39" s="996"/>
      <c r="U39" s="996"/>
      <c r="V39" s="996"/>
      <c r="W39" s="996"/>
    </row>
    <row r="40" spans="6:23" ht="35.15" customHeight="1">
      <c r="F40" s="649" t="str">
        <f t="shared" si="9"/>
        <v/>
      </c>
      <c r="G40" s="650"/>
      <c r="H40" s="996" t="str">
        <f t="shared" si="8"/>
        <v/>
      </c>
      <c r="I40" s="996"/>
      <c r="J40" s="996"/>
      <c r="K40" s="996"/>
      <c r="L40" s="996"/>
      <c r="M40" s="996"/>
      <c r="N40" s="996"/>
      <c r="O40" s="996"/>
      <c r="P40" s="996"/>
      <c r="Q40" s="996"/>
      <c r="R40" s="996"/>
      <c r="S40" s="996"/>
      <c r="T40" s="996"/>
      <c r="U40" s="996"/>
      <c r="V40" s="996"/>
      <c r="W40" s="996"/>
    </row>
    <row r="41" spans="6:23" ht="35.15" customHeight="1">
      <c r="F41" s="649" t="str">
        <f t="shared" si="9"/>
        <v/>
      </c>
      <c r="G41" s="650"/>
      <c r="H41" s="996" t="str">
        <f t="shared" si="8"/>
        <v/>
      </c>
      <c r="I41" s="996"/>
      <c r="J41" s="996"/>
      <c r="K41" s="996"/>
      <c r="L41" s="996"/>
      <c r="M41" s="996"/>
      <c r="N41" s="996"/>
      <c r="O41" s="996"/>
      <c r="P41" s="996"/>
      <c r="Q41" s="996"/>
      <c r="R41" s="996"/>
      <c r="S41" s="996"/>
      <c r="T41" s="996"/>
      <c r="U41" s="996"/>
      <c r="V41" s="996"/>
      <c r="W41" s="996"/>
    </row>
    <row r="42" spans="6:23" ht="35.15" customHeight="1">
      <c r="F42" s="649" t="str">
        <f t="shared" si="9"/>
        <v/>
      </c>
      <c r="G42" s="650"/>
      <c r="H42" s="996" t="str">
        <f t="shared" si="8"/>
        <v/>
      </c>
      <c r="I42" s="996"/>
      <c r="J42" s="996"/>
      <c r="K42" s="996"/>
      <c r="L42" s="996"/>
      <c r="M42" s="996"/>
      <c r="N42" s="996"/>
      <c r="O42" s="996"/>
      <c r="P42" s="996"/>
      <c r="Q42" s="996"/>
      <c r="R42" s="996"/>
      <c r="S42" s="996"/>
      <c r="T42" s="996"/>
      <c r="U42" s="996"/>
      <c r="V42" s="996"/>
      <c r="W42" s="996"/>
    </row>
    <row r="43" spans="6:23" ht="30" customHeight="1">
      <c r="F43" s="649" t="str">
        <f t="shared" si="9"/>
        <v/>
      </c>
      <c r="G43" s="650"/>
      <c r="H43" s="996" t="str">
        <f t="shared" si="8"/>
        <v/>
      </c>
      <c r="I43" s="996"/>
      <c r="J43" s="996"/>
      <c r="K43" s="996"/>
      <c r="L43" s="996"/>
      <c r="M43" s="996"/>
      <c r="N43" s="996"/>
      <c r="O43" s="996"/>
      <c r="P43" s="996"/>
      <c r="Q43" s="996"/>
      <c r="R43" s="996"/>
      <c r="S43" s="996"/>
      <c r="T43" s="996"/>
      <c r="U43" s="996"/>
      <c r="V43" s="996"/>
      <c r="W43" s="996"/>
    </row>
    <row r="44" spans="6:23">
      <c r="H44" s="64"/>
      <c r="I44" s="64"/>
      <c r="J44" s="64"/>
      <c r="K44" s="64"/>
      <c r="L44" s="64"/>
      <c r="M44" s="64"/>
      <c r="N44" s="64"/>
      <c r="O44" s="64"/>
    </row>
    <row r="45" spans="6:23">
      <c r="H45" s="64"/>
      <c r="I45" s="64"/>
      <c r="J45" s="64"/>
      <c r="K45" s="64"/>
      <c r="L45" s="64"/>
      <c r="M45" s="64"/>
      <c r="N45" s="64"/>
      <c r="O45" s="64"/>
    </row>
    <row r="46" spans="6:23">
      <c r="H46" s="64"/>
      <c r="I46" s="64"/>
      <c r="J46" s="64"/>
      <c r="K46" s="64"/>
      <c r="L46" s="64"/>
      <c r="M46" s="64"/>
      <c r="N46" s="64"/>
      <c r="O46" s="64"/>
    </row>
    <row r="47" spans="6:23">
      <c r="H47" s="64"/>
      <c r="I47" s="64"/>
      <c r="J47" s="64"/>
      <c r="K47" s="64"/>
      <c r="L47" s="64"/>
      <c r="M47" s="64"/>
      <c r="N47" s="64"/>
      <c r="O47" s="64"/>
    </row>
    <row r="48" spans="6:23">
      <c r="H48" s="64"/>
      <c r="I48" s="64"/>
      <c r="J48" s="64"/>
      <c r="K48" s="64"/>
      <c r="L48" s="64"/>
      <c r="M48" s="64"/>
      <c r="N48" s="64"/>
      <c r="O48" s="64"/>
    </row>
    <row r="49" spans="2:23" hidden="1">
      <c r="H49" s="64"/>
      <c r="I49" s="64"/>
      <c r="J49" s="64"/>
      <c r="K49" s="64"/>
      <c r="L49" s="64"/>
      <c r="M49" s="64"/>
      <c r="N49" s="64"/>
      <c r="O49" s="64"/>
    </row>
    <row r="50" spans="2:23" s="384" customFormat="1" ht="0.65" hidden="1" customHeight="1">
      <c r="H50" s="343" t="e">
        <f>CONCATENATE("Todos los datos presentados están expresados en moneda constante. ",IF(AND(C24=C25,C25=C26),CONCATENATE("La inflación general de la economía se ha estimado en un ",C26*100,"% acumulativo anual, y afectará de idéntica manera a ventas y costes con desembolso."),CONCATENATE(IF(C24=C25,CONCATENATE("La inflación afecta de igual manera a ventas y costes con desembolso (",C24*100,"% acumulativo anual). "),CONCATENATE("Los tipos de inflación acumulativa anual que afectan a ventas y costes son del ",C24*100,"% y ",C25*100,"%, respectivamente. ")),CONCATENATE("En lo que se refiere al tipo de inflación general anual, éste se ha estimado en un ",C26*100,"%."))))</f>
        <v>#VALUE!</v>
      </c>
      <c r="I50" s="343"/>
      <c r="J50" s="343"/>
      <c r="K50" s="343"/>
      <c r="L50" s="343"/>
      <c r="M50" s="343"/>
      <c r="N50" s="343"/>
      <c r="O50" s="343"/>
    </row>
    <row r="51" spans="2:23" s="384" customFormat="1" ht="0.65" hidden="1" customHeight="1">
      <c r="H51" s="343"/>
      <c r="I51" s="343"/>
      <c r="J51" s="343"/>
      <c r="K51" s="343"/>
      <c r="L51" s="343"/>
      <c r="M51" s="343"/>
      <c r="N51" s="343"/>
      <c r="O51" s="343"/>
    </row>
    <row r="52" spans="2:23" s="384" customFormat="1" ht="0.65" hidden="1" customHeight="1">
      <c r="H52" s="343"/>
      <c r="I52" s="343"/>
      <c r="J52" s="343"/>
      <c r="K52" s="343"/>
      <c r="L52" s="343"/>
      <c r="M52" s="343"/>
      <c r="N52" s="343"/>
      <c r="O52" s="343"/>
    </row>
    <row r="53" spans="2:23" s="384" customFormat="1" ht="0.65" hidden="1" customHeight="1">
      <c r="H53" s="343"/>
      <c r="I53" s="343"/>
      <c r="J53" s="343"/>
      <c r="K53" s="343"/>
      <c r="L53" s="343"/>
      <c r="M53" s="343"/>
      <c r="N53" s="343"/>
      <c r="O53" s="343"/>
    </row>
    <row r="54" spans="2:23" s="384" customFormat="1" ht="0.65" hidden="1" customHeight="1">
      <c r="H54" s="343"/>
      <c r="I54" s="343"/>
      <c r="J54" s="343"/>
      <c r="K54" s="343"/>
      <c r="L54" s="343"/>
      <c r="M54" s="343"/>
      <c r="N54" s="343"/>
      <c r="O54" s="343"/>
    </row>
    <row r="55" spans="2:23" s="384" customFormat="1" ht="0.65" hidden="1" customHeight="1">
      <c r="H55" s="343"/>
      <c r="I55" s="343"/>
      <c r="J55" s="343"/>
      <c r="K55" s="343"/>
      <c r="L55" s="343"/>
      <c r="M55" s="343"/>
      <c r="N55" s="343"/>
      <c r="O55" s="343"/>
    </row>
    <row r="56" spans="2:23" s="384" customFormat="1" ht="0.65" hidden="1" customHeight="1">
      <c r="H56" s="343"/>
      <c r="I56" s="343"/>
      <c r="J56" s="343"/>
      <c r="K56" s="343"/>
      <c r="L56" s="343"/>
      <c r="M56" s="343"/>
      <c r="N56" s="343"/>
      <c r="O56" s="343"/>
    </row>
    <row r="57" spans="2:23" s="384" customFormat="1" ht="0.65" hidden="1" customHeight="1">
      <c r="H57" s="343"/>
      <c r="I57" s="343"/>
      <c r="J57" s="343"/>
      <c r="K57" s="343"/>
      <c r="L57" s="343"/>
      <c r="M57" s="343"/>
      <c r="N57" s="343"/>
      <c r="O57" s="343"/>
    </row>
    <row r="58" spans="2:23" s="384" customFormat="1" ht="0.65" hidden="1" customHeight="1">
      <c r="H58" s="343"/>
      <c r="I58" s="343"/>
      <c r="J58" s="343"/>
      <c r="K58" s="343"/>
      <c r="L58" s="343"/>
      <c r="M58" s="343"/>
      <c r="N58" s="343"/>
      <c r="O58" s="343"/>
    </row>
    <row r="59" spans="2:23" s="384" customFormat="1" ht="0.65" hidden="1" customHeight="1">
      <c r="H59" s="343"/>
      <c r="I59" s="343"/>
      <c r="J59" s="343"/>
      <c r="K59" s="343"/>
      <c r="L59" s="343"/>
      <c r="M59" s="343"/>
      <c r="N59" s="343"/>
      <c r="O59" s="343"/>
    </row>
    <row r="60" spans="2:23" s="384" customFormat="1" ht="0.65" hidden="1" customHeight="1">
      <c r="H60" s="343"/>
      <c r="I60" s="343"/>
      <c r="J60" s="343"/>
      <c r="K60" s="343"/>
      <c r="L60" s="343"/>
      <c r="M60" s="343"/>
      <c r="N60" s="343"/>
      <c r="O60" s="343"/>
    </row>
    <row r="61" spans="2:23" s="384" customFormat="1" ht="0.65" hidden="1" customHeight="1">
      <c r="H61" s="343"/>
      <c r="I61" s="343"/>
      <c r="J61" s="343"/>
      <c r="K61" s="343"/>
      <c r="L61" s="343"/>
      <c r="M61" s="343"/>
      <c r="N61" s="343"/>
      <c r="O61" s="343"/>
    </row>
    <row r="62" spans="2:23" s="384" customFormat="1" ht="0.65" hidden="1" customHeight="1">
      <c r="F62" s="652">
        <v>1</v>
      </c>
      <c r="H62" s="343"/>
      <c r="I62" s="653"/>
      <c r="J62" s="653">
        <v>1</v>
      </c>
      <c r="K62" s="653">
        <v>2</v>
      </c>
      <c r="L62" s="653">
        <v>3</v>
      </c>
      <c r="M62" s="653">
        <v>4</v>
      </c>
      <c r="N62" s="653">
        <v>5</v>
      </c>
      <c r="O62" s="653">
        <v>6</v>
      </c>
      <c r="P62" s="653">
        <v>7</v>
      </c>
      <c r="Q62" s="653"/>
      <c r="R62" s="653">
        <v>8</v>
      </c>
      <c r="U62" s="653">
        <v>9</v>
      </c>
      <c r="V62" s="653">
        <v>10</v>
      </c>
      <c r="W62" s="653"/>
    </row>
    <row r="63" spans="2:23" s="384" customFormat="1" ht="0.65" hidden="1" customHeight="1">
      <c r="B63" s="654"/>
      <c r="C63" s="654" t="str">
        <f t="shared" ref="C63:C68" si="10">IF(OR($C$12="",NOT($D$12="")),"",HLOOKUP($C$12,$I$62:$V$84,F63,FALSE))</f>
        <v/>
      </c>
      <c r="D63" s="654"/>
      <c r="F63" s="652">
        <v>2</v>
      </c>
      <c r="H63" s="654"/>
      <c r="I63" s="654"/>
      <c r="J63" s="654">
        <v>100</v>
      </c>
      <c r="K63" s="654">
        <v>100</v>
      </c>
      <c r="L63" s="654">
        <v>100</v>
      </c>
      <c r="M63" s="654">
        <v>100</v>
      </c>
      <c r="N63" s="654">
        <v>100</v>
      </c>
      <c r="O63" s="654">
        <v>100</v>
      </c>
      <c r="P63" s="654">
        <v>100</v>
      </c>
      <c r="R63" s="654">
        <v>100</v>
      </c>
      <c r="U63" s="654">
        <v>100</v>
      </c>
      <c r="V63" s="654">
        <v>100</v>
      </c>
    </row>
    <row r="64" spans="2:23" s="384" customFormat="1" ht="0.65" hidden="1" customHeight="1">
      <c r="B64" s="654"/>
      <c r="C64" s="654" t="str">
        <f t="shared" si="10"/>
        <v/>
      </c>
      <c r="D64" s="654"/>
      <c r="F64" s="652">
        <v>3</v>
      </c>
      <c r="H64" s="654"/>
      <c r="I64" s="654"/>
      <c r="J64" s="654">
        <v>50</v>
      </c>
      <c r="K64" s="654">
        <v>50</v>
      </c>
      <c r="L64" s="654">
        <v>50</v>
      </c>
      <c r="M64" s="654">
        <v>50</v>
      </c>
      <c r="N64" s="654">
        <v>50</v>
      </c>
      <c r="O64" s="654">
        <v>50</v>
      </c>
      <c r="P64" s="654">
        <v>50</v>
      </c>
      <c r="R64" s="654">
        <v>50</v>
      </c>
      <c r="U64" s="654">
        <v>50</v>
      </c>
      <c r="V64" s="654">
        <v>50</v>
      </c>
    </row>
    <row r="65" spans="2:22" s="384" customFormat="1" ht="0.65" hidden="1" customHeight="1">
      <c r="B65" s="654"/>
      <c r="C65" s="654" t="str">
        <f t="shared" si="10"/>
        <v/>
      </c>
      <c r="D65" s="654"/>
      <c r="F65" s="652">
        <v>4</v>
      </c>
      <c r="H65" s="654"/>
      <c r="I65" s="654"/>
      <c r="J65" s="654">
        <v>0</v>
      </c>
      <c r="K65" s="654">
        <v>0</v>
      </c>
      <c r="L65" s="654">
        <v>20</v>
      </c>
      <c r="M65" s="654">
        <v>10</v>
      </c>
      <c r="N65" s="654">
        <v>10</v>
      </c>
      <c r="O65" s="654">
        <v>0</v>
      </c>
      <c r="P65" s="654">
        <v>0</v>
      </c>
      <c r="R65" s="654">
        <v>10</v>
      </c>
      <c r="U65" s="654">
        <v>-20</v>
      </c>
      <c r="V65" s="654">
        <v>20</v>
      </c>
    </row>
    <row r="66" spans="2:22" s="384" customFormat="1" ht="0.65" hidden="1" customHeight="1">
      <c r="B66" s="654"/>
      <c r="C66" s="655" t="str">
        <f t="shared" si="10"/>
        <v/>
      </c>
      <c r="D66" s="655"/>
      <c r="F66" s="652">
        <v>5</v>
      </c>
      <c r="H66" s="654"/>
      <c r="I66" s="655"/>
      <c r="J66" s="655">
        <v>0</v>
      </c>
      <c r="K66" s="655">
        <v>0</v>
      </c>
      <c r="L66" s="655">
        <v>0.3</v>
      </c>
      <c r="M66" s="655">
        <v>0</v>
      </c>
      <c r="N66" s="655">
        <v>0.3</v>
      </c>
      <c r="O66" s="655">
        <v>0</v>
      </c>
      <c r="P66" s="655">
        <v>0</v>
      </c>
      <c r="R66" s="655">
        <v>0.3</v>
      </c>
      <c r="U66" s="655">
        <v>0.3</v>
      </c>
      <c r="V66" s="655">
        <v>0.3</v>
      </c>
    </row>
    <row r="67" spans="2:22" s="384" customFormat="1" ht="0.65" hidden="1" customHeight="1">
      <c r="B67" s="654"/>
      <c r="C67" s="656" t="str">
        <f t="shared" si="10"/>
        <v/>
      </c>
      <c r="D67" s="656"/>
      <c r="F67" s="652">
        <v>6</v>
      </c>
      <c r="H67" s="657"/>
      <c r="I67" s="656"/>
      <c r="J67" s="656">
        <v>0</v>
      </c>
      <c r="K67" s="656">
        <v>0</v>
      </c>
      <c r="L67" s="656">
        <v>0</v>
      </c>
      <c r="M67" s="656">
        <v>0</v>
      </c>
      <c r="N67" s="656">
        <v>0</v>
      </c>
      <c r="O67" s="656">
        <v>90</v>
      </c>
      <c r="P67" s="656">
        <v>0</v>
      </c>
      <c r="R67" s="656">
        <v>90</v>
      </c>
      <c r="U67" s="656">
        <v>0</v>
      </c>
      <c r="V67" s="656">
        <v>90</v>
      </c>
    </row>
    <row r="68" spans="2:22" s="384" customFormat="1" ht="0.65" hidden="1" customHeight="1">
      <c r="B68" s="654"/>
      <c r="C68" s="656" t="str">
        <f t="shared" si="10"/>
        <v/>
      </c>
      <c r="D68" s="656"/>
      <c r="F68" s="652">
        <v>7</v>
      </c>
      <c r="H68" s="657"/>
      <c r="I68" s="656"/>
      <c r="J68" s="656">
        <v>0</v>
      </c>
      <c r="K68" s="656">
        <v>0</v>
      </c>
      <c r="L68" s="656">
        <v>0</v>
      </c>
      <c r="M68" s="656">
        <v>0</v>
      </c>
      <c r="N68" s="656">
        <v>0</v>
      </c>
      <c r="O68" s="656">
        <v>0</v>
      </c>
      <c r="P68" s="656">
        <v>90</v>
      </c>
      <c r="R68" s="656">
        <v>90</v>
      </c>
      <c r="U68" s="656">
        <v>0</v>
      </c>
      <c r="V68" s="656">
        <v>90</v>
      </c>
    </row>
    <row r="69" spans="2:22" s="384" customFormat="1" ht="0.65" hidden="1" customHeight="1">
      <c r="B69" s="654"/>
      <c r="C69" s="654"/>
      <c r="D69" s="654"/>
      <c r="F69" s="652">
        <v>8</v>
      </c>
      <c r="H69" s="654"/>
      <c r="I69" s="654"/>
      <c r="J69" s="654"/>
      <c r="K69" s="654"/>
      <c r="L69" s="654"/>
      <c r="M69" s="654"/>
      <c r="N69" s="654"/>
      <c r="O69" s="654"/>
      <c r="P69" s="654"/>
      <c r="R69" s="654"/>
      <c r="U69" s="654"/>
      <c r="V69" s="654"/>
    </row>
    <row r="70" spans="2:22" s="384" customFormat="1" ht="0.65" hidden="1" customHeight="1">
      <c r="B70" s="654"/>
      <c r="C70" s="655" t="str">
        <f>IF(OR($C$12="",NOT($D$12="")),"",HLOOKUP($C$12,$I$62:$V$84,F70,FALSE))</f>
        <v/>
      </c>
      <c r="D70" s="655"/>
      <c r="F70" s="652">
        <v>9</v>
      </c>
      <c r="H70" s="654"/>
      <c r="I70" s="655"/>
      <c r="J70" s="655">
        <v>0.1</v>
      </c>
      <c r="K70" s="655">
        <v>0.2</v>
      </c>
      <c r="L70" s="655">
        <v>0.05</v>
      </c>
      <c r="M70" s="655">
        <v>0.1</v>
      </c>
      <c r="N70" s="655">
        <v>0.1</v>
      </c>
      <c r="O70" s="655">
        <v>0.1</v>
      </c>
      <c r="P70" s="655">
        <v>0.1</v>
      </c>
      <c r="R70" s="655">
        <v>0.1</v>
      </c>
      <c r="U70" s="655">
        <v>0.1</v>
      </c>
      <c r="V70" s="655">
        <v>0.2</v>
      </c>
    </row>
    <row r="71" spans="2:22" s="384" customFormat="1" ht="0.65" hidden="1" customHeight="1">
      <c r="B71" s="654"/>
      <c r="C71" s="655" t="str">
        <f>IF(OR($C$12="",NOT($D$12="")),"",HLOOKUP($C$12,$I$62:$V$84,F71,FALSE))</f>
        <v/>
      </c>
      <c r="D71" s="655"/>
      <c r="F71" s="652">
        <v>10</v>
      </c>
      <c r="H71" s="654"/>
      <c r="I71" s="655"/>
      <c r="J71" s="655">
        <v>0.1</v>
      </c>
      <c r="K71" s="655">
        <v>0.1</v>
      </c>
      <c r="L71" s="655">
        <v>0.05</v>
      </c>
      <c r="M71" s="655">
        <v>0.1</v>
      </c>
      <c r="N71" s="655">
        <v>0.1</v>
      </c>
      <c r="O71" s="655">
        <v>0.1</v>
      </c>
      <c r="P71" s="655">
        <v>0.1</v>
      </c>
      <c r="R71" s="655">
        <v>0.1</v>
      </c>
      <c r="U71" s="655">
        <v>0.1</v>
      </c>
      <c r="V71" s="655">
        <v>0</v>
      </c>
    </row>
    <row r="72" spans="2:22" s="384" customFormat="1" ht="0.65" hidden="1" customHeight="1">
      <c r="B72" s="654"/>
      <c r="C72" s="655" t="str">
        <f>IF(OR($C$12="",NOT($D$12="")),"",HLOOKUP($C$12,$I$62:$V$84,F72,FALSE))</f>
        <v/>
      </c>
      <c r="D72" s="655"/>
      <c r="F72" s="652">
        <v>11</v>
      </c>
      <c r="H72" s="654"/>
      <c r="I72" s="655"/>
      <c r="J72" s="655">
        <v>0.1</v>
      </c>
      <c r="K72" s="655">
        <v>0.1</v>
      </c>
      <c r="L72" s="655">
        <v>0.1</v>
      </c>
      <c r="M72" s="655">
        <v>0.1</v>
      </c>
      <c r="N72" s="655">
        <v>0.1</v>
      </c>
      <c r="O72" s="655">
        <v>0.1</v>
      </c>
      <c r="P72" s="655">
        <v>0.1</v>
      </c>
      <c r="R72" s="655">
        <v>0.1</v>
      </c>
      <c r="U72" s="655">
        <v>0.1</v>
      </c>
      <c r="V72" s="655">
        <v>0.1</v>
      </c>
    </row>
    <row r="73" spans="2:22" s="384" customFormat="1" ht="0.65" hidden="1" customHeight="1">
      <c r="F73" s="652">
        <v>12</v>
      </c>
    </row>
    <row r="74" spans="2:22" s="384" customFormat="1" ht="0.65" hidden="1" customHeight="1">
      <c r="B74" s="654"/>
      <c r="C74" s="655" t="str">
        <f>IF(OR($C$12="",NOT($D$12="")),"",HLOOKUP($C$12,$I$62:$V$84,F74,FALSE))</f>
        <v/>
      </c>
      <c r="D74" s="655"/>
      <c r="F74" s="652">
        <v>13</v>
      </c>
      <c r="H74" s="654"/>
      <c r="I74" s="655"/>
      <c r="J74" s="655">
        <v>0.1</v>
      </c>
      <c r="K74" s="655">
        <v>0.1</v>
      </c>
      <c r="L74" s="655">
        <v>0.1</v>
      </c>
      <c r="M74" s="655">
        <v>0.1</v>
      </c>
      <c r="N74" s="655">
        <v>0.1</v>
      </c>
      <c r="O74" s="655">
        <v>0.1</v>
      </c>
      <c r="P74" s="655">
        <v>0.1</v>
      </c>
      <c r="R74" s="655">
        <v>0.1</v>
      </c>
      <c r="U74" s="655">
        <v>0.1</v>
      </c>
      <c r="V74" s="655">
        <v>0.1</v>
      </c>
    </row>
    <row r="75" spans="2:22" s="384" customFormat="1" ht="0.65" hidden="1" customHeight="1">
      <c r="F75" s="652">
        <v>14</v>
      </c>
    </row>
    <row r="76" spans="2:22" s="384" customFormat="1" ht="0.65" hidden="1" customHeight="1">
      <c r="B76" s="654"/>
      <c r="C76" s="658" t="str">
        <f>IF(OR($C$12="",NOT($D$12="")),"",HLOOKUP($C$12,$I$62:$V$84,F76,FALSE))</f>
        <v/>
      </c>
      <c r="D76" s="658"/>
      <c r="F76" s="652">
        <v>15</v>
      </c>
      <c r="H76" s="654"/>
      <c r="I76" s="658"/>
      <c r="J76" s="658">
        <v>0.21000000000000019</v>
      </c>
      <c r="K76" s="658">
        <v>0.21000000000000019</v>
      </c>
      <c r="L76" s="658">
        <v>0.21000000000000019</v>
      </c>
      <c r="M76" s="658">
        <v>0.21000000000000019</v>
      </c>
      <c r="N76" s="658">
        <v>0.21000000000000019</v>
      </c>
      <c r="O76" s="658">
        <v>0.21000000000000019</v>
      </c>
      <c r="P76" s="658">
        <v>0.21000000000000019</v>
      </c>
      <c r="R76" s="658">
        <v>0.21000000000000019</v>
      </c>
      <c r="U76" s="658">
        <v>0.21000000000000019</v>
      </c>
      <c r="V76" s="658">
        <v>0.21000000000000019</v>
      </c>
    </row>
    <row r="77" spans="2:22" s="384" customFormat="1" ht="0.65" hidden="1" customHeight="1">
      <c r="F77" s="652">
        <v>16</v>
      </c>
    </row>
    <row r="78" spans="2:22" s="384" customFormat="1" ht="0.65" hidden="1" customHeight="1">
      <c r="C78" s="384" t="str">
        <f>IF(OR(C12="",NOT(D12="")),"",IF(ABS(P10-R30)&lt;0.001,"SI","NO"))</f>
        <v/>
      </c>
      <c r="F78" s="652">
        <v>17</v>
      </c>
    </row>
    <row r="79" spans="2:22" s="384" customFormat="1" ht="0.65" hidden="1" customHeight="1">
      <c r="F79" s="652">
        <v>18</v>
      </c>
    </row>
    <row r="80" spans="2:22" s="384" customFormat="1" ht="0.65" hidden="1" customHeight="1">
      <c r="F80" s="652">
        <v>19</v>
      </c>
    </row>
    <row r="81" spans="1:10" s="384" customFormat="1" ht="0.65" hidden="1" customHeight="1">
      <c r="F81" s="652">
        <v>20</v>
      </c>
    </row>
    <row r="82" spans="1:10" s="384" customFormat="1" ht="0.65" hidden="1" customHeight="1">
      <c r="F82" s="652">
        <v>21</v>
      </c>
    </row>
    <row r="83" spans="1:10" s="384" customFormat="1" ht="0.65" hidden="1" customHeight="1">
      <c r="F83" s="652">
        <v>22</v>
      </c>
    </row>
    <row r="84" spans="1:10" s="384" customFormat="1" ht="0.65" hidden="1" customHeight="1">
      <c r="F84" s="652">
        <v>23</v>
      </c>
    </row>
    <row r="85" spans="1:10" s="384" customFormat="1" ht="0.65" hidden="1" customHeight="1">
      <c r="F85" s="652"/>
    </row>
    <row r="86" spans="1:10" s="384" customFormat="1" ht="0.65" hidden="1" customHeight="1"/>
    <row r="87" spans="1:10" s="384" customFormat="1" ht="0.65" hidden="1" customHeight="1">
      <c r="I87" s="659">
        <v>1</v>
      </c>
      <c r="J87" s="660" t="s">
        <v>2794</v>
      </c>
    </row>
    <row r="88" spans="1:10" s="384" customFormat="1" ht="0.65" hidden="1" customHeight="1">
      <c r="I88" s="659">
        <v>2</v>
      </c>
      <c r="J88" s="660" t="s">
        <v>2795</v>
      </c>
    </row>
    <row r="89" spans="1:10" s="384" customFormat="1" ht="0.65" hidden="1" customHeight="1">
      <c r="I89" s="659">
        <v>3</v>
      </c>
      <c r="J89" s="660" t="s">
        <v>3940</v>
      </c>
    </row>
    <row r="90" spans="1:10" s="384" customFormat="1" ht="0.65" hidden="1" customHeight="1">
      <c r="A90" s="652">
        <f>IF(B90=B91,1,0)</f>
        <v>1</v>
      </c>
      <c r="B90" s="660" t="str">
        <f>B5</f>
        <v>http://www.eumed.net/libros-gratis/2013a/1290/inflacion.html</v>
      </c>
      <c r="I90" s="659">
        <v>4</v>
      </c>
      <c r="J90" s="660" t="s">
        <v>3941</v>
      </c>
    </row>
    <row r="91" spans="1:10" s="384" customFormat="1" ht="0.65" hidden="1" customHeight="1">
      <c r="A91" s="652"/>
      <c r="B91" s="661" t="s">
        <v>2773</v>
      </c>
      <c r="I91" s="659">
        <v>5</v>
      </c>
      <c r="J91" s="660" t="s">
        <v>3942</v>
      </c>
    </row>
    <row r="92" spans="1:10" s="384" customFormat="1" ht="0.65" hidden="1" customHeight="1">
      <c r="I92" s="659">
        <v>6</v>
      </c>
      <c r="J92" s="660" t="s">
        <v>3943</v>
      </c>
    </row>
    <row r="93" spans="1:10" s="384" customFormat="1" ht="0.65" hidden="1" customHeight="1">
      <c r="I93" s="659">
        <v>7</v>
      </c>
      <c r="J93" s="660" t="s">
        <v>3943</v>
      </c>
    </row>
    <row r="94" spans="1:10" s="384" customFormat="1" ht="0.65" hidden="1" customHeight="1">
      <c r="I94" s="659">
        <v>8</v>
      </c>
      <c r="J94" s="660" t="s">
        <v>3944</v>
      </c>
    </row>
    <row r="95" spans="1:10" s="384" customFormat="1" ht="0.65" hidden="1" customHeight="1">
      <c r="I95" s="659">
        <v>9</v>
      </c>
      <c r="J95" s="660" t="s">
        <v>3942</v>
      </c>
    </row>
    <row r="96" spans="1:10" s="384" customFormat="1" ht="0.65" hidden="1" customHeight="1">
      <c r="I96" s="659">
        <v>10</v>
      </c>
      <c r="J96" s="660" t="s">
        <v>3945</v>
      </c>
    </row>
    <row r="97" spans="9:23" s="384" customFormat="1" ht="0.65" hidden="1" customHeight="1">
      <c r="J97" s="660"/>
    </row>
    <row r="98" spans="9:23" s="384" customFormat="1" ht="0.65" hidden="1" customHeight="1">
      <c r="J98" s="660"/>
    </row>
    <row r="99" spans="9:23" s="384" customFormat="1" ht="0.65" hidden="1" customHeight="1"/>
    <row r="100" spans="9:23" s="384" customFormat="1" ht="0.65" hidden="1" customHeight="1"/>
    <row r="101" spans="9:23" s="384" customFormat="1" ht="0.65" hidden="1" customHeight="1"/>
    <row r="102" spans="9:23" s="384" customFormat="1" ht="0.65" hidden="1" customHeight="1">
      <c r="I102" s="659">
        <v>1</v>
      </c>
      <c r="J102" s="660" t="s">
        <v>2796</v>
      </c>
      <c r="O102" s="660" t="s">
        <v>2797</v>
      </c>
    </row>
    <row r="103" spans="9:23" s="384" customFormat="1" ht="0.65" hidden="1" customHeight="1">
      <c r="I103" s="659">
        <v>2</v>
      </c>
      <c r="J103" s="660" t="s">
        <v>2798</v>
      </c>
      <c r="O103" s="660" t="s">
        <v>2799</v>
      </c>
      <c r="U103" s="660" t="s">
        <v>2800</v>
      </c>
      <c r="V103" s="660"/>
      <c r="W103" s="660"/>
    </row>
    <row r="104" spans="9:23" s="384" customFormat="1" ht="0.65" hidden="1" customHeight="1">
      <c r="I104" s="659">
        <v>3</v>
      </c>
      <c r="J104" s="660" t="s">
        <v>2801</v>
      </c>
      <c r="O104" s="660" t="s">
        <v>2799</v>
      </c>
      <c r="U104" s="660" t="s">
        <v>2802</v>
      </c>
      <c r="V104" s="660"/>
      <c r="W104" s="660"/>
    </row>
    <row r="105" spans="9:23" s="384" customFormat="1" ht="0.65" hidden="1" customHeight="1">
      <c r="I105" s="659">
        <v>4</v>
      </c>
      <c r="J105" s="660" t="s">
        <v>2796</v>
      </c>
      <c r="O105" s="660" t="s">
        <v>2797</v>
      </c>
      <c r="U105" s="660"/>
      <c r="V105" s="660"/>
      <c r="W105" s="660"/>
    </row>
    <row r="106" spans="9:23" s="384" customFormat="1" ht="0.65" hidden="1" customHeight="1">
      <c r="I106" s="659">
        <v>5</v>
      </c>
      <c r="J106" s="660" t="s">
        <v>2801</v>
      </c>
      <c r="O106" s="660" t="s">
        <v>2799</v>
      </c>
      <c r="U106" s="660" t="s">
        <v>2803</v>
      </c>
      <c r="V106" s="660"/>
      <c r="W106" s="660"/>
    </row>
    <row r="107" spans="9:23" s="384" customFormat="1" ht="0.65" hidden="1" customHeight="1">
      <c r="I107" s="659">
        <v>6</v>
      </c>
      <c r="J107" s="660" t="s">
        <v>2801</v>
      </c>
      <c r="O107" s="660" t="s">
        <v>2799</v>
      </c>
      <c r="U107" s="660" t="s">
        <v>2804</v>
      </c>
      <c r="V107" s="660"/>
      <c r="W107" s="660"/>
    </row>
    <row r="108" spans="9:23" s="384" customFormat="1" ht="0.65" hidden="1" customHeight="1">
      <c r="I108" s="659">
        <v>7</v>
      </c>
      <c r="J108" s="660" t="s">
        <v>2798</v>
      </c>
      <c r="O108" s="660" t="s">
        <v>2799</v>
      </c>
      <c r="U108" s="660" t="s">
        <v>2805</v>
      </c>
      <c r="V108" s="660"/>
      <c r="W108" s="660"/>
    </row>
    <row r="109" spans="9:23" s="384" customFormat="1" ht="0.65" hidden="1" customHeight="1">
      <c r="I109" s="659">
        <v>8</v>
      </c>
      <c r="J109" s="660" t="s">
        <v>2801</v>
      </c>
      <c r="O109" s="660" t="s">
        <v>2799</v>
      </c>
      <c r="U109" s="660" t="s">
        <v>2806</v>
      </c>
      <c r="V109" s="660"/>
      <c r="W109" s="660"/>
    </row>
    <row r="110" spans="9:23" s="384" customFormat="1" ht="0.65" hidden="1" customHeight="1">
      <c r="I110" s="659">
        <v>9</v>
      </c>
      <c r="J110" s="660" t="s">
        <v>2798</v>
      </c>
      <c r="O110" s="660" t="s">
        <v>2799</v>
      </c>
      <c r="U110" s="660" t="s">
        <v>2807</v>
      </c>
      <c r="V110" s="660"/>
      <c r="W110" s="660"/>
    </row>
    <row r="111" spans="9:23" s="384" customFormat="1" ht="0.65" hidden="1" customHeight="1">
      <c r="I111" s="659">
        <v>10</v>
      </c>
      <c r="J111" s="660" t="s">
        <v>2798</v>
      </c>
      <c r="O111" s="660" t="s">
        <v>2799</v>
      </c>
      <c r="U111" s="660" t="s">
        <v>2808</v>
      </c>
      <c r="V111" s="660"/>
      <c r="W111" s="660"/>
    </row>
    <row r="112" spans="9:23" s="384" customFormat="1" ht="0.65" hidden="1" customHeight="1">
      <c r="J112" s="660"/>
      <c r="U112" s="660"/>
      <c r="V112" s="660"/>
      <c r="W112" s="660"/>
    </row>
    <row r="113" spans="7:23" s="384" customFormat="1" ht="0.65" hidden="1" customHeight="1">
      <c r="J113" s="660"/>
      <c r="O113" s="660"/>
      <c r="U113" s="660"/>
      <c r="V113" s="660"/>
      <c r="W113" s="660"/>
    </row>
    <row r="114" spans="7:23" s="384" customFormat="1" ht="0.65" hidden="1" customHeight="1">
      <c r="U114" s="660"/>
      <c r="V114" s="660"/>
      <c r="W114" s="660"/>
    </row>
    <row r="115" spans="7:23" s="384" customFormat="1" ht="0.65" hidden="1" customHeight="1">
      <c r="U115" s="660"/>
      <c r="V115" s="660"/>
      <c r="W115" s="660"/>
    </row>
    <row r="116" spans="7:23" s="384" customFormat="1" ht="0.65" hidden="1" customHeight="1">
      <c r="U116" s="660"/>
      <c r="V116" s="660"/>
      <c r="W116" s="660"/>
    </row>
    <row r="117" spans="7:23" s="384" customFormat="1" ht="0.65" hidden="1" customHeight="1">
      <c r="G117" s="662"/>
      <c r="I117" s="660"/>
      <c r="O117" s="660"/>
      <c r="U117" s="660"/>
      <c r="V117" s="660"/>
      <c r="W117" s="660"/>
    </row>
    <row r="118" spans="7:23" s="384" customFormat="1" ht="0.65" hidden="1" customHeight="1">
      <c r="G118" s="662"/>
      <c r="I118" s="660"/>
      <c r="O118" s="660"/>
      <c r="U118" s="660"/>
      <c r="V118" s="660"/>
      <c r="W118" s="660"/>
    </row>
    <row r="119" spans="7:23" s="384" customFormat="1" ht="0.65" hidden="1" customHeight="1">
      <c r="G119" s="662"/>
      <c r="I119" s="660"/>
      <c r="O119" s="660"/>
      <c r="U119" s="660"/>
      <c r="V119" s="660"/>
      <c r="W119" s="660"/>
    </row>
    <row r="120" spans="7:23" s="384" customFormat="1" ht="0.65" hidden="1" customHeight="1">
      <c r="I120" s="660"/>
      <c r="U120" s="660"/>
      <c r="V120" s="660"/>
      <c r="W120" s="660"/>
    </row>
    <row r="121" spans="7:23" s="384" customFormat="1" ht="0.65" hidden="1" customHeight="1">
      <c r="H121" s="659"/>
      <c r="I121" s="660"/>
      <c r="U121" s="660"/>
      <c r="V121" s="660"/>
      <c r="W121" s="660"/>
    </row>
    <row r="122" spans="7:23" s="384" customFormat="1" ht="0.65" hidden="1" customHeight="1">
      <c r="I122" s="660"/>
      <c r="O122" s="660"/>
      <c r="U122" s="660"/>
      <c r="V122" s="660"/>
      <c r="W122" s="660"/>
    </row>
    <row r="123" spans="7:23" s="384" customFormat="1" ht="0.65" hidden="1" customHeight="1">
      <c r="H123" s="659"/>
      <c r="I123" s="660"/>
      <c r="O123" s="660"/>
      <c r="U123" s="660"/>
      <c r="V123" s="660"/>
      <c r="W123" s="660"/>
    </row>
    <row r="124" spans="7:23" s="384" customFormat="1" ht="0.65" hidden="1" customHeight="1">
      <c r="H124" s="659"/>
      <c r="I124" s="660"/>
      <c r="U124" s="660"/>
      <c r="V124" s="660"/>
      <c r="W124" s="660"/>
    </row>
    <row r="125" spans="7:23" s="384" customFormat="1" ht="0.65" hidden="1" customHeight="1">
      <c r="H125" s="659"/>
      <c r="I125" s="660"/>
      <c r="U125" s="660"/>
      <c r="V125" s="660"/>
      <c r="W125" s="660"/>
    </row>
    <row r="126" spans="7:23" s="384" customFormat="1" ht="0.65" hidden="1" customHeight="1">
      <c r="I126" s="660"/>
      <c r="U126" s="660"/>
      <c r="V126" s="660"/>
      <c r="W126" s="660"/>
    </row>
    <row r="127" spans="7:23" s="384" customFormat="1" ht="0.65" hidden="1" customHeight="1">
      <c r="U127" s="660"/>
      <c r="V127" s="660"/>
      <c r="W127" s="660"/>
    </row>
    <row r="128" spans="7:23" s="384" customFormat="1" ht="0.65" hidden="1" customHeight="1">
      <c r="U128" s="660"/>
      <c r="V128" s="660"/>
      <c r="W128" s="660"/>
    </row>
    <row r="129" spans="6:23" s="384" customFormat="1" ht="0.65" hidden="1" customHeight="1">
      <c r="U129" s="660"/>
      <c r="V129" s="660"/>
      <c r="W129" s="660"/>
    </row>
    <row r="130" spans="6:23" s="384" customFormat="1" ht="0.65" hidden="1" customHeight="1">
      <c r="U130" s="660"/>
      <c r="V130" s="660"/>
      <c r="W130" s="660"/>
    </row>
    <row r="131" spans="6:23" s="384" customFormat="1" ht="0.65" hidden="1" customHeight="1">
      <c r="F131" s="652">
        <v>100</v>
      </c>
      <c r="H131" s="384" t="s">
        <v>3939</v>
      </c>
      <c r="U131" s="660"/>
      <c r="V131" s="660"/>
      <c r="W131" s="660"/>
    </row>
    <row r="132" spans="6:23" s="384" customFormat="1" ht="0.65" hidden="1" customHeight="1">
      <c r="F132" s="652">
        <v>101</v>
      </c>
      <c r="H132" s="384" t="s">
        <v>2809</v>
      </c>
    </row>
    <row r="133" spans="6:23" s="384" customFormat="1" ht="0.65" hidden="1" customHeight="1">
      <c r="F133" s="652">
        <v>102</v>
      </c>
      <c r="H133" s="384" t="s">
        <v>2810</v>
      </c>
    </row>
    <row r="134" spans="6:23" s="384" customFormat="1" ht="0.65" hidden="1" customHeight="1">
      <c r="F134" s="652">
        <v>103</v>
      </c>
      <c r="H134" s="384" t="s">
        <v>2811</v>
      </c>
    </row>
    <row r="135" spans="6:23" s="384" customFormat="1" ht="0.65" hidden="1" customHeight="1">
      <c r="F135" s="652">
        <v>104</v>
      </c>
      <c r="H135" s="384" t="s">
        <v>2812</v>
      </c>
    </row>
    <row r="136" spans="6:23" s="384" customFormat="1" ht="0.65" hidden="1" customHeight="1">
      <c r="F136" s="652">
        <v>105</v>
      </c>
      <c r="H136" s="384" t="s">
        <v>2813</v>
      </c>
    </row>
    <row r="137" spans="6:23" s="384" customFormat="1" ht="0.65" hidden="1" customHeight="1">
      <c r="F137" s="652">
        <v>106</v>
      </c>
      <c r="H137" s="384" t="s">
        <v>2814</v>
      </c>
    </row>
    <row r="138" spans="6:23" s="384" customFormat="1" ht="0.65" hidden="1" customHeight="1">
      <c r="F138" s="652">
        <v>107</v>
      </c>
      <c r="H138" s="384" t="s">
        <v>2815</v>
      </c>
    </row>
    <row r="139" spans="6:23" s="384" customFormat="1" ht="0.65" hidden="1" customHeight="1">
      <c r="F139" s="652">
        <v>200</v>
      </c>
      <c r="H139" s="384" t="s">
        <v>3939</v>
      </c>
    </row>
    <row r="140" spans="6:23" s="384" customFormat="1" ht="0.65" hidden="1" customHeight="1">
      <c r="F140" s="652">
        <v>201</v>
      </c>
      <c r="H140" s="384" t="s">
        <v>2809</v>
      </c>
    </row>
    <row r="141" spans="6:23" s="384" customFormat="1" ht="0.65" hidden="1" customHeight="1">
      <c r="F141" s="652">
        <v>202</v>
      </c>
      <c r="H141" s="384" t="s">
        <v>2810</v>
      </c>
    </row>
    <row r="142" spans="6:23" s="384" customFormat="1" ht="0.65" hidden="1" customHeight="1">
      <c r="F142" s="652">
        <v>203</v>
      </c>
      <c r="H142" s="384" t="s">
        <v>2811</v>
      </c>
    </row>
    <row r="143" spans="6:23" s="384" customFormat="1" ht="0.65" hidden="1" customHeight="1">
      <c r="F143" s="652">
        <v>204</v>
      </c>
      <c r="H143" s="384" t="s">
        <v>2812</v>
      </c>
    </row>
    <row r="144" spans="6:23" s="384" customFormat="1" ht="0.65" hidden="1" customHeight="1">
      <c r="F144" s="652">
        <v>205</v>
      </c>
      <c r="H144" s="384" t="s">
        <v>2816</v>
      </c>
    </row>
    <row r="145" spans="6:8" s="384" customFormat="1" ht="0.65" hidden="1" customHeight="1">
      <c r="F145" s="652">
        <v>206</v>
      </c>
      <c r="H145" s="384" t="s">
        <v>2814</v>
      </c>
    </row>
    <row r="146" spans="6:8" s="384" customFormat="1" ht="0.65" hidden="1" customHeight="1">
      <c r="F146" s="652">
        <v>207</v>
      </c>
      <c r="H146" s="384" t="s">
        <v>2815</v>
      </c>
    </row>
    <row r="147" spans="6:8" s="384" customFormat="1" ht="0.65" hidden="1" customHeight="1">
      <c r="F147" s="652">
        <v>300</v>
      </c>
      <c r="H147" s="384" t="s">
        <v>3939</v>
      </c>
    </row>
    <row r="148" spans="6:8" s="384" customFormat="1" ht="0.65" hidden="1" customHeight="1">
      <c r="F148" s="652">
        <v>301</v>
      </c>
      <c r="H148" s="384" t="s">
        <v>2809</v>
      </c>
    </row>
    <row r="149" spans="6:8" s="384" customFormat="1" ht="0.65" hidden="1" customHeight="1">
      <c r="F149" s="652">
        <v>302</v>
      </c>
      <c r="H149" s="384" t="s">
        <v>2817</v>
      </c>
    </row>
    <row r="150" spans="6:8" s="384" customFormat="1" ht="0.65" hidden="1" customHeight="1">
      <c r="F150" s="652">
        <v>303</v>
      </c>
      <c r="H150" s="384" t="s">
        <v>2811</v>
      </c>
    </row>
    <row r="151" spans="6:8" s="384" customFormat="1" ht="0.65" hidden="1" customHeight="1">
      <c r="F151" s="652">
        <v>304</v>
      </c>
      <c r="H151" s="384" t="s">
        <v>2818</v>
      </c>
    </row>
    <row r="152" spans="6:8" s="384" customFormat="1" ht="0.65" hidden="1" customHeight="1">
      <c r="F152" s="652">
        <v>305</v>
      </c>
      <c r="H152" s="384" t="s">
        <v>2819</v>
      </c>
    </row>
    <row r="153" spans="6:8" s="384" customFormat="1" ht="0.65" hidden="1" customHeight="1">
      <c r="F153" s="652">
        <v>306</v>
      </c>
      <c r="H153" s="384" t="s">
        <v>2814</v>
      </c>
    </row>
    <row r="154" spans="6:8" s="384" customFormat="1" ht="0.65" hidden="1" customHeight="1">
      <c r="F154" s="652">
        <v>307</v>
      </c>
      <c r="H154" s="384" t="s">
        <v>2815</v>
      </c>
    </row>
    <row r="155" spans="6:8" s="384" customFormat="1" ht="0.65" hidden="1" customHeight="1">
      <c r="F155" s="652">
        <v>400</v>
      </c>
      <c r="H155" s="384" t="s">
        <v>3939</v>
      </c>
    </row>
    <row r="156" spans="6:8" s="384" customFormat="1" ht="0.65" hidden="1" customHeight="1">
      <c r="F156" s="652">
        <v>401</v>
      </c>
      <c r="H156" s="384" t="s">
        <v>2809</v>
      </c>
    </row>
    <row r="157" spans="6:8" s="384" customFormat="1" ht="0.65" hidden="1" customHeight="1">
      <c r="F157" s="652">
        <v>402</v>
      </c>
      <c r="H157" s="384" t="s">
        <v>2820</v>
      </c>
    </row>
    <row r="158" spans="6:8" s="384" customFormat="1" ht="0.65" hidden="1" customHeight="1">
      <c r="F158" s="652">
        <v>403</v>
      </c>
      <c r="H158" s="384" t="s">
        <v>2811</v>
      </c>
    </row>
    <row r="159" spans="6:8" s="384" customFormat="1" ht="0.65" hidden="1" customHeight="1">
      <c r="F159" s="652">
        <v>404</v>
      </c>
      <c r="H159" s="384" t="s">
        <v>2812</v>
      </c>
    </row>
    <row r="160" spans="6:8" s="384" customFormat="1" ht="0.65" hidden="1" customHeight="1">
      <c r="F160" s="652">
        <v>405</v>
      </c>
      <c r="H160" s="384" t="s">
        <v>2813</v>
      </c>
    </row>
    <row r="161" spans="6:8" s="384" customFormat="1" ht="0.65" hidden="1" customHeight="1">
      <c r="F161" s="652">
        <v>406</v>
      </c>
      <c r="H161" s="384" t="s">
        <v>2814</v>
      </c>
    </row>
    <row r="162" spans="6:8" s="384" customFormat="1" ht="0.65" hidden="1" customHeight="1">
      <c r="F162" s="652">
        <v>407</v>
      </c>
      <c r="H162" s="384" t="s">
        <v>2815</v>
      </c>
    </row>
    <row r="163" spans="6:8" s="384" customFormat="1" ht="0.65" hidden="1" customHeight="1">
      <c r="F163" s="652">
        <v>500</v>
      </c>
      <c r="H163" s="384" t="s">
        <v>3939</v>
      </c>
    </row>
    <row r="164" spans="6:8" s="384" customFormat="1" ht="0.65" hidden="1" customHeight="1">
      <c r="F164" s="652">
        <v>501</v>
      </c>
      <c r="H164" s="384" t="s">
        <v>2809</v>
      </c>
    </row>
    <row r="165" spans="6:8" s="384" customFormat="1" ht="0.65" hidden="1" customHeight="1">
      <c r="F165" s="652">
        <v>502</v>
      </c>
      <c r="H165" s="384" t="s">
        <v>2820</v>
      </c>
    </row>
    <row r="166" spans="6:8" s="384" customFormat="1" ht="0.65" hidden="1" customHeight="1">
      <c r="F166" s="652">
        <v>503</v>
      </c>
      <c r="H166" s="384" t="s">
        <v>2811</v>
      </c>
    </row>
    <row r="167" spans="6:8" s="384" customFormat="1" ht="0.65" hidden="1" customHeight="1">
      <c r="F167" s="652">
        <v>504</v>
      </c>
      <c r="H167" s="384" t="s">
        <v>2818</v>
      </c>
    </row>
    <row r="168" spans="6:8" s="384" customFormat="1" ht="0.65" hidden="1" customHeight="1">
      <c r="F168" s="652">
        <v>505</v>
      </c>
      <c r="H168" s="384" t="s">
        <v>2813</v>
      </c>
    </row>
    <row r="169" spans="6:8" s="384" customFormat="1" ht="0.65" hidden="1" customHeight="1">
      <c r="F169" s="652">
        <v>506</v>
      </c>
      <c r="H169" s="384" t="s">
        <v>2814</v>
      </c>
    </row>
    <row r="170" spans="6:8" s="384" customFormat="1" ht="0.65" hidden="1" customHeight="1">
      <c r="F170" s="652">
        <v>507</v>
      </c>
      <c r="H170" s="384" t="s">
        <v>2815</v>
      </c>
    </row>
    <row r="171" spans="6:8" s="384" customFormat="1" ht="0.65" hidden="1" customHeight="1">
      <c r="F171" s="652">
        <v>600</v>
      </c>
      <c r="H171" s="384" t="s">
        <v>3939</v>
      </c>
    </row>
    <row r="172" spans="6:8" s="384" customFormat="1" ht="0.65" hidden="1" customHeight="1">
      <c r="F172" s="652">
        <v>601</v>
      </c>
      <c r="H172" s="384" t="s">
        <v>2809</v>
      </c>
    </row>
    <row r="173" spans="6:8" s="384" customFormat="1" ht="0.65" hidden="1" customHeight="1">
      <c r="F173" s="652">
        <v>602</v>
      </c>
      <c r="H173" s="384" t="s">
        <v>2810</v>
      </c>
    </row>
    <row r="174" spans="6:8" s="384" customFormat="1" ht="0.65" hidden="1" customHeight="1">
      <c r="F174" s="652">
        <v>603</v>
      </c>
      <c r="H174" s="384" t="s">
        <v>2821</v>
      </c>
    </row>
    <row r="175" spans="6:8" s="384" customFormat="1" ht="0.65" hidden="1" customHeight="1">
      <c r="F175" s="652">
        <v>604</v>
      </c>
      <c r="H175" s="384" t="s">
        <v>2812</v>
      </c>
    </row>
    <row r="176" spans="6:8" s="384" customFormat="1" ht="0.65" hidden="1" customHeight="1">
      <c r="F176" s="652">
        <v>605</v>
      </c>
      <c r="H176" s="384" t="s">
        <v>2813</v>
      </c>
    </row>
    <row r="177" spans="6:8" s="384" customFormat="1" ht="0.65" hidden="1" customHeight="1">
      <c r="F177" s="652">
        <v>606</v>
      </c>
      <c r="H177" s="384" t="s">
        <v>2814</v>
      </c>
    </row>
    <row r="178" spans="6:8" s="384" customFormat="1" ht="0.65" hidden="1" customHeight="1">
      <c r="F178" s="652">
        <v>607</v>
      </c>
      <c r="H178" s="384" t="s">
        <v>2815</v>
      </c>
    </row>
    <row r="179" spans="6:8" s="384" customFormat="1" ht="0.65" hidden="1" customHeight="1">
      <c r="F179" s="652">
        <v>700</v>
      </c>
      <c r="H179" s="384" t="s">
        <v>3939</v>
      </c>
    </row>
    <row r="180" spans="6:8" s="384" customFormat="1" ht="0.65" hidden="1" customHeight="1">
      <c r="F180" s="652">
        <v>701</v>
      </c>
      <c r="H180" s="384" t="s">
        <v>2809</v>
      </c>
    </row>
    <row r="181" spans="6:8" s="384" customFormat="1" ht="0.65" hidden="1" customHeight="1">
      <c r="F181" s="652">
        <v>702</v>
      </c>
      <c r="H181" s="384" t="s">
        <v>2810</v>
      </c>
    </row>
    <row r="182" spans="6:8" s="384" customFormat="1" ht="0.65" hidden="1" customHeight="1">
      <c r="F182" s="652">
        <v>703</v>
      </c>
      <c r="H182" s="384" t="s">
        <v>2822</v>
      </c>
    </row>
    <row r="183" spans="6:8" s="384" customFormat="1" ht="0.65" hidden="1" customHeight="1">
      <c r="F183" s="652">
        <v>704</v>
      </c>
      <c r="H183" s="384" t="s">
        <v>2812</v>
      </c>
    </row>
    <row r="184" spans="6:8" s="384" customFormat="1" ht="0.65" hidden="1" customHeight="1">
      <c r="F184" s="652">
        <v>705</v>
      </c>
      <c r="H184" s="384" t="s">
        <v>2813</v>
      </c>
    </row>
    <row r="185" spans="6:8" s="384" customFormat="1" ht="0.65" hidden="1" customHeight="1">
      <c r="F185" s="652">
        <v>706</v>
      </c>
      <c r="H185" s="384" t="s">
        <v>2814</v>
      </c>
    </row>
    <row r="186" spans="6:8" s="384" customFormat="1" ht="0.65" hidden="1" customHeight="1">
      <c r="F186" s="652">
        <v>707</v>
      </c>
      <c r="H186" s="384" t="s">
        <v>2815</v>
      </c>
    </row>
    <row r="187" spans="6:8" s="384" customFormat="1" ht="0.65" hidden="1" customHeight="1">
      <c r="F187" s="652">
        <v>800</v>
      </c>
      <c r="H187" s="384" t="s">
        <v>3939</v>
      </c>
    </row>
    <row r="188" spans="6:8" s="384" customFormat="1" ht="0.65" hidden="1" customHeight="1">
      <c r="F188" s="652">
        <v>801</v>
      </c>
      <c r="H188" s="384" t="s">
        <v>2809</v>
      </c>
    </row>
    <row r="189" spans="6:8" s="384" customFormat="1" ht="0.65" hidden="1" customHeight="1">
      <c r="F189" s="652">
        <v>802</v>
      </c>
      <c r="H189" s="384" t="s">
        <v>2820</v>
      </c>
    </row>
    <row r="190" spans="6:8" s="384" customFormat="1" ht="0.65" hidden="1" customHeight="1">
      <c r="F190" s="652">
        <v>803</v>
      </c>
      <c r="H190" s="384" t="s">
        <v>2823</v>
      </c>
    </row>
    <row r="191" spans="6:8" s="384" customFormat="1" ht="0.65" hidden="1" customHeight="1">
      <c r="F191" s="652">
        <v>804</v>
      </c>
      <c r="H191" s="384" t="s">
        <v>2818</v>
      </c>
    </row>
    <row r="192" spans="6:8" s="384" customFormat="1" ht="0.65" hidden="1" customHeight="1">
      <c r="F192" s="652">
        <v>805</v>
      </c>
      <c r="H192" s="384" t="s">
        <v>2813</v>
      </c>
    </row>
    <row r="193" spans="6:8" s="384" customFormat="1" ht="0.65" hidden="1" customHeight="1">
      <c r="F193" s="652">
        <v>806</v>
      </c>
      <c r="H193" s="384" t="s">
        <v>2814</v>
      </c>
    </row>
    <row r="194" spans="6:8" s="384" customFormat="1" ht="0.65" hidden="1" customHeight="1">
      <c r="F194" s="652">
        <v>807</v>
      </c>
      <c r="H194" s="384" t="s">
        <v>2815</v>
      </c>
    </row>
    <row r="195" spans="6:8" s="384" customFormat="1" ht="0.65" hidden="1" customHeight="1">
      <c r="F195" s="652">
        <v>900</v>
      </c>
      <c r="H195" s="384" t="s">
        <v>3939</v>
      </c>
    </row>
    <row r="196" spans="6:8" s="384" customFormat="1" ht="0.65" hidden="1" customHeight="1">
      <c r="F196" s="652">
        <v>901</v>
      </c>
      <c r="H196" s="384" t="s">
        <v>2809</v>
      </c>
    </row>
    <row r="197" spans="6:8" s="384" customFormat="1" ht="0.65" hidden="1" customHeight="1">
      <c r="F197" s="652">
        <v>902</v>
      </c>
      <c r="H197" s="384" t="s">
        <v>2824</v>
      </c>
    </row>
    <row r="198" spans="6:8" s="384" customFormat="1" ht="0.65" hidden="1" customHeight="1">
      <c r="F198" s="652">
        <v>903</v>
      </c>
      <c r="H198" s="384" t="s">
        <v>2811</v>
      </c>
    </row>
    <row r="199" spans="6:8" s="384" customFormat="1" ht="0.65" hidden="1" customHeight="1">
      <c r="F199" s="652">
        <v>904</v>
      </c>
      <c r="H199" s="384" t="s">
        <v>2818</v>
      </c>
    </row>
    <row r="200" spans="6:8" s="384" customFormat="1" ht="0.65" hidden="1" customHeight="1">
      <c r="F200" s="652">
        <v>905</v>
      </c>
      <c r="H200" s="384" t="s">
        <v>2813</v>
      </c>
    </row>
    <row r="201" spans="6:8" s="384" customFormat="1" ht="0.65" hidden="1" customHeight="1">
      <c r="F201" s="652">
        <v>906</v>
      </c>
      <c r="H201" s="384" t="s">
        <v>2814</v>
      </c>
    </row>
    <row r="202" spans="6:8" s="384" customFormat="1" ht="0.65" hidden="1" customHeight="1">
      <c r="F202" s="652">
        <v>907</v>
      </c>
      <c r="H202" s="384" t="s">
        <v>2815</v>
      </c>
    </row>
    <row r="203" spans="6:8" s="384" customFormat="1" ht="0.65" hidden="1" customHeight="1">
      <c r="F203" s="652">
        <v>1000</v>
      </c>
      <c r="H203" s="384" t="s">
        <v>3939</v>
      </c>
    </row>
    <row r="204" spans="6:8" s="384" customFormat="1" ht="0.65" hidden="1" customHeight="1">
      <c r="F204" s="652">
        <v>1001</v>
      </c>
      <c r="H204" s="384" t="s">
        <v>2809</v>
      </c>
    </row>
    <row r="205" spans="6:8" s="384" customFormat="1" ht="0.65" hidden="1" customHeight="1">
      <c r="F205" s="652">
        <v>1002</v>
      </c>
      <c r="H205" s="384" t="s">
        <v>2817</v>
      </c>
    </row>
    <row r="206" spans="6:8" s="384" customFormat="1" ht="0.65" hidden="1" customHeight="1">
      <c r="F206" s="652">
        <v>1003</v>
      </c>
      <c r="H206" s="384" t="s">
        <v>2823</v>
      </c>
    </row>
    <row r="207" spans="6:8" s="384" customFormat="1" ht="0.65" hidden="1" customHeight="1">
      <c r="F207" s="652">
        <v>1004</v>
      </c>
      <c r="H207" s="384" t="s">
        <v>2818</v>
      </c>
    </row>
    <row r="208" spans="6:8" s="384" customFormat="1" ht="0.65" hidden="1" customHeight="1">
      <c r="F208" s="652">
        <v>1005</v>
      </c>
      <c r="H208" s="384" t="s">
        <v>2825</v>
      </c>
    </row>
    <row r="209" spans="6:19" s="384" customFormat="1" ht="0.65" hidden="1" customHeight="1">
      <c r="F209" s="652">
        <v>1006</v>
      </c>
      <c r="H209" s="384" t="s">
        <v>2814</v>
      </c>
    </row>
    <row r="210" spans="6:19" s="384" customFormat="1" ht="0.65" hidden="1" customHeight="1">
      <c r="F210" s="652">
        <v>1007</v>
      </c>
      <c r="H210" s="384" t="s">
        <v>2815</v>
      </c>
    </row>
    <row r="211" spans="6:19" s="384" customFormat="1" ht="0.65" hidden="1" customHeight="1"/>
    <row r="212" spans="6:19" s="384" customFormat="1" ht="0.65" hidden="1" customHeight="1"/>
    <row r="213" spans="6:19" s="384" customFormat="1" ht="0.65" hidden="1" customHeight="1"/>
    <row r="214" spans="6:19" s="384" customFormat="1" ht="0.65" hidden="1" customHeight="1"/>
    <row r="215" spans="6:19" s="384" customFormat="1" ht="0.65" hidden="1" customHeight="1"/>
    <row r="216" spans="6:19" s="384" customFormat="1" ht="0.65" hidden="1" customHeight="1">
      <c r="F216" s="663"/>
      <c r="G216" s="663"/>
      <c r="H216" s="663"/>
      <c r="I216" s="663"/>
      <c r="J216" s="663"/>
      <c r="K216" s="663"/>
      <c r="L216" s="663"/>
      <c r="M216" s="663"/>
      <c r="N216" s="663"/>
      <c r="O216" s="663"/>
      <c r="P216" s="663"/>
      <c r="Q216" s="663"/>
      <c r="R216" s="663"/>
      <c r="S216" s="663"/>
    </row>
    <row r="217" spans="6:19" s="384" customFormat="1" ht="0.65" hidden="1" customHeight="1">
      <c r="F217" s="663"/>
      <c r="G217" s="663"/>
      <c r="H217" s="663"/>
      <c r="I217" s="663"/>
      <c r="J217" s="663"/>
      <c r="K217" s="663"/>
      <c r="L217" s="663"/>
      <c r="M217" s="663"/>
      <c r="N217" s="663"/>
      <c r="O217" s="663"/>
      <c r="P217" s="663"/>
      <c r="Q217" s="663"/>
      <c r="R217" s="663"/>
      <c r="S217" s="663"/>
    </row>
    <row r="218" spans="6:19" s="384" customFormat="1" ht="0.65" hidden="1" customHeight="1">
      <c r="F218" s="663"/>
      <c r="G218" s="663"/>
      <c r="H218" s="663"/>
      <c r="I218" s="663"/>
      <c r="J218" s="663"/>
      <c r="K218" s="663"/>
      <c r="L218" s="663"/>
      <c r="M218" s="663"/>
      <c r="N218" s="663"/>
      <c r="O218" s="663"/>
      <c r="P218" s="663"/>
      <c r="Q218" s="663"/>
      <c r="R218" s="663"/>
      <c r="S218" s="663"/>
    </row>
    <row r="219" spans="6:19" s="384" customFormat="1" ht="0.65" hidden="1" customHeight="1">
      <c r="F219" s="663"/>
      <c r="G219" s="663"/>
      <c r="H219" s="663"/>
      <c r="I219" s="663">
        <v>1</v>
      </c>
      <c r="J219" s="663">
        <v>4</v>
      </c>
      <c r="K219" s="663">
        <v>7</v>
      </c>
      <c r="L219" s="663">
        <v>10</v>
      </c>
      <c r="M219" s="663">
        <v>13</v>
      </c>
      <c r="N219" s="663">
        <v>16</v>
      </c>
      <c r="O219" s="663">
        <v>19</v>
      </c>
      <c r="P219" s="663">
        <v>22</v>
      </c>
      <c r="Q219" s="663"/>
      <c r="R219" s="663"/>
      <c r="S219" s="663"/>
    </row>
    <row r="220" spans="6:19" s="384" customFormat="1" ht="0.65" hidden="1" customHeight="1">
      <c r="F220" s="663"/>
      <c r="G220" s="663"/>
      <c r="H220" s="663"/>
      <c r="I220" s="663">
        <v>2</v>
      </c>
      <c r="J220" s="663">
        <v>5</v>
      </c>
      <c r="K220" s="663">
        <v>8</v>
      </c>
      <c r="L220" s="663">
        <v>11</v>
      </c>
      <c r="M220" s="663">
        <v>14</v>
      </c>
      <c r="N220" s="663">
        <v>17</v>
      </c>
      <c r="O220" s="663">
        <v>20</v>
      </c>
      <c r="P220" s="663">
        <v>23</v>
      </c>
      <c r="Q220" s="663"/>
      <c r="R220" s="663"/>
      <c r="S220" s="663"/>
    </row>
    <row r="221" spans="6:19" s="384" customFormat="1" ht="0.65" hidden="1" customHeight="1">
      <c r="F221" s="663"/>
      <c r="G221" s="663"/>
      <c r="H221" s="663"/>
      <c r="I221" s="663">
        <v>3</v>
      </c>
      <c r="J221" s="663">
        <v>6</v>
      </c>
      <c r="K221" s="663">
        <v>9</v>
      </c>
      <c r="L221" s="663">
        <v>12</v>
      </c>
      <c r="M221" s="663">
        <v>15</v>
      </c>
      <c r="N221" s="663">
        <v>18</v>
      </c>
      <c r="O221" s="663">
        <v>21</v>
      </c>
      <c r="P221" s="663">
        <v>24</v>
      </c>
      <c r="Q221" s="663"/>
      <c r="R221" s="663"/>
      <c r="S221" s="663"/>
    </row>
    <row r="222" spans="6:19" s="384" customFormat="1" ht="0.65" hidden="1" customHeight="1">
      <c r="F222" s="663"/>
      <c r="G222" s="663"/>
      <c r="H222" s="663"/>
      <c r="I222" s="663"/>
      <c r="J222" s="663"/>
      <c r="K222" s="663"/>
      <c r="L222" s="663"/>
      <c r="M222" s="663"/>
      <c r="N222" s="663"/>
      <c r="O222" s="663"/>
      <c r="P222" s="663"/>
      <c r="Q222" s="663"/>
      <c r="R222" s="663"/>
      <c r="S222" s="663"/>
    </row>
    <row r="223" spans="6:19" s="384" customFormat="1" ht="0.65" hidden="1" customHeight="1">
      <c r="F223" s="663"/>
      <c r="G223" s="663"/>
      <c r="H223" s="663"/>
      <c r="I223" s="663"/>
      <c r="J223" s="663"/>
      <c r="K223" s="663"/>
      <c r="L223" s="663"/>
      <c r="M223" s="663"/>
      <c r="N223" s="663"/>
      <c r="O223" s="663"/>
      <c r="P223" s="663">
        <v>37</v>
      </c>
      <c r="Q223" s="663"/>
      <c r="R223" s="663"/>
      <c r="S223" s="663"/>
    </row>
    <row r="224" spans="6:19" s="384" customFormat="1" ht="0.65" hidden="1" customHeight="1">
      <c r="F224" s="663"/>
      <c r="G224" s="663"/>
      <c r="H224" s="663"/>
      <c r="I224" s="663">
        <v>25</v>
      </c>
      <c r="J224" s="663">
        <v>28</v>
      </c>
      <c r="K224" s="663">
        <v>31</v>
      </c>
      <c r="L224" s="663">
        <v>34</v>
      </c>
      <c r="M224" s="663"/>
      <c r="N224" s="663"/>
      <c r="O224" s="663"/>
      <c r="P224" s="663"/>
      <c r="Q224" s="663"/>
      <c r="R224" s="663"/>
      <c r="S224" s="663"/>
    </row>
    <row r="225" spans="6:19" s="384" customFormat="1" ht="0.65" hidden="1" customHeight="1">
      <c r="F225" s="663"/>
      <c r="G225" s="663"/>
      <c r="H225" s="663"/>
      <c r="I225" s="663">
        <v>26</v>
      </c>
      <c r="J225" s="663">
        <v>29</v>
      </c>
      <c r="K225" s="663">
        <v>32</v>
      </c>
      <c r="L225" s="663">
        <v>35</v>
      </c>
      <c r="M225" s="663"/>
      <c r="N225" s="663"/>
      <c r="O225" s="663"/>
      <c r="P225" s="663"/>
      <c r="Q225" s="663"/>
      <c r="R225" s="663"/>
      <c r="S225" s="663"/>
    </row>
    <row r="226" spans="6:19" s="384" customFormat="1" ht="0.65" hidden="1" customHeight="1">
      <c r="F226" s="663"/>
      <c r="G226" s="663"/>
      <c r="H226" s="663"/>
      <c r="I226" s="663">
        <v>27</v>
      </c>
      <c r="J226" s="663">
        <v>30</v>
      </c>
      <c r="K226" s="663">
        <v>33</v>
      </c>
      <c r="L226" s="663">
        <v>36</v>
      </c>
      <c r="M226" s="663"/>
      <c r="N226" s="663"/>
      <c r="O226" s="663"/>
      <c r="P226" s="663"/>
      <c r="Q226" s="663"/>
      <c r="R226" s="663"/>
      <c r="S226" s="663"/>
    </row>
    <row r="227" spans="6:19" s="384" customFormat="1" ht="0.65" hidden="1" customHeight="1">
      <c r="F227" s="663"/>
      <c r="G227" s="663"/>
      <c r="H227" s="663"/>
      <c r="I227" s="663"/>
      <c r="J227" s="663"/>
      <c r="K227" s="663"/>
      <c r="L227" s="663"/>
      <c r="M227" s="663"/>
      <c r="N227" s="663"/>
      <c r="O227" s="663"/>
      <c r="P227" s="663"/>
      <c r="Q227" s="663"/>
      <c r="R227" s="663"/>
      <c r="S227" s="663"/>
    </row>
    <row r="228" spans="6:19" s="384" customFormat="1" ht="0.65" hidden="1" customHeight="1">
      <c r="F228" s="663"/>
      <c r="G228" s="663"/>
      <c r="H228" s="663"/>
      <c r="I228" s="663"/>
      <c r="J228" s="663"/>
      <c r="K228" s="663"/>
      <c r="L228" s="663"/>
      <c r="M228" s="663"/>
      <c r="N228" s="663"/>
      <c r="O228" s="663"/>
      <c r="P228" s="663"/>
      <c r="Q228" s="663"/>
      <c r="R228" s="663"/>
      <c r="S228" s="663"/>
    </row>
    <row r="229" spans="6:19" s="384" customFormat="1" ht="0.65" hidden="1" customHeight="1">
      <c r="F229" s="663"/>
      <c r="G229" s="663"/>
      <c r="H229" s="663"/>
      <c r="I229" s="663"/>
      <c r="J229" s="663"/>
      <c r="K229" s="663"/>
      <c r="L229" s="663"/>
      <c r="M229" s="663"/>
      <c r="N229" s="663"/>
      <c r="O229" s="663"/>
      <c r="P229" s="663"/>
      <c r="Q229" s="663"/>
      <c r="R229" s="663"/>
      <c r="S229" s="663"/>
    </row>
    <row r="230" spans="6:19" s="384" customFormat="1" ht="0.65" hidden="1" customHeight="1">
      <c r="F230" s="663"/>
      <c r="G230" s="663"/>
      <c r="H230" s="663"/>
      <c r="I230" s="663"/>
      <c r="J230" s="663"/>
      <c r="K230" s="663"/>
      <c r="L230" s="663"/>
      <c r="M230" s="663"/>
      <c r="N230" s="663"/>
      <c r="O230" s="663"/>
      <c r="P230" s="663"/>
      <c r="Q230" s="663"/>
      <c r="R230" s="663"/>
      <c r="S230" s="663"/>
    </row>
    <row r="231" spans="6:19" s="384" customFormat="1" ht="0.65" hidden="1" customHeight="1">
      <c r="F231" s="663"/>
      <c r="G231" s="663"/>
      <c r="H231" s="663"/>
      <c r="I231" s="663"/>
      <c r="J231" s="663"/>
      <c r="K231" s="663"/>
      <c r="L231" s="663"/>
      <c r="M231" s="663"/>
      <c r="N231" s="663"/>
      <c r="O231" s="663"/>
      <c r="P231" s="663"/>
      <c r="Q231" s="663"/>
      <c r="R231" s="663"/>
      <c r="S231" s="663"/>
    </row>
    <row r="232" spans="6:19" s="384" customFormat="1" ht="0.65" hidden="1" customHeight="1">
      <c r="F232" s="663"/>
      <c r="G232" s="663"/>
      <c r="H232" s="663"/>
      <c r="I232" s="663">
        <v>38</v>
      </c>
      <c r="J232" s="663">
        <v>41</v>
      </c>
      <c r="K232" s="663">
        <v>44</v>
      </c>
      <c r="L232" s="663">
        <v>47</v>
      </c>
      <c r="M232" s="663">
        <v>50</v>
      </c>
      <c r="N232" s="663">
        <v>53</v>
      </c>
      <c r="O232" s="663">
        <v>56</v>
      </c>
      <c r="P232" s="663">
        <v>59</v>
      </c>
      <c r="Q232" s="663"/>
      <c r="R232" s="663">
        <v>62</v>
      </c>
      <c r="S232" s="663"/>
    </row>
    <row r="233" spans="6:19" s="384" customFormat="1" ht="0.65" hidden="1" customHeight="1">
      <c r="F233" s="663"/>
      <c r="G233" s="663"/>
      <c r="H233" s="663"/>
      <c r="I233" s="663">
        <v>39</v>
      </c>
      <c r="J233" s="663">
        <v>42</v>
      </c>
      <c r="K233" s="663">
        <v>45</v>
      </c>
      <c r="L233" s="663">
        <v>48</v>
      </c>
      <c r="M233" s="663">
        <v>51</v>
      </c>
      <c r="N233" s="663">
        <v>54</v>
      </c>
      <c r="O233" s="663">
        <v>57</v>
      </c>
      <c r="P233" s="663">
        <v>60</v>
      </c>
      <c r="Q233" s="663"/>
      <c r="R233" s="663">
        <v>63</v>
      </c>
      <c r="S233" s="663"/>
    </row>
    <row r="234" spans="6:19" s="384" customFormat="1" ht="0.65" hidden="1" customHeight="1">
      <c r="F234" s="663"/>
      <c r="G234" s="663"/>
      <c r="H234" s="663"/>
      <c r="I234" s="663">
        <v>40</v>
      </c>
      <c r="J234" s="663">
        <v>43</v>
      </c>
      <c r="K234" s="663">
        <v>46</v>
      </c>
      <c r="L234" s="663">
        <v>49</v>
      </c>
      <c r="M234" s="663">
        <v>52</v>
      </c>
      <c r="N234" s="663">
        <v>55</v>
      </c>
      <c r="O234" s="663">
        <v>58</v>
      </c>
      <c r="P234" s="663">
        <v>61</v>
      </c>
      <c r="Q234" s="663"/>
      <c r="R234" s="663">
        <v>64</v>
      </c>
      <c r="S234" s="663"/>
    </row>
    <row r="235" spans="6:19" s="384" customFormat="1" ht="0.65" hidden="1" customHeight="1">
      <c r="F235" s="663"/>
      <c r="G235" s="663"/>
      <c r="H235" s="663"/>
      <c r="I235" s="663"/>
      <c r="J235" s="663"/>
      <c r="K235" s="663"/>
      <c r="L235" s="663"/>
      <c r="M235" s="663"/>
      <c r="N235" s="663"/>
      <c r="O235" s="663"/>
      <c r="P235" s="663"/>
      <c r="Q235" s="663"/>
      <c r="R235" s="663"/>
      <c r="S235" s="663"/>
    </row>
    <row r="236" spans="6:19" s="384" customFormat="1" ht="0.65" hidden="1" customHeight="1">
      <c r="F236" s="663"/>
      <c r="G236" s="663"/>
      <c r="H236" s="663"/>
      <c r="I236" s="663"/>
      <c r="J236" s="663"/>
      <c r="K236" s="663"/>
      <c r="L236" s="663"/>
      <c r="M236" s="663"/>
      <c r="N236" s="663"/>
      <c r="O236" s="663"/>
      <c r="P236" s="663">
        <v>77</v>
      </c>
      <c r="Q236" s="663"/>
      <c r="R236" s="663"/>
      <c r="S236" s="663"/>
    </row>
    <row r="237" spans="6:19" s="384" customFormat="1" ht="0.65" hidden="1" customHeight="1">
      <c r="F237" s="663"/>
      <c r="G237" s="663"/>
      <c r="H237" s="663"/>
      <c r="I237" s="663">
        <v>65</v>
      </c>
      <c r="J237" s="663">
        <v>68</v>
      </c>
      <c r="K237" s="663">
        <v>71</v>
      </c>
      <c r="L237" s="663">
        <v>74</v>
      </c>
      <c r="M237" s="663"/>
      <c r="N237" s="663"/>
      <c r="O237" s="663"/>
      <c r="P237" s="663"/>
      <c r="Q237" s="663"/>
      <c r="R237" s="663"/>
      <c r="S237" s="663"/>
    </row>
    <row r="238" spans="6:19" s="384" customFormat="1" ht="0.65" hidden="1" customHeight="1">
      <c r="F238" s="663"/>
      <c r="G238" s="663"/>
      <c r="H238" s="663"/>
      <c r="I238" s="663">
        <v>66</v>
      </c>
      <c r="J238" s="663">
        <v>69</v>
      </c>
      <c r="K238" s="663">
        <v>72</v>
      </c>
      <c r="L238" s="663">
        <v>75</v>
      </c>
      <c r="M238" s="663"/>
      <c r="N238" s="663"/>
      <c r="O238" s="663"/>
      <c r="P238" s="663"/>
      <c r="Q238" s="663"/>
      <c r="R238" s="663">
        <v>78</v>
      </c>
      <c r="S238" s="663"/>
    </row>
    <row r="239" spans="6:19" s="384" customFormat="1" ht="0.65" hidden="1" customHeight="1">
      <c r="F239" s="663"/>
      <c r="G239" s="663"/>
      <c r="H239" s="663"/>
      <c r="I239" s="663">
        <v>67</v>
      </c>
      <c r="J239" s="663">
        <v>70</v>
      </c>
      <c r="K239" s="663">
        <v>73</v>
      </c>
      <c r="L239" s="663">
        <v>76</v>
      </c>
      <c r="M239" s="663"/>
      <c r="N239" s="663"/>
      <c r="O239" s="663"/>
      <c r="P239" s="663"/>
      <c r="Q239" s="663"/>
      <c r="R239" s="663"/>
      <c r="S239" s="663"/>
    </row>
    <row r="240" spans="6:19" s="384" customFormat="1" ht="0.65" hidden="1" customHeight="1"/>
    <row r="241" spans="1:18" s="384" customFormat="1" ht="0.65" hidden="1" customHeight="1"/>
    <row r="242" spans="1:18" s="384" customFormat="1" ht="0.65" hidden="1" customHeight="1"/>
    <row r="243" spans="1:18" s="384" customFormat="1" ht="0.65" hidden="1" customHeight="1">
      <c r="H243" s="659">
        <f>1+G242</f>
        <v>1</v>
      </c>
      <c r="I243" s="659">
        <f t="shared" ref="I243:P243" si="11">1+H243</f>
        <v>2</v>
      </c>
      <c r="J243" s="659">
        <f t="shared" si="11"/>
        <v>3</v>
      </c>
      <c r="K243" s="659">
        <f t="shared" si="11"/>
        <v>4</v>
      </c>
      <c r="L243" s="659">
        <f t="shared" si="11"/>
        <v>5</v>
      </c>
      <c r="M243" s="659">
        <f t="shared" si="11"/>
        <v>6</v>
      </c>
      <c r="N243" s="659">
        <f t="shared" si="11"/>
        <v>7</v>
      </c>
      <c r="O243" s="659">
        <f t="shared" si="11"/>
        <v>8</v>
      </c>
      <c r="P243" s="659">
        <f t="shared" si="11"/>
        <v>9</v>
      </c>
      <c r="Q243" s="659"/>
      <c r="R243" s="659">
        <f>1+P243</f>
        <v>10</v>
      </c>
    </row>
    <row r="244" spans="1:18" s="384" customFormat="1" ht="0.65" hidden="1" customHeight="1">
      <c r="A244" s="659"/>
      <c r="C244" s="660"/>
      <c r="G244" s="659">
        <v>1</v>
      </c>
      <c r="H244" s="384">
        <v>100</v>
      </c>
      <c r="I244" s="384">
        <v>100</v>
      </c>
      <c r="J244" s="384">
        <v>100</v>
      </c>
      <c r="K244" s="384">
        <v>100</v>
      </c>
      <c r="L244" s="384">
        <v>100</v>
      </c>
      <c r="M244" s="384">
        <v>100</v>
      </c>
      <c r="N244" s="384">
        <v>100</v>
      </c>
      <c r="O244" s="384">
        <v>100</v>
      </c>
      <c r="P244" s="384">
        <v>100</v>
      </c>
      <c r="R244" s="384">
        <v>100</v>
      </c>
    </row>
    <row r="245" spans="1:18" s="384" customFormat="1" ht="0.65" hidden="1" customHeight="1">
      <c r="A245" s="659"/>
      <c r="C245" s="660"/>
      <c r="G245" s="659">
        <v>2</v>
      </c>
      <c r="H245" s="384">
        <v>100</v>
      </c>
      <c r="I245" s="384">
        <v>100</v>
      </c>
      <c r="J245" s="384">
        <v>100</v>
      </c>
      <c r="K245" s="384">
        <v>100</v>
      </c>
      <c r="L245" s="384">
        <v>100</v>
      </c>
      <c r="M245" s="384">
        <v>100</v>
      </c>
      <c r="N245" s="384">
        <v>100</v>
      </c>
      <c r="O245" s="384">
        <v>100</v>
      </c>
      <c r="P245" s="384">
        <v>100</v>
      </c>
      <c r="R245" s="384">
        <v>100</v>
      </c>
    </row>
    <row r="246" spans="1:18" s="384" customFormat="1" ht="0.65" hidden="1" customHeight="1">
      <c r="A246" s="659"/>
      <c r="C246" s="660"/>
      <c r="G246" s="659">
        <v>3</v>
      </c>
      <c r="H246" s="384">
        <v>100</v>
      </c>
      <c r="I246" s="384">
        <v>100</v>
      </c>
      <c r="J246" s="384">
        <v>100</v>
      </c>
      <c r="K246" s="384">
        <v>100</v>
      </c>
      <c r="L246" s="384">
        <v>100</v>
      </c>
      <c r="M246" s="384">
        <v>100</v>
      </c>
      <c r="N246" s="384">
        <v>100</v>
      </c>
      <c r="O246" s="384">
        <v>100</v>
      </c>
      <c r="P246" s="384">
        <v>100</v>
      </c>
      <c r="R246" s="384">
        <v>100</v>
      </c>
    </row>
    <row r="247" spans="1:18" s="384" customFormat="1" ht="0.65" hidden="1" customHeight="1">
      <c r="A247" s="659"/>
      <c r="C247" s="660"/>
      <c r="G247" s="659">
        <v>4</v>
      </c>
      <c r="H247" s="384">
        <v>50</v>
      </c>
      <c r="I247" s="384">
        <v>50</v>
      </c>
      <c r="J247" s="384">
        <v>50</v>
      </c>
      <c r="K247" s="384">
        <v>50</v>
      </c>
      <c r="L247" s="384">
        <v>50</v>
      </c>
      <c r="M247" s="384">
        <v>50</v>
      </c>
      <c r="N247" s="384">
        <v>50</v>
      </c>
      <c r="O247" s="384">
        <v>50</v>
      </c>
      <c r="P247" s="384">
        <v>50</v>
      </c>
      <c r="R247" s="384">
        <v>50</v>
      </c>
    </row>
    <row r="248" spans="1:18" s="384" customFormat="1" ht="0.65" hidden="1" customHeight="1">
      <c r="A248" s="659"/>
      <c r="C248" s="660"/>
      <c r="G248" s="659">
        <v>5</v>
      </c>
      <c r="H248" s="384">
        <v>50</v>
      </c>
      <c r="I248" s="384">
        <v>50</v>
      </c>
      <c r="J248" s="384">
        <v>50</v>
      </c>
      <c r="K248" s="384">
        <v>50</v>
      </c>
      <c r="L248" s="384">
        <v>50</v>
      </c>
      <c r="M248" s="384">
        <v>50</v>
      </c>
      <c r="N248" s="384">
        <v>50</v>
      </c>
      <c r="O248" s="384">
        <v>50</v>
      </c>
      <c r="P248" s="384">
        <v>50</v>
      </c>
      <c r="R248" s="384">
        <v>50</v>
      </c>
    </row>
    <row r="249" spans="1:18" s="384" customFormat="1" ht="0.65" hidden="1" customHeight="1">
      <c r="A249" s="659"/>
      <c r="C249" s="660"/>
      <c r="G249" s="659">
        <v>6</v>
      </c>
      <c r="H249" s="384">
        <v>50</v>
      </c>
      <c r="I249" s="384">
        <v>50</v>
      </c>
      <c r="J249" s="384">
        <v>50</v>
      </c>
      <c r="K249" s="384">
        <v>50</v>
      </c>
      <c r="L249" s="384">
        <v>50</v>
      </c>
      <c r="M249" s="384">
        <v>50</v>
      </c>
      <c r="N249" s="384">
        <v>50</v>
      </c>
      <c r="O249" s="384">
        <v>50</v>
      </c>
      <c r="P249" s="384">
        <v>50</v>
      </c>
      <c r="R249" s="384">
        <v>50</v>
      </c>
    </row>
    <row r="250" spans="1:18" s="384" customFormat="1" ht="0.65" hidden="1" customHeight="1">
      <c r="A250" s="659"/>
      <c r="C250" s="660"/>
      <c r="G250" s="659">
        <v>7</v>
      </c>
      <c r="H250" s="384">
        <v>0</v>
      </c>
      <c r="I250" s="384">
        <v>0</v>
      </c>
      <c r="J250" s="384">
        <v>20</v>
      </c>
      <c r="K250" s="384">
        <v>10</v>
      </c>
      <c r="L250" s="384">
        <v>10</v>
      </c>
      <c r="M250" s="384">
        <v>0</v>
      </c>
      <c r="N250" s="384">
        <v>0</v>
      </c>
      <c r="O250" s="384">
        <v>10</v>
      </c>
      <c r="P250" s="384">
        <v>-20</v>
      </c>
      <c r="R250" s="384">
        <v>20</v>
      </c>
    </row>
    <row r="251" spans="1:18" s="384" customFormat="1" ht="0.65" hidden="1" customHeight="1">
      <c r="A251" s="659"/>
      <c r="C251" s="660"/>
      <c r="G251" s="659">
        <v>8</v>
      </c>
      <c r="H251" s="384">
        <v>0</v>
      </c>
      <c r="I251" s="384">
        <v>0</v>
      </c>
      <c r="J251" s="384">
        <v>20</v>
      </c>
      <c r="K251" s="384">
        <v>10</v>
      </c>
      <c r="L251" s="384">
        <v>10</v>
      </c>
      <c r="M251" s="384">
        <v>0</v>
      </c>
      <c r="N251" s="384">
        <v>0</v>
      </c>
      <c r="O251" s="384">
        <v>10</v>
      </c>
      <c r="P251" s="384">
        <v>-20</v>
      </c>
      <c r="R251" s="384">
        <v>20</v>
      </c>
    </row>
    <row r="252" spans="1:18" s="384" customFormat="1" ht="0.65" hidden="1" customHeight="1">
      <c r="A252" s="659"/>
      <c r="C252" s="660"/>
      <c r="G252" s="659">
        <v>9</v>
      </c>
      <c r="H252" s="384">
        <v>0</v>
      </c>
      <c r="I252" s="384">
        <v>0</v>
      </c>
      <c r="J252" s="384">
        <v>20</v>
      </c>
      <c r="K252" s="384">
        <v>10</v>
      </c>
      <c r="L252" s="384">
        <v>10</v>
      </c>
      <c r="M252" s="384">
        <v>0</v>
      </c>
      <c r="N252" s="384">
        <v>0</v>
      </c>
      <c r="O252" s="384">
        <v>10</v>
      </c>
      <c r="P252" s="384">
        <v>-20</v>
      </c>
      <c r="R252" s="384">
        <v>20</v>
      </c>
    </row>
    <row r="253" spans="1:18" s="384" customFormat="1" ht="0.65" hidden="1" customHeight="1">
      <c r="A253" s="659"/>
      <c r="C253" s="660"/>
      <c r="G253" s="659">
        <v>10</v>
      </c>
      <c r="H253" s="384">
        <v>50</v>
      </c>
      <c r="I253" s="384">
        <v>50</v>
      </c>
      <c r="J253" s="384">
        <v>30</v>
      </c>
      <c r="K253" s="384">
        <v>40</v>
      </c>
      <c r="L253" s="384">
        <v>40</v>
      </c>
      <c r="M253" s="384">
        <v>50</v>
      </c>
      <c r="N253" s="384">
        <v>50</v>
      </c>
      <c r="O253" s="384">
        <v>40</v>
      </c>
      <c r="P253" s="384">
        <v>70</v>
      </c>
      <c r="R253" s="384">
        <v>30</v>
      </c>
    </row>
    <row r="254" spans="1:18" s="384" customFormat="1" ht="0.65" hidden="1" customHeight="1">
      <c r="A254" s="659"/>
      <c r="C254" s="660"/>
      <c r="G254" s="659">
        <v>11</v>
      </c>
      <c r="H254" s="384">
        <v>50</v>
      </c>
      <c r="I254" s="384">
        <v>50</v>
      </c>
      <c r="J254" s="384">
        <v>30</v>
      </c>
      <c r="K254" s="384">
        <v>40</v>
      </c>
      <c r="L254" s="384">
        <v>40</v>
      </c>
      <c r="M254" s="384">
        <v>50</v>
      </c>
      <c r="N254" s="384">
        <v>50</v>
      </c>
      <c r="O254" s="384">
        <v>40</v>
      </c>
      <c r="P254" s="384">
        <v>70</v>
      </c>
      <c r="R254" s="384">
        <v>30</v>
      </c>
    </row>
    <row r="255" spans="1:18" s="384" customFormat="1" ht="0.65" hidden="1" customHeight="1">
      <c r="A255" s="659"/>
      <c r="C255" s="660"/>
      <c r="G255" s="659">
        <v>12</v>
      </c>
      <c r="H255" s="384">
        <v>50</v>
      </c>
      <c r="I255" s="384">
        <v>50</v>
      </c>
      <c r="J255" s="384">
        <v>30</v>
      </c>
      <c r="K255" s="384">
        <v>40</v>
      </c>
      <c r="L255" s="384">
        <v>40</v>
      </c>
      <c r="M255" s="384">
        <v>50</v>
      </c>
      <c r="N255" s="384">
        <v>50</v>
      </c>
      <c r="O255" s="384">
        <v>40</v>
      </c>
      <c r="P255" s="384">
        <v>70</v>
      </c>
      <c r="R255" s="384">
        <v>30</v>
      </c>
    </row>
    <row r="256" spans="1:18" s="384" customFormat="1" ht="0.65" hidden="1" customHeight="1">
      <c r="A256" s="659"/>
      <c r="C256" s="660"/>
      <c r="G256" s="659">
        <v>13</v>
      </c>
      <c r="H256" s="384">
        <v>0</v>
      </c>
      <c r="I256" s="384">
        <v>0</v>
      </c>
      <c r="J256" s="384">
        <v>9</v>
      </c>
      <c r="K256" s="384">
        <v>0</v>
      </c>
      <c r="L256" s="384">
        <v>12</v>
      </c>
      <c r="M256" s="384">
        <v>0</v>
      </c>
      <c r="N256" s="384">
        <v>0</v>
      </c>
      <c r="O256" s="384">
        <v>12</v>
      </c>
      <c r="P256" s="384">
        <v>21</v>
      </c>
      <c r="R256" s="384">
        <v>9</v>
      </c>
    </row>
    <row r="257" spans="1:18" s="384" customFormat="1" ht="0.65" hidden="1" customHeight="1">
      <c r="A257" s="659"/>
      <c r="C257" s="660"/>
      <c r="G257" s="659">
        <v>14</v>
      </c>
      <c r="H257" s="384">
        <v>0</v>
      </c>
      <c r="I257" s="384">
        <v>0</v>
      </c>
      <c r="J257" s="384">
        <v>9</v>
      </c>
      <c r="K257" s="384">
        <v>0</v>
      </c>
      <c r="L257" s="384">
        <v>12</v>
      </c>
      <c r="M257" s="384">
        <v>0</v>
      </c>
      <c r="N257" s="384">
        <v>0</v>
      </c>
      <c r="O257" s="384">
        <v>12</v>
      </c>
      <c r="P257" s="384">
        <v>21</v>
      </c>
      <c r="R257" s="384">
        <v>9</v>
      </c>
    </row>
    <row r="258" spans="1:18" s="384" customFormat="1" ht="0.65" hidden="1" customHeight="1">
      <c r="A258" s="659"/>
      <c r="C258" s="660"/>
      <c r="G258" s="659">
        <v>15</v>
      </c>
      <c r="H258" s="384">
        <v>0</v>
      </c>
      <c r="I258" s="384">
        <v>0</v>
      </c>
      <c r="J258" s="384">
        <v>9</v>
      </c>
      <c r="K258" s="384">
        <v>0</v>
      </c>
      <c r="L258" s="384">
        <v>12</v>
      </c>
      <c r="M258" s="384">
        <v>0</v>
      </c>
      <c r="N258" s="384">
        <v>0</v>
      </c>
      <c r="O258" s="384">
        <v>12</v>
      </c>
      <c r="P258" s="384">
        <v>21</v>
      </c>
      <c r="R258" s="384">
        <v>9</v>
      </c>
    </row>
    <row r="259" spans="1:18" s="384" customFormat="1" ht="0.65" hidden="1" customHeight="1">
      <c r="A259" s="659"/>
      <c r="C259" s="660"/>
      <c r="G259" s="659">
        <v>16</v>
      </c>
      <c r="H259" s="384">
        <v>50</v>
      </c>
      <c r="I259" s="384">
        <v>50</v>
      </c>
      <c r="J259" s="384">
        <v>21</v>
      </c>
      <c r="K259" s="384">
        <v>40</v>
      </c>
      <c r="L259" s="384">
        <v>28</v>
      </c>
      <c r="M259" s="384">
        <v>50</v>
      </c>
      <c r="N259" s="384">
        <v>50</v>
      </c>
      <c r="O259" s="384">
        <v>28</v>
      </c>
      <c r="P259" s="384">
        <v>49</v>
      </c>
      <c r="R259" s="384">
        <v>21</v>
      </c>
    </row>
    <row r="260" spans="1:18" s="384" customFormat="1" ht="0.65" hidden="1" customHeight="1">
      <c r="A260" s="659"/>
      <c r="C260" s="660"/>
      <c r="G260" s="659">
        <v>17</v>
      </c>
      <c r="H260" s="384">
        <v>50</v>
      </c>
      <c r="I260" s="384">
        <v>50</v>
      </c>
      <c r="J260" s="384">
        <v>21</v>
      </c>
      <c r="K260" s="384">
        <v>40</v>
      </c>
      <c r="L260" s="384">
        <v>28</v>
      </c>
      <c r="M260" s="384">
        <v>50</v>
      </c>
      <c r="N260" s="384">
        <v>50</v>
      </c>
      <c r="O260" s="384">
        <v>28</v>
      </c>
      <c r="P260" s="384">
        <v>49</v>
      </c>
      <c r="R260" s="384">
        <v>21</v>
      </c>
    </row>
    <row r="261" spans="1:18" s="384" customFormat="1" ht="0.65" hidden="1" customHeight="1">
      <c r="A261" s="659"/>
      <c r="C261" s="660"/>
      <c r="G261" s="659">
        <v>18</v>
      </c>
      <c r="H261" s="384">
        <v>50</v>
      </c>
      <c r="I261" s="384">
        <v>50</v>
      </c>
      <c r="J261" s="384">
        <v>21</v>
      </c>
      <c r="K261" s="384">
        <v>40</v>
      </c>
      <c r="L261" s="384">
        <v>28</v>
      </c>
      <c r="M261" s="384">
        <v>50</v>
      </c>
      <c r="N261" s="384">
        <v>50</v>
      </c>
      <c r="O261" s="384">
        <v>28</v>
      </c>
      <c r="P261" s="384">
        <v>49</v>
      </c>
      <c r="R261" s="384">
        <v>21</v>
      </c>
    </row>
    <row r="262" spans="1:18" s="384" customFormat="1" ht="0.65" hidden="1" customHeight="1">
      <c r="A262" s="659"/>
      <c r="C262" s="660"/>
      <c r="G262" s="659">
        <v>19</v>
      </c>
      <c r="H262" s="384">
        <v>50</v>
      </c>
      <c r="I262" s="384">
        <v>50</v>
      </c>
      <c r="J262" s="384">
        <v>41</v>
      </c>
      <c r="K262" s="384">
        <v>50</v>
      </c>
      <c r="L262" s="384">
        <v>38</v>
      </c>
      <c r="M262" s="384">
        <v>50</v>
      </c>
      <c r="N262" s="384">
        <v>50</v>
      </c>
      <c r="O262" s="384">
        <v>38</v>
      </c>
      <c r="P262" s="384">
        <v>29</v>
      </c>
      <c r="R262" s="384">
        <v>41</v>
      </c>
    </row>
    <row r="263" spans="1:18" s="384" customFormat="1" ht="0.65" hidden="1" customHeight="1">
      <c r="A263" s="659"/>
      <c r="C263" s="660"/>
      <c r="G263" s="659">
        <v>20</v>
      </c>
      <c r="H263" s="384">
        <v>50</v>
      </c>
      <c r="I263" s="384">
        <v>50</v>
      </c>
      <c r="J263" s="384">
        <v>41</v>
      </c>
      <c r="K263" s="384">
        <v>50</v>
      </c>
      <c r="L263" s="384">
        <v>38</v>
      </c>
      <c r="M263" s="384">
        <v>50</v>
      </c>
      <c r="N263" s="384">
        <v>50</v>
      </c>
      <c r="O263" s="384">
        <v>38</v>
      </c>
      <c r="P263" s="384">
        <v>29</v>
      </c>
      <c r="R263" s="384">
        <v>41</v>
      </c>
    </row>
    <row r="264" spans="1:18" s="384" customFormat="1" ht="0.65" hidden="1" customHeight="1">
      <c r="A264" s="659"/>
      <c r="C264" s="660"/>
      <c r="G264" s="659">
        <v>21</v>
      </c>
      <c r="H264" s="384">
        <v>50</v>
      </c>
      <c r="I264" s="384">
        <v>50</v>
      </c>
      <c r="J264" s="384">
        <v>41</v>
      </c>
      <c r="K264" s="384">
        <v>50</v>
      </c>
      <c r="L264" s="384">
        <v>38</v>
      </c>
      <c r="M264" s="384">
        <v>50</v>
      </c>
      <c r="N264" s="384">
        <v>50</v>
      </c>
      <c r="O264" s="384">
        <v>38</v>
      </c>
      <c r="P264" s="384">
        <v>29</v>
      </c>
      <c r="R264" s="384">
        <v>41</v>
      </c>
    </row>
    <row r="265" spans="1:18" s="384" customFormat="1" ht="0.65" hidden="1" customHeight="1">
      <c r="A265" s="659"/>
      <c r="C265" s="660"/>
      <c r="G265" s="659">
        <v>22</v>
      </c>
      <c r="H265" s="384">
        <v>50</v>
      </c>
      <c r="I265" s="384">
        <v>50</v>
      </c>
      <c r="J265" s="384">
        <v>41</v>
      </c>
      <c r="K265" s="384">
        <v>50</v>
      </c>
      <c r="L265" s="384">
        <v>38</v>
      </c>
      <c r="M265" s="384">
        <v>25</v>
      </c>
      <c r="N265" s="384">
        <v>62.5</v>
      </c>
      <c r="O265" s="384">
        <v>25.5</v>
      </c>
      <c r="P265" s="384">
        <v>29</v>
      </c>
      <c r="R265" s="384">
        <v>28.5</v>
      </c>
    </row>
    <row r="266" spans="1:18" s="384" customFormat="1" ht="0.65" hidden="1" customHeight="1">
      <c r="A266" s="659"/>
      <c r="C266" s="660"/>
      <c r="G266" s="659">
        <v>23</v>
      </c>
      <c r="H266" s="384">
        <v>50</v>
      </c>
      <c r="I266" s="384">
        <v>50</v>
      </c>
      <c r="J266" s="384">
        <v>41</v>
      </c>
      <c r="K266" s="384">
        <v>50</v>
      </c>
      <c r="L266" s="384">
        <v>38</v>
      </c>
      <c r="M266" s="384">
        <v>50</v>
      </c>
      <c r="N266" s="384">
        <v>50</v>
      </c>
      <c r="O266" s="384">
        <v>38</v>
      </c>
      <c r="P266" s="384">
        <v>29</v>
      </c>
      <c r="R266" s="384">
        <v>41</v>
      </c>
    </row>
    <row r="267" spans="1:18" s="384" customFormat="1" ht="0.65" hidden="1" customHeight="1">
      <c r="A267" s="659"/>
      <c r="C267" s="660"/>
      <c r="G267" s="659">
        <v>24</v>
      </c>
      <c r="H267" s="384">
        <v>50</v>
      </c>
      <c r="I267" s="384">
        <v>50</v>
      </c>
      <c r="J267" s="384">
        <v>41</v>
      </c>
      <c r="K267" s="384">
        <v>50</v>
      </c>
      <c r="L267" s="384">
        <v>38</v>
      </c>
      <c r="M267" s="384">
        <v>75</v>
      </c>
      <c r="N267" s="384">
        <v>37.5</v>
      </c>
      <c r="O267" s="384">
        <v>50.5</v>
      </c>
      <c r="P267" s="384">
        <v>29</v>
      </c>
      <c r="R267" s="384">
        <v>53.5</v>
      </c>
    </row>
    <row r="268" spans="1:18" s="384" customFormat="1" ht="0.65" hidden="1" customHeight="1">
      <c r="A268" s="659"/>
      <c r="C268" s="660"/>
      <c r="G268" s="659">
        <v>25</v>
      </c>
      <c r="H268" s="384">
        <v>0</v>
      </c>
      <c r="I268" s="384">
        <v>0</v>
      </c>
      <c r="J268" s="384">
        <v>0</v>
      </c>
      <c r="K268" s="384">
        <v>0</v>
      </c>
      <c r="L268" s="384">
        <v>0</v>
      </c>
      <c r="M268" s="384">
        <v>25</v>
      </c>
      <c r="N268" s="384">
        <v>0</v>
      </c>
      <c r="O268" s="384">
        <v>25</v>
      </c>
      <c r="P268" s="384">
        <v>0</v>
      </c>
      <c r="R268" s="384">
        <v>25</v>
      </c>
    </row>
    <row r="269" spans="1:18" s="384" customFormat="1" ht="0.65" hidden="1" customHeight="1">
      <c r="A269" s="659"/>
      <c r="C269" s="660"/>
      <c r="G269" s="659">
        <v>26</v>
      </c>
      <c r="H269" s="384">
        <v>0</v>
      </c>
      <c r="I269" s="384">
        <v>0</v>
      </c>
      <c r="J269" s="384">
        <v>0</v>
      </c>
      <c r="K269" s="384">
        <v>0</v>
      </c>
      <c r="L269" s="384">
        <v>0</v>
      </c>
      <c r="M269" s="384">
        <v>25</v>
      </c>
      <c r="N269" s="384">
        <v>0</v>
      </c>
      <c r="O269" s="384">
        <v>25</v>
      </c>
      <c r="P269" s="384">
        <v>0</v>
      </c>
      <c r="R269" s="384">
        <v>25</v>
      </c>
    </row>
    <row r="270" spans="1:18" s="384" customFormat="1" ht="0.65" hidden="1" customHeight="1">
      <c r="A270" s="659"/>
      <c r="C270" s="660"/>
      <c r="G270" s="659">
        <v>27</v>
      </c>
      <c r="H270" s="384">
        <v>0</v>
      </c>
      <c r="I270" s="384">
        <v>0</v>
      </c>
      <c r="J270" s="384">
        <v>0</v>
      </c>
      <c r="K270" s="384">
        <v>0</v>
      </c>
      <c r="L270" s="384">
        <v>0</v>
      </c>
      <c r="M270" s="384">
        <v>25</v>
      </c>
      <c r="N270" s="384">
        <v>0</v>
      </c>
      <c r="O270" s="384">
        <v>25</v>
      </c>
      <c r="P270" s="384">
        <v>0</v>
      </c>
      <c r="R270" s="384">
        <v>25</v>
      </c>
    </row>
    <row r="271" spans="1:18" s="384" customFormat="1" ht="0.65" hidden="1" customHeight="1">
      <c r="A271" s="659"/>
      <c r="C271" s="660"/>
      <c r="G271" s="659">
        <v>28</v>
      </c>
      <c r="H271" s="384">
        <v>0</v>
      </c>
      <c r="I271" s="384">
        <v>0</v>
      </c>
      <c r="J271" s="384">
        <v>0</v>
      </c>
      <c r="K271" s="384">
        <v>0</v>
      </c>
      <c r="L271" s="384">
        <v>0</v>
      </c>
      <c r="M271" s="384">
        <v>0</v>
      </c>
      <c r="N271" s="384">
        <v>12.5</v>
      </c>
      <c r="O271" s="384">
        <v>12.5</v>
      </c>
      <c r="P271" s="384">
        <v>0</v>
      </c>
      <c r="R271" s="384">
        <v>12.5</v>
      </c>
    </row>
    <row r="272" spans="1:18" s="384" customFormat="1" ht="0.65" hidden="1" customHeight="1">
      <c r="A272" s="659"/>
      <c r="C272" s="660"/>
      <c r="G272" s="659">
        <v>29</v>
      </c>
      <c r="H272" s="384">
        <v>0</v>
      </c>
      <c r="I272" s="384">
        <v>0</v>
      </c>
      <c r="J272" s="384">
        <v>0</v>
      </c>
      <c r="K272" s="384">
        <v>0</v>
      </c>
      <c r="L272" s="384">
        <v>0</v>
      </c>
      <c r="M272" s="384">
        <v>0</v>
      </c>
      <c r="N272" s="384">
        <v>12.5</v>
      </c>
      <c r="O272" s="384">
        <v>12.5</v>
      </c>
      <c r="P272" s="384">
        <v>0</v>
      </c>
      <c r="R272" s="384">
        <v>12.5</v>
      </c>
    </row>
    <row r="273" spans="1:18" s="384" customFormat="1" ht="0.65" hidden="1" customHeight="1">
      <c r="A273" s="659"/>
      <c r="C273" s="660"/>
      <c r="G273" s="659">
        <v>30</v>
      </c>
      <c r="H273" s="384">
        <v>0</v>
      </c>
      <c r="I273" s="384">
        <v>0</v>
      </c>
      <c r="J273" s="384">
        <v>0</v>
      </c>
      <c r="K273" s="384">
        <v>0</v>
      </c>
      <c r="L273" s="384">
        <v>0</v>
      </c>
      <c r="M273" s="384">
        <v>0</v>
      </c>
      <c r="N273" s="384">
        <v>12.5</v>
      </c>
      <c r="O273" s="384">
        <v>12.5</v>
      </c>
      <c r="P273" s="384">
        <v>0</v>
      </c>
      <c r="R273" s="384">
        <v>12.5</v>
      </c>
    </row>
    <row r="274" spans="1:18" s="384" customFormat="1" ht="0.65" hidden="1" customHeight="1">
      <c r="A274" s="659"/>
      <c r="C274" s="660"/>
      <c r="G274" s="659">
        <v>31</v>
      </c>
      <c r="H274" s="384">
        <v>0</v>
      </c>
      <c r="I274" s="384">
        <v>0</v>
      </c>
      <c r="J274" s="384">
        <v>0</v>
      </c>
      <c r="K274" s="384">
        <v>0</v>
      </c>
      <c r="L274" s="384">
        <v>0</v>
      </c>
      <c r="M274" s="384">
        <v>25</v>
      </c>
      <c r="N274" s="384">
        <v>-12.5</v>
      </c>
      <c r="O274" s="384">
        <v>12.5</v>
      </c>
      <c r="P274" s="384">
        <v>0</v>
      </c>
      <c r="R274" s="384">
        <v>12.5</v>
      </c>
    </row>
    <row r="275" spans="1:18" s="384" customFormat="1" ht="0.65" hidden="1" customHeight="1">
      <c r="A275" s="659"/>
      <c r="C275" s="660"/>
      <c r="G275" s="659">
        <v>32</v>
      </c>
      <c r="H275" s="384">
        <v>0</v>
      </c>
      <c r="I275" s="384">
        <v>0</v>
      </c>
      <c r="J275" s="384">
        <v>0</v>
      </c>
      <c r="K275" s="384">
        <v>0</v>
      </c>
      <c r="L275" s="384">
        <v>0</v>
      </c>
      <c r="M275" s="384">
        <v>25</v>
      </c>
      <c r="N275" s="384">
        <v>-12.5</v>
      </c>
      <c r="O275" s="384">
        <v>12.5</v>
      </c>
      <c r="P275" s="384">
        <v>0</v>
      </c>
      <c r="R275" s="384">
        <v>12.5</v>
      </c>
    </row>
    <row r="276" spans="1:18" s="384" customFormat="1" ht="0.65" hidden="1" customHeight="1">
      <c r="A276" s="659"/>
      <c r="C276" s="660"/>
      <c r="G276" s="659">
        <v>33</v>
      </c>
      <c r="H276" s="384">
        <v>0</v>
      </c>
      <c r="I276" s="384">
        <v>0</v>
      </c>
      <c r="J276" s="384">
        <v>0</v>
      </c>
      <c r="K276" s="384">
        <v>0</v>
      </c>
      <c r="L276" s="384">
        <v>0</v>
      </c>
      <c r="M276" s="384">
        <v>25</v>
      </c>
      <c r="N276" s="384">
        <v>-12.5</v>
      </c>
      <c r="O276" s="384">
        <v>12.5</v>
      </c>
      <c r="P276" s="384">
        <v>0</v>
      </c>
      <c r="R276" s="384">
        <v>12.5</v>
      </c>
    </row>
    <row r="277" spans="1:18" s="384" customFormat="1" ht="0.65" hidden="1" customHeight="1">
      <c r="A277" s="659"/>
      <c r="C277" s="660"/>
      <c r="G277" s="659">
        <v>34</v>
      </c>
      <c r="H277" s="384">
        <v>0</v>
      </c>
      <c r="I277" s="384">
        <v>0</v>
      </c>
      <c r="J277" s="384">
        <v>0</v>
      </c>
      <c r="K277" s="384">
        <v>0</v>
      </c>
      <c r="L277" s="384">
        <v>0</v>
      </c>
      <c r="M277" s="384">
        <v>25</v>
      </c>
      <c r="N277" s="384">
        <v>-12.5</v>
      </c>
      <c r="O277" s="384">
        <v>12.5</v>
      </c>
      <c r="P277" s="384">
        <v>0</v>
      </c>
      <c r="R277" s="384">
        <v>12.5</v>
      </c>
    </row>
    <row r="278" spans="1:18" s="384" customFormat="1" ht="0.65" hidden="1" customHeight="1">
      <c r="A278" s="659"/>
      <c r="C278" s="660"/>
      <c r="G278" s="659">
        <v>35</v>
      </c>
      <c r="H278" s="384">
        <v>0</v>
      </c>
      <c r="I278" s="384">
        <v>0</v>
      </c>
      <c r="J278" s="384">
        <v>0</v>
      </c>
      <c r="K278" s="384">
        <v>0</v>
      </c>
      <c r="L278" s="384">
        <v>0</v>
      </c>
      <c r="M278" s="384">
        <v>0</v>
      </c>
      <c r="N278" s="384">
        <v>0</v>
      </c>
      <c r="O278" s="384">
        <v>0</v>
      </c>
      <c r="P278" s="384">
        <v>0</v>
      </c>
      <c r="R278" s="384">
        <v>0</v>
      </c>
    </row>
    <row r="279" spans="1:18" s="384" customFormat="1" ht="0.65" hidden="1" customHeight="1">
      <c r="A279" s="659"/>
      <c r="C279" s="660"/>
      <c r="G279" s="659">
        <v>36</v>
      </c>
      <c r="H279" s="384">
        <v>0</v>
      </c>
      <c r="I279" s="384">
        <v>0</v>
      </c>
      <c r="J279" s="384">
        <v>0</v>
      </c>
      <c r="K279" s="384">
        <v>0</v>
      </c>
      <c r="L279" s="384">
        <v>0</v>
      </c>
      <c r="M279" s="384">
        <v>0</v>
      </c>
      <c r="N279" s="384">
        <v>0</v>
      </c>
      <c r="O279" s="384">
        <v>0</v>
      </c>
      <c r="P279" s="384">
        <v>0</v>
      </c>
      <c r="R279" s="384">
        <v>0</v>
      </c>
    </row>
    <row r="280" spans="1:18" s="384" customFormat="1" ht="0.65" hidden="1" customHeight="1">
      <c r="A280" s="659"/>
      <c r="C280" s="660"/>
      <c r="G280" s="659">
        <v>37</v>
      </c>
      <c r="H280" s="384">
        <v>124.34259954921112</v>
      </c>
      <c r="I280" s="384">
        <v>124.34259954921112</v>
      </c>
      <c r="J280" s="384">
        <v>101.9609316303531</v>
      </c>
      <c r="K280" s="384">
        <v>124.34259954921112</v>
      </c>
      <c r="L280" s="384">
        <v>94.50037565740044</v>
      </c>
      <c r="M280" s="384">
        <v>120.39819684447781</v>
      </c>
      <c r="N280" s="384">
        <v>126.31480090157775</v>
      </c>
      <c r="O280" s="384">
        <v>92.528174305033801</v>
      </c>
      <c r="P280" s="384">
        <v>72.11870773854244</v>
      </c>
      <c r="R280" s="384">
        <v>99.988730277986463</v>
      </c>
    </row>
    <row r="281" spans="1:18" s="384" customFormat="1" ht="0.65" hidden="1" customHeight="1">
      <c r="A281" s="659"/>
      <c r="C281" s="660"/>
      <c r="G281" s="659">
        <v>38</v>
      </c>
      <c r="H281" s="384">
        <v>110.00000000000001</v>
      </c>
      <c r="I281" s="384">
        <v>120</v>
      </c>
      <c r="J281" s="384">
        <v>105</v>
      </c>
      <c r="K281" s="384">
        <v>110.00000000000001</v>
      </c>
      <c r="L281" s="384">
        <v>110.00000000000001</v>
      </c>
      <c r="M281" s="384">
        <v>110.00000000000001</v>
      </c>
      <c r="N281" s="384">
        <v>110.00000000000001</v>
      </c>
      <c r="O281" s="384">
        <v>110.00000000000001</v>
      </c>
      <c r="P281" s="384">
        <v>110.00000000000001</v>
      </c>
      <c r="R281" s="384">
        <v>120</v>
      </c>
    </row>
    <row r="282" spans="1:18" s="384" customFormat="1" ht="0.65" hidden="1" customHeight="1">
      <c r="A282" s="659"/>
      <c r="C282" s="660"/>
      <c r="G282" s="659">
        <v>39</v>
      </c>
      <c r="H282" s="384">
        <v>121.00000000000001</v>
      </c>
      <c r="I282" s="384">
        <v>144</v>
      </c>
      <c r="J282" s="384">
        <v>110.25</v>
      </c>
      <c r="K282" s="384">
        <v>121.00000000000001</v>
      </c>
      <c r="L282" s="384">
        <v>121.00000000000001</v>
      </c>
      <c r="M282" s="384">
        <v>121.00000000000001</v>
      </c>
      <c r="N282" s="384">
        <v>121.00000000000001</v>
      </c>
      <c r="O282" s="384">
        <v>121.00000000000001</v>
      </c>
      <c r="P282" s="384">
        <v>121.00000000000001</v>
      </c>
      <c r="R282" s="384">
        <v>144</v>
      </c>
    </row>
    <row r="283" spans="1:18" s="384" customFormat="1" ht="0.65" hidden="1" customHeight="1">
      <c r="A283" s="659"/>
      <c r="C283" s="660"/>
      <c r="G283" s="659">
        <v>40</v>
      </c>
      <c r="H283" s="384">
        <v>133.10000000000005</v>
      </c>
      <c r="I283" s="384">
        <v>172.8</v>
      </c>
      <c r="J283" s="384">
        <v>115.76250000000002</v>
      </c>
      <c r="K283" s="384">
        <v>133.10000000000005</v>
      </c>
      <c r="L283" s="384">
        <v>133.10000000000005</v>
      </c>
      <c r="M283" s="384">
        <v>133.10000000000005</v>
      </c>
      <c r="N283" s="384">
        <v>133.10000000000005</v>
      </c>
      <c r="O283" s="384">
        <v>133.10000000000005</v>
      </c>
      <c r="P283" s="384">
        <v>133.10000000000005</v>
      </c>
      <c r="R283" s="384">
        <v>172.8</v>
      </c>
    </row>
    <row r="284" spans="1:18" s="384" customFormat="1" ht="0.65" hidden="1" customHeight="1">
      <c r="A284" s="659"/>
      <c r="C284" s="660"/>
      <c r="G284" s="659">
        <v>41</v>
      </c>
      <c r="H284" s="384">
        <v>55.000000000000007</v>
      </c>
      <c r="I284" s="384">
        <v>55.000000000000007</v>
      </c>
      <c r="J284" s="384">
        <v>52.5</v>
      </c>
      <c r="K284" s="384">
        <v>55.000000000000007</v>
      </c>
      <c r="L284" s="384">
        <v>55.000000000000007</v>
      </c>
      <c r="M284" s="384">
        <v>55.000000000000007</v>
      </c>
      <c r="N284" s="384">
        <v>55.000000000000007</v>
      </c>
      <c r="O284" s="384">
        <v>55.000000000000007</v>
      </c>
      <c r="P284" s="384">
        <v>55.000000000000007</v>
      </c>
      <c r="R284" s="384">
        <v>50</v>
      </c>
    </row>
    <row r="285" spans="1:18" s="384" customFormat="1" ht="0.65" hidden="1" customHeight="1">
      <c r="A285" s="659"/>
      <c r="C285" s="660"/>
      <c r="G285" s="659">
        <v>42</v>
      </c>
      <c r="H285" s="384">
        <v>60.500000000000007</v>
      </c>
      <c r="I285" s="384">
        <v>60.500000000000007</v>
      </c>
      <c r="J285" s="384">
        <v>55.125</v>
      </c>
      <c r="K285" s="384">
        <v>60.500000000000007</v>
      </c>
      <c r="L285" s="384">
        <v>60.500000000000007</v>
      </c>
      <c r="M285" s="384">
        <v>60.500000000000007</v>
      </c>
      <c r="N285" s="384">
        <v>60.500000000000007</v>
      </c>
      <c r="O285" s="384">
        <v>60.500000000000007</v>
      </c>
      <c r="P285" s="384">
        <v>60.500000000000007</v>
      </c>
      <c r="R285" s="384">
        <v>50</v>
      </c>
    </row>
    <row r="286" spans="1:18" s="384" customFormat="1" ht="0.65" hidden="1" customHeight="1">
      <c r="A286" s="659"/>
      <c r="C286" s="660"/>
      <c r="G286" s="659">
        <v>43</v>
      </c>
      <c r="H286" s="384">
        <v>66.550000000000026</v>
      </c>
      <c r="I286" s="384">
        <v>66.550000000000026</v>
      </c>
      <c r="J286" s="384">
        <v>57.881250000000009</v>
      </c>
      <c r="K286" s="384">
        <v>66.550000000000026</v>
      </c>
      <c r="L286" s="384">
        <v>66.550000000000026</v>
      </c>
      <c r="M286" s="384">
        <v>66.550000000000026</v>
      </c>
      <c r="N286" s="384">
        <v>66.550000000000026</v>
      </c>
      <c r="O286" s="384">
        <v>66.550000000000026</v>
      </c>
      <c r="P286" s="384">
        <v>66.550000000000026</v>
      </c>
      <c r="R286" s="384">
        <v>50</v>
      </c>
    </row>
    <row r="287" spans="1:18" s="384" customFormat="1" ht="0.65" hidden="1" customHeight="1">
      <c r="A287" s="659"/>
      <c r="C287" s="660"/>
      <c r="G287" s="659">
        <v>44</v>
      </c>
      <c r="H287" s="384">
        <v>0</v>
      </c>
      <c r="I287" s="384">
        <v>0</v>
      </c>
      <c r="J287" s="384">
        <v>20</v>
      </c>
      <c r="K287" s="384">
        <v>10</v>
      </c>
      <c r="L287" s="384">
        <v>10</v>
      </c>
      <c r="M287" s="384">
        <v>0</v>
      </c>
      <c r="N287" s="384">
        <v>0</v>
      </c>
      <c r="O287" s="384">
        <v>10</v>
      </c>
      <c r="P287" s="384">
        <v>-20</v>
      </c>
      <c r="R287" s="384">
        <v>20</v>
      </c>
    </row>
    <row r="288" spans="1:18" s="384" customFormat="1" ht="0.65" hidden="1" customHeight="1">
      <c r="A288" s="659"/>
      <c r="C288" s="660"/>
      <c r="G288" s="659">
        <v>45</v>
      </c>
      <c r="H288" s="384">
        <v>0</v>
      </c>
      <c r="I288" s="384">
        <v>0</v>
      </c>
      <c r="J288" s="384">
        <v>20</v>
      </c>
      <c r="K288" s="384">
        <v>10</v>
      </c>
      <c r="L288" s="384">
        <v>10</v>
      </c>
      <c r="M288" s="384">
        <v>0</v>
      </c>
      <c r="N288" s="384">
        <v>0</v>
      </c>
      <c r="O288" s="384">
        <v>10</v>
      </c>
      <c r="P288" s="384">
        <v>-20</v>
      </c>
      <c r="R288" s="384">
        <v>20</v>
      </c>
    </row>
    <row r="289" spans="1:18" s="384" customFormat="1" ht="0.65" hidden="1" customHeight="1">
      <c r="A289" s="659"/>
      <c r="C289" s="660"/>
      <c r="G289" s="659">
        <v>46</v>
      </c>
      <c r="H289" s="384">
        <v>0</v>
      </c>
      <c r="I289" s="384">
        <v>0</v>
      </c>
      <c r="J289" s="384">
        <v>20</v>
      </c>
      <c r="K289" s="384">
        <v>10</v>
      </c>
      <c r="L289" s="384">
        <v>10</v>
      </c>
      <c r="M289" s="384">
        <v>0</v>
      </c>
      <c r="N289" s="384">
        <v>0</v>
      </c>
      <c r="O289" s="384">
        <v>10</v>
      </c>
      <c r="P289" s="384">
        <v>-20</v>
      </c>
      <c r="R289" s="384">
        <v>20</v>
      </c>
    </row>
    <row r="290" spans="1:18" s="384" customFormat="1" ht="0.65" hidden="1" customHeight="1">
      <c r="A290" s="659"/>
      <c r="C290" s="660"/>
      <c r="G290" s="659">
        <v>47</v>
      </c>
      <c r="H290" s="384">
        <v>55.000000000000007</v>
      </c>
      <c r="I290" s="384">
        <v>65</v>
      </c>
      <c r="J290" s="384">
        <v>32.5</v>
      </c>
      <c r="K290" s="384">
        <v>45.000000000000007</v>
      </c>
      <c r="L290" s="384">
        <v>45.000000000000007</v>
      </c>
      <c r="M290" s="384">
        <v>55.000000000000007</v>
      </c>
      <c r="N290" s="384">
        <v>55.000000000000007</v>
      </c>
      <c r="O290" s="384">
        <v>45.000000000000007</v>
      </c>
      <c r="P290" s="384">
        <v>75</v>
      </c>
      <c r="R290" s="384">
        <v>50</v>
      </c>
    </row>
    <row r="291" spans="1:18" s="384" customFormat="1" ht="0.65" hidden="1" customHeight="1">
      <c r="A291" s="659"/>
      <c r="C291" s="660"/>
      <c r="G291" s="659">
        <v>48</v>
      </c>
      <c r="H291" s="384">
        <v>60.500000000000007</v>
      </c>
      <c r="I291" s="384">
        <v>83.5</v>
      </c>
      <c r="J291" s="384">
        <v>35.125</v>
      </c>
      <c r="K291" s="384">
        <v>50.500000000000007</v>
      </c>
      <c r="L291" s="384">
        <v>50.500000000000007</v>
      </c>
      <c r="M291" s="384">
        <v>60.500000000000007</v>
      </c>
      <c r="N291" s="384">
        <v>60.500000000000007</v>
      </c>
      <c r="O291" s="384">
        <v>50.500000000000007</v>
      </c>
      <c r="P291" s="384">
        <v>80.5</v>
      </c>
      <c r="R291" s="384">
        <v>74</v>
      </c>
    </row>
    <row r="292" spans="1:18" s="384" customFormat="1" ht="0.65" hidden="1" customHeight="1">
      <c r="A292" s="659"/>
      <c r="C292" s="660"/>
      <c r="G292" s="659">
        <v>49</v>
      </c>
      <c r="H292" s="384">
        <v>66.550000000000026</v>
      </c>
      <c r="I292" s="384">
        <v>106.24999999999999</v>
      </c>
      <c r="J292" s="384">
        <v>37.881250000000009</v>
      </c>
      <c r="K292" s="384">
        <v>56.550000000000026</v>
      </c>
      <c r="L292" s="384">
        <v>56.550000000000026</v>
      </c>
      <c r="M292" s="384">
        <v>66.550000000000026</v>
      </c>
      <c r="N292" s="384">
        <v>66.550000000000026</v>
      </c>
      <c r="O292" s="384">
        <v>56.550000000000026</v>
      </c>
      <c r="P292" s="384">
        <v>86.550000000000026</v>
      </c>
      <c r="R292" s="384">
        <v>102.80000000000001</v>
      </c>
    </row>
    <row r="293" spans="1:18" s="384" customFormat="1" ht="0.65" hidden="1" customHeight="1">
      <c r="A293" s="659"/>
      <c r="C293" s="660"/>
      <c r="G293" s="659">
        <v>50</v>
      </c>
      <c r="H293" s="384">
        <v>0</v>
      </c>
      <c r="I293" s="384">
        <v>0</v>
      </c>
      <c r="J293" s="384">
        <v>9.75</v>
      </c>
      <c r="K293" s="384">
        <v>0</v>
      </c>
      <c r="L293" s="384">
        <v>13.500000000000002</v>
      </c>
      <c r="M293" s="384">
        <v>0</v>
      </c>
      <c r="N293" s="384">
        <v>0</v>
      </c>
      <c r="O293" s="384">
        <v>13.500000000000002</v>
      </c>
      <c r="P293" s="384">
        <v>22.5</v>
      </c>
      <c r="R293" s="384">
        <v>15</v>
      </c>
    </row>
    <row r="294" spans="1:18" s="384" customFormat="1" ht="0.65" hidden="1" customHeight="1">
      <c r="A294" s="659"/>
      <c r="C294" s="660"/>
      <c r="G294" s="659">
        <v>51</v>
      </c>
      <c r="H294" s="384">
        <v>0</v>
      </c>
      <c r="I294" s="384">
        <v>0</v>
      </c>
      <c r="J294" s="384">
        <v>10.5375</v>
      </c>
      <c r="K294" s="384">
        <v>0</v>
      </c>
      <c r="L294" s="384">
        <v>15.150000000000002</v>
      </c>
      <c r="M294" s="384">
        <v>0</v>
      </c>
      <c r="N294" s="384">
        <v>0</v>
      </c>
      <c r="O294" s="384">
        <v>15.150000000000002</v>
      </c>
      <c r="P294" s="384">
        <v>24.15</v>
      </c>
      <c r="R294" s="384">
        <v>22.2</v>
      </c>
    </row>
    <row r="295" spans="1:18" s="384" customFormat="1" ht="0.65" hidden="1" customHeight="1">
      <c r="A295" s="659"/>
      <c r="C295" s="660"/>
      <c r="G295" s="659">
        <v>52</v>
      </c>
      <c r="H295" s="384">
        <v>0</v>
      </c>
      <c r="I295" s="384">
        <v>0</v>
      </c>
      <c r="J295" s="384">
        <v>11.364375000000003</v>
      </c>
      <c r="K295" s="384">
        <v>0</v>
      </c>
      <c r="L295" s="384">
        <v>16.965000000000007</v>
      </c>
      <c r="M295" s="384">
        <v>0</v>
      </c>
      <c r="N295" s="384">
        <v>0</v>
      </c>
      <c r="O295" s="384">
        <v>16.965000000000007</v>
      </c>
      <c r="P295" s="384">
        <v>25.965000000000007</v>
      </c>
      <c r="R295" s="384">
        <v>30.840000000000003</v>
      </c>
    </row>
    <row r="296" spans="1:18" s="384" customFormat="1" ht="0.65" hidden="1" customHeight="1">
      <c r="A296" s="659"/>
      <c r="C296" s="660"/>
      <c r="G296" s="659">
        <v>53</v>
      </c>
      <c r="H296" s="384">
        <v>55.000000000000007</v>
      </c>
      <c r="I296" s="384">
        <v>65</v>
      </c>
      <c r="J296" s="384">
        <v>22.75</v>
      </c>
      <c r="K296" s="384">
        <v>45.000000000000007</v>
      </c>
      <c r="L296" s="384">
        <v>31.500000000000007</v>
      </c>
      <c r="M296" s="384">
        <v>55.000000000000007</v>
      </c>
      <c r="N296" s="384">
        <v>55.000000000000007</v>
      </c>
      <c r="O296" s="384">
        <v>31.500000000000007</v>
      </c>
      <c r="P296" s="384">
        <v>52.5</v>
      </c>
      <c r="R296" s="384">
        <v>35</v>
      </c>
    </row>
    <row r="297" spans="1:18" s="384" customFormat="1" ht="0.65" hidden="1" customHeight="1">
      <c r="A297" s="659"/>
      <c r="C297" s="660"/>
      <c r="G297" s="659">
        <v>54</v>
      </c>
      <c r="H297" s="384">
        <v>60.500000000000007</v>
      </c>
      <c r="I297" s="384">
        <v>83.5</v>
      </c>
      <c r="J297" s="384">
        <v>24.587499999999999</v>
      </c>
      <c r="K297" s="384">
        <v>50.500000000000007</v>
      </c>
      <c r="L297" s="384">
        <v>35.350000000000009</v>
      </c>
      <c r="M297" s="384">
        <v>60.500000000000007</v>
      </c>
      <c r="N297" s="384">
        <v>60.500000000000007</v>
      </c>
      <c r="O297" s="384">
        <v>35.350000000000009</v>
      </c>
      <c r="P297" s="384">
        <v>56.35</v>
      </c>
      <c r="R297" s="384">
        <v>51.8</v>
      </c>
    </row>
    <row r="298" spans="1:18" s="384" customFormat="1" ht="0.65" hidden="1" customHeight="1">
      <c r="A298" s="659"/>
      <c r="C298" s="660"/>
      <c r="G298" s="659">
        <v>55</v>
      </c>
      <c r="H298" s="384">
        <v>66.550000000000026</v>
      </c>
      <c r="I298" s="384">
        <v>106.24999999999999</v>
      </c>
      <c r="J298" s="384">
        <v>26.516875000000006</v>
      </c>
      <c r="K298" s="384">
        <v>56.550000000000026</v>
      </c>
      <c r="L298" s="384">
        <v>39.585000000000022</v>
      </c>
      <c r="M298" s="384">
        <v>66.550000000000026</v>
      </c>
      <c r="N298" s="384">
        <v>66.550000000000026</v>
      </c>
      <c r="O298" s="384">
        <v>39.585000000000022</v>
      </c>
      <c r="P298" s="384">
        <v>60.585000000000022</v>
      </c>
      <c r="R298" s="384">
        <v>71.960000000000008</v>
      </c>
    </row>
    <row r="299" spans="1:18" s="384" customFormat="1" ht="0.65" hidden="1" customHeight="1">
      <c r="A299" s="659"/>
      <c r="C299" s="660"/>
      <c r="G299" s="659">
        <v>56</v>
      </c>
      <c r="H299" s="384">
        <v>55.000000000000007</v>
      </c>
      <c r="I299" s="384">
        <v>65</v>
      </c>
      <c r="J299" s="384">
        <v>42.75</v>
      </c>
      <c r="K299" s="384">
        <v>55.000000000000007</v>
      </c>
      <c r="L299" s="384">
        <v>41.500000000000007</v>
      </c>
      <c r="M299" s="384">
        <v>55.000000000000007</v>
      </c>
      <c r="N299" s="384">
        <v>55.000000000000007</v>
      </c>
      <c r="O299" s="384">
        <v>41.500000000000007</v>
      </c>
      <c r="P299" s="384">
        <v>32.5</v>
      </c>
      <c r="R299" s="384">
        <v>55</v>
      </c>
    </row>
    <row r="300" spans="1:18" s="384" customFormat="1" ht="0.65" hidden="1" customHeight="1">
      <c r="A300" s="659"/>
      <c r="C300" s="660"/>
      <c r="G300" s="659">
        <v>57</v>
      </c>
      <c r="H300" s="384">
        <v>60.500000000000007</v>
      </c>
      <c r="I300" s="384">
        <v>83.5</v>
      </c>
      <c r="J300" s="384">
        <v>44.587499999999999</v>
      </c>
      <c r="K300" s="384">
        <v>60.500000000000007</v>
      </c>
      <c r="L300" s="384">
        <v>45.350000000000009</v>
      </c>
      <c r="M300" s="384">
        <v>60.500000000000007</v>
      </c>
      <c r="N300" s="384">
        <v>60.500000000000007</v>
      </c>
      <c r="O300" s="384">
        <v>45.350000000000009</v>
      </c>
      <c r="P300" s="384">
        <v>36.35</v>
      </c>
      <c r="R300" s="384">
        <v>71.8</v>
      </c>
    </row>
    <row r="301" spans="1:18" s="384" customFormat="1" ht="0.65" hidden="1" customHeight="1">
      <c r="A301" s="659"/>
      <c r="C301" s="660"/>
      <c r="G301" s="659">
        <v>58</v>
      </c>
      <c r="H301" s="384">
        <v>66.550000000000026</v>
      </c>
      <c r="I301" s="384">
        <v>106.24999999999999</v>
      </c>
      <c r="J301" s="384">
        <v>46.516875000000006</v>
      </c>
      <c r="K301" s="384">
        <v>66.550000000000026</v>
      </c>
      <c r="L301" s="384">
        <v>49.585000000000022</v>
      </c>
      <c r="M301" s="384">
        <v>66.550000000000026</v>
      </c>
      <c r="N301" s="384">
        <v>66.550000000000026</v>
      </c>
      <c r="O301" s="384">
        <v>49.585000000000022</v>
      </c>
      <c r="P301" s="384">
        <v>40.585000000000022</v>
      </c>
      <c r="R301" s="384">
        <v>91.960000000000008</v>
      </c>
    </row>
    <row r="302" spans="1:18" s="384" customFormat="1" ht="0.65" hidden="1" customHeight="1">
      <c r="A302" s="659"/>
      <c r="C302" s="660"/>
      <c r="G302" s="659">
        <v>59</v>
      </c>
      <c r="H302" s="384">
        <v>55.000000000000007</v>
      </c>
      <c r="I302" s="384">
        <v>65</v>
      </c>
      <c r="J302" s="384">
        <v>42.75</v>
      </c>
      <c r="K302" s="384">
        <v>55.000000000000007</v>
      </c>
      <c r="L302" s="384">
        <v>41.500000000000007</v>
      </c>
      <c r="M302" s="384">
        <v>27.500000000000004</v>
      </c>
      <c r="N302" s="384">
        <v>68.750000000000014</v>
      </c>
      <c r="O302" s="384">
        <v>27.750000000000007</v>
      </c>
      <c r="P302" s="384">
        <v>32.5</v>
      </c>
      <c r="R302" s="384">
        <v>37.5</v>
      </c>
    </row>
    <row r="303" spans="1:18" s="384" customFormat="1" ht="0.65" hidden="1" customHeight="1">
      <c r="A303" s="659"/>
      <c r="C303" s="660"/>
      <c r="G303" s="659">
        <v>60</v>
      </c>
      <c r="H303" s="384">
        <v>60.500000000000007</v>
      </c>
      <c r="I303" s="384">
        <v>83.5</v>
      </c>
      <c r="J303" s="384">
        <v>44.587499999999999</v>
      </c>
      <c r="K303" s="384">
        <v>60.500000000000007</v>
      </c>
      <c r="L303" s="384">
        <v>45.350000000000009</v>
      </c>
      <c r="M303" s="384">
        <v>57.750000000000007</v>
      </c>
      <c r="N303" s="384">
        <v>61.875000000000007</v>
      </c>
      <c r="O303" s="384">
        <v>43.975000000000009</v>
      </c>
      <c r="P303" s="384">
        <v>36.35</v>
      </c>
      <c r="R303" s="384">
        <v>65.8</v>
      </c>
    </row>
    <row r="304" spans="1:18" s="384" customFormat="1" ht="0.65" hidden="1" customHeight="1">
      <c r="A304" s="659"/>
      <c r="C304" s="660"/>
      <c r="G304" s="659">
        <v>61</v>
      </c>
      <c r="H304" s="384">
        <v>66.550000000000026</v>
      </c>
      <c r="I304" s="384">
        <v>106.24999999999999</v>
      </c>
      <c r="J304" s="384">
        <v>46.516875000000006</v>
      </c>
      <c r="K304" s="384">
        <v>66.550000000000026</v>
      </c>
      <c r="L304" s="384">
        <v>49.585000000000022</v>
      </c>
      <c r="M304" s="384">
        <v>96.80000000000004</v>
      </c>
      <c r="N304" s="384">
        <v>51.425000000000026</v>
      </c>
      <c r="O304" s="384">
        <v>64.710000000000022</v>
      </c>
      <c r="P304" s="384">
        <v>40.585000000000022</v>
      </c>
      <c r="R304" s="384">
        <v>115.46000000000001</v>
      </c>
    </row>
    <row r="305" spans="1:18" s="384" customFormat="1" ht="0.65" hidden="1" customHeight="1">
      <c r="A305" s="659"/>
      <c r="C305" s="660"/>
      <c r="G305" s="659">
        <v>62</v>
      </c>
      <c r="H305" s="384">
        <v>50</v>
      </c>
      <c r="I305" s="384">
        <v>59.090909090909086</v>
      </c>
      <c r="J305" s="384">
        <v>38.86363636363636</v>
      </c>
      <c r="K305" s="384">
        <v>50</v>
      </c>
      <c r="L305" s="384">
        <v>37.727272727272734</v>
      </c>
      <c r="M305" s="384">
        <v>25</v>
      </c>
      <c r="N305" s="384">
        <v>62.500000000000007</v>
      </c>
      <c r="O305" s="384">
        <v>25.22727272727273</v>
      </c>
      <c r="P305" s="384">
        <v>29.545454545454543</v>
      </c>
      <c r="R305" s="384">
        <v>34.090909090909086</v>
      </c>
    </row>
    <row r="306" spans="1:18" s="384" customFormat="1" ht="0.65" hidden="1" customHeight="1">
      <c r="A306" s="659"/>
      <c r="C306" s="660"/>
      <c r="G306" s="659">
        <v>63</v>
      </c>
      <c r="H306" s="384">
        <v>50</v>
      </c>
      <c r="I306" s="384">
        <v>69.008264462809905</v>
      </c>
      <c r="J306" s="384">
        <v>36.849173553718998</v>
      </c>
      <c r="K306" s="384">
        <v>50</v>
      </c>
      <c r="L306" s="384">
        <v>37.47933884297521</v>
      </c>
      <c r="M306" s="384">
        <v>47.727272727272727</v>
      </c>
      <c r="N306" s="384">
        <v>51.136363636363633</v>
      </c>
      <c r="O306" s="384">
        <v>36.34297520661157</v>
      </c>
      <c r="P306" s="384">
        <v>30.041322314049584</v>
      </c>
      <c r="R306" s="384">
        <v>54.38016528925619</v>
      </c>
    </row>
    <row r="307" spans="1:18" s="384" customFormat="1" ht="0.65" hidden="1" customHeight="1">
      <c r="A307" s="659"/>
      <c r="C307" s="660"/>
      <c r="G307" s="659">
        <v>64</v>
      </c>
      <c r="H307" s="384">
        <v>50.000000000000007</v>
      </c>
      <c r="I307" s="384">
        <v>79.827197595792597</v>
      </c>
      <c r="J307" s="384">
        <v>34.948816679188575</v>
      </c>
      <c r="K307" s="384">
        <v>50.000000000000007</v>
      </c>
      <c r="L307" s="384">
        <v>37.25394440270474</v>
      </c>
      <c r="M307" s="384">
        <v>72.727272727272734</v>
      </c>
      <c r="N307" s="384">
        <v>38.636363636363647</v>
      </c>
      <c r="O307" s="384">
        <v>48.617580766341099</v>
      </c>
      <c r="P307" s="384">
        <v>30.492111194590542</v>
      </c>
      <c r="R307" s="384">
        <v>86.746806912096147</v>
      </c>
    </row>
    <row r="308" spans="1:18" s="384" customFormat="1" ht="0.65" hidden="1" customHeight="1">
      <c r="A308" s="659"/>
      <c r="C308" s="660"/>
      <c r="G308" s="659">
        <v>65</v>
      </c>
      <c r="H308" s="384">
        <v>0</v>
      </c>
      <c r="I308" s="384">
        <v>0</v>
      </c>
      <c r="J308" s="384">
        <v>0</v>
      </c>
      <c r="K308" s="384">
        <v>0</v>
      </c>
      <c r="L308" s="384">
        <v>0</v>
      </c>
      <c r="M308" s="384">
        <v>27.500000000000004</v>
      </c>
      <c r="N308" s="384">
        <v>0</v>
      </c>
      <c r="O308" s="384">
        <v>27.500000000000004</v>
      </c>
      <c r="P308" s="384">
        <v>0</v>
      </c>
      <c r="R308" s="384">
        <v>30</v>
      </c>
    </row>
    <row r="309" spans="1:18" s="384" customFormat="1" ht="0.65" hidden="1" customHeight="1">
      <c r="A309" s="659"/>
      <c r="C309" s="660"/>
      <c r="G309" s="659">
        <v>66</v>
      </c>
      <c r="H309" s="384">
        <v>0</v>
      </c>
      <c r="I309" s="384">
        <v>0</v>
      </c>
      <c r="J309" s="384">
        <v>0</v>
      </c>
      <c r="K309" s="384">
        <v>0</v>
      </c>
      <c r="L309" s="384">
        <v>0</v>
      </c>
      <c r="M309" s="384">
        <v>30.250000000000004</v>
      </c>
      <c r="N309" s="384">
        <v>0</v>
      </c>
      <c r="O309" s="384">
        <v>30.250000000000004</v>
      </c>
      <c r="P309" s="384">
        <v>0</v>
      </c>
      <c r="R309" s="384">
        <v>36</v>
      </c>
    </row>
    <row r="310" spans="1:18" s="384" customFormat="1" ht="0.65" hidden="1" customHeight="1">
      <c r="A310" s="659"/>
      <c r="C310" s="660"/>
      <c r="G310" s="659">
        <v>67</v>
      </c>
      <c r="H310" s="384">
        <v>0</v>
      </c>
      <c r="I310" s="384">
        <v>0</v>
      </c>
      <c r="J310" s="384">
        <v>0</v>
      </c>
      <c r="K310" s="384">
        <v>0</v>
      </c>
      <c r="L310" s="384">
        <v>0</v>
      </c>
      <c r="M310" s="384">
        <v>33.275000000000013</v>
      </c>
      <c r="N310" s="384">
        <v>0</v>
      </c>
      <c r="O310" s="384">
        <v>33.275000000000013</v>
      </c>
      <c r="P310" s="384">
        <v>0</v>
      </c>
      <c r="R310" s="384">
        <v>43.2</v>
      </c>
    </row>
    <row r="311" spans="1:18" s="384" customFormat="1" ht="0.65" hidden="1" customHeight="1">
      <c r="A311" s="659"/>
      <c r="C311" s="660"/>
      <c r="G311" s="659">
        <v>68</v>
      </c>
      <c r="H311" s="384">
        <v>0</v>
      </c>
      <c r="I311" s="384">
        <v>0</v>
      </c>
      <c r="J311" s="384">
        <v>0</v>
      </c>
      <c r="K311" s="384">
        <v>0</v>
      </c>
      <c r="L311" s="384">
        <v>0</v>
      </c>
      <c r="M311" s="384">
        <v>0</v>
      </c>
      <c r="N311" s="384">
        <v>13.750000000000002</v>
      </c>
      <c r="O311" s="384">
        <v>13.750000000000002</v>
      </c>
      <c r="P311" s="384">
        <v>0</v>
      </c>
      <c r="R311" s="384">
        <v>12.5</v>
      </c>
    </row>
    <row r="312" spans="1:18" s="384" customFormat="1" ht="0.65" hidden="1" customHeight="1">
      <c r="A312" s="659"/>
      <c r="C312" s="660"/>
      <c r="G312" s="659">
        <v>69</v>
      </c>
      <c r="H312" s="384">
        <v>0</v>
      </c>
      <c r="I312" s="384">
        <v>0</v>
      </c>
      <c r="J312" s="384">
        <v>0</v>
      </c>
      <c r="K312" s="384">
        <v>0</v>
      </c>
      <c r="L312" s="384">
        <v>0</v>
      </c>
      <c r="M312" s="384">
        <v>0</v>
      </c>
      <c r="N312" s="384">
        <v>15.125000000000002</v>
      </c>
      <c r="O312" s="384">
        <v>15.125000000000002</v>
      </c>
      <c r="P312" s="384">
        <v>0</v>
      </c>
      <c r="R312" s="384">
        <v>12.5</v>
      </c>
    </row>
    <row r="313" spans="1:18" s="384" customFormat="1" ht="0.65" hidden="1" customHeight="1">
      <c r="A313" s="659"/>
      <c r="C313" s="660"/>
      <c r="G313" s="659">
        <v>70</v>
      </c>
      <c r="H313" s="384">
        <v>0</v>
      </c>
      <c r="I313" s="384">
        <v>0</v>
      </c>
      <c r="J313" s="384">
        <v>0</v>
      </c>
      <c r="K313" s="384">
        <v>0</v>
      </c>
      <c r="L313" s="384">
        <v>0</v>
      </c>
      <c r="M313" s="384">
        <v>0</v>
      </c>
      <c r="N313" s="384">
        <v>16.637500000000006</v>
      </c>
      <c r="O313" s="384">
        <v>16.637500000000006</v>
      </c>
      <c r="P313" s="384">
        <v>0</v>
      </c>
      <c r="R313" s="384">
        <v>12.5</v>
      </c>
    </row>
    <row r="314" spans="1:18" s="384" customFormat="1" ht="0.65" hidden="1" customHeight="1">
      <c r="A314" s="659"/>
      <c r="C314" s="660"/>
      <c r="G314" s="659">
        <v>71</v>
      </c>
      <c r="H314" s="384">
        <v>0</v>
      </c>
      <c r="I314" s="384">
        <v>0</v>
      </c>
      <c r="J314" s="384">
        <v>0</v>
      </c>
      <c r="K314" s="384">
        <v>0</v>
      </c>
      <c r="L314" s="384">
        <v>0</v>
      </c>
      <c r="M314" s="384">
        <v>27.500000000000004</v>
      </c>
      <c r="N314" s="384">
        <v>-13.750000000000002</v>
      </c>
      <c r="O314" s="384">
        <v>13.750000000000002</v>
      </c>
      <c r="P314" s="384">
        <v>0</v>
      </c>
      <c r="R314" s="384">
        <v>17.5</v>
      </c>
    </row>
    <row r="315" spans="1:18" s="384" customFormat="1" ht="0.65" hidden="1" customHeight="1">
      <c r="A315" s="659"/>
      <c r="C315" s="660"/>
      <c r="G315" s="659">
        <v>72</v>
      </c>
      <c r="H315" s="384">
        <v>0</v>
      </c>
      <c r="I315" s="384">
        <v>0</v>
      </c>
      <c r="J315" s="384">
        <v>0</v>
      </c>
      <c r="K315" s="384">
        <v>0</v>
      </c>
      <c r="L315" s="384">
        <v>0</v>
      </c>
      <c r="M315" s="384">
        <v>30.250000000000004</v>
      </c>
      <c r="N315" s="384">
        <v>-15.125000000000002</v>
      </c>
      <c r="O315" s="384">
        <v>15.125000000000002</v>
      </c>
      <c r="P315" s="384">
        <v>0</v>
      </c>
      <c r="R315" s="384">
        <v>23.5</v>
      </c>
    </row>
    <row r="316" spans="1:18" s="384" customFormat="1" ht="0.65" hidden="1" customHeight="1">
      <c r="A316" s="659"/>
      <c r="C316" s="660"/>
      <c r="G316" s="659">
        <v>73</v>
      </c>
      <c r="H316" s="384">
        <v>0</v>
      </c>
      <c r="I316" s="384">
        <v>0</v>
      </c>
      <c r="J316" s="384">
        <v>0</v>
      </c>
      <c r="K316" s="384">
        <v>0</v>
      </c>
      <c r="L316" s="384">
        <v>0</v>
      </c>
      <c r="M316" s="384">
        <v>33.275000000000013</v>
      </c>
      <c r="N316" s="384">
        <v>-16.637500000000006</v>
      </c>
      <c r="O316" s="384">
        <v>16.637500000000006</v>
      </c>
      <c r="P316" s="384">
        <v>0</v>
      </c>
      <c r="R316" s="384">
        <v>30.700000000000003</v>
      </c>
    </row>
    <row r="317" spans="1:18" s="384" customFormat="1" ht="0.65" hidden="1" customHeight="1">
      <c r="A317" s="659"/>
      <c r="C317" s="660"/>
      <c r="G317" s="659">
        <v>74</v>
      </c>
      <c r="H317" s="384">
        <v>0</v>
      </c>
      <c r="I317" s="384">
        <v>0</v>
      </c>
      <c r="J317" s="384">
        <v>0</v>
      </c>
      <c r="K317" s="384">
        <v>0</v>
      </c>
      <c r="L317" s="384">
        <v>0</v>
      </c>
      <c r="M317" s="384">
        <v>27.500000000000004</v>
      </c>
      <c r="N317" s="384">
        <v>-13.750000000000002</v>
      </c>
      <c r="O317" s="384">
        <v>13.750000000000002</v>
      </c>
      <c r="P317" s="384">
        <v>0</v>
      </c>
      <c r="R317" s="384">
        <v>17.5</v>
      </c>
    </row>
    <row r="318" spans="1:18" s="384" customFormat="1" ht="0.65" hidden="1" customHeight="1">
      <c r="A318" s="659"/>
      <c r="C318" s="660"/>
      <c r="G318" s="659">
        <v>75</v>
      </c>
      <c r="H318" s="384">
        <v>0</v>
      </c>
      <c r="I318" s="384">
        <v>0</v>
      </c>
      <c r="J318" s="384">
        <v>0</v>
      </c>
      <c r="K318" s="384">
        <v>0</v>
      </c>
      <c r="L318" s="384">
        <v>0</v>
      </c>
      <c r="M318" s="384">
        <v>2.75</v>
      </c>
      <c r="N318" s="384">
        <v>-1.375</v>
      </c>
      <c r="O318" s="384">
        <v>1.375</v>
      </c>
      <c r="P318" s="384">
        <v>0</v>
      </c>
      <c r="R318" s="384">
        <v>6</v>
      </c>
    </row>
    <row r="319" spans="1:18" s="384" customFormat="1" ht="0.65" hidden="1" customHeight="1">
      <c r="A319" s="659"/>
      <c r="C319" s="660"/>
      <c r="G319" s="659">
        <v>76</v>
      </c>
      <c r="H319" s="384">
        <v>0</v>
      </c>
      <c r="I319" s="384">
        <v>0</v>
      </c>
      <c r="J319" s="384">
        <v>0</v>
      </c>
      <c r="K319" s="384">
        <v>0</v>
      </c>
      <c r="L319" s="384">
        <v>0</v>
      </c>
      <c r="M319" s="384">
        <v>3.0250000000000092</v>
      </c>
      <c r="N319" s="384">
        <v>-1.5125000000000046</v>
      </c>
      <c r="O319" s="384">
        <v>1.5125000000000046</v>
      </c>
      <c r="P319" s="384">
        <v>0</v>
      </c>
      <c r="R319" s="384">
        <v>7.2000000000000028</v>
      </c>
    </row>
    <row r="320" spans="1:18" s="384" customFormat="1" ht="0.65" hidden="1" customHeight="1">
      <c r="A320" s="659"/>
      <c r="C320" s="660"/>
      <c r="G320" s="659">
        <v>77</v>
      </c>
      <c r="H320" s="384">
        <v>124.34259954921112</v>
      </c>
      <c r="I320" s="384">
        <v>170.72598685566001</v>
      </c>
      <c r="J320" s="384">
        <v>92.042004198557066</v>
      </c>
      <c r="K320" s="384">
        <v>124.34259954921112</v>
      </c>
      <c r="L320" s="384">
        <v>93.261620683679524</v>
      </c>
      <c r="M320" s="384">
        <v>116.81237620381121</v>
      </c>
      <c r="N320" s="384">
        <v>128.10771122191107</v>
      </c>
      <c r="O320" s="384">
        <v>89.49650901097958</v>
      </c>
      <c r="P320" s="384">
        <v>74.596217685984271</v>
      </c>
      <c r="R320" s="384">
        <v>141.10818086422086</v>
      </c>
    </row>
    <row r="321" spans="1:18" s="384" customFormat="1" ht="0.65" hidden="1" customHeight="1">
      <c r="A321" s="659"/>
      <c r="C321" s="660"/>
      <c r="G321" s="659">
        <v>78</v>
      </c>
      <c r="H321" s="384">
        <v>124.34259954921112</v>
      </c>
      <c r="I321" s="384">
        <v>170.72598685565998</v>
      </c>
      <c r="J321" s="384">
        <v>92.042004198557066</v>
      </c>
      <c r="K321" s="384">
        <v>124.34259954921112</v>
      </c>
      <c r="L321" s="384">
        <v>93.261620683679524</v>
      </c>
      <c r="M321" s="384">
        <v>116.8123762038112</v>
      </c>
      <c r="N321" s="384">
        <v>128.10771122191107</v>
      </c>
      <c r="O321" s="384">
        <v>89.496509010979565</v>
      </c>
      <c r="P321" s="384">
        <v>74.596217685984271</v>
      </c>
      <c r="R321" s="384">
        <v>141.10818086422083</v>
      </c>
    </row>
    <row r="322" spans="1:18" hidden="1"/>
  </sheetData>
  <sheetProtection algorithmName="SHA-512" hashValue="vYYTQ3s9vEI2hj/VNMu56e9pUth1k9n2+iLi68f3j0GCJsv/7z+ix5lATCfHWfKGKADGl5rP6qkQ8nX5aI4WZw==" saltValue="PVxEPjBnDUP/dF4+gTVIHg==" spinCount="100000" sheet="1" selectLockedCells="1"/>
  <mergeCells count="19">
    <mergeCell ref="H41:W41"/>
    <mergeCell ref="H42:W42"/>
    <mergeCell ref="H43:W43"/>
    <mergeCell ref="R22:R23"/>
    <mergeCell ref="H36:W36"/>
    <mergeCell ref="H37:W37"/>
    <mergeCell ref="H38:W38"/>
    <mergeCell ref="H39:W39"/>
    <mergeCell ref="H40:W40"/>
    <mergeCell ref="G1:S1"/>
    <mergeCell ref="B2:E2"/>
    <mergeCell ref="U3:W31"/>
    <mergeCell ref="P4:P5"/>
    <mergeCell ref="B5:E5"/>
    <mergeCell ref="O12:P12"/>
    <mergeCell ref="O13:P13"/>
    <mergeCell ref="B14:E15"/>
    <mergeCell ref="H16:R19"/>
    <mergeCell ref="P22:P23"/>
  </mergeCells>
  <conditionalFormatting sqref="A1:A3 B32:C32 F35:F43 A48:XFD350">
    <cfRule type="expression" dxfId="133" priority="14" stopIfTrue="1">
      <formula>NOT($C$29="javi")</formula>
    </cfRule>
  </conditionalFormatting>
  <conditionalFormatting sqref="U3:W31">
    <cfRule type="expression" dxfId="132" priority="13" stopIfTrue="1">
      <formula>$U$3=""</formula>
    </cfRule>
  </conditionalFormatting>
  <conditionalFormatting sqref="A325:XFD1048576 A1:XFD241">
    <cfRule type="expression" dxfId="131" priority="5" stopIfTrue="1">
      <formula>$A$90=0</formula>
    </cfRule>
  </conditionalFormatting>
  <conditionalFormatting sqref="H15:P15">
    <cfRule type="expression" dxfId="130" priority="4" stopIfTrue="1">
      <formula>NOT($L$15="")</formula>
    </cfRule>
  </conditionalFormatting>
  <conditionalFormatting sqref="B17:D30">
    <cfRule type="expression" dxfId="129" priority="10" stopIfTrue="1">
      <formula>OR($C$12="",NOT($D$12=""))</formula>
    </cfRule>
  </conditionalFormatting>
  <conditionalFormatting sqref="D21:D22">
    <cfRule type="expression" dxfId="128" priority="11" stopIfTrue="1">
      <formula>D21="días"</formula>
    </cfRule>
  </conditionalFormatting>
  <conditionalFormatting sqref="O10:P10 O28:P28 P30:R30">
    <cfRule type="expression" dxfId="127" priority="12" stopIfTrue="1">
      <formula>$P$10=$R$30</formula>
    </cfRule>
  </conditionalFormatting>
  <conditionalFormatting sqref="O13">
    <cfRule type="expression" dxfId="126" priority="9" stopIfTrue="1">
      <formula>NOT($O13="")</formula>
    </cfRule>
  </conditionalFormatting>
  <conditionalFormatting sqref="O12">
    <cfRule type="expression" dxfId="125" priority="15" stopIfTrue="1">
      <formula>NOT($P$10=$P$28)</formula>
    </cfRule>
  </conditionalFormatting>
  <conditionalFormatting sqref="G4:S14 H16 G22:S32 U3">
    <cfRule type="expression" dxfId="124" priority="7" stopIfTrue="1">
      <formula>OR($C$12="",NOT($D$12=""),AND($C$12="x",$C$32="NO"))</formula>
    </cfRule>
  </conditionalFormatting>
  <conditionalFormatting sqref="G35:W43">
    <cfRule type="expression" dxfId="123" priority="6" stopIfTrue="1">
      <formula>$B$14=""</formula>
    </cfRule>
  </conditionalFormatting>
  <conditionalFormatting sqref="B14:E15">
    <cfRule type="expression" dxfId="122" priority="8" stopIfTrue="1">
      <formula>NOT($B$14="")</formula>
    </cfRule>
  </conditionalFormatting>
  <conditionalFormatting sqref="T254:XFD256 P259:XFD261 T258:XFD258 V294:V296 X294:XFD296 V298:XFD298 R299:XFD299 R301:XFD301 R300:V300 X300:XFD300 A322:XFD324 O302:XFD312 J313:XFD319 J299:M312 J298:T298 J297:XFD297 J294:M296 J262:XFD293 J258:R258 J257:XFD257 J259:K261 J254:K256 J244:XFD253 G242:G243 C320:F321 C242:D319 A244:B321 S242:XFD242 Q243:XFD243 H320:XFD321">
    <cfRule type="expression" dxfId="121" priority="3" stopIfTrue="1">
      <formula>$A$90=0</formula>
    </cfRule>
  </conditionalFormatting>
  <conditionalFormatting sqref="G244:G321">
    <cfRule type="expression" dxfId="120" priority="2" stopIfTrue="1">
      <formula>$A$90=0</formula>
    </cfRule>
  </conditionalFormatting>
  <conditionalFormatting sqref="A1:XFD1048576">
    <cfRule type="expression" dxfId="119" priority="1" stopIfTrue="1">
      <formula>NOT($A$1="SI")</formula>
    </cfRule>
  </conditionalFormatting>
  <hyperlinks>
    <hyperlink ref="B91" r:id="rId1" xr:uid="{89B1A9F2-BE25-4609-BD32-3F18B6744FD7}"/>
  </hyperlinks>
  <pageMargins left="0.70866141732283472" right="0.70866141732283472" top="0.74803149606299213" bottom="0.74803149606299213" header="0.31496062992125984" footer="0.31496062992125984"/>
  <pageSetup paperSize="9" scale="65" orientation="landscape" r:id="rId2"/>
  <headerFooter>
    <oddHeader>&amp;CEl efecto de la inflación en el análisis del interés de las inversiones</oddHeader>
    <oddFooter>&amp;CPágina &amp;P de &amp;N</oddFooter>
  </headerFooter>
  <colBreaks count="1" manualBreakCount="1">
    <brk id="5" max="1048575" man="1"/>
  </colBreaks>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131D-FEA6-4E5F-A48A-0B086F977A14}">
  <dimension ref="A1:K163"/>
  <sheetViews>
    <sheetView showGridLines="0" zoomScaleNormal="100" workbookViewId="0">
      <selection activeCell="G2" sqref="G2"/>
    </sheetView>
  </sheetViews>
  <sheetFormatPr baseColWidth="10" defaultColWidth="11.453125" defaultRowHeight="14.5"/>
  <cols>
    <col min="1" max="1" width="4.54296875" style="402" customWidth="1"/>
    <col min="2" max="8" width="14.54296875" style="396" customWidth="1"/>
    <col min="9" max="9" width="4.54296875" style="396" customWidth="1"/>
    <col min="10" max="16384" width="11.453125" style="396"/>
  </cols>
  <sheetData>
    <row r="1" spans="1:11">
      <c r="A1" s="394"/>
      <c r="B1" s="395"/>
      <c r="C1" s="395"/>
    </row>
    <row r="2" spans="1:11">
      <c r="A2" s="394"/>
      <c r="B2" s="397" t="str">
        <f>IF(AND('Instrucciones de uso'!$J$14="x",'Instrucciones de uso'!$I$33="SI"),"SI","NO")</f>
        <v>NO</v>
      </c>
      <c r="C2" s="395"/>
      <c r="F2" s="398" t="s">
        <v>476</v>
      </c>
      <c r="G2" s="399"/>
      <c r="H2" s="400" t="str">
        <f>IF(G2="","",IF(ISNUMBER(G2),IF(AND(INT(G2)=G2,G2&gt;0,G2&lt;=6),"","ERROR"),"ERROR"))</f>
        <v/>
      </c>
    </row>
    <row r="3" spans="1:11">
      <c r="A3" s="394"/>
      <c r="B3" s="832" t="s">
        <v>3951</v>
      </c>
      <c r="C3" s="395"/>
      <c r="G3" s="581"/>
    </row>
    <row r="4" spans="1:11">
      <c r="A4" s="401">
        <v>2022</v>
      </c>
      <c r="B4" s="1001" t="s">
        <v>18</v>
      </c>
      <c r="C4" s="1001"/>
      <c r="D4" s="1001"/>
      <c r="E4" s="1001"/>
      <c r="F4" s="1001"/>
      <c r="G4" s="1001"/>
      <c r="H4" s="1001"/>
      <c r="K4" s="395"/>
    </row>
    <row r="5" spans="1:11">
      <c r="K5" s="403"/>
    </row>
    <row r="6" spans="1:11" ht="81" customHeight="1">
      <c r="A6" s="402">
        <f>$G$2*1000+1</f>
        <v>1</v>
      </c>
      <c r="B6" s="999" t="e">
        <f>VLOOKUP(A6,$A$44:$C$162,2,FALSE)</f>
        <v>#N/A</v>
      </c>
      <c r="C6" s="999"/>
      <c r="D6" s="999"/>
      <c r="E6" s="999"/>
      <c r="F6" s="999"/>
      <c r="G6" s="999"/>
      <c r="H6" s="999"/>
      <c r="K6" s="395"/>
    </row>
    <row r="7" spans="1:11">
      <c r="A7" s="402">
        <f>1+A6</f>
        <v>2</v>
      </c>
      <c r="K7" s="395"/>
    </row>
    <row r="8" spans="1:11" ht="46.5" customHeight="1">
      <c r="A8" s="402">
        <f t="shared" ref="A8:A24" si="0">1+A7</f>
        <v>3</v>
      </c>
      <c r="B8" s="999" t="e">
        <f>VLOOKUP(A8,$A$44:$C$162,2,FALSE)</f>
        <v>#N/A</v>
      </c>
      <c r="C8" s="999"/>
      <c r="D8" s="999"/>
      <c r="E8" s="999"/>
      <c r="F8" s="999"/>
      <c r="G8" s="999"/>
      <c r="H8" s="999"/>
      <c r="K8" s="395"/>
    </row>
    <row r="9" spans="1:11">
      <c r="A9" s="402">
        <f t="shared" si="0"/>
        <v>4</v>
      </c>
      <c r="K9" s="395"/>
    </row>
    <row r="10" spans="1:11" ht="93.75" customHeight="1">
      <c r="A10" s="402">
        <f t="shared" si="0"/>
        <v>5</v>
      </c>
      <c r="B10" s="999" t="e">
        <f>VLOOKUP(A10,$A$44:$C$162,2,FALSE)</f>
        <v>#N/A</v>
      </c>
      <c r="C10" s="999"/>
      <c r="D10" s="999"/>
      <c r="E10" s="999"/>
      <c r="F10" s="999"/>
      <c r="G10" s="999"/>
      <c r="H10" s="999"/>
      <c r="K10" s="395"/>
    </row>
    <row r="11" spans="1:11">
      <c r="A11" s="402">
        <f t="shared" si="0"/>
        <v>6</v>
      </c>
      <c r="K11" s="395"/>
    </row>
    <row r="12" spans="1:11" ht="34.5" customHeight="1">
      <c r="A12" s="402">
        <f t="shared" si="0"/>
        <v>7</v>
      </c>
      <c r="B12" s="999" t="e">
        <f>VLOOKUP(A12,$A$44:$C$162,2,FALSE)</f>
        <v>#N/A</v>
      </c>
      <c r="C12" s="999"/>
      <c r="D12" s="999"/>
      <c r="E12" s="999"/>
      <c r="F12" s="999"/>
      <c r="G12" s="999"/>
      <c r="H12" s="999"/>
    </row>
    <row r="13" spans="1:11">
      <c r="A13" s="402">
        <f t="shared" si="0"/>
        <v>8</v>
      </c>
    </row>
    <row r="14" spans="1:11">
      <c r="A14" s="402">
        <f t="shared" si="0"/>
        <v>9</v>
      </c>
      <c r="D14" s="404" t="s">
        <v>177</v>
      </c>
      <c r="E14" s="404"/>
      <c r="F14" s="404" t="s">
        <v>2080</v>
      </c>
    </row>
    <row r="15" spans="1:11">
      <c r="A15" s="402">
        <f t="shared" si="0"/>
        <v>10</v>
      </c>
      <c r="D15" s="405" t="s">
        <v>2081</v>
      </c>
      <c r="E15" s="405"/>
      <c r="F15" s="406" t="e">
        <f>VLOOKUP(A15,$A$44:$F$162,6,FALSE)</f>
        <v>#N/A</v>
      </c>
    </row>
    <row r="16" spans="1:11">
      <c r="A16" s="402">
        <f t="shared" si="0"/>
        <v>11</v>
      </c>
      <c r="D16" s="405" t="s">
        <v>2082</v>
      </c>
      <c r="E16" s="405"/>
      <c r="F16" s="406" t="e">
        <f t="shared" ref="F16:F18" si="1">VLOOKUP(A16,$A$44:$F$162,6,FALSE)</f>
        <v>#N/A</v>
      </c>
    </row>
    <row r="17" spans="1:8">
      <c r="A17" s="402">
        <f t="shared" si="0"/>
        <v>12</v>
      </c>
      <c r="D17" s="405" t="s">
        <v>2083</v>
      </c>
      <c r="E17" s="405"/>
      <c r="F17" s="406" t="e">
        <f t="shared" si="1"/>
        <v>#N/A</v>
      </c>
    </row>
    <row r="18" spans="1:8">
      <c r="A18" s="402">
        <f t="shared" si="0"/>
        <v>13</v>
      </c>
      <c r="D18" s="405" t="s">
        <v>2084</v>
      </c>
      <c r="E18" s="405"/>
      <c r="F18" s="406" t="e">
        <f t="shared" si="1"/>
        <v>#N/A</v>
      </c>
    </row>
    <row r="19" spans="1:8">
      <c r="A19" s="402">
        <f t="shared" si="0"/>
        <v>14</v>
      </c>
    </row>
    <row r="20" spans="1:8" ht="81" customHeight="1">
      <c r="A20" s="402">
        <f t="shared" si="0"/>
        <v>15</v>
      </c>
      <c r="B20" s="999" t="e">
        <f>VLOOKUP(A20,$A$44:$C$162,2,FALSE)</f>
        <v>#N/A</v>
      </c>
      <c r="C20" s="999"/>
      <c r="D20" s="999"/>
      <c r="E20" s="999"/>
      <c r="F20" s="999"/>
      <c r="G20" s="999"/>
      <c r="H20" s="999"/>
    </row>
    <row r="21" spans="1:8">
      <c r="A21" s="402">
        <f t="shared" si="0"/>
        <v>16</v>
      </c>
    </row>
    <row r="22" spans="1:8" ht="123" customHeight="1">
      <c r="A22" s="402">
        <f t="shared" si="0"/>
        <v>17</v>
      </c>
      <c r="B22" s="999" t="e">
        <f>VLOOKUP(A22,$A$44:$C$162,2,FALSE)</f>
        <v>#N/A</v>
      </c>
      <c r="C22" s="999"/>
      <c r="D22" s="999"/>
      <c r="E22" s="999"/>
      <c r="F22" s="999"/>
      <c r="G22" s="999"/>
      <c r="H22" s="999"/>
    </row>
    <row r="23" spans="1:8">
      <c r="A23" s="402">
        <f t="shared" si="0"/>
        <v>18</v>
      </c>
    </row>
    <row r="24" spans="1:8" ht="30.75" customHeight="1">
      <c r="A24" s="402">
        <f t="shared" si="0"/>
        <v>19</v>
      </c>
      <c r="B24" s="999" t="e">
        <f>VLOOKUP(A24,$A$44:$C$162,2,FALSE)</f>
        <v>#N/A</v>
      </c>
      <c r="C24" s="999"/>
      <c r="D24" s="999"/>
      <c r="E24" s="999"/>
      <c r="F24" s="999"/>
      <c r="G24" s="999"/>
      <c r="H24" s="999"/>
    </row>
    <row r="26" spans="1:8">
      <c r="B26" s="1000" t="s">
        <v>17</v>
      </c>
      <c r="C26" s="1000"/>
      <c r="D26" s="1000"/>
      <c r="E26" s="1000"/>
      <c r="F26" s="1000"/>
      <c r="G26" s="1000"/>
      <c r="H26" s="1000"/>
    </row>
    <row r="43" spans="1:2" s="395" customFormat="1" ht="15" hidden="1" customHeight="1">
      <c r="A43" s="394"/>
    </row>
    <row r="44" spans="1:2" s="408" customFormat="1" ht="0.65" hidden="1" customHeight="1">
      <c r="A44" s="407">
        <v>1001</v>
      </c>
      <c r="B44" s="408" t="s">
        <v>2085</v>
      </c>
    </row>
    <row r="45" spans="1:2" s="408" customFormat="1" ht="0.65" hidden="1" customHeight="1">
      <c r="A45" s="407">
        <v>1002</v>
      </c>
    </row>
    <row r="46" spans="1:2" s="408" customFormat="1" ht="0.65" hidden="1" customHeight="1">
      <c r="A46" s="407">
        <v>1003</v>
      </c>
      <c r="B46" s="408" t="s">
        <v>2086</v>
      </c>
    </row>
    <row r="47" spans="1:2" s="408" customFormat="1" ht="0.65" hidden="1" customHeight="1">
      <c r="A47" s="407">
        <v>1004</v>
      </c>
    </row>
    <row r="48" spans="1:2" s="408" customFormat="1" ht="0.65" hidden="1" customHeight="1">
      <c r="A48" s="407">
        <v>1005</v>
      </c>
      <c r="B48" s="408" t="s">
        <v>2087</v>
      </c>
    </row>
    <row r="49" spans="1:6" s="408" customFormat="1" ht="0.65" hidden="1" customHeight="1">
      <c r="A49" s="407">
        <v>1006</v>
      </c>
    </row>
    <row r="50" spans="1:6" s="408" customFormat="1" ht="0.65" hidden="1" customHeight="1">
      <c r="A50" s="407">
        <v>1007</v>
      </c>
      <c r="B50" s="408" t="s">
        <v>2088</v>
      </c>
    </row>
    <row r="51" spans="1:6" s="408" customFormat="1" ht="0.65" hidden="1" customHeight="1">
      <c r="A51" s="407">
        <v>1008</v>
      </c>
    </row>
    <row r="52" spans="1:6" s="408" customFormat="1" ht="0.65" hidden="1" customHeight="1">
      <c r="A52" s="407">
        <v>1009</v>
      </c>
    </row>
    <row r="53" spans="1:6" s="408" customFormat="1" ht="0.65" hidden="1" customHeight="1">
      <c r="A53" s="407">
        <v>1010</v>
      </c>
      <c r="F53" s="409">
        <v>0.02</v>
      </c>
    </row>
    <row r="54" spans="1:6" s="408" customFormat="1" ht="0.65" hidden="1" customHeight="1">
      <c r="A54" s="407">
        <v>1011</v>
      </c>
      <c r="F54" s="409">
        <v>0.01</v>
      </c>
    </row>
    <row r="55" spans="1:6" s="408" customFormat="1" ht="0.65" hidden="1" customHeight="1">
      <c r="A55" s="407">
        <v>1012</v>
      </c>
      <c r="F55" s="409">
        <v>0.05</v>
      </c>
    </row>
    <row r="56" spans="1:6" s="408" customFormat="1" ht="0.65" hidden="1" customHeight="1">
      <c r="A56" s="407">
        <v>1013</v>
      </c>
      <c r="F56" s="409">
        <v>0.04</v>
      </c>
    </row>
    <row r="57" spans="1:6" s="408" customFormat="1" ht="0.65" hidden="1" customHeight="1">
      <c r="A57" s="407">
        <v>1014</v>
      </c>
    </row>
    <row r="58" spans="1:6" s="408" customFormat="1" ht="0.65" hidden="1" customHeight="1">
      <c r="A58" s="407">
        <v>1015</v>
      </c>
      <c r="B58" s="408" t="s">
        <v>2089</v>
      </c>
    </row>
    <row r="59" spans="1:6" s="408" customFormat="1" ht="0.65" hidden="1" customHeight="1">
      <c r="A59" s="407">
        <v>1016</v>
      </c>
    </row>
    <row r="60" spans="1:6" s="408" customFormat="1" ht="0.65" hidden="1" customHeight="1">
      <c r="A60" s="407">
        <v>1017</v>
      </c>
      <c r="B60" s="408" t="s">
        <v>2090</v>
      </c>
    </row>
    <row r="61" spans="1:6" s="408" customFormat="1" ht="0.65" hidden="1" customHeight="1">
      <c r="A61" s="407">
        <v>1018</v>
      </c>
    </row>
    <row r="62" spans="1:6" s="408" customFormat="1" ht="0.65" hidden="1" customHeight="1">
      <c r="A62" s="407">
        <v>1019</v>
      </c>
      <c r="B62" s="408" t="s">
        <v>2091</v>
      </c>
    </row>
    <row r="63" spans="1:6" s="408" customFormat="1" ht="0.65" hidden="1" customHeight="1">
      <c r="A63" s="407"/>
    </row>
    <row r="64" spans="1:6" s="408" customFormat="1" ht="0.65" hidden="1" customHeight="1">
      <c r="A64" s="407">
        <v>2001</v>
      </c>
      <c r="B64" s="408" t="s">
        <v>2092</v>
      </c>
    </row>
    <row r="65" spans="1:6" s="408" customFormat="1" ht="0.65" hidden="1" customHeight="1">
      <c r="A65" s="407">
        <v>2002</v>
      </c>
    </row>
    <row r="66" spans="1:6" s="408" customFormat="1" ht="0.65" hidden="1" customHeight="1">
      <c r="A66" s="407">
        <v>2003</v>
      </c>
      <c r="B66" s="408" t="s">
        <v>2093</v>
      </c>
    </row>
    <row r="67" spans="1:6" s="408" customFormat="1" ht="0.65" hidden="1" customHeight="1">
      <c r="A67" s="407">
        <v>2004</v>
      </c>
    </row>
    <row r="68" spans="1:6" s="408" customFormat="1" ht="0.65" hidden="1" customHeight="1">
      <c r="A68" s="407">
        <v>2005</v>
      </c>
      <c r="B68" s="408" t="s">
        <v>2094</v>
      </c>
    </row>
    <row r="69" spans="1:6" s="408" customFormat="1" ht="0.65" hidden="1" customHeight="1">
      <c r="A69" s="407">
        <v>2006</v>
      </c>
    </row>
    <row r="70" spans="1:6" s="408" customFormat="1" ht="0.65" hidden="1" customHeight="1">
      <c r="A70" s="407">
        <v>2007</v>
      </c>
      <c r="B70" s="408" t="s">
        <v>2088</v>
      </c>
    </row>
    <row r="71" spans="1:6" s="408" customFormat="1" ht="0.65" hidden="1" customHeight="1">
      <c r="A71" s="407">
        <v>2008</v>
      </c>
    </row>
    <row r="72" spans="1:6" s="408" customFormat="1" ht="0.65" hidden="1" customHeight="1">
      <c r="A72" s="407">
        <v>2009</v>
      </c>
    </row>
    <row r="73" spans="1:6" s="408" customFormat="1" ht="0.65" hidden="1" customHeight="1">
      <c r="A73" s="407">
        <v>2010</v>
      </c>
      <c r="F73" s="409">
        <v>0.01</v>
      </c>
    </row>
    <row r="74" spans="1:6" s="408" customFormat="1" ht="0.65" hidden="1" customHeight="1">
      <c r="A74" s="407">
        <v>2011</v>
      </c>
      <c r="F74" s="409">
        <v>0.02</v>
      </c>
    </row>
    <row r="75" spans="1:6" s="408" customFormat="1" ht="0.65" hidden="1" customHeight="1">
      <c r="A75" s="407">
        <v>2012</v>
      </c>
      <c r="F75" s="409">
        <v>0.03</v>
      </c>
    </row>
    <row r="76" spans="1:6" s="408" customFormat="1" ht="0.65" hidden="1" customHeight="1">
      <c r="A76" s="407">
        <v>2013</v>
      </c>
      <c r="F76" s="409">
        <v>0.02</v>
      </c>
    </row>
    <row r="77" spans="1:6" s="408" customFormat="1" ht="0.65" hidden="1" customHeight="1">
      <c r="A77" s="407">
        <v>2014</v>
      </c>
    </row>
    <row r="78" spans="1:6" s="408" customFormat="1" ht="0.65" hidden="1" customHeight="1">
      <c r="A78" s="407">
        <v>2015</v>
      </c>
      <c r="B78" s="408" t="s">
        <v>2095</v>
      </c>
    </row>
    <row r="79" spans="1:6" s="408" customFormat="1" ht="0.65" hidden="1" customHeight="1">
      <c r="A79" s="407">
        <v>2016</v>
      </c>
    </row>
    <row r="80" spans="1:6" s="408" customFormat="1" ht="0.65" hidden="1" customHeight="1">
      <c r="A80" s="407">
        <v>2017</v>
      </c>
      <c r="B80" s="408" t="s">
        <v>2096</v>
      </c>
    </row>
    <row r="81" spans="1:6" s="408" customFormat="1" ht="0.65" hidden="1" customHeight="1">
      <c r="A81" s="407">
        <v>2018</v>
      </c>
    </row>
    <row r="82" spans="1:6" s="408" customFormat="1" ht="0.65" hidden="1" customHeight="1">
      <c r="A82" s="407">
        <v>2019</v>
      </c>
      <c r="B82" s="408" t="s">
        <v>2091</v>
      </c>
    </row>
    <row r="83" spans="1:6" s="408" customFormat="1" ht="0.65" hidden="1" customHeight="1">
      <c r="A83" s="407"/>
    </row>
    <row r="84" spans="1:6" s="408" customFormat="1" ht="0.65" hidden="1" customHeight="1">
      <c r="A84" s="407">
        <v>3001</v>
      </c>
      <c r="B84" s="408" t="s">
        <v>2097</v>
      </c>
    </row>
    <row r="85" spans="1:6" s="408" customFormat="1" ht="0.65" hidden="1" customHeight="1">
      <c r="A85" s="407">
        <v>3002</v>
      </c>
    </row>
    <row r="86" spans="1:6" s="408" customFormat="1" ht="0.65" hidden="1" customHeight="1">
      <c r="A86" s="407">
        <v>3003</v>
      </c>
      <c r="B86" s="408" t="s">
        <v>2098</v>
      </c>
    </row>
    <row r="87" spans="1:6" s="408" customFormat="1" ht="0.65" hidden="1" customHeight="1">
      <c r="A87" s="407">
        <v>3004</v>
      </c>
    </row>
    <row r="88" spans="1:6" s="408" customFormat="1" ht="0.65" hidden="1" customHeight="1">
      <c r="A88" s="407">
        <v>3005</v>
      </c>
      <c r="B88" s="408" t="s">
        <v>2099</v>
      </c>
    </row>
    <row r="89" spans="1:6" s="408" customFormat="1" ht="0.65" hidden="1" customHeight="1">
      <c r="A89" s="407">
        <v>3006</v>
      </c>
    </row>
    <row r="90" spans="1:6" s="408" customFormat="1" ht="0.65" hidden="1" customHeight="1">
      <c r="A90" s="407">
        <v>3007</v>
      </c>
      <c r="B90" s="408" t="s">
        <v>2088</v>
      </c>
    </row>
    <row r="91" spans="1:6" s="408" customFormat="1" ht="0.65" hidden="1" customHeight="1">
      <c r="A91" s="407">
        <v>3008</v>
      </c>
    </row>
    <row r="92" spans="1:6" s="408" customFormat="1" ht="0.65" hidden="1" customHeight="1">
      <c r="A92" s="407">
        <v>3009</v>
      </c>
    </row>
    <row r="93" spans="1:6" s="408" customFormat="1" ht="0.65" hidden="1" customHeight="1">
      <c r="A93" s="407">
        <v>3010</v>
      </c>
      <c r="F93" s="409">
        <v>0.03</v>
      </c>
    </row>
    <row r="94" spans="1:6" s="408" customFormat="1" ht="0.65" hidden="1" customHeight="1">
      <c r="A94" s="407">
        <v>3011</v>
      </c>
      <c r="F94" s="409">
        <v>0.02</v>
      </c>
    </row>
    <row r="95" spans="1:6" s="408" customFormat="1" ht="0.65" hidden="1" customHeight="1">
      <c r="A95" s="407">
        <v>3012</v>
      </c>
      <c r="F95" s="409">
        <v>0.04</v>
      </c>
    </row>
    <row r="96" spans="1:6" s="408" customFormat="1" ht="0.65" hidden="1" customHeight="1">
      <c r="A96" s="407">
        <v>3013</v>
      </c>
      <c r="F96" s="409">
        <v>0.04</v>
      </c>
    </row>
    <row r="97" spans="1:2" s="408" customFormat="1" ht="0.65" hidden="1" customHeight="1">
      <c r="A97" s="407">
        <v>3014</v>
      </c>
    </row>
    <row r="98" spans="1:2" s="408" customFormat="1" ht="0.65" hidden="1" customHeight="1">
      <c r="A98" s="407">
        <v>3015</v>
      </c>
      <c r="B98" s="408" t="s">
        <v>2100</v>
      </c>
    </row>
    <row r="99" spans="1:2" s="408" customFormat="1" ht="0.65" hidden="1" customHeight="1">
      <c r="A99" s="407">
        <v>3016</v>
      </c>
    </row>
    <row r="100" spans="1:2" s="408" customFormat="1" ht="0.65" hidden="1" customHeight="1">
      <c r="A100" s="407">
        <v>3017</v>
      </c>
      <c r="B100" s="408" t="s">
        <v>2090</v>
      </c>
    </row>
    <row r="101" spans="1:2" s="408" customFormat="1" ht="0.65" hidden="1" customHeight="1">
      <c r="A101" s="407">
        <v>3018</v>
      </c>
    </row>
    <row r="102" spans="1:2" s="408" customFormat="1" ht="0.65" hidden="1" customHeight="1">
      <c r="A102" s="407">
        <v>3019</v>
      </c>
      <c r="B102" s="408" t="s">
        <v>2091</v>
      </c>
    </row>
    <row r="103" spans="1:2" s="408" customFormat="1" ht="0.65" hidden="1" customHeight="1">
      <c r="A103" s="407"/>
    </row>
    <row r="104" spans="1:2" s="408" customFormat="1" ht="0.65" hidden="1" customHeight="1">
      <c r="A104" s="407">
        <v>4001</v>
      </c>
      <c r="B104" s="408" t="s">
        <v>2101</v>
      </c>
    </row>
    <row r="105" spans="1:2" s="408" customFormat="1" ht="0.65" hidden="1" customHeight="1">
      <c r="A105" s="407">
        <v>4002</v>
      </c>
    </row>
    <row r="106" spans="1:2" s="408" customFormat="1" ht="0.65" hidden="1" customHeight="1">
      <c r="A106" s="407">
        <v>4003</v>
      </c>
      <c r="B106" s="408" t="s">
        <v>2102</v>
      </c>
    </row>
    <row r="107" spans="1:2" s="408" customFormat="1" ht="0.65" hidden="1" customHeight="1">
      <c r="A107" s="407">
        <v>4004</v>
      </c>
    </row>
    <row r="108" spans="1:2" s="408" customFormat="1" ht="0.65" hidden="1" customHeight="1">
      <c r="A108" s="407">
        <v>4005</v>
      </c>
      <c r="B108" s="408" t="s">
        <v>2103</v>
      </c>
    </row>
    <row r="109" spans="1:2" s="408" customFormat="1" ht="0.65" hidden="1" customHeight="1">
      <c r="A109" s="407">
        <v>4006</v>
      </c>
    </row>
    <row r="110" spans="1:2" s="408" customFormat="1" ht="0.65" hidden="1" customHeight="1">
      <c r="A110" s="407">
        <v>4007</v>
      </c>
      <c r="B110" s="408" t="s">
        <v>2088</v>
      </c>
    </row>
    <row r="111" spans="1:2" s="408" customFormat="1" ht="0.65" hidden="1" customHeight="1">
      <c r="A111" s="407">
        <v>4008</v>
      </c>
    </row>
    <row r="112" spans="1:2" s="408" customFormat="1" ht="0.65" hidden="1" customHeight="1">
      <c r="A112" s="407">
        <v>4009</v>
      </c>
    </row>
    <row r="113" spans="1:6" s="408" customFormat="1" ht="0.65" hidden="1" customHeight="1">
      <c r="A113" s="407">
        <v>4010</v>
      </c>
      <c r="F113" s="409">
        <v>0.05</v>
      </c>
    </row>
    <row r="114" spans="1:6" s="408" customFormat="1" ht="0.65" hidden="1" customHeight="1">
      <c r="A114" s="407">
        <v>4011</v>
      </c>
      <c r="F114" s="409">
        <v>0.01</v>
      </c>
    </row>
    <row r="115" spans="1:6" s="408" customFormat="1" ht="0.65" hidden="1" customHeight="1">
      <c r="A115" s="407">
        <v>4012</v>
      </c>
      <c r="F115" s="409">
        <v>0.05</v>
      </c>
    </row>
    <row r="116" spans="1:6" s="408" customFormat="1" ht="0.65" hidden="1" customHeight="1">
      <c r="A116" s="407">
        <v>4013</v>
      </c>
      <c r="F116" s="409">
        <v>0.02</v>
      </c>
    </row>
    <row r="117" spans="1:6" s="408" customFormat="1" ht="0.65" hidden="1" customHeight="1">
      <c r="A117" s="407">
        <v>4014</v>
      </c>
    </row>
    <row r="118" spans="1:6" s="408" customFormat="1" ht="0.65" hidden="1" customHeight="1">
      <c r="A118" s="407">
        <v>4015</v>
      </c>
      <c r="B118" s="408" t="s">
        <v>2104</v>
      </c>
    </row>
    <row r="119" spans="1:6" s="408" customFormat="1" ht="0.65" hidden="1" customHeight="1">
      <c r="A119" s="407">
        <v>4016</v>
      </c>
    </row>
    <row r="120" spans="1:6" s="408" customFormat="1" ht="0.65" hidden="1" customHeight="1">
      <c r="A120" s="407">
        <v>4017</v>
      </c>
      <c r="B120" s="408" t="s">
        <v>2090</v>
      </c>
    </row>
    <row r="121" spans="1:6" s="408" customFormat="1" ht="0.65" hidden="1" customHeight="1">
      <c r="A121" s="407">
        <v>4018</v>
      </c>
    </row>
    <row r="122" spans="1:6" s="408" customFormat="1" ht="0.65" hidden="1" customHeight="1">
      <c r="A122" s="407">
        <v>4019</v>
      </c>
      <c r="B122" s="408" t="s">
        <v>2091</v>
      </c>
    </row>
    <row r="123" spans="1:6" s="408" customFormat="1" ht="0.65" hidden="1" customHeight="1">
      <c r="A123" s="407"/>
    </row>
    <row r="124" spans="1:6" s="408" customFormat="1" ht="0.65" hidden="1" customHeight="1">
      <c r="A124" s="407">
        <v>5001</v>
      </c>
      <c r="B124" s="408" t="s">
        <v>2105</v>
      </c>
    </row>
    <row r="125" spans="1:6" s="408" customFormat="1" ht="0.65" hidden="1" customHeight="1">
      <c r="A125" s="407">
        <v>5002</v>
      </c>
    </row>
    <row r="126" spans="1:6" s="408" customFormat="1" ht="0.65" hidden="1" customHeight="1">
      <c r="A126" s="407">
        <v>5003</v>
      </c>
      <c r="B126" s="408" t="s">
        <v>2106</v>
      </c>
    </row>
    <row r="127" spans="1:6" s="408" customFormat="1" ht="0.65" hidden="1" customHeight="1">
      <c r="A127" s="407">
        <v>5004</v>
      </c>
    </row>
    <row r="128" spans="1:6" s="408" customFormat="1" ht="0.65" hidden="1" customHeight="1">
      <c r="A128" s="407">
        <v>5005</v>
      </c>
      <c r="B128" s="408" t="s">
        <v>2107</v>
      </c>
    </row>
    <row r="129" spans="1:6" s="408" customFormat="1" ht="0.65" hidden="1" customHeight="1">
      <c r="A129" s="407">
        <v>5006</v>
      </c>
    </row>
    <row r="130" spans="1:6" s="408" customFormat="1" ht="0.65" hidden="1" customHeight="1">
      <c r="A130" s="407">
        <v>5007</v>
      </c>
      <c r="B130" s="408" t="s">
        <v>2088</v>
      </c>
    </row>
    <row r="131" spans="1:6" s="408" customFormat="1" ht="0.65" hidden="1" customHeight="1">
      <c r="A131" s="407">
        <v>5008</v>
      </c>
    </row>
    <row r="132" spans="1:6" s="408" customFormat="1" ht="0.65" hidden="1" customHeight="1">
      <c r="A132" s="407">
        <v>5009</v>
      </c>
    </row>
    <row r="133" spans="1:6" s="408" customFormat="1" ht="0.65" hidden="1" customHeight="1">
      <c r="A133" s="407">
        <v>5010</v>
      </c>
      <c r="F133" s="409">
        <v>0.04</v>
      </c>
    </row>
    <row r="134" spans="1:6" s="408" customFormat="1" ht="0.65" hidden="1" customHeight="1">
      <c r="A134" s="407">
        <v>5011</v>
      </c>
      <c r="F134" s="409">
        <v>0.04</v>
      </c>
    </row>
    <row r="135" spans="1:6" s="408" customFormat="1" ht="0.65" hidden="1" customHeight="1">
      <c r="A135" s="407">
        <v>5012</v>
      </c>
      <c r="F135" s="409">
        <v>0.04</v>
      </c>
    </row>
    <row r="136" spans="1:6" s="408" customFormat="1" ht="0.65" hidden="1" customHeight="1">
      <c r="A136" s="407">
        <v>5013</v>
      </c>
      <c r="F136" s="409">
        <v>0.02</v>
      </c>
    </row>
    <row r="137" spans="1:6" s="408" customFormat="1" ht="0.65" hidden="1" customHeight="1">
      <c r="A137" s="407">
        <v>5014</v>
      </c>
    </row>
    <row r="138" spans="1:6" s="408" customFormat="1" ht="0.65" hidden="1" customHeight="1">
      <c r="A138" s="407">
        <v>5015</v>
      </c>
      <c r="B138" s="408" t="s">
        <v>2108</v>
      </c>
    </row>
    <row r="139" spans="1:6" s="408" customFormat="1" ht="0.65" hidden="1" customHeight="1">
      <c r="A139" s="407">
        <v>5016</v>
      </c>
    </row>
    <row r="140" spans="1:6" s="408" customFormat="1" ht="0.65" hidden="1" customHeight="1">
      <c r="A140" s="407">
        <v>5017</v>
      </c>
      <c r="B140" s="408" t="s">
        <v>2090</v>
      </c>
    </row>
    <row r="141" spans="1:6" s="408" customFormat="1" ht="0.65" hidden="1" customHeight="1">
      <c r="A141" s="407">
        <v>5018</v>
      </c>
    </row>
    <row r="142" spans="1:6" s="408" customFormat="1" ht="0.65" hidden="1" customHeight="1">
      <c r="A142" s="407">
        <v>5019</v>
      </c>
      <c r="B142" s="408" t="s">
        <v>2091</v>
      </c>
    </row>
    <row r="143" spans="1:6" s="408" customFormat="1" ht="0.65" hidden="1" customHeight="1">
      <c r="A143" s="407"/>
    </row>
    <row r="144" spans="1:6" s="408" customFormat="1" ht="0.65" hidden="1" customHeight="1">
      <c r="A144" s="407">
        <v>6001</v>
      </c>
      <c r="B144" s="408" t="s">
        <v>2109</v>
      </c>
    </row>
    <row r="145" spans="1:6" s="408" customFormat="1" ht="0.65" hidden="1" customHeight="1">
      <c r="A145" s="407">
        <v>6002</v>
      </c>
    </row>
    <row r="146" spans="1:6" s="408" customFormat="1" ht="0.65" hidden="1" customHeight="1">
      <c r="A146" s="407">
        <v>6003</v>
      </c>
      <c r="B146" s="408" t="s">
        <v>2110</v>
      </c>
    </row>
    <row r="147" spans="1:6" s="408" customFormat="1" ht="0.65" hidden="1" customHeight="1">
      <c r="A147" s="407">
        <v>6004</v>
      </c>
    </row>
    <row r="148" spans="1:6" s="408" customFormat="1" ht="0.65" hidden="1" customHeight="1">
      <c r="A148" s="407">
        <v>6005</v>
      </c>
      <c r="B148" s="408" t="s">
        <v>2111</v>
      </c>
    </row>
    <row r="149" spans="1:6" s="408" customFormat="1" ht="0.65" hidden="1" customHeight="1">
      <c r="A149" s="407">
        <v>6006</v>
      </c>
    </row>
    <row r="150" spans="1:6" s="408" customFormat="1" ht="0.65" hidden="1" customHeight="1">
      <c r="A150" s="407">
        <v>6007</v>
      </c>
      <c r="B150" s="408" t="s">
        <v>2088</v>
      </c>
    </row>
    <row r="151" spans="1:6" s="408" customFormat="1" ht="0.65" hidden="1" customHeight="1">
      <c r="A151" s="407">
        <v>6008</v>
      </c>
    </row>
    <row r="152" spans="1:6" s="408" customFormat="1" ht="0.65" hidden="1" customHeight="1">
      <c r="A152" s="407">
        <v>6009</v>
      </c>
    </row>
    <row r="153" spans="1:6" s="408" customFormat="1" ht="0.65" hidden="1" customHeight="1">
      <c r="A153" s="407">
        <v>6010</v>
      </c>
      <c r="F153" s="409">
        <v>0.01</v>
      </c>
    </row>
    <row r="154" spans="1:6" s="408" customFormat="1" ht="0.65" hidden="1" customHeight="1">
      <c r="A154" s="407">
        <v>6011</v>
      </c>
      <c r="F154" s="409">
        <v>0.05</v>
      </c>
    </row>
    <row r="155" spans="1:6" s="408" customFormat="1" ht="0.65" hidden="1" customHeight="1">
      <c r="A155" s="407">
        <v>6012</v>
      </c>
      <c r="F155" s="409">
        <v>0.03</v>
      </c>
    </row>
    <row r="156" spans="1:6" s="408" customFormat="1" ht="0.65" hidden="1" customHeight="1">
      <c r="A156" s="407">
        <v>6013</v>
      </c>
      <c r="F156" s="409">
        <v>0.02</v>
      </c>
    </row>
    <row r="157" spans="1:6" s="408" customFormat="1" ht="0.65" hidden="1" customHeight="1">
      <c r="A157" s="407">
        <v>6014</v>
      </c>
    </row>
    <row r="158" spans="1:6" s="408" customFormat="1" ht="0.65" hidden="1" customHeight="1">
      <c r="A158" s="407">
        <v>6015</v>
      </c>
      <c r="B158" s="408" t="s">
        <v>2112</v>
      </c>
    </row>
    <row r="159" spans="1:6" s="408" customFormat="1" ht="0.65" hidden="1" customHeight="1">
      <c r="A159" s="407">
        <v>6016</v>
      </c>
    </row>
    <row r="160" spans="1:6" s="408" customFormat="1" ht="0.65" hidden="1" customHeight="1">
      <c r="A160" s="407">
        <v>6017</v>
      </c>
      <c r="B160" s="408" t="s">
        <v>2090</v>
      </c>
    </row>
    <row r="161" spans="1:2" s="408" customFormat="1" ht="0.65" hidden="1" customHeight="1">
      <c r="A161" s="407">
        <v>6018</v>
      </c>
    </row>
    <row r="162" spans="1:2" s="408" customFormat="1" ht="0.65" hidden="1" customHeight="1">
      <c r="A162" s="407">
        <v>6019</v>
      </c>
      <c r="B162" s="408" t="s">
        <v>2091</v>
      </c>
    </row>
    <row r="163" spans="1:2" s="395" customFormat="1" ht="15" hidden="1" customHeight="1">
      <c r="A163" s="394"/>
    </row>
  </sheetData>
  <sheetProtection algorithmName="SHA-512" hashValue="ox1fM4J1qzCXvaGBLwzL5BFYl4NVVW9DAiwe19eW7nT/xODeJ373i7g79pS7jke9jUU/R16fSFZxXhWD/zpw0Q==" saltValue="vcg+evPEJSK1IMX+2fcGhA==" spinCount="100000" sheet="1" selectLockedCells="1"/>
  <mergeCells count="9">
    <mergeCell ref="B22:H22"/>
    <mergeCell ref="B24:H24"/>
    <mergeCell ref="B26:H26"/>
    <mergeCell ref="B4:H4"/>
    <mergeCell ref="B6:H6"/>
    <mergeCell ref="B8:H8"/>
    <mergeCell ref="B10:H10"/>
    <mergeCell ref="B12:H12"/>
    <mergeCell ref="B20:H20"/>
  </mergeCells>
  <conditionalFormatting sqref="A1:XFD1048576">
    <cfRule type="expression" dxfId="118" priority="1" stopIfTrue="1">
      <formula>NOT($B$2="SI")</formula>
    </cfRule>
  </conditionalFormatting>
  <conditionalFormatting sqref="B2 A1:A26 A43:XFD172">
    <cfRule type="expression" dxfId="117" priority="3" stopIfTrue="1">
      <formula>NOT($G$3="javi")</formula>
    </cfRule>
  </conditionalFormatting>
  <conditionalFormatting sqref="B4:H26">
    <cfRule type="expression" dxfId="116" priority="2" stopIfTrue="1">
      <formula>OR($G$2="",NOT($H$2=""))</formula>
    </cfRule>
  </conditionalFormatting>
  <pageMargins left="0.70866141732283472" right="0.70866141732283472" top="0.74803149606299213" bottom="0.74803149606299213" header="0.31496062992125984" footer="0.31496062992125984"/>
  <pageSetup scale="80" orientation="portrait" r:id="rId1"/>
  <headerFooter>
    <oddHeader>&amp;CCaso práctico de inversión en condiciones de certeza (Inflación, con fondo de maniobra y existencias) - Enunciado básico</oddHeader>
    <oddFooter>&amp;CPágina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C654-8B75-4770-8920-B74A05AB390C}">
  <dimension ref="A1:D81"/>
  <sheetViews>
    <sheetView showGridLines="0" workbookViewId="0">
      <selection activeCell="A2" sqref="A2"/>
    </sheetView>
  </sheetViews>
  <sheetFormatPr baseColWidth="10" defaultColWidth="11.54296875" defaultRowHeight="14.5"/>
  <cols>
    <col min="1" max="1" width="5.453125" style="899" customWidth="1"/>
    <col min="2" max="2" width="6.54296875" style="899" customWidth="1"/>
    <col min="3" max="4" width="163" style="899" customWidth="1"/>
    <col min="5" max="16384" width="11.54296875" style="899"/>
  </cols>
  <sheetData>
    <row r="1" spans="1:4">
      <c r="A1" s="898">
        <v>1</v>
      </c>
      <c r="B1" s="898">
        <v>2</v>
      </c>
      <c r="C1" s="898">
        <v>3</v>
      </c>
      <c r="D1" s="898">
        <v>4</v>
      </c>
    </row>
    <row r="2" spans="1:4">
      <c r="A2" s="898"/>
    </row>
    <row r="4" spans="1:4">
      <c r="A4" s="899">
        <v>100</v>
      </c>
      <c r="C4" s="899" t="s">
        <v>4034</v>
      </c>
      <c r="D4" s="900" t="str">
        <f>C4</f>
        <v>ELEMENTOS DE FINANZAS CORPORATIVAS, de Fernando Gómez–Bezares. Publicado en Desclée de Brouwer, Bilbao, 2012.</v>
      </c>
    </row>
    <row r="5" spans="1:4">
      <c r="A5" s="899">
        <f>1+A4</f>
        <v>101</v>
      </c>
      <c r="C5" s="899" t="s">
        <v>4035</v>
      </c>
      <c r="D5" s="900" t="str">
        <f>CONCATENATE($C$4," ",C5,".")</f>
        <v>ELEMENTOS DE FINANZAS CORPORATIVAS, de Fernando Gómez–Bezares. Publicado en Desclée de Brouwer, Bilbao, 2012. Capítulo 1: "FUNCIONES y OBJETIVOS DE LA DIRECCIÓN FINANCIERA" .</v>
      </c>
    </row>
    <row r="6" spans="1:4">
      <c r="A6" s="899">
        <f t="shared" ref="A6:A13" si="0">1+A5</f>
        <v>102</v>
      </c>
      <c r="C6" s="899" t="s">
        <v>4036</v>
      </c>
      <c r="D6" s="900" t="str">
        <f t="shared" ref="D6:D13" si="1">CONCATENATE($C$4," ",C6,".")</f>
        <v>ELEMENTOS DE FINANZAS CORPORATIVAS, de Fernando Gómez–Bezares. Publicado en Desclée de Brouwer, Bilbao, 2012. Capítulo 2: "LA EMPRESA: UN SISTEMA DE FLUJOS DE FONDOS" .</v>
      </c>
    </row>
    <row r="7" spans="1:4">
      <c r="A7" s="899">
        <f t="shared" si="0"/>
        <v>103</v>
      </c>
      <c r="C7" s="899" t="s">
        <v>4037</v>
      </c>
      <c r="D7" s="900" t="str">
        <f t="shared" si="1"/>
        <v>ELEMENTOS DE FINANZAS CORPORATIVAS, de Fernando Gómez–Bezares. Publicado en Desclée de Brouwer, Bilbao, 2012. Capítulo 3: "RELACIONES ECONÓMICO-FINANCIERAS" .</v>
      </c>
    </row>
    <row r="8" spans="1:4" ht="29">
      <c r="A8" s="899">
        <f t="shared" si="0"/>
        <v>104</v>
      </c>
      <c r="C8" s="899" t="s">
        <v>4038</v>
      </c>
      <c r="D8" s="900" t="str">
        <f t="shared" si="1"/>
        <v>ELEMENTOS DE FINANZAS CORPORATIVAS, de Fernando Gómez–Bezares. Publicado en Desclée de Brouwer, Bilbao, 2012. Capítulo 4: "LA CONCLUSIÓN DEL ANÁLISIS Y LA PROYECCIÓN FINANCIERA".</v>
      </c>
    </row>
    <row r="9" spans="1:4">
      <c r="A9" s="899">
        <f t="shared" si="0"/>
        <v>105</v>
      </c>
      <c r="C9" s="899" t="s">
        <v>4039</v>
      </c>
      <c r="D9" s="900" t="str">
        <f t="shared" si="1"/>
        <v>ELEMENTOS DE FINANZAS CORPORATIVAS, de Fernando Gómez–Bezares. Publicado en Desclée de Brouwer, Bilbao, 2012. Capítulo 5: "LA INVERSIÓN EN CONDICIONES DE CERTEZA".</v>
      </c>
    </row>
    <row r="10" spans="1:4">
      <c r="A10" s="899">
        <f t="shared" si="0"/>
        <v>106</v>
      </c>
      <c r="C10" s="899" t="s">
        <v>4040</v>
      </c>
      <c r="D10" s="900" t="str">
        <f t="shared" si="1"/>
        <v>ELEMENTOS DE FINANZAS CORPORATIVAS, de Fernando Gómez–Bezares. Publicado en Desclée de Brouwer, Bilbao, 2012. Capítulo 6: "LA INVERSIÓN EN CONDICIONES DE RIESGO" .</v>
      </c>
    </row>
    <row r="11" spans="1:4">
      <c r="A11" s="899">
        <f t="shared" si="0"/>
        <v>107</v>
      </c>
      <c r="C11" s="899" t="s">
        <v>4041</v>
      </c>
      <c r="D11" s="900" t="str">
        <f t="shared" si="1"/>
        <v>ELEMENTOS DE FINANZAS CORPORATIVAS, de Fernando Gómez–Bezares. Publicado en Desclée de Brouwer, Bilbao, 2012. Capítulo 7: "LA FINANCIACIÓN" .</v>
      </c>
    </row>
    <row r="12" spans="1:4">
      <c r="A12" s="899">
        <f t="shared" si="0"/>
        <v>108</v>
      </c>
      <c r="C12" s="899" t="s">
        <v>4042</v>
      </c>
      <c r="D12" s="900" t="str">
        <f t="shared" si="1"/>
        <v>ELEMENTOS DE FINANZAS CORPORATIVAS, de Fernando Gómez–Bezares. Publicado en Desclée de Brouwer, Bilbao, 2012. Capítulo 8: "LA GESTIÓN DE LOS CIRCULANTES".</v>
      </c>
    </row>
    <row r="13" spans="1:4">
      <c r="A13" s="899">
        <f t="shared" si="0"/>
        <v>109</v>
      </c>
      <c r="C13" s="899" t="s">
        <v>4043</v>
      </c>
      <c r="D13" s="900" t="str">
        <f t="shared" si="1"/>
        <v>ELEMENTOS DE FINANZAS CORPORATIVAS, de Fernando Gómez–Bezares. Publicado en Desclée de Brouwer, Bilbao, 2012. ANEXO: "NOVEDADES EN LAS FINANZAS CORPORATIVAS".</v>
      </c>
    </row>
    <row r="14" spans="1:4">
      <c r="D14" s="900"/>
    </row>
    <row r="15" spans="1:4">
      <c r="D15" s="900"/>
    </row>
    <row r="16" spans="1:4">
      <c r="A16" s="899">
        <f>100+A4</f>
        <v>200</v>
      </c>
      <c r="C16" s="899" t="s">
        <v>4044</v>
      </c>
      <c r="D16" s="900" t="str">
        <f>C16</f>
        <v>NUEVOS CASOS PRÁCTICOS DE INVERSIÓN Y FINANCIACIÓN, de Javier Santibáñez Grúber y Fernando Gómez-Bezares Pascual. Publicado en Desclée de Brouwer, Bilbao, 2014, 3ª ed.</v>
      </c>
    </row>
    <row r="17" spans="1:4" ht="29">
      <c r="A17" s="899">
        <f t="shared" ref="A17:A28" si="2">1+A16</f>
        <v>201</v>
      </c>
      <c r="C17" s="899" t="s">
        <v>4045</v>
      </c>
      <c r="D17" s="900" t="str">
        <f>CONCATENATE($C$16," ",C17,".")</f>
        <v>NUEVOS CASOS PRÁCTICOS DE INVERSIÓN Y FINANCIACIÓN, de Javier Santibáñez Grúber y Fernando Gómez-Bezares Pascual. Publicado en Desclée de Brouwer, Bilbao, 2014, 3ª ed. Casos prácticos para realizar en clase.</v>
      </c>
    </row>
    <row r="18" spans="1:4" ht="29">
      <c r="A18" s="899">
        <f t="shared" si="2"/>
        <v>202</v>
      </c>
      <c r="C18" s="899" t="s">
        <v>4046</v>
      </c>
      <c r="D18" s="900" t="str">
        <f t="shared" ref="D18:D22" si="3">CONCATENATE($C$16," ",C18,".")</f>
        <v>NUEVOS CASOS PRÁCTICOS DE INVERSIÓN Y FINANCIACIÓN, de Javier Santibáñez Grúber y Fernando Gómez-Bezares Pascual. Publicado en Desclée de Brouwer, Bilbao, 2014, 3ª ed. Casos prácticos complementarios a los realizados en clase.</v>
      </c>
    </row>
    <row r="19" spans="1:4" ht="29">
      <c r="A19" s="899">
        <f t="shared" si="2"/>
        <v>203</v>
      </c>
      <c r="C19" s="899" t="s">
        <v>4047</v>
      </c>
      <c r="D19" s="900" t="str">
        <f t="shared" si="3"/>
        <v>NUEVOS CASOS PRÁCTICOS DE INVERSIÓN Y FINANCIACIÓN, de Javier Santibáñez Grúber y Fernando Gómez-Bezares Pascual. Publicado en Desclée de Brouwer, Bilbao, 2014, 3ª ed. Otros Casos prácticos (para trabajos en grupos, etc.).</v>
      </c>
    </row>
    <row r="20" spans="1:4" ht="29">
      <c r="A20" s="899">
        <f t="shared" si="2"/>
        <v>204</v>
      </c>
      <c r="C20" s="899" t="s">
        <v>4048</v>
      </c>
      <c r="D20" s="900" t="str">
        <f t="shared" si="3"/>
        <v>NUEVOS CASOS PRÁCTICOS DE INVERSIÓN Y FINANCIACIÓN, de Javier Santibáñez Grúber y Fernando Gómez-Bezares Pascual. Publicado en Desclée de Brouwer, Bilbao, 2014, 3ª ed. Ejercicios cortos (temas puntuales).</v>
      </c>
    </row>
    <row r="21" spans="1:4" ht="29">
      <c r="A21" s="899">
        <f t="shared" si="2"/>
        <v>205</v>
      </c>
      <c r="C21" s="899" t="s">
        <v>4049</v>
      </c>
      <c r="D21" s="900" t="str">
        <f t="shared" si="3"/>
        <v>NUEVOS CASOS PRÁCTICOS DE INVERSIÓN Y FINANCIACIÓN, de Javier Santibáñez Grúber y Fernando Gómez-Bezares Pascual. Publicado en Desclée de Brouwer, Bilbao, 2014, 3ª ed. Casos prácticos resueltos.</v>
      </c>
    </row>
    <row r="22" spans="1:4" ht="29">
      <c r="A22" s="899">
        <f t="shared" si="2"/>
        <v>206</v>
      </c>
      <c r="C22" s="899" t="s">
        <v>4050</v>
      </c>
      <c r="D22" s="900" t="str">
        <f t="shared" si="3"/>
        <v>NUEVOS CASOS PRÁCTICOS DE INVERSIÓN Y FINANCIACIÓN, de Javier Santibáñez Grúber y Fernando Gómez-Bezares Pascual. Publicado en Desclée de Brouwer, Bilbao, 2014, 3ª ed. Rutinas de trabajo.</v>
      </c>
    </row>
    <row r="23" spans="1:4" ht="29">
      <c r="A23" s="899">
        <f t="shared" si="2"/>
        <v>207</v>
      </c>
      <c r="C23" s="899" t="s">
        <v>4051</v>
      </c>
      <c r="D23" s="900" t="str">
        <f>CONCATENATE($C$16," ",$C$22,": ",C23,".")</f>
        <v>NUEVOS CASOS PRÁCTICOS DE INVERSIÓN Y FINANCIACIÓN, de Javier Santibáñez Grúber y Fernando Gómez-Bezares Pascual. Publicado en Desclée de Brouwer, Bilbao, 2014, 3ª ed. Rutinas de trabajo: 1. Proyección financiera.</v>
      </c>
    </row>
    <row r="24" spans="1:4" ht="29">
      <c r="A24" s="899">
        <f t="shared" si="2"/>
        <v>208</v>
      </c>
      <c r="C24" s="899" t="s">
        <v>4052</v>
      </c>
      <c r="D24" s="900" t="str">
        <f t="shared" ref="D24:D28" si="4">CONCATENATE($C$16," ",$C$22,": ",C24,".")</f>
        <v>NUEVOS CASOS PRÁCTICOS DE INVERSIÓN Y FINANCIACIÓN, de Javier Santibáñez Grúber y Fernando Gómez-Bezares Pascual. Publicado en Desclée de Brouwer, Bilbao, 2014, 3ª ed. Rutinas de trabajo: 2. Estados de fuentes y empleos de fondos.</v>
      </c>
    </row>
    <row r="25" spans="1:4" ht="29">
      <c r="A25" s="899">
        <f t="shared" si="2"/>
        <v>209</v>
      </c>
      <c r="C25" s="899" t="s">
        <v>4053</v>
      </c>
      <c r="D25" s="900" t="str">
        <f t="shared" si="4"/>
        <v>NUEVOS CASOS PRÁCTICOS DE INVERSIÓN Y FINANCIACIÓN, de Javier Santibáñez Grúber y Fernando Gómez-Bezares Pascual. Publicado en Desclée de Brouwer, Bilbao, 2014, 3ª ed. Rutinas de trabajo: 3. Pirámides de ratios.</v>
      </c>
    </row>
    <row r="26" spans="1:4" ht="29">
      <c r="A26" s="899">
        <f t="shared" si="2"/>
        <v>210</v>
      </c>
      <c r="C26" s="899" t="s">
        <v>4054</v>
      </c>
      <c r="D26" s="900" t="str">
        <f t="shared" si="4"/>
        <v>NUEVOS CASOS PRÁCTICOS DE INVERSIÓN Y FINANCIACIÓN, de Javier Santibáñez Grúber y Fernando Gómez-Bezares Pascual. Publicado en Desclée de Brouwer, Bilbao, 2014, 3ª ed. Rutinas de trabajo: 4. Inversión en condiciones de certeza.</v>
      </c>
    </row>
    <row r="27" spans="1:4" ht="29">
      <c r="A27" s="899">
        <f t="shared" si="2"/>
        <v>211</v>
      </c>
      <c r="C27" s="899" t="s">
        <v>4055</v>
      </c>
      <c r="D27" s="900" t="str">
        <f t="shared" si="4"/>
        <v>NUEVOS CASOS PRÁCTICOS DE INVERSIÓN Y FINANCIACIÓN, de Javier Santibáñez Grúber y Fernando Gómez-Bezares Pascual. Publicado en Desclée de Brouwer, Bilbao, 2014, 3ª ed. Rutinas de trabajo: 5. Inversión en condiciones de riesgo.</v>
      </c>
    </row>
    <row r="28" spans="1:4" ht="29">
      <c r="A28" s="899">
        <f t="shared" si="2"/>
        <v>212</v>
      </c>
      <c r="C28" s="899" t="s">
        <v>4056</v>
      </c>
      <c r="D28" s="900" t="str">
        <f t="shared" si="4"/>
        <v>NUEVOS CASOS PRÁCTICOS DE INVERSIÓN Y FINANCIACIÓN, de Javier Santibáñez Grúber y Fernando Gómez-Bezares Pascual. Publicado en Desclée de Brouwer, Bilbao, 2014, 3ª ed. Rutinas de trabajo: 6. Cálculo del coste de los fondos.</v>
      </c>
    </row>
    <row r="29" spans="1:4">
      <c r="D29" s="900"/>
    </row>
    <row r="30" spans="1:4">
      <c r="D30" s="900"/>
    </row>
    <row r="31" spans="1:4">
      <c r="A31" s="899">
        <f>100+A16</f>
        <v>300</v>
      </c>
      <c r="C31" s="899" t="s">
        <v>4057</v>
      </c>
      <c r="D31" s="900" t="str">
        <f>C31</f>
        <v>GESTIÓN PRÁCTICA DE PYMES. Cómo mejorar los resultados de la empresa, de Dionisio Cámara y Javier Santibáñez. Publicado en Garceta Grupo Editorial, Madrid, 2010.</v>
      </c>
    </row>
    <row r="32" spans="1:4" ht="29">
      <c r="A32" s="899">
        <f t="shared" ref="A32:A41" si="5">1+A31</f>
        <v>301</v>
      </c>
      <c r="C32" s="899" t="s">
        <v>4058</v>
      </c>
      <c r="D32" s="900" t="str">
        <f>CONCATENATE($C$31," ",C32,".")</f>
        <v>GESTIÓN PRÁCTICA DE PYMES. Cómo mejorar los resultados de la empresa, de Dionisio Cámara y Javier Santibáñez. Publicado en Garceta Grupo Editorial, Madrid, 2010. Capítulo 1 "Concepto y finalidad de la empresa".</v>
      </c>
    </row>
    <row r="33" spans="1:4" ht="29">
      <c r="A33" s="899">
        <f t="shared" si="5"/>
        <v>302</v>
      </c>
      <c r="C33" s="899" t="s">
        <v>4059</v>
      </c>
      <c r="D33" s="900" t="str">
        <f t="shared" ref="D33:D41" si="6">CONCATENATE($C$31," ",C33,".")</f>
        <v>GESTIÓN PRÁCTICA DE PYMES. Cómo mejorar los resultados de la empresa, de Dionisio Cámara y Javier Santibáñez. Publicado en Garceta Grupo Editorial, Madrid, 2010. Capítulo 2 "La forma jurídica de la empresa".</v>
      </c>
    </row>
    <row r="34" spans="1:4" ht="29">
      <c r="A34" s="899">
        <f t="shared" si="5"/>
        <v>303</v>
      </c>
      <c r="C34" s="899" t="s">
        <v>4060</v>
      </c>
      <c r="D34" s="900" t="str">
        <f t="shared" si="6"/>
        <v>GESTIÓN PRÁCTICA DE PYMES. Cómo mejorar los resultados de la empresa, de Dionisio Cámara y Javier Santibáñez. Publicado en Garceta Grupo Editorial, Madrid, 2010. Capítulo 3 "La planificación estratégica empresarial con orientación mercado".</v>
      </c>
    </row>
    <row r="35" spans="1:4" ht="29">
      <c r="A35" s="899">
        <f t="shared" si="5"/>
        <v>304</v>
      </c>
      <c r="C35" s="899" t="s">
        <v>4061</v>
      </c>
      <c r="D35" s="900" t="str">
        <f t="shared" si="6"/>
        <v>GESTIÓN PRÁCTICA DE PYMES. Cómo mejorar los resultados de la empresa, de Dionisio Cámara y Javier Santibáñez. Publicado en Garceta Grupo Editorial, Madrid, 2010. Capítulo 4 "El marketing como orientación de las empresas hacia el mercado".</v>
      </c>
    </row>
    <row r="36" spans="1:4" ht="29">
      <c r="A36" s="899">
        <f t="shared" si="5"/>
        <v>305</v>
      </c>
      <c r="C36" s="899" t="s">
        <v>4062</v>
      </c>
      <c r="D36" s="900" t="str">
        <f t="shared" si="6"/>
        <v>GESTIÓN PRÁCTICA DE PYMES. Cómo mejorar los resultados de la empresa, de Dionisio Cámara y Javier Santibáñez. Publicado en Garceta Grupo Editorial, Madrid, 2010. Capítulo 5 "Planificación de la función de marketing".</v>
      </c>
    </row>
    <row r="37" spans="1:4" ht="29">
      <c r="A37" s="899">
        <f t="shared" si="5"/>
        <v>306</v>
      </c>
      <c r="C37" s="899" t="s">
        <v>4063</v>
      </c>
      <c r="D37" s="900" t="str">
        <f t="shared" si="6"/>
        <v>GESTIÓN PRÁCTICA DE PYMES. Cómo mejorar los resultados de la empresa, de Dionisio Cámara y Javier Santibáñez. Publicado en Garceta Grupo Editorial, Madrid, 2010. Capítulo 6 "El concepto actual de la función comercial".</v>
      </c>
    </row>
    <row r="38" spans="1:4" ht="29">
      <c r="A38" s="899">
        <f t="shared" si="5"/>
        <v>307</v>
      </c>
      <c r="C38" s="899" t="s">
        <v>4064</v>
      </c>
      <c r="D38" s="900" t="str">
        <f t="shared" si="6"/>
        <v>GESTIÓN PRÁCTICA DE PYMES. Cómo mejorar los resultados de la empresa, de Dionisio Cámara y Javier Santibáñez. Publicado en Garceta Grupo Editorial, Madrid, 2010. Capítulo 7 "La contabilidad y fiscalidad en la emrpesa".</v>
      </c>
    </row>
    <row r="39" spans="1:4" ht="29">
      <c r="A39" s="899">
        <f t="shared" si="5"/>
        <v>308</v>
      </c>
      <c r="C39" s="899" t="s">
        <v>4065</v>
      </c>
      <c r="D39" s="900" t="str">
        <f t="shared" si="6"/>
        <v>GESTIÓN PRÁCTICA DE PYMES. Cómo mejorar los resultados de la empresa, de Dionisio Cámara y Javier Santibáñez. Publicado en Garceta Grupo Editorial, Madrid, 2010. Capítulo 8 "Conceptos financieros para la toma de decisiones".</v>
      </c>
    </row>
    <row r="40" spans="1:4" ht="29">
      <c r="A40" s="899">
        <f t="shared" si="5"/>
        <v>309</v>
      </c>
      <c r="C40" s="899" t="s">
        <v>4066</v>
      </c>
      <c r="D40" s="900" t="str">
        <f t="shared" si="6"/>
        <v>GESTIÓN PRÁCTICA DE PYMES. Cómo mejorar los resultados de la empresa, de Dionisio Cámara y Javier Santibáñez. Publicado en Garceta Grupo Editorial, Madrid, 2010. Capítulo 9 "Herramientas de análisis económico-financiero".</v>
      </c>
    </row>
    <row r="41" spans="1:4" ht="29">
      <c r="A41" s="899">
        <f t="shared" si="5"/>
        <v>310</v>
      </c>
      <c r="C41" s="899" t="s">
        <v>4067</v>
      </c>
      <c r="D41" s="900" t="str">
        <f t="shared" si="6"/>
        <v>GESTIÓN PRÁCTICA DE PYMES. Cómo mejorar los resultados de la empresa, de Dionisio Cámara y Javier Santibáñez. Publicado en Garceta Grupo Editorial, Madrid, 2010. Capítulo 10 "Gestión de tesorería".</v>
      </c>
    </row>
    <row r="42" spans="1:4">
      <c r="D42" s="900"/>
    </row>
    <row r="43" spans="1:4">
      <c r="D43" s="900"/>
    </row>
    <row r="44" spans="1:4" ht="29">
      <c r="A44" s="899">
        <f>100+A31</f>
        <v>400</v>
      </c>
      <c r="B44" s="901" t="s">
        <v>4068</v>
      </c>
      <c r="C44" s="900" t="s">
        <v>4069</v>
      </c>
      <c r="D44" s="900" t="str">
        <f>C44</f>
        <v>FINANZAS DE EMPRESA (Selección de lecturas), de Góme-Bezares, F., J.A. Madariaga, J. Santibáñez y A. Apraiz (Editores), 2013. Sociedad para la Promoción y Reconversión Industrial, SPRI, Bilbao. Disponible para su lectura o descarga gratuita en www.eumed.net (Enciclopedia multimedia y Biblioteca virtual de Economía, EMVI).</v>
      </c>
    </row>
    <row r="45" spans="1:4" ht="29">
      <c r="A45" s="899">
        <f t="shared" ref="A45" si="7">1+A44</f>
        <v>401</v>
      </c>
      <c r="B45" s="901" t="s">
        <v>4070</v>
      </c>
      <c r="C45" s="900" t="s">
        <v>4071</v>
      </c>
      <c r="D45" s="900" t="str">
        <f>CONCATENATE(MID(C45,4,300)," Disponible para su lectura o descarga gratuita en www.eumed.net (",B45,")")</f>
        <v>PANORAMA DE LA TEORÍA FINANCIERA, por Fernando Gómez-Bezares. Publicado en el Boletín de Estudios Económicos, nº 156, Diciembre, 1995, págs. 411-448. Disponible para su lectura o descarga gratuita en www.eumed.net (http://www.eumed.net/libros-gratis/2013a/1290/teoria-financiera.html)</v>
      </c>
    </row>
    <row r="46" spans="1:4" ht="29">
      <c r="A46" s="899">
        <f>1+A45</f>
        <v>402</v>
      </c>
      <c r="B46" s="901" t="s">
        <v>4072</v>
      </c>
      <c r="C46" s="900" t="s">
        <v>4073</v>
      </c>
      <c r="D46" s="900" t="str">
        <f t="shared" ref="D46:D53" si="8">CONCATENATE(MID(C46,4,300)," Disponible para su lectura o descarga gratuita en www.eumed.net (",B46,")")</f>
        <v>UNA NOTA CRÍTICA SOBRE LA ACTUAL INVESTIGACIÓN, por Fernando Gómez-Bezares. Publicado en Cuadernos de Economía y Dirección de la Empresa, nº 24, 2005, págs. 105–120. Disponible para su lectura o descarga gratuita en www.eumed.net (https://www.eumed.net/libros-gratis/2013a/1290/02-Nota-critica.pdf)</v>
      </c>
    </row>
    <row r="47" spans="1:4" ht="29">
      <c r="A47" s="899">
        <f t="shared" ref="A47:A65" si="9">1+A46</f>
        <v>403</v>
      </c>
      <c r="B47" s="901" t="s">
        <v>4074</v>
      </c>
      <c r="C47" s="900" t="s">
        <v>4075</v>
      </c>
      <c r="D47" s="900" t="str">
        <f t="shared" si="8"/>
        <v>ÉTICA Y OBJETIVO FINANCIERO EN FINANZAS, por Fernando Gómez-Bezares. Publicado en el Boletín de Estudios Económicos, nº 144, Diciembre, 1991, págs. 435-463. Disponible para su lectura o descarga gratuita en www.eumed.net (http://www.eumed.net/libros-gratis/2013a/1290/etica.html)</v>
      </c>
    </row>
    <row r="48" spans="1:4" ht="29">
      <c r="A48" s="899">
        <f t="shared" si="9"/>
        <v>404</v>
      </c>
      <c r="B48" s="901" t="s">
        <v>4076</v>
      </c>
      <c r="C48" s="900" t="s">
        <v>4077</v>
      </c>
      <c r="D48" s="900" t="str">
        <f t="shared" si="8"/>
        <v>ÉTICA, EFICIENCIA Y RESPONSABILIDAD SOCIAL CORPORATIVA, por Fernando Gómez-Bezares. Publicado en Signos Universitarios (Revista de la Universidad del Salvador, Buenos Aires, Argentina), Año XXX, nº 47, 2011, págs. 123-138. Disponible para su lectura o descarga gratuita en www.eumed.net (http://www.eumed.net/libros-gratis/2013a/1290/eficiencia.html)</v>
      </c>
    </row>
    <row r="49" spans="1:4" ht="43.5">
      <c r="A49" s="899">
        <f t="shared" si="9"/>
        <v>405</v>
      </c>
      <c r="B49" s="901" t="s">
        <v>4078</v>
      </c>
      <c r="C49" s="900" t="s">
        <v>4079</v>
      </c>
      <c r="D49" s="900" t="str">
        <f t="shared" si="8"/>
        <v>EL ESTADO DE FUENTES Y EMPLEOS DE FONDOS: UNA HERRAMIENTA IMPRESCINDIBLE EN EL ANÁLISIS FINANCIERO, por F. Gómez-Bezares, J. A. Madariaga y J. Santibáñez. Publicado (en una versión similar) en Harvard–Deusto Finanzas &amp; Contabilidad, nº 49, Septiembre–Octubre, 2002, págs. 18–28. Disponible para su lectura o descarga gratuita en www.eumed.net (http://www.eumed.net/libros-gratis/2013a/1290/empleos-fondos.html)</v>
      </c>
    </row>
    <row r="50" spans="1:4" ht="43.5">
      <c r="A50" s="899">
        <f t="shared" si="9"/>
        <v>406</v>
      </c>
      <c r="B50" s="901" t="s">
        <v>4080</v>
      </c>
      <c r="C50" s="900" t="s">
        <v>4081</v>
      </c>
      <c r="D50" s="900" t="str">
        <f t="shared" si="8"/>
        <v>EL ESTADO DE FUENTES Y EMPLEOS DE FONDOS COMO HERRAMIENTA DE ANÁLISIS ECONÓMICO-FINANCIERO: UNA PROPUESTA ADAPTADA AL NUEVO PGC-2007, por Javier Santibáñez y Amaia Apraiz. Publicado en el Boletín de Estudios Económicos, nº 208, Abril, 2013, págs. 89-122. Disponible para su lectura o descarga gratuita en www.eumed.net (http://www.eumed.net/libros-gratis/2013a/1290/nuevo-pgc.html)</v>
      </c>
    </row>
    <row r="51" spans="1:4" ht="29">
      <c r="A51" s="899">
        <f t="shared" si="9"/>
        <v>407</v>
      </c>
      <c r="B51" s="901" t="s">
        <v>4082</v>
      </c>
      <c r="C51" s="900" t="s">
        <v>4083</v>
      </c>
      <c r="D51" s="900" t="str">
        <f t="shared" si="8"/>
        <v>MODELOS INTEGRADOS DE ANÁLISIS FINANCIERO MEDIANTE RATIOS, por F. Gómez-Bezares, J. A. Madariaga y J. Santibáñez. Publicado (en una versión similar) en Harvard–Deusto Finanzas &amp; Contabilidad, nº 51, Enero–Febrero, 2003, págs. 30–45. Disponible para su lectura o descarga gratuita en www.eumed.net (http://www.eumed.net/libros-gratis/2013a/1290/ratios.html)</v>
      </c>
    </row>
    <row r="52" spans="1:4" ht="29">
      <c r="A52" s="899">
        <f t="shared" si="9"/>
        <v>408</v>
      </c>
      <c r="B52" s="901" t="s">
        <v>4084</v>
      </c>
      <c r="C52" s="900" t="s">
        <v>4085</v>
      </c>
      <c r="D52" s="900" t="str">
        <f t="shared" si="8"/>
        <v>ALGUNAS REFLEXIONES Y NOVEDADES ACERCA DE LA PIRÁMIDE DE RATIOS, por F. Gómez-Bezares, J. A. Madariaga y J. Santibáñez. Publicado (en una versión similar) en el Boletín de Estudios Económicos, nº 167, Agosto, 1999, págs. 329–359. Disponible para su lectura o descarga gratuita en www.eumed.net (http://www.eumed.net/libros-gratis/2013a/1290/piramide-ratios.html)</v>
      </c>
    </row>
    <row r="53" spans="1:4" ht="29">
      <c r="A53" s="899">
        <f t="shared" si="9"/>
        <v>409</v>
      </c>
      <c r="B53" s="901" t="s">
        <v>4086</v>
      </c>
      <c r="C53" s="900" t="s">
        <v>4087</v>
      </c>
      <c r="D53" s="900" t="str">
        <f t="shared" si="8"/>
        <v>FINANZAS PARA EL BIENESTAR , por Fernando Gómez-Bezares y Javier Santibáñez. Publicado (en una versión similar) en el Boletín de Estudios Económicos, nº 159, Diciembre, 1996, págs. 451–472. Disponible para su lectura o descarga gratuita en www.eumed.net (http://www.eumed.net/libros-gratis/2013a/1290/finanzas.html)</v>
      </c>
    </row>
    <row r="54" spans="1:4" ht="29">
      <c r="A54" s="899">
        <f t="shared" si="9"/>
        <v>410</v>
      </c>
      <c r="B54" s="901" t="s">
        <v>4088</v>
      </c>
      <c r="C54" s="900" t="s">
        <v>4089</v>
      </c>
      <c r="D54" s="900" t="str">
        <f>CONCATENATE(MID(C54,5,300)," Disponible para su lectura o descarga gratuita en www.eumed.net (",B54,")")</f>
        <v>VAN vs TRI: ALGUNOS EJEMPLOS PRÁCTICOS , por F. Gómez-Bezares, J. A. Madariaga y J. Santibáñez. Publicado (en una versión similar) en Harvard–Deusto Finanzas &amp; Contabilidad, nº 7, Septiembre–Octubre, 1995, págs. 48–58. Disponible para su lectura o descarga gratuita en www.eumed.net (http://www.eumed.net/libros-gratis/2013a/1290/van.html)</v>
      </c>
    </row>
    <row r="55" spans="1:4" ht="29">
      <c r="A55" s="899">
        <f t="shared" si="9"/>
        <v>411</v>
      </c>
      <c r="B55" s="901" t="s">
        <v>2773</v>
      </c>
      <c r="C55" s="900" t="s">
        <v>4090</v>
      </c>
      <c r="D55" s="900" t="str">
        <f t="shared" ref="D55:D65" si="10">CONCATENATE(MID(C55,5,300)," Disponible para su lectura o descarga gratuita en www.eumed.net (",B55,")")</f>
        <v>EL EFECTO DE LA INFLACIÓN EN EL ANÁLISIS DE LAS INVERSIONES , por F. Gómez-Bezares, J. A. Madariaga y J. Santibáñez. Publicado (en una versión similar) en Harvard–Deusto Finanzas &amp; Contabilidad, nº 11, Mayo–Junio, 1996, págs. 47–56. Disponible para su lectura o descarga gratuita en www.eumed.net (http://www.eumed.net/libros-gratis/2013a/1290/inflacion.html)</v>
      </c>
    </row>
    <row r="56" spans="1:4" ht="43.5">
      <c r="A56" s="899">
        <f t="shared" si="9"/>
        <v>412</v>
      </c>
      <c r="B56" s="901" t="s">
        <v>4091</v>
      </c>
      <c r="C56" s="900" t="s">
        <v>4092</v>
      </c>
      <c r="D56" s="900" t="str">
        <f t="shared" si="10"/>
        <v>DE LA VALORACIÓN DE EMPRESAS A LA GESTIÓN DEL VALOR , por Fernando Gómez-Bezares y Javier Santibáñez. Publicado en Las finanzas y la creación de valor. 50 reflexiones desde la economía financiera, de Fernando Gómez-Bezares, Price Waterhouse, 1998, págs. 183-190. Disponible para su lectura o descarga gratuita en www.eumed.net (https://www.eumed.net/libros-gratis/2013a/1290/valor.html)</v>
      </c>
    </row>
    <row r="57" spans="1:4" ht="29">
      <c r="A57" s="899">
        <f t="shared" si="9"/>
        <v>413</v>
      </c>
      <c r="B57" s="901" t="s">
        <v>4093</v>
      </c>
      <c r="C57" s="900" t="s">
        <v>4094</v>
      </c>
      <c r="D57" s="900" t="str">
        <f t="shared" si="10"/>
        <v>CÁLCULO Y GESTIÓN DEL VALOR DE LA EMPRESA , por Fernando Gómez-Bezares y Javier Santibáñez. Publicado en el Boletín de Estudios Económicos, nº 162, Diciembre, 1997, págs. 429–457. Disponible para su lectura o descarga gratuita en www.eumed.net (https://www.eumed.net/libros-gratis/2013a/1290/empresa.html)</v>
      </c>
    </row>
    <row r="58" spans="1:4" ht="29">
      <c r="A58" s="899">
        <f t="shared" si="9"/>
        <v>414</v>
      </c>
      <c r="B58" s="901" t="s">
        <v>4095</v>
      </c>
      <c r="C58" s="900" t="s">
        <v>4096</v>
      </c>
      <c r="D58" s="900" t="str">
        <f t="shared" si="10"/>
        <v>EL CONTROL EN LA DECISIÓN DE INVERSIÓN , por Javier Santibáñez Grúber. Publicado (en una versión similar) en el Boletín de Estudios Económicos, nº 147, Diciembre, 1992, págs. 391–410. Disponible para su lectura o descarga gratuita en www.eumed.net (https://www.eumed.net/libros-gratis/2013a/1290/inversion.html)</v>
      </c>
    </row>
    <row r="59" spans="1:4" ht="29">
      <c r="A59" s="899">
        <f t="shared" si="9"/>
        <v>415</v>
      </c>
      <c r="B59" s="901" t="s">
        <v>4097</v>
      </c>
      <c r="C59" s="900" t="s">
        <v>4098</v>
      </c>
      <c r="D59" s="900" t="str">
        <f t="shared" si="10"/>
        <v>LA DECISIÓN DE INVERSIÓN EN ENTORNOS DE RIESGO , por F. Gómez-Bezares, J. A. Madariaga y J. Santibáñez. Publicado en Estudios Empresariales, nº 107, 2001 (Tercer Cuatrimestre), págs. 22–37. Disponible para su lectura o descarga gratuita en www.eumed.net (http://www.eumed.net/libros-gratis/2013a/1290/riesgo.html)</v>
      </c>
    </row>
    <row r="60" spans="1:4" ht="29">
      <c r="A60" s="899">
        <f t="shared" si="9"/>
        <v>416</v>
      </c>
      <c r="B60" s="901" t="s">
        <v>4099</v>
      </c>
      <c r="C60" s="900" t="s">
        <v>4100</v>
      </c>
      <c r="D60" s="900" t="str">
        <f t="shared" si="10"/>
        <v>EL TRATAMIENTO DEL RIESGO EN LA DECISIÓN DE INVERSIÓN: VAP y distribuciones no conocidas, por Javier Santibáñez Grúber. Publicado (en una versión similar) en el Boletín de Estudios Económicos, nº 154, Abril, 1995, págs. 119–140. Disponible para su lectura o descarga gratuita en www.eumed.net (https://www.eumed.net/libros-gratis/2013a/1290/vap.html)</v>
      </c>
    </row>
    <row r="61" spans="1:4" ht="43.5">
      <c r="A61" s="899">
        <f t="shared" si="9"/>
        <v>417</v>
      </c>
      <c r="B61" s="901" t="s">
        <v>4101</v>
      </c>
      <c r="C61" s="900" t="s">
        <v>4102</v>
      </c>
      <c r="D61" s="900" t="str">
        <f t="shared" si="10"/>
        <v>LOS NUEVOS INSTRUMENTOS Y MERCADOS FINANCIEROS: El camino de la innovación financiera desde la perspectiva del riesgo, por Fernando Gómez-Bezares. Publicado en el Boletín de Estudios Económicos, nº 140, Agosto, 1990, págs. 283-304. Disponible para su lectura o descarga gratuita en www.eumed.net (https://www.eumed.net/libros-gratis/2013a/1290/mercados.html)</v>
      </c>
    </row>
    <row r="62" spans="1:4" ht="43.5">
      <c r="A62" s="899">
        <f t="shared" si="9"/>
        <v>418</v>
      </c>
      <c r="B62" s="901" t="s">
        <v>4103</v>
      </c>
      <c r="C62" s="900" t="s">
        <v>4104</v>
      </c>
      <c r="D62" s="900" t="str">
        <f t="shared" si="10"/>
        <v>LOS CRITERIOS DE VALORACIÓN EN EL NUEVO PLAN GENERAL DE CONTABILIDAD DE 2007: UNA EXPLICACIÓN SENCILLA Y ALGUNOS EJEMPLOS PRÁCTICOS , por Javier Santibáñez Grúber. Publicado en el Boletín de Estudios Económicos, nº 199, Abril, 2010, págs. 105–126. Disponible para su lectura o descarga gratuita en www.eumed.net (http://www.eumed.net/libros-gratis/2013a/1290/contabilidad.html)</v>
      </c>
    </row>
    <row r="63" spans="1:4" ht="29">
      <c r="A63" s="899">
        <f t="shared" si="9"/>
        <v>419</v>
      </c>
      <c r="B63" s="901" t="s">
        <v>4105</v>
      </c>
      <c r="C63" s="900" t="s">
        <v>4106</v>
      </c>
      <c r="D63" s="900" t="str">
        <f t="shared" si="10"/>
        <v>ALGUNAS RELACIONES INTERESANTES ENTRE INVERSIÓN Y FINANCIACIÓN, por F. Gómez-Bezares, J. A. Madariaga y J. Santibáñez. Publicado en Harvard–Deusto Finanzas &amp; Contabilidad, nº 37, Septiembre–Octubre, 2000, págs. 48–59. Disponible para su lectura o descarga gratuita en www.eumed.net (http://www.eumed.net/libros-gratis/2013a/1290/patrimonio.html)</v>
      </c>
    </row>
    <row r="64" spans="1:4" ht="43.5">
      <c r="A64" s="899">
        <f t="shared" si="9"/>
        <v>420</v>
      </c>
      <c r="B64" s="901" t="s">
        <v>4107</v>
      </c>
      <c r="C64" s="900" t="s">
        <v>4108</v>
      </c>
      <c r="D64" s="900" t="str">
        <f t="shared" si="10"/>
        <v>PANORAMA DE LA FINANCIACIÓN EMPRESARIAL , por Fernando Gómez-Bezares y Javier Santibáñez. Publicado con el título “Perspectiva histórica de la financiación empresarial”, en Revista de Contabilidad y Dirección, Vol. 12, 2011, págs. 115-143. Disponible para su lectura o descarga gratuita en www.eumed.net (http://www.eumed.net/libros-gratis/2013a/1290/financiacion-empresarial.html)</v>
      </c>
    </row>
    <row r="65" spans="1:4" ht="29">
      <c r="A65" s="899">
        <f t="shared" si="9"/>
        <v>421</v>
      </c>
      <c r="B65" s="901" t="s">
        <v>4109</v>
      </c>
      <c r="C65" s="900" t="s">
        <v>4110</v>
      </c>
      <c r="D65" s="900" t="str">
        <f t="shared" si="10"/>
        <v>POLÍTICA DE DIVIDENDOS, por Fernando Gómez-Bezares y Amaia Apraiz. Publicado en la Revista de Contabilidad y Dirección, vol. 15, 2012, págs. 167–184. Disponible para su lectura o descarga gratuita en www.eumed.net (http://www.eumed.net/libros-gratis/2013a/1290/dividendos.html)</v>
      </c>
    </row>
    <row r="66" spans="1:4">
      <c r="D66" s="900"/>
    </row>
    <row r="67" spans="1:4">
      <c r="D67" s="900"/>
    </row>
    <row r="68" spans="1:4" ht="43.5">
      <c r="A68" s="899">
        <f>100+A44</f>
        <v>500</v>
      </c>
      <c r="B68" s="901" t="s">
        <v>4111</v>
      </c>
      <c r="C68" s="900" t="s">
        <v>4112</v>
      </c>
      <c r="D68" s="900" t="str">
        <f>C68</f>
        <v>LECTURAS SOBRE GESTIÓN DE CARTERAS, de Gómez-Bezares, F., J.A. Madariaga y J. Santibáñez (Editores), 2004. Disponible para su lectura o descarga gratuita en las siguientes páginas web: www.eumed.net (Enciclopedia multimedia y Biblioteca virtual de Economía, EMVI); www.fjvega.org (Fundación José de la Vega - DIEM); www.barataria.com (Booksellers, Libreros Reunidos, S.L.).</v>
      </c>
    </row>
    <row r="69" spans="1:4" ht="29">
      <c r="A69" s="899">
        <f t="shared" ref="A69:A81" si="11">1+A68</f>
        <v>501</v>
      </c>
      <c r="B69" s="901" t="s">
        <v>4113</v>
      </c>
      <c r="C69" s="900" t="s">
        <v>4114</v>
      </c>
      <c r="D69" s="900" t="str">
        <f>CONCATENATE(MID(C69,4,300)," Disponible para su lectura o descarga gratuita en www.eumed.net (",B69,")")</f>
        <v>LA EFICIENCIA EN EL MERCADO BURSATIL ESPAÑOL, por F. Gómez-Bezares, J. A. Madariaga y J. V. Ugarte. Publicado en Actualidad Financiera, nº 42, Noviembre, 1988, págs. 2238-2250. Disponible para su lectura o descarga gratuita en www.eumed.net (https://www.eumed.net/cursecon/libreria/lgc/01.htm)</v>
      </c>
    </row>
    <row r="70" spans="1:4" ht="29">
      <c r="A70" s="899">
        <f t="shared" si="11"/>
        <v>502</v>
      </c>
      <c r="B70" s="901" t="s">
        <v>4115</v>
      </c>
      <c r="C70" s="900" t="s">
        <v>4116</v>
      </c>
      <c r="D70" s="900" t="str">
        <f t="shared" ref="D70:D81" si="12">CONCATENATE(MID(C70,4,300)," Disponible para su lectura o descarga gratuita en www.eumed.net (",B70,")")</f>
        <v>MODELOS DE VALORACION DE ACCIONES EN LA BOLSA DE BILBAO , por Fernando Gómez-Bezares. Publicado en Cuadernos de gestión, Marzo, 1989, págs. 103-128. Disponible para su lectura o descarga gratuita en www.eumed.net (https://www.eumed.net/cursecon/libreria/lgc/02.htm)</v>
      </c>
    </row>
    <row r="71" spans="1:4" ht="43.5">
      <c r="A71" s="899">
        <f t="shared" si="11"/>
        <v>503</v>
      </c>
      <c r="B71" s="901" t="s">
        <v>4117</v>
      </c>
      <c r="C71" s="900" t="s">
        <v>4118</v>
      </c>
      <c r="D71" s="900" t="str">
        <f t="shared" si="12"/>
        <v>MODELOS DE VALORACION DE ACCIONES EN EL MERCADO DE CAPITALES ESPAÑOL (Experiencia empírica), por Fernando Gómez-Bezares. Comunicación presentada a la ponencia española en el Congreso nº 16 de la FEAAF (Federación Europea de Asociaciones de Analistas Financieros), Estocolmo, Junio, 1990. La versión e Disponible para su lectura o descarga gratuita en www.eumed.net (https://www.eumed.net/cursecon/libreria/lgc/03.htm)</v>
      </c>
    </row>
    <row r="72" spans="1:4" ht="29">
      <c r="A72" s="899">
        <f t="shared" si="11"/>
        <v>504</v>
      </c>
      <c r="B72" s="901" t="s">
        <v>4119</v>
      </c>
      <c r="C72" s="900" t="s">
        <v>4120</v>
      </c>
      <c r="D72" s="900" t="str">
        <f t="shared" si="12"/>
        <v>LAS CARTERAS EN LA BOLSA DE BILBAO (1.980-1.987) , por Fernando Gómez-Bezares y Javier Santibáñez. Publicado en Actualidad Financiera, nº 28, Julio, 1991, págs. F547-F559. Disponible para su lectura o descarga gratuita en www.eumed.net (https://www.eumed.net/cursecon/libreria/lgc/04.htm)</v>
      </c>
    </row>
    <row r="73" spans="1:4" ht="43.5">
      <c r="A73" s="899">
        <f t="shared" si="11"/>
        <v>505</v>
      </c>
      <c r="B73" s="901" t="s">
        <v>4121</v>
      </c>
      <c r="C73" s="900" t="s">
        <v>4122</v>
      </c>
      <c r="D73" s="900" t="str">
        <f t="shared" si="12"/>
        <v>RIESGO Y RENTABILIDAD EN MERCADOS DE TAMAÑO INTERMEDIO (el caso español), por F. Gómez-Bezares, J. A. Madariaga y J. Santibáñez. Comunicación presentada al III Foro de Finanzas, Universidad Comercial de Deusto, Bilbao, Nov.-Dic. de 1995. Publicado en Gómez-Bezares, F. y J. V. Ugarte, ed., III Foro d Disponible para su lectura o descarga gratuita en www.eumed.net (https://www.eumed.net/cursecon/libreria/lgc/05.htm)</v>
      </c>
    </row>
    <row r="74" spans="1:4" ht="29">
      <c r="A74" s="899">
        <f t="shared" si="11"/>
        <v>506</v>
      </c>
      <c r="B74" s="901" t="s">
        <v>4123</v>
      </c>
      <c r="C74" s="900" t="s">
        <v>4124</v>
      </c>
      <c r="D74" s="900" t="str">
        <f t="shared" si="12"/>
        <v>MODELOS DE VALORACION Y EFICIENCIA: ¿BATE EL CAPM AL MERCADO?, por F. Gómez-Bezares, J. A. Madariaga y J. Santibáñez. Publicado en Análisis Financiero, nº 68, Primer cuatrimestre, 1996, págs. 72-96. Disponible para su lectura o descarga gratuita en www.eumed.net (https://www.eumed.net/cursecon/libreria/lgc/06.htm)</v>
      </c>
    </row>
    <row r="75" spans="1:4" ht="43.5">
      <c r="A75" s="899">
        <f t="shared" si="11"/>
        <v>507</v>
      </c>
      <c r="B75" s="901" t="s">
        <v>4125</v>
      </c>
      <c r="C75" s="900" t="s">
        <v>4126</v>
      </c>
      <c r="D75" s="900" t="str">
        <f t="shared" si="12"/>
        <v>LOS PROBLEMAS ETICOS DE LA ESPECULACION , por Fernando Gómez-Bezares. Ponencia presentada en la mesa de ética del V Foro de Finanzas, Universidad de Málaga, y publicada en Nuevos desarrollos financieros, V Foro de Finanzas, Asociación Española de Finanzas, Málaga, 1997, págs. 693-703. Disponible para su lectura o descarga gratuita en www.eumed.net (https://www.eumed.net/cursecon/libreria/lgc/07.htm)</v>
      </c>
    </row>
    <row r="76" spans="1:4" ht="29">
      <c r="A76" s="899">
        <f t="shared" si="11"/>
        <v>508</v>
      </c>
      <c r="B76" s="901" t="s">
        <v>4127</v>
      </c>
      <c r="C76" s="900" t="s">
        <v>4128</v>
      </c>
      <c r="D76" s="900" t="str">
        <f t="shared" si="12"/>
        <v>APLICACION PRACTICA DE LA TEORIA DE CARTERA , por Miguel Angel Larrínaga. Trabajo inédito preparado por Miguel Angel Larrínaga Ojanguren, Universidad Comercial de Deusto. Disponible para su lectura o descarga gratuita en www.eumed.net (https://www.eumed.net/cursecon/libreria/lgc/08.htm)</v>
      </c>
    </row>
    <row r="77" spans="1:4" ht="29">
      <c r="A77" s="899">
        <f t="shared" si="11"/>
        <v>509</v>
      </c>
      <c r="B77" s="901" t="s">
        <v>4129</v>
      </c>
      <c r="C77" s="900" t="s">
        <v>4130</v>
      </c>
      <c r="D77" s="900" t="str">
        <f t="shared" si="12"/>
        <v>APROXIMACIÓN GRÁFICA A LA DIVERSIFICACIÓN INTERNACIONAL DE RIESGOS, por Fernando Gómez-Bezares y Miguel Angel Larrínaga. Publicado en Análisis Financiero, nº 74, 1998, págs. 10-17. Disponible para su lectura o descarga gratuita en www.eumed.net (https://www.eumed.net/cursecon/libreria/lgc/09.htm)</v>
      </c>
    </row>
    <row r="78" spans="1:4" ht="72.5">
      <c r="A78" s="899">
        <f t="shared" si="11"/>
        <v>510</v>
      </c>
      <c r="B78" s="901" t="s">
        <v>4131</v>
      </c>
      <c r="C78" s="900" t="s">
        <v>4132</v>
      </c>
      <c r="D78" s="900" t="str">
        <f t="shared" si="12"/>
        <v xml:space="preserve"> MODELOS INTERNACIONALES DE VALORACIÓN DE ACTIVOS: CONTRASTACIÓN EMPÍRICA, por Fernando Gómez-Bezares y Miguel Angel Larrínaga. presentada al VI Foro de Finanzas organizado por la Asociación Española de Finanzas (AEFIN) y la Universidad de Jaén en Úbeda en noviembre de 1998 y publicada en A. Partal  Disponible para su lectura o descarga gratuita en www.eumed.net (https://www.eumed.net/cursecon/libreria/lgc/10.htm)</v>
      </c>
    </row>
    <row r="79" spans="1:4" ht="43.5">
      <c r="A79" s="899">
        <f t="shared" si="11"/>
        <v>511</v>
      </c>
      <c r="B79" s="901" t="s">
        <v>4133</v>
      </c>
      <c r="C79" s="900" t="s">
        <v>4134</v>
      </c>
      <c r="D79" s="900" t="str">
        <f t="shared" si="12"/>
        <v xml:space="preserve"> EL CAPM: METODOLOGÍAS DE CONTRASTE , por F. Gómez-Bezares, J. A. Madariaga y J. Santibáñez. Comunicación presentada al III Foro de Finanzas, Universidad Comercial de Deusto, Bilbao, Nov.-Dic. de 1995. Publicado en Gómez-Bezares, F. y J. V. Ugarte, ed., III Foro de Finanzas, 1995, págs. 663-695 y en Disponible para su lectura o descarga gratuita en www.eumed.net (https://www.eumed.net/cursecon/libreria/lgc/11.htm)</v>
      </c>
    </row>
    <row r="80" spans="1:4" ht="43.5">
      <c r="A80" s="899">
        <f t="shared" si="11"/>
        <v>512</v>
      </c>
      <c r="B80" s="901" t="s">
        <v>4135</v>
      </c>
      <c r="C80" s="900" t="s">
        <v>4136</v>
      </c>
      <c r="D80" s="900" t="str">
        <f t="shared" si="12"/>
        <v xml:space="preserve"> EL PERFIL DE RIESGO DEL MERCADO DE FONDOS DE INVERSIÓN ESPAÑOL, por A. Babío, F. Gómez-Bezares, J. A. Madariaga y J. Santibáñez. Comunicación presentada al VI Foro de Finanzas de Segovia (Workshop in Finance), Segovia, 2, 3 y 4 de Julio de 2002. Publicado en las Actas del VI Foro de Finanzas de Seg Disponible para su lectura o descarga gratuita en www.eumed.net (https://www.eumed.net/cursecon/libreria/lgc/12.htm)</v>
      </c>
    </row>
    <row r="81" spans="1:4" ht="43.5">
      <c r="A81" s="899">
        <f t="shared" si="11"/>
        <v>513</v>
      </c>
      <c r="B81" s="901" t="s">
        <v>4137</v>
      </c>
      <c r="C81" s="900" t="s">
        <v>4138</v>
      </c>
      <c r="D81" s="900" t="str">
        <f t="shared" si="12"/>
        <v xml:space="preserve"> MEDIDAS DE PERFORMANCE: ALGUNOS INDICES CLASICOS Y RELACION DE LA TRIP CON LA TEORIA DE CARTERA, por F. Gómez-Bezares, J. A. Madariaga y J. Santibáñez. Publicado (en versión reducida, sin apéndices) en Análisis Financiero Internacional, nº 113, Tercer Trimestre, 2003, págs. 5-19. Disponible para su lectura o descarga gratuita en www.eumed.net (https://www.eumed.net/cursecon/libreria/lgc/13.htm)</v>
      </c>
    </row>
  </sheetData>
  <sheetProtection algorithmName="SHA-512" hashValue="5B7qMLdAMr8R+B3Iq4UUy8bUdHOTXZy3EQxK3Hcn6qDxZvYOzWGqL1eX+J0G4FP+4B+1R2eStsqDA8xvCHUSoQ==" saltValue="+LTzH10o1T11yb+XAbiuDQ==" spinCount="100000" sheet="1" selectLockedCells="1"/>
  <conditionalFormatting sqref="A1:XFD1048576">
    <cfRule type="expression" dxfId="284" priority="1" stopIfTrue="1">
      <formula>NOT($A$2="javi")</formula>
    </cfRule>
  </conditionalFormatting>
  <hyperlinks>
    <hyperlink ref="B44" r:id="rId1" xr:uid="{9BB6E741-7A60-4EF1-A10C-8A6BAFD4B418}"/>
    <hyperlink ref="B62" r:id="rId2" xr:uid="{D8D5C116-0AC1-46EE-825B-2C050334F966}"/>
    <hyperlink ref="B45" r:id="rId3" xr:uid="{C2B36BF8-3445-473E-92B0-2EFAF13E3D96}"/>
    <hyperlink ref="B47" r:id="rId4" xr:uid="{F90B3CC4-A408-4519-9188-90CBA825BAB2}"/>
    <hyperlink ref="B48" r:id="rId5" xr:uid="{A0F384DA-A6D8-43C9-99B8-53AB7095A422}"/>
    <hyperlink ref="B49" r:id="rId6" xr:uid="{A9F6E8F4-4CFB-47CC-A18A-9544DF926208}"/>
    <hyperlink ref="B51" r:id="rId7" xr:uid="{FED82CA5-74E9-4E32-B40B-18C11CB83428}"/>
    <hyperlink ref="B52" r:id="rId8" xr:uid="{E93C5A15-5BD4-44BE-AE1F-493822FC43A7}"/>
    <hyperlink ref="B53" r:id="rId9" xr:uid="{ABB4D63E-802F-48C4-A25B-929C10F9D43F}"/>
    <hyperlink ref="B54" r:id="rId10" xr:uid="{1B93BC74-083E-48ED-BA95-836CC9096C97}"/>
    <hyperlink ref="B55" r:id="rId11" xr:uid="{C47E3AF3-E60A-4932-882D-4427CE061813}"/>
    <hyperlink ref="B50" r:id="rId12" xr:uid="{9A3ADDF6-1AEE-4E25-B02D-47B145F8010B}"/>
    <hyperlink ref="B59" r:id="rId13" xr:uid="{2E829FC7-5FBD-4B11-BBDE-4075685AF317}"/>
    <hyperlink ref="B63" r:id="rId14" xr:uid="{51099072-3660-46E1-978F-F5317EE5A470}"/>
    <hyperlink ref="B64" r:id="rId15" xr:uid="{B823B6B9-6E74-4D5D-A99C-261E2AF4582A}"/>
    <hyperlink ref="B65" r:id="rId16" xr:uid="{2B165A75-B03A-47B0-B86C-F5F1C1866AE5}"/>
    <hyperlink ref="B69" r:id="rId17" xr:uid="{DF5FB802-7A54-4E91-82E4-4CC322243A43}"/>
    <hyperlink ref="B68" r:id="rId18" xr:uid="{DE390970-9E8C-4FAF-B796-C03EED6F7FF5}"/>
    <hyperlink ref="B70" r:id="rId19" xr:uid="{0BAA3508-57A3-4126-9D77-9AA5E49E1D47}"/>
    <hyperlink ref="B71" r:id="rId20" xr:uid="{F1011A96-4EA9-4963-A63A-A0F7C4A3D70D}"/>
    <hyperlink ref="B72" r:id="rId21" xr:uid="{E6DD6041-80F4-497B-A985-8CB9C2DA4F20}"/>
    <hyperlink ref="B73" r:id="rId22" xr:uid="{AC9A7A66-D37A-4817-AB5C-7FFE840E3667}"/>
    <hyperlink ref="B74" r:id="rId23" xr:uid="{08CE56CE-572D-46C2-BF56-096D56F662FE}"/>
    <hyperlink ref="B75" r:id="rId24" xr:uid="{6E691B15-9A22-4DEF-8C66-88C2AABF5FE5}"/>
    <hyperlink ref="B76" r:id="rId25" xr:uid="{8D8AF305-C9F0-471A-A590-A5BD7CB81E61}"/>
    <hyperlink ref="B77" r:id="rId26" xr:uid="{2FD5001A-D0F3-4968-B7CC-C3E80CCA2FE1}"/>
    <hyperlink ref="B78" r:id="rId27" xr:uid="{997333B7-4960-4FAB-A137-35B6BE9BCE87}"/>
    <hyperlink ref="B79" r:id="rId28" xr:uid="{3FF3BEDF-2DA7-4B1B-A832-07356F29F136}"/>
    <hyperlink ref="B80" r:id="rId29" xr:uid="{D12ED0BC-C691-4BB3-B4D3-767A3D655A3A}"/>
    <hyperlink ref="B81" r:id="rId30" xr:uid="{03E27D65-6B1C-49F6-B729-A9427776B6C5}"/>
    <hyperlink ref="B56" r:id="rId31" xr:uid="{E5FCA341-6D99-4A1C-9AC5-481183823BFD}"/>
    <hyperlink ref="B58" r:id="rId32" xr:uid="{E9442F3D-765F-4EA4-B160-34E4A8F77162}"/>
    <hyperlink ref="B57" r:id="rId33" xr:uid="{73287918-E355-4FD1-A0C3-3DEE21F02D2E}"/>
    <hyperlink ref="B60" r:id="rId34" xr:uid="{29E7152C-ABF3-4B4D-A32F-94A486F42EAC}"/>
    <hyperlink ref="B61" r:id="rId35" xr:uid="{DA357EC5-B49D-49B1-BB95-FC85FA0CE395}"/>
    <hyperlink ref="B46" r:id="rId36" xr:uid="{22961C91-C1DD-4B55-84F5-E52FC059082A}"/>
  </hyperlinks>
  <pageMargins left="0.70866141732283472" right="0.70866141732283472" top="0.74803149606299213" bottom="0.74803149606299213" header="0.31496062992125984" footer="0.31496062992125984"/>
  <pageSetup paperSize="9" scale="67" pageOrder="overThenDown" orientation="landscape" horizontalDpi="1200" verticalDpi="1200" r:id="rId37"/>
  <headerFooter>
    <oddHeader>&amp;C&amp;A</oddHeader>
    <oddFooter>&amp;CPágina &amp;P de &amp;N</oddFooter>
  </headerFooter>
  <rowBreaks count="3" manualBreakCount="3">
    <brk id="28" max="16383" man="1"/>
    <brk id="42" max="16383" man="1"/>
    <brk id="65"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EEA5-06B7-4F32-BEB1-2187DC323BB1}">
  <dimension ref="A1:AO1145"/>
  <sheetViews>
    <sheetView showGridLines="0" zoomScale="90" zoomScaleNormal="90" workbookViewId="0">
      <selection activeCell="I4" sqref="I4"/>
    </sheetView>
  </sheetViews>
  <sheetFormatPr baseColWidth="10" defaultColWidth="11.453125" defaultRowHeight="14.5"/>
  <cols>
    <col min="1" max="1" width="11.453125" style="411"/>
    <col min="2" max="2" width="21" style="411" customWidth="1"/>
    <col min="3" max="3" width="15.81640625" style="411" customWidth="1"/>
    <col min="4" max="5" width="11.453125" style="411"/>
    <col min="6" max="6" width="3.54296875" style="411" customWidth="1"/>
    <col min="7" max="7" width="8.453125" style="411" customWidth="1"/>
    <col min="8" max="16" width="15.54296875" style="411" customWidth="1"/>
    <col min="17" max="17" width="3.54296875" style="411" customWidth="1"/>
    <col min="18" max="21" width="11.453125" style="411"/>
    <col min="22" max="39" width="11.453125" style="411" customWidth="1"/>
    <col min="40" max="16384" width="11.453125" style="411"/>
  </cols>
  <sheetData>
    <row r="1" spans="1:19">
      <c r="A1" s="410">
        <f>'Enunciado (con infla) básico'!$A$4</f>
        <v>2022</v>
      </c>
      <c r="B1" s="1038" t="s">
        <v>19</v>
      </c>
      <c r="C1" s="1038"/>
      <c r="D1" s="1038"/>
      <c r="E1" s="1038"/>
      <c r="F1" s="410" t="str">
        <f>IF(AND(NOT('Enunciado (con infla) básico'!$G$2=""),'Enunciado (con infla) básico'!$H$2=""),'Enunciado (con infla) básico'!$G$2,"")</f>
        <v/>
      </c>
    </row>
    <row r="2" spans="1:19">
      <c r="B2" s="412"/>
      <c r="C2" s="413" t="str">
        <f>IF(AND('Instrucciones de uso'!$J$14="x",'Instrucciones de uso'!$I$33="SI"),"SI","NO")</f>
        <v>NO</v>
      </c>
      <c r="D2" s="414" t="str">
        <f>'Instrucciones de uso'!$H$15</f>
        <v>contraseña</v>
      </c>
      <c r="E2" s="414" t="str">
        <f>'Instrucciones de uso'!$J$15</f>
        <v>contraseña</v>
      </c>
      <c r="I2" s="415" t="str">
        <f>IF(ISERROR(IF(OR(AND(NOT(I4=""),NOT(ISNUMBER(I4))),AND(NOT(I5=""),NOT(ISNUMBER(I5))),AND(NOT(I6=""),NOT(ISNUMBER(I6)))),"ERROR","")),"ERROR",IF(OR(AND(NOT(I4=""),NOT(ISNUMBER(I4))),AND(NOT(I5=""),NOT(ISNUMBER(I5))),AND(NOT(I6=""),NOT(ISNUMBER(I6)))),"ERROR",""))</f>
        <v/>
      </c>
      <c r="J2" s="415" t="str">
        <f t="shared" ref="J2:O2" si="0">IF(ISERROR(IF(OR(AND(NOT(J4=""),NOT(ISNUMBER(J4))),AND(NOT(J5=""),NOT(ISNUMBER(J5))),AND(NOT(J6=""),NOT(ISNUMBER(J6)))),"ERROR","")),"ERROR",IF(OR(AND(NOT(J4=""),NOT(ISNUMBER(J4))),AND(NOT(J5=""),NOT(ISNUMBER(J5))),AND(NOT(J6=""),NOT(ISNUMBER(J6)))),"ERROR",""))</f>
        <v/>
      </c>
      <c r="K2" s="415" t="str">
        <f t="shared" si="0"/>
        <v/>
      </c>
      <c r="L2" s="415" t="str">
        <f t="shared" si="0"/>
        <v/>
      </c>
      <c r="M2" s="415" t="str">
        <f t="shared" si="0"/>
        <v/>
      </c>
      <c r="N2" s="415" t="str">
        <f t="shared" si="0"/>
        <v/>
      </c>
      <c r="O2" s="415" t="str">
        <f t="shared" si="0"/>
        <v/>
      </c>
    </row>
    <row r="3" spans="1:19">
      <c r="A3" s="411" t="e">
        <f>$F$1*1000+1</f>
        <v>#VALUE!</v>
      </c>
      <c r="B3" s="416"/>
      <c r="C3" s="417" t="s">
        <v>5</v>
      </c>
      <c r="D3" s="418" t="e">
        <f>VLOOKUP(A3,$B$70:$C$127,2,FALSE)</f>
        <v>#VALUE!</v>
      </c>
      <c r="E3" s="419"/>
      <c r="H3" s="420" t="s">
        <v>0</v>
      </c>
      <c r="I3" s="421" t="s">
        <v>2113</v>
      </c>
      <c r="J3" s="421" t="s">
        <v>2114</v>
      </c>
      <c r="K3" s="421" t="s">
        <v>2115</v>
      </c>
      <c r="L3" s="421" t="s">
        <v>2116</v>
      </c>
      <c r="M3" s="421" t="s">
        <v>2117</v>
      </c>
      <c r="N3" s="421" t="s">
        <v>2118</v>
      </c>
      <c r="O3" s="421" t="s">
        <v>2119</v>
      </c>
      <c r="Q3" s="422"/>
      <c r="R3" s="422"/>
      <c r="S3" s="422"/>
    </row>
    <row r="4" spans="1:19">
      <c r="A4" s="411" t="e">
        <f t="shared" ref="A4:A38" si="1">1+A3</f>
        <v>#VALUE!</v>
      </c>
      <c r="B4" s="416"/>
      <c r="C4" s="419" t="s">
        <v>14</v>
      </c>
      <c r="D4" s="423" t="s">
        <v>16</v>
      </c>
      <c r="E4" s="419"/>
      <c r="H4" s="424" t="e">
        <f>$D$3+1</f>
        <v>#VALUE!</v>
      </c>
      <c r="I4" s="425"/>
      <c r="J4" s="425"/>
      <c r="K4" s="425"/>
      <c r="L4" s="425"/>
      <c r="M4" s="425"/>
      <c r="N4" s="425"/>
      <c r="O4" s="425"/>
      <c r="Q4" s="422"/>
      <c r="R4" s="422"/>
      <c r="S4" s="422"/>
    </row>
    <row r="5" spans="1:19">
      <c r="A5" s="411" t="e">
        <f t="shared" si="1"/>
        <v>#VALUE!</v>
      </c>
      <c r="B5" s="412"/>
      <c r="C5" s="426"/>
      <c r="D5" s="427"/>
      <c r="E5" s="428"/>
      <c r="H5" s="424" t="e">
        <f>H4+1</f>
        <v>#VALUE!</v>
      </c>
      <c r="I5" s="425"/>
      <c r="J5" s="425"/>
      <c r="K5" s="425"/>
      <c r="L5" s="425"/>
      <c r="M5" s="425"/>
      <c r="N5" s="425"/>
      <c r="O5" s="425"/>
    </row>
    <row r="6" spans="1:19">
      <c r="A6" s="411" t="e">
        <f t="shared" si="1"/>
        <v>#VALUE!</v>
      </c>
      <c r="B6" s="1039" t="s">
        <v>2120</v>
      </c>
      <c r="C6" s="1039"/>
      <c r="D6" s="1039"/>
      <c r="E6" s="1039"/>
      <c r="H6" s="424" t="e">
        <f>H5+1</f>
        <v>#VALUE!</v>
      </c>
      <c r="I6" s="425"/>
      <c r="J6" s="425"/>
      <c r="K6" s="425"/>
      <c r="L6" s="425"/>
      <c r="M6" s="425"/>
      <c r="N6" s="425"/>
      <c r="O6" s="425"/>
      <c r="S6" s="422"/>
    </row>
    <row r="7" spans="1:19">
      <c r="A7" s="411" t="e">
        <f t="shared" si="1"/>
        <v>#VALUE!</v>
      </c>
      <c r="B7" s="416"/>
      <c r="C7" s="429" t="e">
        <f>CONCATENATE("INV (",$D$3,")")</f>
        <v>#VALUE!</v>
      </c>
      <c r="D7" s="430" t="e">
        <f t="shared" ref="D7:D9" si="2">VLOOKUP(A7,$B$70:$C$127,2,FALSE)</f>
        <v>#VALUE!</v>
      </c>
      <c r="E7" s="419"/>
      <c r="I7" s="431"/>
      <c r="J7" s="431"/>
      <c r="K7" s="431"/>
      <c r="L7" s="431"/>
      <c r="M7" s="431"/>
      <c r="N7" s="431"/>
      <c r="O7" s="431"/>
      <c r="S7" s="422"/>
    </row>
    <row r="8" spans="1:19">
      <c r="A8" s="411" t="e">
        <f t="shared" si="1"/>
        <v>#VALUE!</v>
      </c>
      <c r="B8" s="416"/>
      <c r="C8" s="429" t="s">
        <v>6</v>
      </c>
      <c r="D8" s="430" t="e">
        <f t="shared" si="2"/>
        <v>#VALUE!</v>
      </c>
      <c r="E8" s="419"/>
      <c r="I8" s="415" t="str">
        <f>IF(ISERROR(IF(OR(AND(NOT(I10=""),NOT(ISNUMBER(I10))),AND(NOT(I11=""),NOT(ISNUMBER(I11))),AND(NOT(I12=""),NOT(ISNUMBER(I12))),AND(NOT(I13=""),NOT(ISNUMBER(I13)))),"ERROR","")),"ERROR",IF(OR(AND(NOT(I10=""),NOT(ISNUMBER(I10))),AND(NOT(I11=""),NOT(ISNUMBER(I11))),AND(NOT(I12=""),NOT(ISNUMBER(I12))),AND(NOT(I13=""),NOT(ISNUMBER(I13)))),"ERROR",""))</f>
        <v/>
      </c>
      <c r="J8" s="415" t="str">
        <f>IF(ISERROR(IF(OR(AND(NOT(J10=""),NOT(ISNUMBER(J10))),AND(NOT(J11=""),NOT(ISNUMBER(J11))),AND(NOT(J12=""),NOT(ISNUMBER(J12))),AND(NOT(J13=""),NOT(ISNUMBER(J13)))),"ERROR","")),"ERROR",IF(OR(AND(NOT(J10=""),NOT(ISNUMBER(J10))),AND(NOT(J11=""),NOT(ISNUMBER(J11))),AND(NOT(J12=""),NOT(ISNUMBER(J12))),AND(NOT(J13=""),NOT(ISNUMBER(J13)))),"ERROR",""))</f>
        <v/>
      </c>
      <c r="K8" s="415" t="str">
        <f>IF(ISERROR(IF(OR(AND(NOT(K10=""),NOT(ISNUMBER(K10))),AND(NOT(K11=""),NOT(ISNUMBER(K11))),AND(NOT(K12=""),NOT(ISNUMBER(K12))),AND(NOT(K13=""),NOT(ISNUMBER(K13)))),"ERROR","")),"ERROR",IF(OR(AND(NOT(K10=""),NOT(ISNUMBER(K10))),AND(NOT(K11=""),NOT(ISNUMBER(K11))),AND(NOT(K12=""),NOT(ISNUMBER(K12))),AND(NOT(K13=""),NOT(ISNUMBER(K13)))),"ERROR",""))</f>
        <v/>
      </c>
      <c r="L8" s="415" t="str">
        <f>IF(ISERROR(IF(OR(AND(NOT(L10=""),NOT(ISNUMBER(L10))),AND(NOT(L11=""),NOT(ISNUMBER(L11))),AND(NOT(L12=""),NOT(ISNUMBER(L12))),AND(NOT(L13=""),NOT(ISNUMBER(L13)))),"ERROR","")),"ERROR",IF(OR(AND(NOT(L10=""),NOT(ISNUMBER(L10))),AND(NOT(L11=""),NOT(ISNUMBER(L11))),AND(NOT(L12=""),NOT(ISNUMBER(L12))),AND(NOT(L13=""),NOT(ISNUMBER(L13)))),"ERROR",""))</f>
        <v/>
      </c>
      <c r="M8" s="415" t="str">
        <f>IF(ISERROR(IF(OR(AND(NOT(M10=""),NOT(ISNUMBER(M10))),AND(NOT(M11=""),NOT(ISNUMBER(M11))),AND(NOT(M12=""),NOT(ISNUMBER(M12))),AND(NOT(M13=""),NOT(ISNUMBER(M13)))),"ERROR","")),"ERROR",IF(OR(AND(NOT(M10=""),NOT(ISNUMBER(M10))),AND(NOT(M11=""),NOT(ISNUMBER(M11))),AND(NOT(M12=""),NOT(ISNUMBER(M12))),AND(NOT(M13=""),NOT(ISNUMBER(M13)))),"ERROR",""))</f>
        <v/>
      </c>
      <c r="P8" s="415" t="str">
        <f>IF(ISERROR(IF(OR(AND(NOT(P10=""),NOT(ISNUMBER(P10))),AND(NOT(P11=""),NOT(ISNUMBER(P11))),AND(NOT(P12=""),NOT(ISNUMBER(P12))),AND(NOT(P13=""),NOT(ISNUMBER(P13))),AND(NOT(P15=""),NOT(ISNUMBER(P15))),AND(NOT(P16=""),NOT(ISNUMBER(P16)))),"ERROR","")),"ERROR",IF(OR(AND(NOT(P10=""),NOT(ISNUMBER(P10))),AND(NOT(P11=""),NOT(ISNUMBER(P11))),AND(NOT(P12=""),NOT(ISNUMBER(P12))),AND(NOT(P13=""),NOT(ISNUMBER(P13))),AND(NOT(P15=""),NOT(ISNUMBER(P15))),AND(NOT(P16=""),NOT(ISNUMBER(P16)))),"ERROR",""))</f>
        <v/>
      </c>
      <c r="S8" s="422"/>
    </row>
    <row r="9" spans="1:19">
      <c r="A9" s="411" t="e">
        <f t="shared" si="1"/>
        <v>#VALUE!</v>
      </c>
      <c r="B9" s="416"/>
      <c r="C9" s="429" t="e">
        <f>CONCATENATE("VE (",$D$3+3,")")</f>
        <v>#VALUE!</v>
      </c>
      <c r="D9" s="430" t="e">
        <f t="shared" si="2"/>
        <v>#VALUE!</v>
      </c>
      <c r="E9" s="419"/>
      <c r="H9" s="420" t="s">
        <v>0</v>
      </c>
      <c r="I9" s="421" t="s">
        <v>2121</v>
      </c>
      <c r="J9" s="421" t="s">
        <v>2122</v>
      </c>
      <c r="K9" s="421" t="s">
        <v>2123</v>
      </c>
      <c r="L9" s="421" t="s">
        <v>2124</v>
      </c>
      <c r="M9" s="421" t="s">
        <v>2125</v>
      </c>
      <c r="N9" s="422"/>
      <c r="O9" s="420" t="s">
        <v>0</v>
      </c>
      <c r="P9" s="432" t="s">
        <v>1</v>
      </c>
      <c r="S9" s="422"/>
    </row>
    <row r="10" spans="1:19">
      <c r="A10" s="411" t="e">
        <f t="shared" si="1"/>
        <v>#VALUE!</v>
      </c>
      <c r="B10" s="412"/>
      <c r="C10" s="433" t="str">
        <f>IF($E$109="SI","        Deshaga operación (Ctrl-Z)","")</f>
        <v/>
      </c>
      <c r="D10" s="434"/>
      <c r="E10" s="435"/>
      <c r="H10" s="424" t="e">
        <f>$D$3</f>
        <v>#VALUE!</v>
      </c>
      <c r="I10" s="425"/>
      <c r="J10" s="425"/>
      <c r="K10" s="425"/>
      <c r="L10" s="425"/>
      <c r="M10" s="425"/>
      <c r="N10" s="436"/>
      <c r="O10" s="424" t="e">
        <f>$D$3</f>
        <v>#VALUE!</v>
      </c>
      <c r="P10" s="425"/>
      <c r="S10" s="422"/>
    </row>
    <row r="11" spans="1:19">
      <c r="A11" s="411" t="e">
        <f t="shared" si="1"/>
        <v>#VALUE!</v>
      </c>
      <c r="B11" s="1039" t="s">
        <v>2126</v>
      </c>
      <c r="C11" s="1039"/>
      <c r="D11" s="1039"/>
      <c r="E11" s="1039"/>
      <c r="H11" s="424" t="e">
        <f>H10+1</f>
        <v>#VALUE!</v>
      </c>
      <c r="I11" s="425"/>
      <c r="J11" s="425"/>
      <c r="K11" s="425"/>
      <c r="L11" s="425"/>
      <c r="M11" s="425"/>
      <c r="N11" s="422"/>
      <c r="O11" s="424" t="e">
        <f>O10+1</f>
        <v>#VALUE!</v>
      </c>
      <c r="P11" s="425"/>
      <c r="S11" s="422"/>
    </row>
    <row r="12" spans="1:19">
      <c r="A12" s="411" t="e">
        <f t="shared" si="1"/>
        <v>#VALUE!</v>
      </c>
      <c r="B12" s="416"/>
      <c r="C12" s="429" t="s">
        <v>2127</v>
      </c>
      <c r="D12" s="430" t="e">
        <f t="shared" ref="D12:D13" si="3">VLOOKUP(A12,$B$70:$C$127,2,FALSE)</f>
        <v>#VALUE!</v>
      </c>
      <c r="E12" s="419"/>
      <c r="H12" s="424" t="e">
        <f>H11+1</f>
        <v>#VALUE!</v>
      </c>
      <c r="I12" s="425"/>
      <c r="J12" s="425"/>
      <c r="K12" s="425"/>
      <c r="L12" s="425"/>
      <c r="M12" s="425"/>
      <c r="N12" s="422"/>
      <c r="O12" s="424" t="e">
        <f>O11+1</f>
        <v>#VALUE!</v>
      </c>
      <c r="P12" s="425"/>
      <c r="S12" s="422"/>
    </row>
    <row r="13" spans="1:19">
      <c r="A13" s="411" t="e">
        <f t="shared" si="1"/>
        <v>#VALUE!</v>
      </c>
      <c r="B13" s="416"/>
      <c r="C13" s="429" t="s">
        <v>2128</v>
      </c>
      <c r="D13" s="430" t="e">
        <f t="shared" si="3"/>
        <v>#VALUE!</v>
      </c>
      <c r="E13" s="419"/>
      <c r="H13" s="424" t="e">
        <f>H12+1</f>
        <v>#VALUE!</v>
      </c>
      <c r="I13" s="425"/>
      <c r="J13" s="425"/>
      <c r="K13" s="425"/>
      <c r="L13" s="425"/>
      <c r="M13" s="425"/>
      <c r="N13" s="422"/>
      <c r="O13" s="424" t="e">
        <f>O12+1</f>
        <v>#VALUE!</v>
      </c>
      <c r="P13" s="425"/>
      <c r="S13" s="422"/>
    </row>
    <row r="14" spans="1:19">
      <c r="A14" s="411" t="e">
        <f t="shared" si="1"/>
        <v>#VALUE!</v>
      </c>
      <c r="B14" s="416"/>
      <c r="C14" s="429"/>
      <c r="D14" s="437"/>
      <c r="E14" s="419"/>
      <c r="I14" s="431"/>
      <c r="J14" s="431"/>
      <c r="K14" s="431"/>
      <c r="L14" s="431"/>
      <c r="M14" s="431"/>
      <c r="S14" s="422"/>
    </row>
    <row r="15" spans="1:19">
      <c r="A15" s="411" t="e">
        <f t="shared" si="1"/>
        <v>#VALUE!</v>
      </c>
      <c r="B15" s="416"/>
      <c r="C15" s="429" t="s">
        <v>7</v>
      </c>
      <c r="D15" s="430" t="e">
        <f t="shared" ref="D15:D16" si="4">VLOOKUP(A15,$B$70:$C$127,2,FALSE)</f>
        <v>#VALUE!</v>
      </c>
      <c r="E15" s="419"/>
      <c r="H15" s="438"/>
      <c r="I15" s="438"/>
      <c r="O15" s="439" t="s">
        <v>13</v>
      </c>
      <c r="P15" s="440"/>
      <c r="S15" s="422"/>
    </row>
    <row r="16" spans="1:19">
      <c r="A16" s="411" t="e">
        <f t="shared" si="1"/>
        <v>#VALUE!</v>
      </c>
      <c r="B16" s="416"/>
      <c r="C16" s="429" t="s">
        <v>8</v>
      </c>
      <c r="D16" s="430" t="e">
        <f t="shared" si="4"/>
        <v>#VALUE!</v>
      </c>
      <c r="E16" s="419"/>
      <c r="H16" s="441" t="e">
        <f>CONCATENATE("DI (",$D$3,")")</f>
        <v>#VALUE!</v>
      </c>
      <c r="I16" s="442"/>
      <c r="J16" s="415" t="str">
        <f>IF(ISERROR(IF(AND(NOT(I16=""),NOT(ISNUMBER(I16))),"ERROR","")),"ERROR",IF(AND(NOT(I16=""),NOT(ISNUMBER(I16))),"ERROR",""))</f>
        <v/>
      </c>
      <c r="O16" s="443" t="s">
        <v>28</v>
      </c>
      <c r="P16" s="444"/>
      <c r="S16" s="422"/>
    </row>
    <row r="17" spans="1:29" ht="15" customHeight="1">
      <c r="A17" s="411" t="e">
        <f t="shared" si="1"/>
        <v>#VALUE!</v>
      </c>
      <c r="B17" s="412"/>
      <c r="C17" s="426"/>
      <c r="D17" s="427"/>
      <c r="E17" s="428"/>
      <c r="H17" s="441" t="e">
        <f>CONCATENATE("∆VR (",$D$3+3,") (AF)")</f>
        <v>#VALUE!</v>
      </c>
      <c r="I17" s="442"/>
      <c r="J17" s="415" t="str">
        <f>IF(ISERROR(IF(AND(NOT(I17=""),NOT(ISNUMBER(I17))),"ERROR","")),"ERROR",IF(AND(NOT(I17=""),NOT(ISNUMBER(I17))),"ERROR",""))</f>
        <v/>
      </c>
      <c r="K17" s="445" t="s">
        <v>66</v>
      </c>
      <c r="L17" s="446"/>
      <c r="M17" s="415" t="str">
        <f>IF(ISERROR(IF(AND(NOT(L17=""),NOT(ISNUMBER(L17))),"ERROR","")),"ERROR",IF(AND(NOT(L17=""),NOT(ISNUMBER(L17))),"ERROR",""))</f>
        <v/>
      </c>
      <c r="P17" s="431"/>
      <c r="S17" s="422"/>
    </row>
    <row r="18" spans="1:29" ht="15" customHeight="1">
      <c r="A18" s="411" t="e">
        <f t="shared" si="1"/>
        <v>#VALUE!</v>
      </c>
      <c r="B18" s="1039" t="s">
        <v>2129</v>
      </c>
      <c r="C18" s="1039"/>
      <c r="D18" s="1039"/>
      <c r="E18" s="1039"/>
      <c r="H18" s="441" t="e">
        <f>CONCATENATE("∆VR (",$D$3+3,") (FM)")</f>
        <v>#VALUE!</v>
      </c>
      <c r="I18" s="442"/>
      <c r="J18" s="415" t="str">
        <f>IF(ISERROR(IF(AND(NOT(I18=""),NOT(ISNUMBER(I18))),"ERROR","")),"ERROR",IF(AND(NOT(I18=""),NOT(ISNUMBER(I18))),"ERROR",""))</f>
        <v/>
      </c>
      <c r="K18" s="445" t="s">
        <v>67</v>
      </c>
      <c r="L18" s="446"/>
      <c r="M18" s="415" t="str">
        <f>IF(ISERROR(IF(AND(NOT(L18=""),NOT(ISNUMBER(L18))),"ERROR","")),"ERROR",IF(AND(NOT(L18=""),NOT(ISNUMBER(L18))),"ERROR",""))</f>
        <v/>
      </c>
      <c r="O18" s="447" t="str">
        <f>$C$10</f>
        <v/>
      </c>
      <c r="P18" s="447"/>
      <c r="S18" s="422"/>
    </row>
    <row r="19" spans="1:29" ht="15" customHeight="1">
      <c r="A19" s="411" t="e">
        <f t="shared" si="1"/>
        <v>#VALUE!</v>
      </c>
      <c r="B19" s="416"/>
      <c r="C19" s="429" t="e">
        <f>CONCATENATE("Inversión en existencias (",$D$3,")")</f>
        <v>#VALUE!</v>
      </c>
      <c r="D19" s="430" t="e">
        <f t="shared" ref="D19:D20" si="5">VLOOKUP(A19,$B$70:$C$127,2,FALSE)</f>
        <v>#VALUE!</v>
      </c>
      <c r="E19" s="419"/>
      <c r="H19" s="441" t="e">
        <f>CONCATENATE("∆VR (",$D$3+3,")")</f>
        <v>#VALUE!</v>
      </c>
      <c r="I19" s="442"/>
      <c r="J19" s="415" t="str">
        <f>IF(ISERROR(IF(AND(NOT(I19=""),NOT(ISNUMBER(I19))),"ERROR","")),"ERROR",IF(AND(NOT(I19=""),NOT(ISNUMBER(I19))),"ERROR",""))</f>
        <v/>
      </c>
      <c r="K19" s="445" t="s">
        <v>68</v>
      </c>
      <c r="L19" s="446"/>
      <c r="M19" s="415" t="str">
        <f>IF(ISERROR(IF(AND(NOT(L19=""),NOT(ISNUMBER(L19))),"ERROR","")),"ERROR",IF(AND(NOT(L19=""),NOT(ISNUMBER(L19))),"ERROR",""))</f>
        <v/>
      </c>
      <c r="S19" s="422"/>
    </row>
    <row r="20" spans="1:29">
      <c r="A20" s="411" t="e">
        <f t="shared" si="1"/>
        <v>#VALUE!</v>
      </c>
      <c r="B20" s="416"/>
      <c r="C20" s="429" t="s">
        <v>2130</v>
      </c>
      <c r="D20" s="448" t="e">
        <f t="shared" si="5"/>
        <v>#VALUE!</v>
      </c>
      <c r="E20" s="419" t="s">
        <v>2131</v>
      </c>
      <c r="I20" s="431"/>
      <c r="L20" s="431"/>
      <c r="S20" s="422"/>
    </row>
    <row r="21" spans="1:29">
      <c r="A21" s="411" t="e">
        <f t="shared" si="1"/>
        <v>#VALUE!</v>
      </c>
      <c r="B21" s="412"/>
      <c r="C21" s="426"/>
      <c r="D21" s="449"/>
      <c r="E21" s="428"/>
      <c r="H21" s="450" t="str">
        <f>$C$10</f>
        <v/>
      </c>
      <c r="I21" s="447"/>
      <c r="M21" s="451" t="s">
        <v>2132</v>
      </c>
      <c r="N21" s="452"/>
      <c r="O21" s="415" t="str">
        <f>IF(OR(N21="",N21="x"),"","ERROR")</f>
        <v/>
      </c>
      <c r="S21" s="422"/>
    </row>
    <row r="22" spans="1:29">
      <c r="A22" s="411" t="e">
        <f t="shared" si="1"/>
        <v>#VALUE!</v>
      </c>
      <c r="B22" s="1037" t="s">
        <v>2133</v>
      </c>
      <c r="C22" s="1037"/>
      <c r="D22" s="1037"/>
      <c r="E22" s="1037"/>
      <c r="N22" s="580"/>
      <c r="Q22" s="396"/>
      <c r="R22" s="396"/>
      <c r="S22" s="396"/>
      <c r="T22" s="396"/>
      <c r="U22" s="396"/>
      <c r="V22" s="396"/>
      <c r="W22" s="396"/>
      <c r="X22" s="396"/>
      <c r="Y22" s="396"/>
      <c r="Z22" s="396"/>
      <c r="AA22" s="396"/>
      <c r="AB22" s="396"/>
      <c r="AC22" s="396"/>
    </row>
    <row r="23" spans="1:29" ht="15" thickBot="1">
      <c r="A23" s="411" t="e">
        <f t="shared" si="1"/>
        <v>#VALUE!</v>
      </c>
      <c r="B23" s="416"/>
      <c r="C23" s="417" t="s">
        <v>2134</v>
      </c>
      <c r="D23" s="448" t="e">
        <f t="shared" ref="D23:D24" si="6">VLOOKUP(A23,$B$70:$C$127,2,FALSE)</f>
        <v>#VALUE!</v>
      </c>
      <c r="E23" s="419"/>
      <c r="Q23" s="396"/>
      <c r="R23" s="396"/>
      <c r="S23" s="396"/>
      <c r="T23" s="396"/>
      <c r="U23" s="396"/>
      <c r="V23" s="396"/>
      <c r="W23" s="396"/>
      <c r="X23" s="396"/>
      <c r="Y23" s="396"/>
      <c r="Z23" s="396"/>
      <c r="AA23" s="396"/>
      <c r="AB23" s="396"/>
      <c r="AC23" s="396"/>
    </row>
    <row r="24" spans="1:29" ht="15" thickBot="1">
      <c r="A24" s="411" t="e">
        <f t="shared" si="1"/>
        <v>#VALUE!</v>
      </c>
      <c r="B24" s="416"/>
      <c r="C24" s="417" t="s">
        <v>2135</v>
      </c>
      <c r="D24" s="448" t="e">
        <f t="shared" si="6"/>
        <v>#VALUE!</v>
      </c>
      <c r="E24" s="419"/>
      <c r="H24" s="453" t="s">
        <v>2136</v>
      </c>
      <c r="I24" s="454">
        <f>K109</f>
        <v>0</v>
      </c>
      <c r="J24" s="455"/>
      <c r="K24" s="455"/>
      <c r="L24" s="455"/>
      <c r="M24" s="456" t="s">
        <v>2137</v>
      </c>
      <c r="N24" s="457"/>
      <c r="O24" s="458" t="str">
        <f>IF(N24="","",IF(ISERROR(VLOOKUP(N24,X153:X206,1,FALSE)),"ERROR",""))</f>
        <v/>
      </c>
      <c r="P24" s="459"/>
      <c r="Q24" s="396"/>
      <c r="R24" s="396"/>
      <c r="S24" s="396"/>
      <c r="T24" s="396"/>
      <c r="U24" s="396"/>
      <c r="V24" s="396"/>
      <c r="W24" s="396"/>
      <c r="X24" s="396"/>
      <c r="Y24" s="396"/>
      <c r="Z24" s="396"/>
      <c r="AA24" s="396"/>
      <c r="AB24" s="396"/>
      <c r="AC24" s="396"/>
    </row>
    <row r="25" spans="1:29" ht="15" thickBot="1">
      <c r="A25" s="411" t="e">
        <f t="shared" si="1"/>
        <v>#VALUE!</v>
      </c>
      <c r="B25" s="416"/>
      <c r="C25" s="417"/>
      <c r="D25" s="437" t="s">
        <v>9</v>
      </c>
      <c r="E25" s="419"/>
      <c r="H25" s="460" t="s">
        <v>2138</v>
      </c>
      <c r="I25" s="461">
        <f>K110</f>
        <v>0</v>
      </c>
      <c r="J25" s="462"/>
      <c r="K25" s="462"/>
      <c r="L25" s="462"/>
      <c r="M25" s="463" t="s">
        <v>2139</v>
      </c>
      <c r="N25" s="464"/>
      <c r="O25" s="462"/>
      <c r="P25" s="459"/>
      <c r="Q25" s="396"/>
      <c r="R25" s="396"/>
      <c r="S25" s="396"/>
      <c r="T25" s="396"/>
      <c r="U25" s="396"/>
      <c r="V25" s="396"/>
      <c r="W25" s="396"/>
      <c r="X25" s="396"/>
      <c r="Y25" s="396"/>
      <c r="Z25" s="396"/>
      <c r="AA25" s="396"/>
      <c r="AB25" s="396"/>
      <c r="AC25" s="396"/>
    </row>
    <row r="26" spans="1:29" ht="15" thickBot="1">
      <c r="A26" s="411" t="e">
        <f t="shared" si="1"/>
        <v>#VALUE!</v>
      </c>
      <c r="B26" s="412"/>
      <c r="C26" s="433" t="str">
        <f>$C$10</f>
        <v/>
      </c>
      <c r="D26" s="465"/>
      <c r="E26" s="435"/>
      <c r="H26" s="466" t="s">
        <v>2140</v>
      </c>
      <c r="I26" s="467">
        <f>K111</f>
        <v>0</v>
      </c>
      <c r="J26" s="462"/>
      <c r="K26" s="462"/>
      <c r="L26" s="462"/>
      <c r="M26" s="463" t="s">
        <v>2141</v>
      </c>
      <c r="N26" s="468">
        <f>COUNTIF(H1:P22,"ERROR")</f>
        <v>0</v>
      </c>
      <c r="O26" s="462"/>
      <c r="P26" s="459"/>
      <c r="Q26" s="396"/>
      <c r="R26" s="396"/>
      <c r="S26" s="396"/>
      <c r="T26" s="396"/>
      <c r="U26" s="396"/>
      <c r="V26" s="396"/>
      <c r="W26" s="396"/>
      <c r="X26" s="396"/>
      <c r="Y26" s="396"/>
      <c r="Z26" s="396"/>
      <c r="AA26" s="396"/>
      <c r="AB26" s="396"/>
      <c r="AC26" s="396"/>
    </row>
    <row r="27" spans="1:29">
      <c r="A27" s="411" t="e">
        <f t="shared" si="1"/>
        <v>#VALUE!</v>
      </c>
      <c r="B27" s="1039" t="s">
        <v>2142</v>
      </c>
      <c r="C27" s="1039"/>
      <c r="D27" s="1039"/>
      <c r="E27" s="1039"/>
      <c r="H27" s="469"/>
      <c r="I27" s="462"/>
      <c r="J27" s="462"/>
      <c r="K27" s="462"/>
      <c r="L27" s="462"/>
      <c r="M27" s="462"/>
      <c r="N27" s="462"/>
      <c r="O27" s="462"/>
      <c r="P27" s="459"/>
      <c r="Q27" s="396"/>
      <c r="R27" s="396"/>
      <c r="S27" s="396"/>
      <c r="T27" s="396"/>
      <c r="U27" s="396"/>
      <c r="V27" s="396"/>
      <c r="W27" s="396"/>
      <c r="X27" s="396"/>
      <c r="Y27" s="396"/>
      <c r="Z27" s="396"/>
      <c r="AA27" s="396"/>
      <c r="AB27" s="396"/>
      <c r="AC27" s="396"/>
    </row>
    <row r="28" spans="1:29" ht="15" thickBot="1">
      <c r="A28" s="411" t="e">
        <f t="shared" si="1"/>
        <v>#VALUE!</v>
      </c>
      <c r="B28" s="416"/>
      <c r="C28" s="417" t="s">
        <v>10</v>
      </c>
      <c r="D28" s="430" t="e">
        <f t="shared" ref="D28:D32" si="7">VLOOKUP(A28,$B$70:$C$127,2,FALSE)</f>
        <v>#VALUE!</v>
      </c>
      <c r="E28" s="419"/>
      <c r="H28" s="459"/>
      <c r="I28" s="833" t="s">
        <v>3951</v>
      </c>
      <c r="J28" s="459"/>
      <c r="K28" s="459"/>
      <c r="L28" s="459"/>
      <c r="M28" s="459"/>
      <c r="N28" s="459"/>
      <c r="O28" s="459"/>
      <c r="P28" s="459"/>
      <c r="Q28" s="396"/>
      <c r="R28" s="396"/>
      <c r="S28" s="396"/>
      <c r="T28" s="396"/>
      <c r="U28" s="396"/>
      <c r="V28" s="396"/>
      <c r="W28" s="396"/>
      <c r="X28" s="396"/>
      <c r="Y28" s="396"/>
      <c r="Z28" s="396"/>
      <c r="AA28" s="396"/>
      <c r="AB28" s="396"/>
      <c r="AC28" s="396"/>
    </row>
    <row r="29" spans="1:29">
      <c r="A29" s="411" t="e">
        <f t="shared" si="1"/>
        <v>#VALUE!</v>
      </c>
      <c r="B29" s="416"/>
      <c r="C29" s="417" t="s">
        <v>11</v>
      </c>
      <c r="D29" s="430" t="e">
        <f t="shared" si="7"/>
        <v>#VALUE!</v>
      </c>
      <c r="E29" s="419"/>
      <c r="G29" s="470">
        <v>1</v>
      </c>
      <c r="H29" s="459"/>
      <c r="I29" s="471" t="s">
        <v>2143</v>
      </c>
      <c r="J29" s="1026" t="str">
        <f>IF(AND(NOT(N24=""),O24=""),CONCATENATE(VLOOKUP(N24,$AG$153:$AM$206,2,FALSE)," = ",TEXT(VLOOKUP(N24,$AG$153:$AM$206,4,FALSE),IF(OR(N24=46,N24=47,N24=48,N24=54),"0,0000","#.##0"))),"")</f>
        <v/>
      </c>
      <c r="K29" s="1026"/>
      <c r="L29" s="1026"/>
      <c r="M29" s="1026"/>
      <c r="N29" s="1026"/>
      <c r="O29" s="1026"/>
      <c r="P29" s="1027"/>
      <c r="Q29" s="396"/>
      <c r="R29" s="396"/>
      <c r="S29" s="396"/>
      <c r="T29" s="396"/>
      <c r="U29" s="396"/>
      <c r="V29" s="396"/>
      <c r="W29" s="396"/>
      <c r="X29" s="396"/>
      <c r="Y29" s="396"/>
      <c r="Z29" s="396"/>
      <c r="AA29" s="396"/>
      <c r="AB29" s="396"/>
      <c r="AC29" s="396"/>
    </row>
    <row r="30" spans="1:29">
      <c r="A30" s="411" t="e">
        <f t="shared" si="1"/>
        <v>#VALUE!</v>
      </c>
      <c r="B30" s="416"/>
      <c r="C30" s="417" t="s">
        <v>12</v>
      </c>
      <c r="D30" s="448" t="e">
        <f t="shared" si="7"/>
        <v>#VALUE!</v>
      </c>
      <c r="E30" s="419"/>
      <c r="G30" s="470">
        <v>1.5</v>
      </c>
      <c r="H30" s="472"/>
      <c r="I30" s="1028" t="s">
        <v>2144</v>
      </c>
      <c r="J30" s="1029" t="str">
        <f>IF(AND(NOT(N24=""),O24=""),VLOOKUP(N24,$AG$153:$AM$206,3,FALSE),"")</f>
        <v/>
      </c>
      <c r="K30" s="1029"/>
      <c r="L30" s="1029"/>
      <c r="M30" s="1029"/>
      <c r="N30" s="1029"/>
      <c r="O30" s="1029"/>
      <c r="P30" s="1030"/>
      <c r="Q30" s="396"/>
      <c r="R30" s="396"/>
      <c r="S30" s="396"/>
      <c r="T30" s="396"/>
      <c r="U30" s="396"/>
      <c r="V30" s="396"/>
      <c r="W30" s="396"/>
      <c r="X30" s="396"/>
      <c r="Y30" s="396"/>
      <c r="Z30" s="396"/>
      <c r="AA30" s="396"/>
      <c r="AB30" s="396"/>
      <c r="AC30" s="396"/>
    </row>
    <row r="31" spans="1:29">
      <c r="A31" s="411" t="e">
        <f t="shared" si="1"/>
        <v>#VALUE!</v>
      </c>
      <c r="B31" s="416"/>
      <c r="C31" s="419" t="s">
        <v>2</v>
      </c>
      <c r="D31" s="430" t="e">
        <f t="shared" si="7"/>
        <v>#VALUE!</v>
      </c>
      <c r="E31" s="419"/>
      <c r="G31" s="470">
        <v>1.5</v>
      </c>
      <c r="H31" s="469"/>
      <c r="I31" s="1028"/>
      <c r="J31" s="1029"/>
      <c r="K31" s="1029"/>
      <c r="L31" s="1029"/>
      <c r="M31" s="1029"/>
      <c r="N31" s="1029"/>
      <c r="O31" s="1029"/>
      <c r="P31" s="1030"/>
      <c r="Q31" s="396"/>
      <c r="R31" s="396"/>
      <c r="S31" s="396"/>
      <c r="T31" s="396"/>
      <c r="U31" s="396"/>
      <c r="V31" s="396"/>
      <c r="W31" s="396"/>
      <c r="X31" s="396"/>
      <c r="Y31" s="396"/>
      <c r="Z31" s="396"/>
      <c r="AA31" s="396"/>
      <c r="AB31" s="396"/>
      <c r="AC31" s="396"/>
    </row>
    <row r="32" spans="1:29">
      <c r="A32" s="411" t="e">
        <f t="shared" si="1"/>
        <v>#VALUE!</v>
      </c>
      <c r="B32" s="416"/>
      <c r="C32" s="419" t="s">
        <v>3</v>
      </c>
      <c r="D32" s="430" t="e">
        <f t="shared" si="7"/>
        <v>#VALUE!</v>
      </c>
      <c r="E32" s="419"/>
      <c r="G32" s="470">
        <v>1</v>
      </c>
      <c r="H32" s="469"/>
      <c r="I32" s="1031" t="s">
        <v>2145</v>
      </c>
      <c r="J32" s="1033" t="str">
        <f>IF(AND(NOT(N24=""),O24=""),VLOOKUP(N24,$AG$153:$AM$206,6,FALSE),"")</f>
        <v/>
      </c>
      <c r="K32" s="1033"/>
      <c r="L32" s="1033"/>
      <c r="M32" s="1033"/>
      <c r="N32" s="1033"/>
      <c r="O32" s="1033"/>
      <c r="P32" s="1034"/>
      <c r="Q32" s="396"/>
      <c r="R32" s="396"/>
      <c r="S32" s="396"/>
      <c r="T32" s="396"/>
      <c r="U32" s="396"/>
      <c r="V32" s="396"/>
      <c r="W32" s="396"/>
      <c r="X32" s="396"/>
      <c r="Y32" s="396"/>
      <c r="Z32" s="396"/>
      <c r="AA32" s="396"/>
      <c r="AB32" s="396"/>
      <c r="AC32" s="396"/>
    </row>
    <row r="33" spans="1:29" ht="15" thickBot="1">
      <c r="A33" s="411" t="e">
        <f t="shared" si="1"/>
        <v>#VALUE!</v>
      </c>
      <c r="B33" s="412"/>
      <c r="C33" s="428"/>
      <c r="D33" s="473"/>
      <c r="E33" s="428"/>
      <c r="G33" s="470">
        <v>1</v>
      </c>
      <c r="H33" s="469"/>
      <c r="I33" s="1032"/>
      <c r="J33" s="1035"/>
      <c r="K33" s="1035"/>
      <c r="L33" s="1035"/>
      <c r="M33" s="1035"/>
      <c r="N33" s="1035"/>
      <c r="O33" s="1035"/>
      <c r="P33" s="1036"/>
      <c r="Q33" s="396"/>
      <c r="R33" s="396"/>
      <c r="S33" s="396"/>
      <c r="T33" s="396"/>
      <c r="U33" s="396"/>
      <c r="V33" s="396"/>
      <c r="W33" s="396"/>
      <c r="X33" s="396"/>
      <c r="Y33" s="396"/>
      <c r="Z33" s="396"/>
      <c r="AA33" s="396"/>
      <c r="AB33" s="396"/>
      <c r="AC33" s="396"/>
    </row>
    <row r="34" spans="1:29" ht="15" thickBot="1">
      <c r="A34" s="411" t="e">
        <f t="shared" si="1"/>
        <v>#VALUE!</v>
      </c>
      <c r="B34" s="1037" t="s">
        <v>2146</v>
      </c>
      <c r="C34" s="1037"/>
      <c r="D34" s="1037"/>
      <c r="E34" s="1037"/>
      <c r="G34" s="470">
        <v>0.5</v>
      </c>
      <c r="H34" s="469"/>
      <c r="I34" s="474"/>
      <c r="J34" s="475"/>
      <c r="K34" s="462"/>
      <c r="L34" s="462"/>
      <c r="M34" s="462"/>
      <c r="N34" s="462"/>
      <c r="O34" s="469"/>
      <c r="P34" s="462"/>
      <c r="Q34" s="396"/>
      <c r="R34" s="396"/>
      <c r="S34" s="396"/>
      <c r="T34" s="396"/>
      <c r="U34" s="396"/>
      <c r="V34" s="396"/>
      <c r="W34" s="396"/>
      <c r="X34" s="396"/>
      <c r="Y34" s="396"/>
      <c r="Z34" s="396"/>
      <c r="AA34" s="396"/>
      <c r="AB34" s="396"/>
      <c r="AC34" s="396"/>
    </row>
    <row r="35" spans="1:29">
      <c r="A35" s="411" t="e">
        <f t="shared" si="1"/>
        <v>#VALUE!</v>
      </c>
      <c r="B35" s="416"/>
      <c r="C35" s="419" t="s">
        <v>2081</v>
      </c>
      <c r="D35" s="448" t="e">
        <f t="shared" ref="D35:D38" si="8">VLOOKUP(A35,$B$70:$C$127,2,FALSE)</f>
        <v>#VALUE!</v>
      </c>
      <c r="E35" s="419"/>
      <c r="G35" s="470">
        <v>0.5</v>
      </c>
      <c r="H35" s="459"/>
      <c r="I35" s="1002" t="s">
        <v>2147</v>
      </c>
      <c r="J35" s="1005" t="str">
        <f>IF(AND(NOT(N24=""),O24=""),VLOOKUP(N24,$AG$153:$AM$206,7,FALSE),"")</f>
        <v/>
      </c>
      <c r="K35" s="1005"/>
      <c r="L35" s="1005"/>
      <c r="M35" s="1005"/>
      <c r="N35" s="1005"/>
      <c r="O35" s="1005"/>
      <c r="P35" s="1006"/>
      <c r="Q35" s="396"/>
      <c r="R35" s="396"/>
      <c r="S35" s="396"/>
      <c r="T35" s="396"/>
      <c r="U35" s="396"/>
      <c r="V35" s="396"/>
      <c r="W35" s="396"/>
      <c r="X35" s="396"/>
      <c r="Y35" s="396"/>
      <c r="Z35" s="396"/>
      <c r="AA35" s="396"/>
      <c r="AB35" s="396"/>
      <c r="AC35" s="396"/>
    </row>
    <row r="36" spans="1:29">
      <c r="A36" s="411" t="e">
        <f t="shared" si="1"/>
        <v>#VALUE!</v>
      </c>
      <c r="B36" s="416"/>
      <c r="C36" s="419" t="s">
        <v>2082</v>
      </c>
      <c r="D36" s="448" t="e">
        <f t="shared" si="8"/>
        <v>#VALUE!</v>
      </c>
      <c r="E36" s="419"/>
      <c r="G36" s="470">
        <v>1</v>
      </c>
      <c r="H36" s="459"/>
      <c r="I36" s="1003"/>
      <c r="J36" s="1007"/>
      <c r="K36" s="1007"/>
      <c r="L36" s="1007"/>
      <c r="M36" s="1007"/>
      <c r="N36" s="1007"/>
      <c r="O36" s="1007"/>
      <c r="P36" s="1008"/>
      <c r="Q36" s="396"/>
      <c r="R36" s="396"/>
      <c r="S36" s="396"/>
      <c r="T36" s="396"/>
      <c r="U36" s="396"/>
      <c r="V36" s="396"/>
      <c r="W36" s="396"/>
      <c r="X36" s="396"/>
      <c r="Y36" s="396"/>
      <c r="Z36" s="396"/>
      <c r="AA36" s="396"/>
      <c r="AB36" s="396"/>
      <c r="AC36" s="396"/>
    </row>
    <row r="37" spans="1:29">
      <c r="A37" s="411" t="e">
        <f t="shared" si="1"/>
        <v>#VALUE!</v>
      </c>
      <c r="B37" s="416"/>
      <c r="C37" s="419" t="s">
        <v>2083</v>
      </c>
      <c r="D37" s="448" t="e">
        <f t="shared" si="8"/>
        <v>#VALUE!</v>
      </c>
      <c r="E37" s="419"/>
      <c r="G37" s="470">
        <v>0.5</v>
      </c>
      <c r="H37" s="476"/>
      <c r="I37" s="1003"/>
      <c r="J37" s="1007"/>
      <c r="K37" s="1007"/>
      <c r="L37" s="1007"/>
      <c r="M37" s="1007"/>
      <c r="N37" s="1007"/>
      <c r="O37" s="1007"/>
      <c r="P37" s="1008"/>
      <c r="Q37" s="396"/>
      <c r="R37" s="396"/>
      <c r="S37" s="396"/>
      <c r="T37" s="396"/>
      <c r="U37" s="396"/>
      <c r="V37" s="396"/>
      <c r="W37" s="396"/>
      <c r="X37" s="396"/>
      <c r="Y37" s="396"/>
      <c r="Z37" s="396"/>
      <c r="AA37" s="396"/>
      <c r="AB37" s="396"/>
      <c r="AC37" s="396"/>
    </row>
    <row r="38" spans="1:29">
      <c r="A38" s="411" t="e">
        <f t="shared" si="1"/>
        <v>#VALUE!</v>
      </c>
      <c r="B38" s="416"/>
      <c r="C38" s="419" t="s">
        <v>2084</v>
      </c>
      <c r="D38" s="448" t="e">
        <f t="shared" si="8"/>
        <v>#VALUE!</v>
      </c>
      <c r="E38" s="419"/>
      <c r="G38" s="470">
        <v>0.5</v>
      </c>
      <c r="H38" s="476"/>
      <c r="I38" s="1003"/>
      <c r="J38" s="1007"/>
      <c r="K38" s="1007"/>
      <c r="L38" s="1007"/>
      <c r="M38" s="1007"/>
      <c r="N38" s="1007"/>
      <c r="O38" s="1007"/>
      <c r="P38" s="1008"/>
      <c r="Q38" s="396"/>
      <c r="R38" s="396"/>
      <c r="S38" s="396"/>
      <c r="T38" s="396"/>
      <c r="U38" s="396"/>
      <c r="V38" s="396"/>
      <c r="W38" s="396"/>
      <c r="X38" s="396"/>
      <c r="Y38" s="396"/>
      <c r="Z38" s="396"/>
      <c r="AA38" s="396"/>
      <c r="AB38" s="396"/>
      <c r="AC38" s="396"/>
    </row>
    <row r="39" spans="1:29">
      <c r="B39" s="412"/>
      <c r="C39" s="412"/>
      <c r="D39" s="412"/>
      <c r="E39" s="412"/>
      <c r="G39" s="470">
        <v>1</v>
      </c>
      <c r="H39" s="476"/>
      <c r="I39" s="1003"/>
      <c r="J39" s="1007"/>
      <c r="K39" s="1007"/>
      <c r="L39" s="1007"/>
      <c r="M39" s="1007"/>
      <c r="N39" s="1007"/>
      <c r="O39" s="1007"/>
      <c r="P39" s="1008"/>
      <c r="Q39" s="396"/>
      <c r="R39" s="396"/>
      <c r="S39" s="396"/>
      <c r="T39" s="396"/>
      <c r="U39" s="396"/>
      <c r="V39" s="396"/>
      <c r="W39" s="396"/>
      <c r="X39" s="396"/>
      <c r="Y39" s="396"/>
      <c r="Z39" s="396"/>
      <c r="AA39" s="396"/>
      <c r="AB39" s="396"/>
      <c r="AC39" s="396"/>
    </row>
    <row r="40" spans="1:29" ht="15" thickBot="1">
      <c r="B40" s="412"/>
      <c r="C40" s="477" t="str">
        <f>$C$10</f>
        <v/>
      </c>
      <c r="D40" s="477"/>
      <c r="E40" s="477"/>
      <c r="G40" s="470">
        <f>SUM(G29:G39)</f>
        <v>10</v>
      </c>
      <c r="H40" s="476"/>
      <c r="I40" s="1004"/>
      <c r="J40" s="1009"/>
      <c r="K40" s="1009"/>
      <c r="L40" s="1009"/>
      <c r="M40" s="1009"/>
      <c r="N40" s="1009"/>
      <c r="O40" s="1009"/>
      <c r="P40" s="1010"/>
      <c r="Q40" s="396"/>
      <c r="R40" s="396"/>
      <c r="S40" s="396"/>
      <c r="T40" s="396"/>
      <c r="U40" s="396"/>
      <c r="V40" s="396"/>
      <c r="W40" s="396"/>
      <c r="X40" s="396"/>
      <c r="Y40" s="396"/>
      <c r="Z40" s="396"/>
      <c r="AA40" s="396"/>
      <c r="AB40" s="396"/>
      <c r="AC40" s="396"/>
    </row>
    <row r="41" spans="1:29" ht="15" thickBot="1">
      <c r="Q41" s="396"/>
      <c r="R41" s="396"/>
      <c r="S41" s="396"/>
      <c r="T41" s="396"/>
      <c r="U41" s="396"/>
      <c r="V41" s="396"/>
      <c r="W41" s="396"/>
      <c r="X41" s="396"/>
      <c r="Y41" s="396"/>
      <c r="Z41" s="396"/>
      <c r="AA41" s="396"/>
      <c r="AB41" s="396"/>
      <c r="AC41" s="396"/>
    </row>
    <row r="42" spans="1:29">
      <c r="B42" s="478"/>
      <c r="C42" s="479" t="s">
        <v>128</v>
      </c>
      <c r="D42" s="480"/>
      <c r="E42" s="480"/>
      <c r="F42" s="480"/>
      <c r="G42" s="480"/>
      <c r="H42" s="481"/>
      <c r="M42" s="456" t="e">
        <f>CONCATENATE("Indique código de la consulta general (1 a ",$AG$219,") ")</f>
        <v>#VALUE!</v>
      </c>
      <c r="N42" s="457"/>
      <c r="O42" s="458" t="str">
        <f>IF(N42="","",IF(ISERROR(VLOOKUP(N42,$AG$208:$AG$219,1,FALSE)),"ERROR",""))</f>
        <v/>
      </c>
    </row>
    <row r="43" spans="1:29" ht="15" thickBot="1">
      <c r="C43" s="482"/>
      <c r="D43" s="483"/>
      <c r="E43" s="483"/>
      <c r="F43" s="484" t="s">
        <v>129</v>
      </c>
      <c r="G43" s="485">
        <f>COUNTIF(I102,"CORRECTO")/1*G29</f>
        <v>0</v>
      </c>
      <c r="H43" s="486" t="str">
        <f t="shared" ref="H43:H54" si="9">CONCATENATE("(sobre ",G29,")")</f>
        <v>(sobre 1)</v>
      </c>
      <c r="N43" s="487"/>
    </row>
    <row r="44" spans="1:29" ht="15" customHeight="1">
      <c r="C44" s="482"/>
      <c r="D44" s="483"/>
      <c r="E44" s="483"/>
      <c r="F44" s="484" t="s">
        <v>138</v>
      </c>
      <c r="G44" s="485">
        <f>COUNTIF(I90:O92,"CORRECTO")/21*G30</f>
        <v>0</v>
      </c>
      <c r="H44" s="486" t="str">
        <f t="shared" si="9"/>
        <v>(sobre 1,5)</v>
      </c>
      <c r="J44" s="1011" t="str">
        <f>IF(AND(NOT(N42=""),O42=""),VLOOKUP(N42,$AG$208:$AI$219,2,FALSE),"")</f>
        <v/>
      </c>
      <c r="K44" s="1012"/>
      <c r="L44" s="1012"/>
      <c r="M44" s="1012"/>
      <c r="N44" s="1012"/>
      <c r="O44" s="1012"/>
      <c r="P44" s="1013"/>
    </row>
    <row r="45" spans="1:29" ht="15" thickBot="1">
      <c r="C45" s="482"/>
      <c r="D45" s="483"/>
      <c r="E45" s="483"/>
      <c r="F45" s="484" t="s">
        <v>130</v>
      </c>
      <c r="G45" s="485">
        <f>COUNTIF(I96:M99,"CORRECTO")/20*G31</f>
        <v>0</v>
      </c>
      <c r="H45" s="486" t="str">
        <f t="shared" si="9"/>
        <v>(sobre 1,5)</v>
      </c>
      <c r="J45" s="1014"/>
      <c r="K45" s="1015"/>
      <c r="L45" s="1015"/>
      <c r="M45" s="1015"/>
      <c r="N45" s="1015"/>
      <c r="O45" s="1015"/>
      <c r="P45" s="1016"/>
    </row>
    <row r="46" spans="1:29" ht="15" thickBot="1">
      <c r="C46" s="482"/>
      <c r="D46" s="483"/>
      <c r="E46" s="483"/>
      <c r="F46" s="484" t="s">
        <v>131</v>
      </c>
      <c r="G46" s="485">
        <f>COUNTIF(I103:I105,"CORRECTO")/3*G32</f>
        <v>0</v>
      </c>
      <c r="H46" s="486" t="str">
        <f t="shared" si="9"/>
        <v>(sobre 1)</v>
      </c>
      <c r="J46" s="488"/>
      <c r="K46" s="488"/>
      <c r="L46" s="488"/>
      <c r="M46" s="488"/>
      <c r="N46" s="488"/>
      <c r="O46" s="488"/>
      <c r="P46" s="488"/>
    </row>
    <row r="47" spans="1:29">
      <c r="C47" s="489"/>
      <c r="D47" s="490"/>
      <c r="E47" s="490"/>
      <c r="F47" s="484" t="s">
        <v>132</v>
      </c>
      <c r="G47" s="485">
        <f>COUNTIF(P96:P99,"CORRECTO")/4*G33</f>
        <v>0</v>
      </c>
      <c r="H47" s="486" t="str">
        <f t="shared" si="9"/>
        <v>(sobre 1)</v>
      </c>
      <c r="J47" s="1017" t="str">
        <f>IF(AND(NOT(N42=""),O42=""),VLOOKUP(N42,$AG$208:$AI$219,3,FALSE),"")</f>
        <v/>
      </c>
      <c r="K47" s="1018"/>
      <c r="L47" s="1018"/>
      <c r="M47" s="1018"/>
      <c r="N47" s="1018"/>
      <c r="O47" s="1018"/>
      <c r="P47" s="1019"/>
    </row>
    <row r="48" spans="1:29">
      <c r="C48" s="482"/>
      <c r="D48" s="483"/>
      <c r="E48" s="483"/>
      <c r="F48" s="484" t="s">
        <v>133</v>
      </c>
      <c r="G48" s="485">
        <f>COUNTIF(L103,"CORRECTO")*G34</f>
        <v>0</v>
      </c>
      <c r="H48" s="486" t="str">
        <f t="shared" si="9"/>
        <v>(sobre 0,5)</v>
      </c>
      <c r="J48" s="1020"/>
      <c r="K48" s="1021"/>
      <c r="L48" s="1021"/>
      <c r="M48" s="1021"/>
      <c r="N48" s="1021"/>
      <c r="O48" s="1021"/>
      <c r="P48" s="1022"/>
    </row>
    <row r="49" spans="3:17">
      <c r="C49" s="482"/>
      <c r="D49" s="483"/>
      <c r="E49" s="483"/>
      <c r="F49" s="484" t="s">
        <v>134</v>
      </c>
      <c r="G49" s="485">
        <f>COUNTIF(L104,"CORRECTO")*G35</f>
        <v>0</v>
      </c>
      <c r="H49" s="486" t="str">
        <f t="shared" si="9"/>
        <v>(sobre 0,5)</v>
      </c>
      <c r="J49" s="1020"/>
      <c r="K49" s="1021"/>
      <c r="L49" s="1021"/>
      <c r="M49" s="1021"/>
      <c r="N49" s="1021"/>
      <c r="O49" s="1021"/>
      <c r="P49" s="1022"/>
    </row>
    <row r="50" spans="3:17">
      <c r="C50" s="482"/>
      <c r="D50" s="483"/>
      <c r="E50" s="483"/>
      <c r="F50" s="484" t="s">
        <v>135</v>
      </c>
      <c r="G50" s="485">
        <f>COUNTIF(L105,"CORRECTO")*G36</f>
        <v>0</v>
      </c>
      <c r="H50" s="486" t="str">
        <f t="shared" si="9"/>
        <v>(sobre 1)</v>
      </c>
      <c r="J50" s="1020"/>
      <c r="K50" s="1021"/>
      <c r="L50" s="1021"/>
      <c r="M50" s="1021"/>
      <c r="N50" s="1021"/>
      <c r="O50" s="1021"/>
      <c r="P50" s="1022"/>
    </row>
    <row r="51" spans="3:17">
      <c r="C51" s="482"/>
      <c r="D51" s="483"/>
      <c r="E51" s="483"/>
      <c r="F51" s="484" t="s">
        <v>13</v>
      </c>
      <c r="G51" s="485">
        <f>COUNTIF(P101,"CORRECTO")*G37</f>
        <v>0</v>
      </c>
      <c r="H51" s="486" t="str">
        <f t="shared" si="9"/>
        <v>(sobre 0,5)</v>
      </c>
      <c r="J51" s="1020"/>
      <c r="K51" s="1021"/>
      <c r="L51" s="1021"/>
      <c r="M51" s="1021"/>
      <c r="N51" s="1021"/>
      <c r="O51" s="1021"/>
      <c r="P51" s="1022"/>
    </row>
    <row r="52" spans="3:17">
      <c r="C52" s="482"/>
      <c r="D52" s="483"/>
      <c r="E52" s="483"/>
      <c r="F52" s="484" t="s">
        <v>28</v>
      </c>
      <c r="G52" s="485">
        <f>COUNTIF(P102,"CORRECTO")*G38</f>
        <v>0</v>
      </c>
      <c r="H52" s="486" t="str">
        <f t="shared" si="9"/>
        <v>(sobre 0,5)</v>
      </c>
      <c r="J52" s="1020"/>
      <c r="K52" s="1021"/>
      <c r="L52" s="1021"/>
      <c r="M52" s="1021"/>
      <c r="N52" s="1021"/>
      <c r="O52" s="1021"/>
      <c r="P52" s="1022"/>
    </row>
    <row r="53" spans="3:17" ht="15" thickBot="1">
      <c r="C53" s="482"/>
      <c r="D53" s="483"/>
      <c r="E53" s="483"/>
      <c r="F53" s="484" t="s">
        <v>136</v>
      </c>
      <c r="G53" s="485" t="e">
        <f>IF(OR(AND(P15&gt;0,P82&gt;0),AND(P15&lt;0,P82&lt;0),AND(P15=0,P82=0)),1*G39,0)</f>
        <v>#VALUE!</v>
      </c>
      <c r="H53" s="486" t="str">
        <f t="shared" si="9"/>
        <v>(sobre 1)</v>
      </c>
      <c r="J53" s="1023"/>
      <c r="K53" s="1024"/>
      <c r="L53" s="1024"/>
      <c r="M53" s="1024"/>
      <c r="N53" s="1024"/>
      <c r="O53" s="1024"/>
      <c r="P53" s="1025"/>
    </row>
    <row r="54" spans="3:17" ht="15" thickBot="1">
      <c r="C54" s="491"/>
      <c r="D54" s="492"/>
      <c r="E54" s="492"/>
      <c r="F54" s="493" t="s">
        <v>137</v>
      </c>
      <c r="G54" s="494" t="e">
        <f>SUM(G43:G53)</f>
        <v>#VALUE!</v>
      </c>
      <c r="H54" s="495" t="str">
        <f t="shared" si="9"/>
        <v>(sobre 10)</v>
      </c>
    </row>
    <row r="55" spans="3:17">
      <c r="Q55" s="422"/>
    </row>
    <row r="56" spans="3:17">
      <c r="Q56" s="422"/>
    </row>
    <row r="57" spans="3:17">
      <c r="Q57" s="422"/>
    </row>
    <row r="58" spans="3:17">
      <c r="Q58" s="422"/>
    </row>
    <row r="59" spans="3:17">
      <c r="Q59" s="422"/>
    </row>
    <row r="60" spans="3:17">
      <c r="Q60" s="422"/>
    </row>
    <row r="61" spans="3:17">
      <c r="Q61" s="422"/>
    </row>
    <row r="62" spans="3:17">
      <c r="Q62" s="422"/>
    </row>
    <row r="63" spans="3:17">
      <c r="Q63" s="422"/>
    </row>
    <row r="64" spans="3:17">
      <c r="Q64" s="422"/>
    </row>
    <row r="65" spans="2:17">
      <c r="Q65" s="422"/>
    </row>
    <row r="66" spans="2:17" s="496" customFormat="1" ht="15" customHeight="1">
      <c r="Q66" s="497"/>
    </row>
    <row r="67" spans="2:17" s="496" customFormat="1" ht="15" hidden="1" customHeight="1">
      <c r="Q67" s="497"/>
    </row>
    <row r="68" spans="2:17" s="498" customFormat="1" ht="0.65" hidden="1" customHeight="1">
      <c r="G68" s="499">
        <f>1+F68</f>
        <v>1</v>
      </c>
      <c r="H68" s="499">
        <f t="shared" ref="H68:P68" si="10">1+G68</f>
        <v>2</v>
      </c>
      <c r="I68" s="499">
        <f t="shared" si="10"/>
        <v>3</v>
      </c>
      <c r="J68" s="499">
        <f t="shared" si="10"/>
        <v>4</v>
      </c>
      <c r="K68" s="499">
        <f t="shared" si="10"/>
        <v>5</v>
      </c>
      <c r="L68" s="499">
        <f t="shared" si="10"/>
        <v>6</v>
      </c>
      <c r="M68" s="499">
        <f t="shared" si="10"/>
        <v>7</v>
      </c>
      <c r="N68" s="499">
        <f t="shared" si="10"/>
        <v>8</v>
      </c>
      <c r="O68" s="499">
        <f t="shared" si="10"/>
        <v>9</v>
      </c>
      <c r="P68" s="499">
        <f t="shared" si="10"/>
        <v>10</v>
      </c>
      <c r="Q68" s="500"/>
    </row>
    <row r="69" spans="2:17" s="498" customFormat="1" ht="0.65" hidden="1" customHeight="1">
      <c r="I69" s="499">
        <v>0.01</v>
      </c>
      <c r="Q69" s="500"/>
    </row>
    <row r="70" spans="2:17" s="498" customFormat="1" ht="0.65" hidden="1" customHeight="1">
      <c r="B70" s="499" t="e">
        <f>$F$1*1000+1</f>
        <v>#VALUE!</v>
      </c>
      <c r="C70" s="498" t="e">
        <f>VLOOKUP(B70,$B$224:$C$1143,2,FALSE)</f>
        <v>#VALUE!</v>
      </c>
      <c r="D70" s="498" t="e">
        <f>D3</f>
        <v>#VALUE!</v>
      </c>
      <c r="E70" s="499" t="e">
        <f>IF(C70=D70,1,0)</f>
        <v>#VALUE!</v>
      </c>
      <c r="G70" s="499" t="e">
        <f>$F$1*1000+1</f>
        <v>#VALUE!</v>
      </c>
      <c r="H70" s="501" t="s">
        <v>0</v>
      </c>
      <c r="I70" s="502" t="s">
        <v>2113</v>
      </c>
      <c r="J70" s="502" t="s">
        <v>2114</v>
      </c>
      <c r="K70" s="502" t="s">
        <v>2115</v>
      </c>
      <c r="L70" s="502" t="s">
        <v>2116</v>
      </c>
      <c r="M70" s="502" t="s">
        <v>2117</v>
      </c>
      <c r="N70" s="502" t="s">
        <v>2118</v>
      </c>
      <c r="O70" s="502" t="s">
        <v>2119</v>
      </c>
      <c r="Q70" s="500"/>
    </row>
    <row r="71" spans="2:17" s="498" customFormat="1" ht="0.65" hidden="1" customHeight="1">
      <c r="B71" s="499" t="e">
        <f t="shared" ref="B71:B127" si="11">1+B70</f>
        <v>#VALUE!</v>
      </c>
      <c r="E71" s="499"/>
      <c r="G71" s="499" t="e">
        <f t="shared" ref="G71:G86" si="12">1+G70</f>
        <v>#VALUE!</v>
      </c>
      <c r="H71" s="503" t="e">
        <f>VLOOKUP($G71,$G$224:$P$1143,H$68,FALSE)</f>
        <v>#VALUE!</v>
      </c>
      <c r="I71" s="500" t="e">
        <f t="shared" ref="I71:O73" si="13">VLOOKUP($G71,$G$224:$P$1143,I$68,FALSE)</f>
        <v>#VALUE!</v>
      </c>
      <c r="J71" s="500" t="e">
        <f t="shared" si="13"/>
        <v>#VALUE!</v>
      </c>
      <c r="K71" s="500" t="e">
        <f t="shared" si="13"/>
        <v>#VALUE!</v>
      </c>
      <c r="L71" s="500" t="e">
        <f t="shared" si="13"/>
        <v>#VALUE!</v>
      </c>
      <c r="M71" s="500" t="e">
        <f t="shared" si="13"/>
        <v>#VALUE!</v>
      </c>
      <c r="N71" s="500" t="e">
        <f t="shared" si="13"/>
        <v>#VALUE!</v>
      </c>
      <c r="O71" s="500" t="e">
        <f t="shared" si="13"/>
        <v>#VALUE!</v>
      </c>
    </row>
    <row r="72" spans="2:17" s="498" customFormat="1" ht="0.65" hidden="1" customHeight="1">
      <c r="B72" s="499" t="e">
        <f t="shared" si="11"/>
        <v>#VALUE!</v>
      </c>
      <c r="E72" s="499"/>
      <c r="G72" s="499" t="e">
        <f t="shared" si="12"/>
        <v>#VALUE!</v>
      </c>
      <c r="H72" s="503" t="e">
        <f t="shared" ref="H72:H73" si="14">VLOOKUP($G72,$G$224:$P$1143,H$68,FALSE)</f>
        <v>#VALUE!</v>
      </c>
      <c r="I72" s="500" t="e">
        <f t="shared" si="13"/>
        <v>#VALUE!</v>
      </c>
      <c r="J72" s="500" t="e">
        <f t="shared" si="13"/>
        <v>#VALUE!</v>
      </c>
      <c r="K72" s="500" t="e">
        <f t="shared" si="13"/>
        <v>#VALUE!</v>
      </c>
      <c r="L72" s="500" t="e">
        <f t="shared" si="13"/>
        <v>#VALUE!</v>
      </c>
      <c r="M72" s="500" t="e">
        <f t="shared" si="13"/>
        <v>#VALUE!</v>
      </c>
      <c r="N72" s="500" t="e">
        <f t="shared" si="13"/>
        <v>#VALUE!</v>
      </c>
      <c r="O72" s="500" t="e">
        <f t="shared" si="13"/>
        <v>#VALUE!</v>
      </c>
    </row>
    <row r="73" spans="2:17" s="498" customFormat="1" ht="0.65" hidden="1" customHeight="1">
      <c r="B73" s="499" t="e">
        <f t="shared" si="11"/>
        <v>#VALUE!</v>
      </c>
      <c r="E73" s="499"/>
      <c r="G73" s="499" t="e">
        <f t="shared" si="12"/>
        <v>#VALUE!</v>
      </c>
      <c r="H73" s="503" t="e">
        <f t="shared" si="14"/>
        <v>#VALUE!</v>
      </c>
      <c r="I73" s="500" t="e">
        <f t="shared" si="13"/>
        <v>#VALUE!</v>
      </c>
      <c r="J73" s="500" t="e">
        <f t="shared" si="13"/>
        <v>#VALUE!</v>
      </c>
      <c r="K73" s="500" t="e">
        <f t="shared" si="13"/>
        <v>#VALUE!</v>
      </c>
      <c r="L73" s="500" t="e">
        <f t="shared" si="13"/>
        <v>#VALUE!</v>
      </c>
      <c r="M73" s="500" t="e">
        <f t="shared" si="13"/>
        <v>#VALUE!</v>
      </c>
      <c r="N73" s="500" t="e">
        <f t="shared" si="13"/>
        <v>#VALUE!</v>
      </c>
      <c r="O73" s="500" t="e">
        <f t="shared" si="13"/>
        <v>#VALUE!</v>
      </c>
    </row>
    <row r="74" spans="2:17" s="498" customFormat="1" ht="0.65" hidden="1" customHeight="1">
      <c r="B74" s="499" t="e">
        <f t="shared" si="11"/>
        <v>#VALUE!</v>
      </c>
      <c r="C74" s="498" t="e">
        <f t="shared" ref="C74:C76" si="15">VLOOKUP(B74,$B$224:$C$1143,2,FALSE)</f>
        <v>#VALUE!</v>
      </c>
      <c r="D74" s="498" t="e">
        <f>D7</f>
        <v>#VALUE!</v>
      </c>
      <c r="E74" s="499" t="e">
        <f>IF(C74=D74,1,0)</f>
        <v>#VALUE!</v>
      </c>
      <c r="G74" s="499" t="e">
        <f t="shared" si="12"/>
        <v>#VALUE!</v>
      </c>
    </row>
    <row r="75" spans="2:17" s="498" customFormat="1" ht="0.65" hidden="1" customHeight="1">
      <c r="B75" s="499" t="e">
        <f t="shared" si="11"/>
        <v>#VALUE!</v>
      </c>
      <c r="C75" s="498" t="e">
        <f t="shared" si="15"/>
        <v>#VALUE!</v>
      </c>
      <c r="D75" s="498" t="e">
        <f>D8</f>
        <v>#VALUE!</v>
      </c>
      <c r="E75" s="499" t="e">
        <f>IF(C75=D75,1,0)</f>
        <v>#VALUE!</v>
      </c>
      <c r="G75" s="499" t="e">
        <f t="shared" si="12"/>
        <v>#VALUE!</v>
      </c>
    </row>
    <row r="76" spans="2:17" s="498" customFormat="1" ht="0.65" hidden="1" customHeight="1">
      <c r="B76" s="499" t="e">
        <f t="shared" si="11"/>
        <v>#VALUE!</v>
      </c>
      <c r="C76" s="498" t="e">
        <f t="shared" si="15"/>
        <v>#VALUE!</v>
      </c>
      <c r="D76" s="498" t="e">
        <f>D9</f>
        <v>#VALUE!</v>
      </c>
      <c r="E76" s="499" t="e">
        <f>IF(C76=D76,1,0)</f>
        <v>#VALUE!</v>
      </c>
      <c r="G76" s="499" t="e">
        <f t="shared" si="12"/>
        <v>#VALUE!</v>
      </c>
      <c r="H76" s="501" t="s">
        <v>0</v>
      </c>
      <c r="I76" s="502" t="s">
        <v>2121</v>
      </c>
      <c r="J76" s="502" t="s">
        <v>2122</v>
      </c>
      <c r="K76" s="502" t="s">
        <v>2123</v>
      </c>
      <c r="L76" s="502" t="s">
        <v>2124</v>
      </c>
      <c r="M76" s="502" t="s">
        <v>2125</v>
      </c>
      <c r="N76" s="500"/>
      <c r="O76" s="501" t="s">
        <v>0</v>
      </c>
      <c r="P76" s="501" t="s">
        <v>1</v>
      </c>
    </row>
    <row r="77" spans="2:17" s="498" customFormat="1" ht="0.65" hidden="1" customHeight="1">
      <c r="B77" s="499" t="e">
        <f t="shared" si="11"/>
        <v>#VALUE!</v>
      </c>
      <c r="E77" s="499"/>
      <c r="G77" s="499" t="e">
        <f t="shared" si="12"/>
        <v>#VALUE!</v>
      </c>
      <c r="H77" s="503" t="e">
        <f t="shared" ref="H77:M80" si="16">VLOOKUP($G77,$G$224:$P$1143,H$68,FALSE)</f>
        <v>#VALUE!</v>
      </c>
      <c r="I77" s="500" t="e">
        <f t="shared" si="16"/>
        <v>#VALUE!</v>
      </c>
      <c r="J77" s="500" t="e">
        <f t="shared" si="16"/>
        <v>#VALUE!</v>
      </c>
      <c r="K77" s="500" t="e">
        <f t="shared" si="16"/>
        <v>#VALUE!</v>
      </c>
      <c r="L77" s="500" t="e">
        <f t="shared" si="16"/>
        <v>#VALUE!</v>
      </c>
      <c r="M77" s="500" t="e">
        <f t="shared" si="16"/>
        <v>#VALUE!</v>
      </c>
      <c r="N77" s="504"/>
      <c r="O77" s="503" t="e">
        <f t="shared" ref="O77:P80" si="17">VLOOKUP($G77,$G$224:$P$1143,O$68,FALSE)</f>
        <v>#VALUE!</v>
      </c>
      <c r="P77" s="500" t="e">
        <f t="shared" si="17"/>
        <v>#VALUE!</v>
      </c>
    </row>
    <row r="78" spans="2:17" s="498" customFormat="1" ht="0.65" hidden="1" customHeight="1">
      <c r="B78" s="499" t="e">
        <f t="shared" si="11"/>
        <v>#VALUE!</v>
      </c>
      <c r="E78" s="499"/>
      <c r="G78" s="499" t="e">
        <f t="shared" si="12"/>
        <v>#VALUE!</v>
      </c>
      <c r="H78" s="503" t="e">
        <f t="shared" si="16"/>
        <v>#VALUE!</v>
      </c>
      <c r="I78" s="500" t="e">
        <f t="shared" si="16"/>
        <v>#VALUE!</v>
      </c>
      <c r="J78" s="500" t="e">
        <f t="shared" si="16"/>
        <v>#VALUE!</v>
      </c>
      <c r="K78" s="500" t="e">
        <f t="shared" si="16"/>
        <v>#VALUE!</v>
      </c>
      <c r="L78" s="500" t="e">
        <f t="shared" si="16"/>
        <v>#VALUE!</v>
      </c>
      <c r="M78" s="500" t="e">
        <f t="shared" si="16"/>
        <v>#VALUE!</v>
      </c>
      <c r="N78" s="500"/>
      <c r="O78" s="503" t="e">
        <f t="shared" si="17"/>
        <v>#VALUE!</v>
      </c>
      <c r="P78" s="500" t="e">
        <f t="shared" si="17"/>
        <v>#VALUE!</v>
      </c>
    </row>
    <row r="79" spans="2:17" s="498" customFormat="1" ht="0.65" hidden="1" customHeight="1">
      <c r="B79" s="499" t="e">
        <f t="shared" si="11"/>
        <v>#VALUE!</v>
      </c>
      <c r="C79" s="498" t="e">
        <f t="shared" ref="C79:C80" si="18">VLOOKUP(B79,$B$224:$C$1143,2,FALSE)</f>
        <v>#VALUE!</v>
      </c>
      <c r="D79" s="498" t="e">
        <f>D12</f>
        <v>#VALUE!</v>
      </c>
      <c r="E79" s="499" t="e">
        <f>IF(C79=D79,1,0)</f>
        <v>#VALUE!</v>
      </c>
      <c r="G79" s="499" t="e">
        <f t="shared" si="12"/>
        <v>#VALUE!</v>
      </c>
      <c r="H79" s="503" t="e">
        <f t="shared" si="16"/>
        <v>#VALUE!</v>
      </c>
      <c r="I79" s="500" t="e">
        <f t="shared" si="16"/>
        <v>#VALUE!</v>
      </c>
      <c r="J79" s="500" t="e">
        <f t="shared" si="16"/>
        <v>#VALUE!</v>
      </c>
      <c r="K79" s="500" t="e">
        <f t="shared" si="16"/>
        <v>#VALUE!</v>
      </c>
      <c r="L79" s="500" t="e">
        <f t="shared" si="16"/>
        <v>#VALUE!</v>
      </c>
      <c r="M79" s="500" t="e">
        <f t="shared" si="16"/>
        <v>#VALUE!</v>
      </c>
      <c r="N79" s="500"/>
      <c r="O79" s="503" t="e">
        <f t="shared" si="17"/>
        <v>#VALUE!</v>
      </c>
      <c r="P79" s="500" t="e">
        <f t="shared" si="17"/>
        <v>#VALUE!</v>
      </c>
    </row>
    <row r="80" spans="2:17" s="498" customFormat="1" ht="0.65" hidden="1" customHeight="1">
      <c r="B80" s="499" t="e">
        <f t="shared" si="11"/>
        <v>#VALUE!</v>
      </c>
      <c r="C80" s="498" t="e">
        <f t="shared" si="18"/>
        <v>#VALUE!</v>
      </c>
      <c r="D80" s="498" t="e">
        <f>D13</f>
        <v>#VALUE!</v>
      </c>
      <c r="E80" s="499" t="e">
        <f>IF(C80=D80,1,0)</f>
        <v>#VALUE!</v>
      </c>
      <c r="G80" s="499" t="e">
        <f t="shared" si="12"/>
        <v>#VALUE!</v>
      </c>
      <c r="H80" s="503" t="e">
        <f t="shared" si="16"/>
        <v>#VALUE!</v>
      </c>
      <c r="I80" s="500" t="e">
        <f t="shared" si="16"/>
        <v>#VALUE!</v>
      </c>
      <c r="J80" s="500" t="e">
        <f t="shared" si="16"/>
        <v>#VALUE!</v>
      </c>
      <c r="K80" s="500" t="e">
        <f t="shared" si="16"/>
        <v>#VALUE!</v>
      </c>
      <c r="L80" s="500" t="e">
        <f t="shared" si="16"/>
        <v>#VALUE!</v>
      </c>
      <c r="M80" s="500" t="e">
        <f t="shared" si="16"/>
        <v>#VALUE!</v>
      </c>
      <c r="N80" s="500"/>
      <c r="O80" s="503" t="e">
        <f t="shared" si="17"/>
        <v>#VALUE!</v>
      </c>
      <c r="P80" s="500" t="e">
        <f t="shared" si="17"/>
        <v>#VALUE!</v>
      </c>
    </row>
    <row r="81" spans="2:16" s="498" customFormat="1" ht="0.65" hidden="1" customHeight="1">
      <c r="B81" s="499" t="e">
        <f t="shared" si="11"/>
        <v>#VALUE!</v>
      </c>
      <c r="E81" s="499"/>
      <c r="G81" s="499" t="e">
        <f t="shared" si="12"/>
        <v>#VALUE!</v>
      </c>
    </row>
    <row r="82" spans="2:16" s="498" customFormat="1" ht="0.65" hidden="1" customHeight="1">
      <c r="B82" s="499" t="e">
        <f t="shared" si="11"/>
        <v>#VALUE!</v>
      </c>
      <c r="C82" s="498" t="e">
        <f t="shared" ref="C82:C83" si="19">VLOOKUP(B82,$B$224:$C$1143,2,FALSE)</f>
        <v>#VALUE!</v>
      </c>
      <c r="D82" s="498" t="e">
        <f>D15</f>
        <v>#VALUE!</v>
      </c>
      <c r="E82" s="499" t="e">
        <f>IF(C82=D82,1,0)</f>
        <v>#VALUE!</v>
      </c>
      <c r="G82" s="499" t="e">
        <f t="shared" si="12"/>
        <v>#VALUE!</v>
      </c>
      <c r="O82" s="500" t="s">
        <v>13</v>
      </c>
      <c r="P82" s="501" t="e">
        <f t="shared" ref="P82:P83" si="20">VLOOKUP($G82,$G$224:$P$1143,P$68,FALSE)</f>
        <v>#VALUE!</v>
      </c>
    </row>
    <row r="83" spans="2:16" s="498" customFormat="1" ht="0.65" hidden="1" customHeight="1">
      <c r="B83" s="499" t="e">
        <f t="shared" si="11"/>
        <v>#VALUE!</v>
      </c>
      <c r="C83" s="498" t="e">
        <f t="shared" si="19"/>
        <v>#VALUE!</v>
      </c>
      <c r="D83" s="498" t="e">
        <f>D16</f>
        <v>#VALUE!</v>
      </c>
      <c r="E83" s="499" t="e">
        <f>IF(C83=D83,1,0)</f>
        <v>#VALUE!</v>
      </c>
      <c r="G83" s="499" t="e">
        <f t="shared" si="12"/>
        <v>#VALUE!</v>
      </c>
      <c r="H83" s="505" t="e">
        <f>CONCATENATE("DI (",$D$3,")")</f>
        <v>#VALUE!</v>
      </c>
      <c r="I83" s="500" t="e">
        <f t="shared" ref="I83:I86" si="21">VLOOKUP($G83,$G$224:$P$1143,I$68,FALSE)</f>
        <v>#VALUE!</v>
      </c>
      <c r="O83" s="498" t="s">
        <v>28</v>
      </c>
      <c r="P83" s="506" t="e">
        <f t="shared" si="20"/>
        <v>#VALUE!</v>
      </c>
    </row>
    <row r="84" spans="2:16" s="498" customFormat="1" ht="0.65" hidden="1" customHeight="1">
      <c r="B84" s="499" t="e">
        <f t="shared" si="11"/>
        <v>#VALUE!</v>
      </c>
      <c r="E84" s="499"/>
      <c r="G84" s="499" t="e">
        <f t="shared" si="12"/>
        <v>#VALUE!</v>
      </c>
      <c r="H84" s="505" t="e">
        <f>CONCATENATE("∆VR (",$D$3+3,") (AF)")</f>
        <v>#VALUE!</v>
      </c>
      <c r="I84" s="500" t="e">
        <f t="shared" si="21"/>
        <v>#VALUE!</v>
      </c>
      <c r="K84" s="505" t="s">
        <v>124</v>
      </c>
      <c r="L84" s="506" t="e">
        <f t="shared" ref="L84:L86" si="22">VLOOKUP($G84,$G$224:$P$1143,L$68,FALSE)</f>
        <v>#VALUE!</v>
      </c>
    </row>
    <row r="85" spans="2:16" s="498" customFormat="1" ht="0.65" hidden="1" customHeight="1">
      <c r="B85" s="499" t="e">
        <f t="shared" si="11"/>
        <v>#VALUE!</v>
      </c>
      <c r="E85" s="499"/>
      <c r="G85" s="499" t="e">
        <f t="shared" si="12"/>
        <v>#VALUE!</v>
      </c>
      <c r="H85" s="505" t="e">
        <f>CONCATENATE("∆VR (",$D$3+3,") (FM)")</f>
        <v>#VALUE!</v>
      </c>
      <c r="I85" s="500" t="e">
        <f t="shared" si="21"/>
        <v>#VALUE!</v>
      </c>
      <c r="K85" s="505" t="s">
        <v>125</v>
      </c>
      <c r="L85" s="506" t="e">
        <f t="shared" si="22"/>
        <v>#VALUE!</v>
      </c>
    </row>
    <row r="86" spans="2:16" s="498" customFormat="1" ht="0.65" hidden="1" customHeight="1">
      <c r="B86" s="499" t="e">
        <f t="shared" si="11"/>
        <v>#VALUE!</v>
      </c>
      <c r="C86" s="498" t="e">
        <f t="shared" ref="C86:C87" si="23">VLOOKUP(B86,$B$224:$C$1143,2,FALSE)</f>
        <v>#VALUE!</v>
      </c>
      <c r="D86" s="498" t="e">
        <f>D19</f>
        <v>#VALUE!</v>
      </c>
      <c r="E86" s="499" t="e">
        <f>IF(C86=D86,1,0)</f>
        <v>#VALUE!</v>
      </c>
      <c r="G86" s="499" t="e">
        <f t="shared" si="12"/>
        <v>#VALUE!</v>
      </c>
      <c r="H86" s="505" t="e">
        <f>CONCATENATE("∆VR (",$D$3+3,")")</f>
        <v>#VALUE!</v>
      </c>
      <c r="I86" s="500" t="e">
        <f t="shared" si="21"/>
        <v>#VALUE!</v>
      </c>
      <c r="K86" s="505" t="s">
        <v>126</v>
      </c>
      <c r="L86" s="506" t="e">
        <f t="shared" si="22"/>
        <v>#VALUE!</v>
      </c>
    </row>
    <row r="87" spans="2:16" s="498" customFormat="1" ht="0.65" hidden="1" customHeight="1">
      <c r="B87" s="499" t="e">
        <f t="shared" si="11"/>
        <v>#VALUE!</v>
      </c>
      <c r="C87" s="498" t="e">
        <f t="shared" si="23"/>
        <v>#VALUE!</v>
      </c>
      <c r="D87" s="498" t="e">
        <f>D20</f>
        <v>#VALUE!</v>
      </c>
      <c r="E87" s="499" t="e">
        <f>IF(C87=D87,1,0)</f>
        <v>#VALUE!</v>
      </c>
    </row>
    <row r="88" spans="2:16" s="498" customFormat="1" ht="0.65" hidden="1" customHeight="1">
      <c r="B88" s="499" t="e">
        <f t="shared" si="11"/>
        <v>#VALUE!</v>
      </c>
      <c r="E88" s="499"/>
    </row>
    <row r="89" spans="2:16" s="498" customFormat="1" ht="0.65" hidden="1" customHeight="1">
      <c r="B89" s="499" t="e">
        <f t="shared" si="11"/>
        <v>#VALUE!</v>
      </c>
      <c r="E89" s="499"/>
      <c r="H89" s="499"/>
      <c r="I89" s="499">
        <f>1+H89</f>
        <v>1</v>
      </c>
      <c r="J89" s="499">
        <f t="shared" ref="J89:O89" si="24">1+I89</f>
        <v>2</v>
      </c>
      <c r="K89" s="499">
        <f t="shared" si="24"/>
        <v>3</v>
      </c>
      <c r="L89" s="499">
        <f t="shared" si="24"/>
        <v>4</v>
      </c>
      <c r="M89" s="499">
        <f t="shared" si="24"/>
        <v>5</v>
      </c>
      <c r="N89" s="499">
        <f t="shared" si="24"/>
        <v>6</v>
      </c>
      <c r="O89" s="499">
        <f t="shared" si="24"/>
        <v>7</v>
      </c>
      <c r="P89" s="499"/>
    </row>
    <row r="90" spans="2:16" s="498" customFormat="1" ht="0.65" hidden="1" customHeight="1">
      <c r="B90" s="499" t="e">
        <f t="shared" si="11"/>
        <v>#VALUE!</v>
      </c>
      <c r="C90" s="498" t="e">
        <f t="shared" ref="C90:C91" si="25">VLOOKUP(B90,$B$224:$C$1143,2,FALSE)</f>
        <v>#VALUE!</v>
      </c>
      <c r="D90" s="498" t="e">
        <f>D23</f>
        <v>#VALUE!</v>
      </c>
      <c r="E90" s="499" t="e">
        <f>IF(C90=D90,1,0)</f>
        <v>#VALUE!</v>
      </c>
      <c r="H90" s="499">
        <f>1+H89</f>
        <v>1</v>
      </c>
      <c r="I90" s="499" t="e">
        <f t="shared" ref="I90:O92" si="26">VLOOKUP(VLOOKUP(H$89*3+$H90,$X$153:$AD$206,7,FALSE),$I$109:$J$111,2,FALSE)</f>
        <v>#N/A</v>
      </c>
      <c r="J90" s="499" t="e">
        <f t="shared" si="26"/>
        <v>#N/A</v>
      </c>
      <c r="K90" s="499" t="e">
        <f t="shared" si="26"/>
        <v>#N/A</v>
      </c>
      <c r="L90" s="499" t="e">
        <f t="shared" si="26"/>
        <v>#N/A</v>
      </c>
      <c r="M90" s="499" t="e">
        <f t="shared" si="26"/>
        <v>#N/A</v>
      </c>
      <c r="N90" s="499" t="e">
        <f t="shared" si="26"/>
        <v>#N/A</v>
      </c>
      <c r="O90" s="499" t="e">
        <f t="shared" si="26"/>
        <v>#N/A</v>
      </c>
      <c r="P90" s="499"/>
    </row>
    <row r="91" spans="2:16" s="498" customFormat="1" ht="0.65" hidden="1" customHeight="1">
      <c r="B91" s="499" t="e">
        <f t="shared" si="11"/>
        <v>#VALUE!</v>
      </c>
      <c r="C91" s="498" t="e">
        <f t="shared" si="25"/>
        <v>#VALUE!</v>
      </c>
      <c r="D91" s="498" t="e">
        <f>D24</f>
        <v>#VALUE!</v>
      </c>
      <c r="E91" s="499" t="e">
        <f>IF(C91=D91,1,0)</f>
        <v>#VALUE!</v>
      </c>
      <c r="H91" s="499">
        <f>1+H90</f>
        <v>2</v>
      </c>
      <c r="I91" s="499" t="e">
        <f t="shared" si="26"/>
        <v>#N/A</v>
      </c>
      <c r="J91" s="499" t="e">
        <f t="shared" si="26"/>
        <v>#N/A</v>
      </c>
      <c r="K91" s="499" t="e">
        <f t="shared" si="26"/>
        <v>#N/A</v>
      </c>
      <c r="L91" s="499" t="e">
        <f t="shared" si="26"/>
        <v>#N/A</v>
      </c>
      <c r="M91" s="499" t="e">
        <f t="shared" si="26"/>
        <v>#N/A</v>
      </c>
      <c r="N91" s="499" t="e">
        <f t="shared" si="26"/>
        <v>#N/A</v>
      </c>
      <c r="O91" s="499" t="e">
        <f t="shared" si="26"/>
        <v>#N/A</v>
      </c>
      <c r="P91" s="499"/>
    </row>
    <row r="92" spans="2:16" s="498" customFormat="1" ht="0.65" hidden="1" customHeight="1">
      <c r="B92" s="499" t="e">
        <f t="shared" si="11"/>
        <v>#VALUE!</v>
      </c>
      <c r="E92" s="499"/>
      <c r="H92" s="499">
        <f>1+H91</f>
        <v>3</v>
      </c>
      <c r="I92" s="499" t="e">
        <f t="shared" si="26"/>
        <v>#N/A</v>
      </c>
      <c r="J92" s="499" t="e">
        <f t="shared" si="26"/>
        <v>#N/A</v>
      </c>
      <c r="K92" s="499" t="e">
        <f t="shared" si="26"/>
        <v>#N/A</v>
      </c>
      <c r="L92" s="499" t="e">
        <f t="shared" si="26"/>
        <v>#N/A</v>
      </c>
      <c r="M92" s="499" t="e">
        <f t="shared" si="26"/>
        <v>#N/A</v>
      </c>
      <c r="N92" s="499" t="e">
        <f t="shared" si="26"/>
        <v>#N/A</v>
      </c>
      <c r="O92" s="499" t="e">
        <f t="shared" si="26"/>
        <v>#N/A</v>
      </c>
      <c r="P92" s="499"/>
    </row>
    <row r="93" spans="2:16" s="498" customFormat="1" ht="0.65" hidden="1" customHeight="1">
      <c r="B93" s="499" t="e">
        <f t="shared" si="11"/>
        <v>#VALUE!</v>
      </c>
      <c r="E93" s="499"/>
      <c r="H93" s="499"/>
      <c r="I93" s="499"/>
      <c r="J93" s="499"/>
      <c r="K93" s="499"/>
      <c r="L93" s="499"/>
      <c r="M93" s="499"/>
      <c r="N93" s="499"/>
      <c r="O93" s="499"/>
      <c r="P93" s="499"/>
    </row>
    <row r="94" spans="2:16" s="498" customFormat="1" ht="0.65" hidden="1" customHeight="1">
      <c r="B94" s="499" t="e">
        <f t="shared" si="11"/>
        <v>#VALUE!</v>
      </c>
      <c r="E94" s="499"/>
      <c r="H94" s="499"/>
      <c r="I94" s="499"/>
      <c r="J94" s="499"/>
      <c r="K94" s="499"/>
      <c r="L94" s="499"/>
      <c r="M94" s="499"/>
      <c r="N94" s="499"/>
      <c r="O94" s="499"/>
      <c r="P94" s="499"/>
    </row>
    <row r="95" spans="2:16" s="498" customFormat="1" ht="0.65" hidden="1" customHeight="1">
      <c r="B95" s="499" t="e">
        <f t="shared" si="11"/>
        <v>#VALUE!</v>
      </c>
      <c r="C95" s="498" t="e">
        <f t="shared" ref="C95:C99" si="27">VLOOKUP(B95,$B$224:$C$1143,2,FALSE)</f>
        <v>#VALUE!</v>
      </c>
      <c r="D95" s="498" t="e">
        <f>D28</f>
        <v>#VALUE!</v>
      </c>
      <c r="E95" s="499" t="e">
        <f>IF(C95=D95,1,0)</f>
        <v>#VALUE!</v>
      </c>
      <c r="H95" s="499"/>
      <c r="I95" s="499">
        <f>1+H95</f>
        <v>1</v>
      </c>
      <c r="J95" s="499">
        <f>1+I95</f>
        <v>2</v>
      </c>
      <c r="K95" s="499">
        <f>1+J95</f>
        <v>3</v>
      </c>
      <c r="L95" s="499">
        <f>1+K95</f>
        <v>4</v>
      </c>
      <c r="M95" s="499">
        <f>1+L95</f>
        <v>5</v>
      </c>
      <c r="N95" s="499"/>
      <c r="O95" s="499"/>
      <c r="P95" s="499"/>
    </row>
    <row r="96" spans="2:16" s="498" customFormat="1" ht="0.65" hidden="1" customHeight="1">
      <c r="B96" s="499" t="e">
        <f t="shared" si="11"/>
        <v>#VALUE!</v>
      </c>
      <c r="C96" s="498" t="e">
        <f t="shared" si="27"/>
        <v>#VALUE!</v>
      </c>
      <c r="D96" s="498" t="e">
        <f>D29</f>
        <v>#VALUE!</v>
      </c>
      <c r="E96" s="499" t="e">
        <f>IF(C96=D96,1,0)</f>
        <v>#VALUE!</v>
      </c>
      <c r="H96" s="499">
        <f>1+H95</f>
        <v>1</v>
      </c>
      <c r="I96" s="499" t="e">
        <f t="shared" ref="I96:M99" si="28">VLOOKUP(VLOOKUP(21+H$95*4+$H96,$X$153:$AD$206,7,FALSE),$I$109:$J$111,2,FALSE)</f>
        <v>#N/A</v>
      </c>
      <c r="J96" s="499" t="e">
        <f t="shared" si="28"/>
        <v>#N/A</v>
      </c>
      <c r="K96" s="499" t="e">
        <f t="shared" si="28"/>
        <v>#N/A</v>
      </c>
      <c r="L96" s="499" t="e">
        <f t="shared" si="28"/>
        <v>#N/A</v>
      </c>
      <c r="M96" s="499" t="e">
        <f t="shared" si="28"/>
        <v>#N/A</v>
      </c>
      <c r="N96" s="499"/>
      <c r="O96" s="499">
        <f>1+K105</f>
        <v>49</v>
      </c>
      <c r="P96" s="499" t="e">
        <f>VLOOKUP(VLOOKUP(O96,$X$153:$AD$206,7,FALSE),$I$109:$J$111,2,FALSE)</f>
        <v>#N/A</v>
      </c>
    </row>
    <row r="97" spans="2:16" s="498" customFormat="1" ht="0.65" hidden="1" customHeight="1">
      <c r="B97" s="499" t="e">
        <f t="shared" si="11"/>
        <v>#VALUE!</v>
      </c>
      <c r="C97" s="498" t="e">
        <f t="shared" si="27"/>
        <v>#VALUE!</v>
      </c>
      <c r="D97" s="498" t="e">
        <f>D30</f>
        <v>#VALUE!</v>
      </c>
      <c r="E97" s="499" t="e">
        <f>IF(C97=D97,1,0)</f>
        <v>#VALUE!</v>
      </c>
      <c r="H97" s="499">
        <f>1+H96</f>
        <v>2</v>
      </c>
      <c r="I97" s="501" t="e">
        <f t="shared" si="28"/>
        <v>#N/A</v>
      </c>
      <c r="J97" s="499" t="e">
        <f t="shared" si="28"/>
        <v>#N/A</v>
      </c>
      <c r="K97" s="499" t="e">
        <f t="shared" si="28"/>
        <v>#N/A</v>
      </c>
      <c r="L97" s="501" t="e">
        <f t="shared" si="28"/>
        <v>#N/A</v>
      </c>
      <c r="M97" s="499" t="e">
        <f t="shared" si="28"/>
        <v>#N/A</v>
      </c>
      <c r="N97" s="499"/>
      <c r="O97" s="499">
        <f>1+O96</f>
        <v>50</v>
      </c>
      <c r="P97" s="499" t="e">
        <f>VLOOKUP(VLOOKUP(O97,$X$153:$AD$206,7,FALSE),$I$109:$J$111,2,FALSE)</f>
        <v>#N/A</v>
      </c>
    </row>
    <row r="98" spans="2:16" s="498" customFormat="1" ht="0.65" hidden="1" customHeight="1">
      <c r="B98" s="499" t="e">
        <f t="shared" si="11"/>
        <v>#VALUE!</v>
      </c>
      <c r="C98" s="498" t="e">
        <f t="shared" si="27"/>
        <v>#VALUE!</v>
      </c>
      <c r="D98" s="498" t="e">
        <f>D31</f>
        <v>#VALUE!</v>
      </c>
      <c r="E98" s="499" t="e">
        <f>IF(C98=D98,1,0)</f>
        <v>#VALUE!</v>
      </c>
      <c r="H98" s="499">
        <f>1+H97</f>
        <v>3</v>
      </c>
      <c r="I98" s="499" t="e">
        <f t="shared" si="28"/>
        <v>#N/A</v>
      </c>
      <c r="J98" s="499" t="e">
        <f t="shared" si="28"/>
        <v>#N/A</v>
      </c>
      <c r="K98" s="499" t="e">
        <f t="shared" si="28"/>
        <v>#N/A</v>
      </c>
      <c r="L98" s="501" t="e">
        <f t="shared" si="28"/>
        <v>#N/A</v>
      </c>
      <c r="M98" s="501" t="e">
        <f t="shared" si="28"/>
        <v>#N/A</v>
      </c>
      <c r="N98" s="501"/>
      <c r="O98" s="499">
        <f>1+O97</f>
        <v>51</v>
      </c>
      <c r="P98" s="499" t="e">
        <f>VLOOKUP(VLOOKUP(O98,$X$153:$AD$206,7,FALSE),$I$109:$J$111,2,FALSE)</f>
        <v>#N/A</v>
      </c>
    </row>
    <row r="99" spans="2:16" s="498" customFormat="1" ht="0.65" hidden="1" customHeight="1">
      <c r="B99" s="499" t="e">
        <f t="shared" si="11"/>
        <v>#VALUE!</v>
      </c>
      <c r="C99" s="498" t="e">
        <f t="shared" si="27"/>
        <v>#VALUE!</v>
      </c>
      <c r="D99" s="498" t="e">
        <f>D32</f>
        <v>#VALUE!</v>
      </c>
      <c r="E99" s="499" t="e">
        <f>IF(C99=D99,1,0)</f>
        <v>#VALUE!</v>
      </c>
      <c r="H99" s="499">
        <f>1+H98</f>
        <v>4</v>
      </c>
      <c r="I99" s="499" t="e">
        <f t="shared" si="28"/>
        <v>#N/A</v>
      </c>
      <c r="J99" s="499" t="e">
        <f t="shared" si="28"/>
        <v>#N/A</v>
      </c>
      <c r="K99" s="499" t="e">
        <f t="shared" si="28"/>
        <v>#N/A</v>
      </c>
      <c r="L99" s="501" t="e">
        <f t="shared" si="28"/>
        <v>#N/A</v>
      </c>
      <c r="M99" s="501" t="e">
        <f t="shared" si="28"/>
        <v>#N/A</v>
      </c>
      <c r="N99" s="501"/>
      <c r="O99" s="499">
        <f>1+O98</f>
        <v>52</v>
      </c>
      <c r="P99" s="499" t="e">
        <f>VLOOKUP(VLOOKUP(O99,$X$153:$AD$206,7,FALSE),$I$109:$J$111,2,FALSE)</f>
        <v>#N/A</v>
      </c>
    </row>
    <row r="100" spans="2:16" s="498" customFormat="1" ht="0.65" hidden="1" customHeight="1">
      <c r="B100" s="499" t="e">
        <f t="shared" si="11"/>
        <v>#VALUE!</v>
      </c>
      <c r="E100" s="499"/>
      <c r="H100" s="499"/>
      <c r="I100" s="499"/>
      <c r="J100" s="499"/>
      <c r="K100" s="499"/>
      <c r="L100" s="501"/>
      <c r="M100" s="499"/>
      <c r="N100" s="499"/>
      <c r="O100" s="499"/>
      <c r="P100" s="499"/>
    </row>
    <row r="101" spans="2:16" s="498" customFormat="1" ht="0.65" hidden="1" customHeight="1">
      <c r="B101" s="499" t="e">
        <f t="shared" si="11"/>
        <v>#VALUE!</v>
      </c>
      <c r="E101" s="499"/>
      <c r="H101" s="499"/>
      <c r="I101" s="499"/>
      <c r="J101" s="499"/>
      <c r="K101" s="499"/>
      <c r="L101" s="499"/>
      <c r="M101" s="499"/>
      <c r="N101" s="499"/>
      <c r="O101" s="499">
        <f>1+O99</f>
        <v>53</v>
      </c>
      <c r="P101" s="499" t="e">
        <f>VLOOKUP(VLOOKUP(O101,$X$153:$AD$206,7,FALSE),$I$109:$J$111,2,FALSE)</f>
        <v>#N/A</v>
      </c>
    </row>
    <row r="102" spans="2:16" s="498" customFormat="1" ht="0.65" hidden="1" customHeight="1">
      <c r="B102" s="499" t="e">
        <f t="shared" si="11"/>
        <v>#VALUE!</v>
      </c>
      <c r="C102" s="498" t="e">
        <f t="shared" ref="C102:C105" si="29">VLOOKUP(B102,$B$224:$C$1143,2,FALSE)</f>
        <v>#VALUE!</v>
      </c>
      <c r="D102" s="498" t="e">
        <f>D35</f>
        <v>#VALUE!</v>
      </c>
      <c r="E102" s="499" t="e">
        <f>IF(C102=D102,1,0)</f>
        <v>#VALUE!</v>
      </c>
      <c r="H102" s="499">
        <v>42</v>
      </c>
      <c r="I102" s="499" t="e">
        <f>VLOOKUP(VLOOKUP(H102,$X$153:$AD$206,7,FALSE),$I$109:$J$111,2,FALSE)</f>
        <v>#N/A</v>
      </c>
      <c r="J102" s="499"/>
      <c r="K102" s="499"/>
      <c r="L102" s="499"/>
      <c r="M102" s="499"/>
      <c r="N102" s="499"/>
      <c r="O102" s="499">
        <f>1+O101</f>
        <v>54</v>
      </c>
      <c r="P102" s="499" t="e">
        <f>VLOOKUP(VLOOKUP(O102,$X$153:$AD$206,7,FALSE),$I$109:$J$111,2,FALSE)</f>
        <v>#N/A</v>
      </c>
    </row>
    <row r="103" spans="2:16" s="498" customFormat="1" ht="0.65" hidden="1" customHeight="1">
      <c r="B103" s="499" t="e">
        <f t="shared" si="11"/>
        <v>#VALUE!</v>
      </c>
      <c r="C103" s="498" t="e">
        <f t="shared" si="29"/>
        <v>#VALUE!</v>
      </c>
      <c r="D103" s="498" t="e">
        <f>D36</f>
        <v>#VALUE!</v>
      </c>
      <c r="E103" s="499" t="e">
        <f>IF(C103=D103,1,0)</f>
        <v>#VALUE!</v>
      </c>
      <c r="H103" s="499">
        <f>1+H102</f>
        <v>43</v>
      </c>
      <c r="I103" s="499" t="e">
        <f>VLOOKUP(VLOOKUP(H103,$X$153:$AD$206,7,FALSE),$I$109:$J$111,2,FALSE)</f>
        <v>#N/A</v>
      </c>
      <c r="J103" s="499"/>
      <c r="K103" s="499">
        <f>1+H105</f>
        <v>46</v>
      </c>
      <c r="L103" s="499" t="e">
        <f>VLOOKUP(VLOOKUP(K103,$X$153:$AD$206,7,FALSE),$I$109:$J$111,2,FALSE)</f>
        <v>#N/A</v>
      </c>
      <c r="M103" s="499"/>
      <c r="N103" s="499"/>
      <c r="O103" s="499"/>
      <c r="P103" s="499"/>
    </row>
    <row r="104" spans="2:16" s="498" customFormat="1" ht="0.65" hidden="1" customHeight="1">
      <c r="B104" s="499" t="e">
        <f t="shared" si="11"/>
        <v>#VALUE!</v>
      </c>
      <c r="C104" s="498" t="e">
        <f t="shared" si="29"/>
        <v>#VALUE!</v>
      </c>
      <c r="D104" s="498" t="e">
        <f>D37</f>
        <v>#VALUE!</v>
      </c>
      <c r="E104" s="499" t="e">
        <f>IF(C104=D104,1,0)</f>
        <v>#VALUE!</v>
      </c>
      <c r="H104" s="499">
        <f>1+H103</f>
        <v>44</v>
      </c>
      <c r="I104" s="499" t="e">
        <f>VLOOKUP(VLOOKUP(H104,$X$153:$AD$206,7,FALSE),$I$109:$J$111,2,FALSE)</f>
        <v>#N/A</v>
      </c>
      <c r="J104" s="499"/>
      <c r="K104" s="499">
        <f>1+K103</f>
        <v>47</v>
      </c>
      <c r="L104" s="499" t="e">
        <f>VLOOKUP(VLOOKUP(K104,$X$153:$AD$206,7,FALSE),$I$109:$J$111,2,FALSE)</f>
        <v>#N/A</v>
      </c>
      <c r="M104" s="499"/>
      <c r="N104" s="499"/>
      <c r="O104" s="499"/>
      <c r="P104" s="499"/>
    </row>
    <row r="105" spans="2:16" s="498" customFormat="1" ht="0.65" hidden="1" customHeight="1">
      <c r="B105" s="499" t="e">
        <f t="shared" si="11"/>
        <v>#VALUE!</v>
      </c>
      <c r="C105" s="498" t="e">
        <f t="shared" si="29"/>
        <v>#VALUE!</v>
      </c>
      <c r="D105" s="498" t="e">
        <f>D38</f>
        <v>#VALUE!</v>
      </c>
      <c r="E105" s="499" t="e">
        <f>IF(C105=D105,1,0)</f>
        <v>#VALUE!</v>
      </c>
      <c r="H105" s="499">
        <f>1+H104</f>
        <v>45</v>
      </c>
      <c r="I105" s="499" t="e">
        <f>VLOOKUP(VLOOKUP(H105,$X$153:$AD$206,7,FALSE),$I$109:$J$111,2,FALSE)</f>
        <v>#N/A</v>
      </c>
      <c r="J105" s="499"/>
      <c r="K105" s="499">
        <f>1+K104</f>
        <v>48</v>
      </c>
      <c r="L105" s="499" t="e">
        <f>VLOOKUP(VLOOKUP(K105,$X$153:$AD$206,7,FALSE),$I$109:$J$111,2,FALSE)</f>
        <v>#N/A</v>
      </c>
      <c r="M105" s="499"/>
      <c r="N105" s="499"/>
      <c r="O105" s="499"/>
      <c r="P105" s="499"/>
    </row>
    <row r="106" spans="2:16" s="498" customFormat="1" ht="0.65" hidden="1" customHeight="1">
      <c r="B106" s="499" t="e">
        <f t="shared" si="11"/>
        <v>#VALUE!</v>
      </c>
      <c r="E106" s="499"/>
    </row>
    <row r="107" spans="2:16" s="498" customFormat="1" ht="0.65" hidden="1" customHeight="1">
      <c r="B107" s="499" t="e">
        <f t="shared" si="11"/>
        <v>#VALUE!</v>
      </c>
      <c r="E107" s="499"/>
    </row>
    <row r="108" spans="2:16" s="498" customFormat="1" ht="0.65" hidden="1" customHeight="1">
      <c r="B108" s="499" t="e">
        <f t="shared" si="11"/>
        <v>#VALUE!</v>
      </c>
      <c r="D108" s="507"/>
      <c r="E108" s="499" t="e">
        <f>SUM(E70:E105)+SUM(E113:E127)</f>
        <v>#VALUE!</v>
      </c>
    </row>
    <row r="109" spans="2:16" s="498" customFormat="1" ht="0.65" hidden="1" customHeight="1">
      <c r="B109" s="499" t="e">
        <f t="shared" si="11"/>
        <v>#VALUE!</v>
      </c>
      <c r="D109" s="507"/>
      <c r="E109" s="499" t="str">
        <f>IF(ISERROR(IF(E108=32,"NO","SI")),"",IF(E108=32,"NO","SI"))</f>
        <v/>
      </c>
      <c r="I109" s="498" t="s">
        <v>645</v>
      </c>
      <c r="J109" s="498" t="s">
        <v>800</v>
      </c>
      <c r="K109" s="508">
        <f>COUNTIF($I$90:$P$105,J109)/$O$102</f>
        <v>0</v>
      </c>
    </row>
    <row r="110" spans="2:16" s="498" customFormat="1" ht="0.65" hidden="1" customHeight="1">
      <c r="B110" s="499" t="e">
        <f t="shared" si="11"/>
        <v>#VALUE!</v>
      </c>
      <c r="I110" s="498" t="s">
        <v>2148</v>
      </c>
      <c r="J110" s="498" t="s">
        <v>2149</v>
      </c>
      <c r="K110" s="508">
        <f>COUNTIF($I$90:$P$105,J110)/$O$102</f>
        <v>0</v>
      </c>
    </row>
    <row r="111" spans="2:16" s="498" customFormat="1" ht="0.65" hidden="1" customHeight="1">
      <c r="B111" s="499" t="e">
        <f t="shared" si="11"/>
        <v>#VALUE!</v>
      </c>
      <c r="I111" s="498" t="s">
        <v>178</v>
      </c>
      <c r="J111" s="498" t="s">
        <v>2150</v>
      </c>
      <c r="K111" s="508">
        <f>COUNTIF($I$90:$P$105,J111)/$O$102</f>
        <v>0</v>
      </c>
    </row>
    <row r="112" spans="2:16" s="498" customFormat="1" ht="0.65" hidden="1" customHeight="1">
      <c r="B112" s="499" t="e">
        <f t="shared" si="11"/>
        <v>#VALUE!</v>
      </c>
    </row>
    <row r="113" spans="2:5" s="498" customFormat="1" ht="0.65" hidden="1" customHeight="1">
      <c r="B113" s="499" t="e">
        <f t="shared" si="11"/>
        <v>#VALUE!</v>
      </c>
      <c r="C113" s="498" t="e">
        <f t="shared" ref="C113:C115" si="30">VLOOKUP(B113,$B$224:$C$1143,2,FALSE)</f>
        <v>#VALUE!</v>
      </c>
      <c r="D113" s="509" t="e">
        <f>H4</f>
        <v>#VALUE!</v>
      </c>
      <c r="E113" s="499" t="e">
        <f>IF(C113=D113,1,0)</f>
        <v>#VALUE!</v>
      </c>
    </row>
    <row r="114" spans="2:5" s="498" customFormat="1" ht="0.65" hidden="1" customHeight="1">
      <c r="B114" s="499" t="e">
        <f t="shared" si="11"/>
        <v>#VALUE!</v>
      </c>
      <c r="C114" s="498" t="e">
        <f t="shared" si="30"/>
        <v>#VALUE!</v>
      </c>
      <c r="D114" s="498" t="e">
        <f>H5</f>
        <v>#VALUE!</v>
      </c>
      <c r="E114" s="499" t="e">
        <f>IF(C114=D114,1,0)</f>
        <v>#VALUE!</v>
      </c>
    </row>
    <row r="115" spans="2:5" s="498" customFormat="1" ht="0.65" hidden="1" customHeight="1">
      <c r="B115" s="499" t="e">
        <f t="shared" si="11"/>
        <v>#VALUE!</v>
      </c>
      <c r="C115" s="498" t="e">
        <f t="shared" si="30"/>
        <v>#VALUE!</v>
      </c>
      <c r="D115" s="498" t="e">
        <f>H6</f>
        <v>#VALUE!</v>
      </c>
      <c r="E115" s="499" t="e">
        <f>IF(C115=D115,1,0)</f>
        <v>#VALUE!</v>
      </c>
    </row>
    <row r="116" spans="2:5" s="498" customFormat="1" ht="0.65" hidden="1" customHeight="1">
      <c r="B116" s="499" t="e">
        <f t="shared" si="11"/>
        <v>#VALUE!</v>
      </c>
    </row>
    <row r="117" spans="2:5" s="498" customFormat="1" ht="0.65" hidden="1" customHeight="1">
      <c r="B117" s="499" t="e">
        <f t="shared" si="11"/>
        <v>#VALUE!</v>
      </c>
    </row>
    <row r="118" spans="2:5" s="498" customFormat="1" ht="0.65" hidden="1" customHeight="1">
      <c r="B118" s="499" t="e">
        <f t="shared" si="11"/>
        <v>#VALUE!</v>
      </c>
    </row>
    <row r="119" spans="2:5" s="498" customFormat="1" ht="0.65" hidden="1" customHeight="1">
      <c r="B119" s="499" t="e">
        <f t="shared" si="11"/>
        <v>#VALUE!</v>
      </c>
      <c r="C119" s="498" t="e">
        <f t="shared" ref="C119:C122" si="31">VLOOKUP(B119,$B$224:$C$1143,2,FALSE)</f>
        <v>#VALUE!</v>
      </c>
      <c r="D119" s="498" t="e">
        <f>H10</f>
        <v>#VALUE!</v>
      </c>
      <c r="E119" s="499" t="e">
        <f>IF(C119=D119,1,0)</f>
        <v>#VALUE!</v>
      </c>
    </row>
    <row r="120" spans="2:5" s="498" customFormat="1" ht="0.65" hidden="1" customHeight="1">
      <c r="B120" s="499" t="e">
        <f t="shared" si="11"/>
        <v>#VALUE!</v>
      </c>
      <c r="C120" s="498" t="e">
        <f t="shared" si="31"/>
        <v>#VALUE!</v>
      </c>
      <c r="D120" s="498" t="e">
        <f>H11</f>
        <v>#VALUE!</v>
      </c>
      <c r="E120" s="499" t="e">
        <f>IF(C120=D120,1,0)</f>
        <v>#VALUE!</v>
      </c>
    </row>
    <row r="121" spans="2:5" s="498" customFormat="1" ht="0.65" hidden="1" customHeight="1">
      <c r="B121" s="499" t="e">
        <f t="shared" si="11"/>
        <v>#VALUE!</v>
      </c>
      <c r="C121" s="498" t="e">
        <f t="shared" si="31"/>
        <v>#VALUE!</v>
      </c>
      <c r="D121" s="498" t="e">
        <f>H12</f>
        <v>#VALUE!</v>
      </c>
      <c r="E121" s="499" t="e">
        <f>IF(C121=D121,1,0)</f>
        <v>#VALUE!</v>
      </c>
    </row>
    <row r="122" spans="2:5" s="498" customFormat="1" ht="0.65" hidden="1" customHeight="1">
      <c r="B122" s="499" t="e">
        <f t="shared" si="11"/>
        <v>#VALUE!</v>
      </c>
      <c r="C122" s="498" t="e">
        <f t="shared" si="31"/>
        <v>#VALUE!</v>
      </c>
      <c r="D122" s="498" t="e">
        <f>H13</f>
        <v>#VALUE!</v>
      </c>
      <c r="E122" s="499" t="e">
        <f>IF(C122=D122,1,0)</f>
        <v>#VALUE!</v>
      </c>
    </row>
    <row r="123" spans="2:5" s="498" customFormat="1" ht="0.65" hidden="1" customHeight="1">
      <c r="B123" s="499" t="e">
        <f t="shared" si="11"/>
        <v>#VALUE!</v>
      </c>
    </row>
    <row r="124" spans="2:5" s="498" customFormat="1" ht="0.65" hidden="1" customHeight="1">
      <c r="B124" s="499" t="e">
        <f t="shared" si="11"/>
        <v>#VALUE!</v>
      </c>
      <c r="C124" s="498" t="e">
        <f t="shared" ref="C124:C127" si="32">VLOOKUP(B124,$B$224:$C$1143,2,FALSE)</f>
        <v>#VALUE!</v>
      </c>
      <c r="D124" s="509" t="e">
        <f>O10</f>
        <v>#VALUE!</v>
      </c>
      <c r="E124" s="499" t="e">
        <f>IF(C124=D124,1,0)</f>
        <v>#VALUE!</v>
      </c>
    </row>
    <row r="125" spans="2:5" s="498" customFormat="1" ht="0.65" hidden="1" customHeight="1">
      <c r="B125" s="499" t="e">
        <f t="shared" si="11"/>
        <v>#VALUE!</v>
      </c>
      <c r="C125" s="498" t="e">
        <f t="shared" si="32"/>
        <v>#VALUE!</v>
      </c>
      <c r="D125" s="498" t="e">
        <f>O11</f>
        <v>#VALUE!</v>
      </c>
      <c r="E125" s="499" t="e">
        <f>IF(C125=D125,1,0)</f>
        <v>#VALUE!</v>
      </c>
    </row>
    <row r="126" spans="2:5" s="498" customFormat="1" ht="0.65" hidden="1" customHeight="1">
      <c r="B126" s="499" t="e">
        <f t="shared" si="11"/>
        <v>#VALUE!</v>
      </c>
      <c r="C126" s="498" t="e">
        <f t="shared" si="32"/>
        <v>#VALUE!</v>
      </c>
      <c r="D126" s="498" t="e">
        <f>O12</f>
        <v>#VALUE!</v>
      </c>
      <c r="E126" s="499" t="e">
        <f>IF(C126=D126,1,0)</f>
        <v>#VALUE!</v>
      </c>
    </row>
    <row r="127" spans="2:5" s="498" customFormat="1" ht="0.65" hidden="1" customHeight="1">
      <c r="B127" s="499" t="e">
        <f t="shared" si="11"/>
        <v>#VALUE!</v>
      </c>
      <c r="C127" s="498" t="e">
        <f t="shared" si="32"/>
        <v>#VALUE!</v>
      </c>
      <c r="D127" s="498" t="e">
        <f>O13</f>
        <v>#VALUE!</v>
      </c>
      <c r="E127" s="499" t="e">
        <f>IF(C127=D127,1,0)</f>
        <v>#VALUE!</v>
      </c>
    </row>
    <row r="128" spans="2:5" s="498" customFormat="1" ht="0.65" hidden="1" customHeight="1"/>
    <row r="129" s="498" customFormat="1" ht="0.65" hidden="1" customHeight="1"/>
    <row r="130" s="498" customFormat="1" ht="0.65" hidden="1" customHeight="1"/>
    <row r="131" s="498" customFormat="1" ht="0.65" hidden="1" customHeight="1"/>
    <row r="132" s="498" customFormat="1" ht="0.65" hidden="1" customHeight="1"/>
    <row r="133" s="498" customFormat="1" ht="0.65" hidden="1" customHeight="1"/>
    <row r="134" s="498" customFormat="1" ht="0.65" hidden="1" customHeight="1"/>
    <row r="135" s="498" customFormat="1" ht="0.65" hidden="1" customHeight="1"/>
    <row r="136" s="498" customFormat="1" ht="0.65" hidden="1" customHeight="1"/>
    <row r="137" s="498" customFormat="1" ht="0.65" hidden="1" customHeight="1"/>
    <row r="138" s="498" customFormat="1" ht="0.65" hidden="1" customHeight="1"/>
    <row r="139" s="498" customFormat="1" ht="0.65" hidden="1" customHeight="1"/>
    <row r="140" s="498" customFormat="1" ht="0.65" hidden="1" customHeight="1"/>
    <row r="141" s="498" customFormat="1" ht="0.65" hidden="1" customHeight="1"/>
    <row r="142" s="498" customFormat="1" ht="0.65" hidden="1" customHeight="1"/>
    <row r="143" s="498" customFormat="1" ht="0.65" hidden="1" customHeight="1"/>
    <row r="144" s="498" customFormat="1" ht="0.65" hidden="1" customHeight="1"/>
    <row r="145" spans="21:41" s="498" customFormat="1" ht="0.65" hidden="1" customHeight="1"/>
    <row r="146" spans="21:41" s="498" customFormat="1" ht="0.65" hidden="1" customHeight="1"/>
    <row r="147" spans="21:41" s="498" customFormat="1" ht="0.65" hidden="1" customHeight="1"/>
    <row r="148" spans="21:41" s="498" customFormat="1" ht="0.65" hidden="1" customHeight="1"/>
    <row r="149" spans="21:41" s="498" customFormat="1" ht="0.65" hidden="1" customHeight="1">
      <c r="U149" s="499">
        <f>1+T149</f>
        <v>1</v>
      </c>
      <c r="V149" s="499">
        <f>1+U149</f>
        <v>2</v>
      </c>
      <c r="W149" s="499">
        <f t="shared" ref="W149:AM149" si="33">1+V149</f>
        <v>3</v>
      </c>
      <c r="X149" s="499">
        <f t="shared" si="33"/>
        <v>4</v>
      </c>
      <c r="Y149" s="499">
        <f t="shared" si="33"/>
        <v>5</v>
      </c>
      <c r="Z149" s="499">
        <f t="shared" si="33"/>
        <v>6</v>
      </c>
      <c r="AA149" s="499">
        <f t="shared" si="33"/>
        <v>7</v>
      </c>
      <c r="AB149" s="499">
        <f t="shared" si="33"/>
        <v>8</v>
      </c>
      <c r="AC149" s="499">
        <f t="shared" si="33"/>
        <v>9</v>
      </c>
      <c r="AD149" s="499">
        <f t="shared" si="33"/>
        <v>10</v>
      </c>
      <c r="AE149" s="499">
        <f t="shared" si="33"/>
        <v>11</v>
      </c>
      <c r="AF149" s="499">
        <f t="shared" si="33"/>
        <v>12</v>
      </c>
      <c r="AG149" s="499">
        <f t="shared" si="33"/>
        <v>13</v>
      </c>
      <c r="AH149" s="499">
        <f t="shared" si="33"/>
        <v>14</v>
      </c>
      <c r="AI149" s="499">
        <f t="shared" si="33"/>
        <v>15</v>
      </c>
      <c r="AJ149" s="499">
        <f t="shared" si="33"/>
        <v>16</v>
      </c>
      <c r="AK149" s="499">
        <f t="shared" si="33"/>
        <v>17</v>
      </c>
      <c r="AL149" s="499">
        <f t="shared" si="33"/>
        <v>18</v>
      </c>
      <c r="AM149" s="499">
        <f t="shared" si="33"/>
        <v>19</v>
      </c>
    </row>
    <row r="150" spans="21:41" s="498" customFormat="1" ht="0.65" hidden="1" customHeight="1">
      <c r="Z150" s="498" t="s">
        <v>2151</v>
      </c>
      <c r="AA150" s="498">
        <v>1E-4</v>
      </c>
    </row>
    <row r="151" spans="21:41" s="498" customFormat="1" ht="0.65" hidden="1" customHeight="1">
      <c r="AB151" s="498" t="s">
        <v>2152</v>
      </c>
      <c r="AC151" s="498" t="s">
        <v>2153</v>
      </c>
      <c r="AH151" s="498" t="s">
        <v>2154</v>
      </c>
    </row>
    <row r="152" spans="21:41" s="498" customFormat="1" ht="0.65" hidden="1" customHeight="1">
      <c r="V152" s="498" t="s">
        <v>2155</v>
      </c>
      <c r="W152" s="498" t="s">
        <v>2156</v>
      </c>
      <c r="X152" s="498" t="s">
        <v>2157</v>
      </c>
      <c r="Y152" s="498" t="s">
        <v>2158</v>
      </c>
      <c r="Z152" s="498" t="s">
        <v>320</v>
      </c>
      <c r="AA152" s="498" t="s">
        <v>2159</v>
      </c>
      <c r="AB152" s="498" t="s">
        <v>2160</v>
      </c>
      <c r="AC152" s="498" t="s">
        <v>2161</v>
      </c>
      <c r="AF152" s="498" t="s">
        <v>2162</v>
      </c>
      <c r="AG152" s="498" t="s">
        <v>2157</v>
      </c>
      <c r="AH152" s="498" t="s">
        <v>2163</v>
      </c>
      <c r="AI152" s="498" t="s">
        <v>2164</v>
      </c>
      <c r="AJ152" s="498" t="s">
        <v>2158</v>
      </c>
      <c r="AL152" s="498" t="s">
        <v>2165</v>
      </c>
      <c r="AM152" s="498" t="s">
        <v>2166</v>
      </c>
    </row>
    <row r="153" spans="21:41" s="498" customFormat="1" ht="0.65" hidden="1" customHeight="1">
      <c r="U153" s="499" t="e">
        <f>$F$1*1000+1</f>
        <v>#VALUE!</v>
      </c>
      <c r="V153" s="498">
        <f>IF(AND(NOT(AA153=1),NOT(AC153=1)),1,0)</f>
        <v>1</v>
      </c>
      <c r="W153" s="498">
        <f>IF(AND(NOT(AA153=1),AC153=1),1,0)</f>
        <v>0</v>
      </c>
      <c r="X153" s="498" t="e">
        <f>AG153</f>
        <v>#VALUE!</v>
      </c>
      <c r="Y153" s="500" t="e">
        <f>VLOOKUP($U153,$U$307:$AM$1143,Y$149,FALSE)</f>
        <v>#VALUE!</v>
      </c>
      <c r="Z153" s="500" t="str">
        <f>IF(I4="","",I4)</f>
        <v/>
      </c>
      <c r="AA153" s="498" t="str">
        <f>IF(ISERROR(IF(ABS(Y153-Z153)&lt;$AA$150,1,"")),"",IF(ABS(Y153-Z153)&lt;$AA$150,1,""))</f>
        <v/>
      </c>
      <c r="AB153" s="500" t="e">
        <f>$D$12*(1+$D$35)^($H4-$D$3)</f>
        <v>#VALUE!</v>
      </c>
      <c r="AC153" s="498" t="str">
        <f>IF(OR(Z153="",AA153=1),"",IF(ABS(Z153-AB153)&lt;$AA$150,1,""))</f>
        <v/>
      </c>
      <c r="AD153" s="498" t="str">
        <f>IF(AA153=1,"B",IF(AC153=1,"D","C"))</f>
        <v>C</v>
      </c>
      <c r="AF153" s="498" t="e">
        <f t="shared" ref="AF153:AM168" si="34">VLOOKUP($U153,$U$307:$AM$1143,AF$149,FALSE)</f>
        <v>#VALUE!</v>
      </c>
      <c r="AG153" s="498" t="e">
        <f t="shared" si="34"/>
        <v>#VALUE!</v>
      </c>
      <c r="AH153" s="498" t="e">
        <f t="shared" si="34"/>
        <v>#VALUE!</v>
      </c>
      <c r="AI153" s="498" t="e">
        <f t="shared" si="34"/>
        <v>#VALUE!</v>
      </c>
      <c r="AJ153" s="500" t="e">
        <f t="shared" si="34"/>
        <v>#VALUE!</v>
      </c>
      <c r="AL153" s="498" t="e">
        <f t="shared" si="34"/>
        <v>#VALUE!</v>
      </c>
      <c r="AM153" s="498" t="e">
        <f t="shared" si="34"/>
        <v>#VALUE!</v>
      </c>
      <c r="AN153" s="498" t="e">
        <f>LEN(AM153)</f>
        <v>#VALUE!</v>
      </c>
      <c r="AO153" s="499" t="e">
        <f>IF(AN153=MAX($AN$153:$AN$206),"*","")</f>
        <v>#VALUE!</v>
      </c>
    </row>
    <row r="154" spans="21:41" s="498" customFormat="1" ht="0.65" hidden="1" customHeight="1">
      <c r="U154" s="499" t="e">
        <f t="shared" ref="U154:U217" si="35">1+U153</f>
        <v>#VALUE!</v>
      </c>
      <c r="V154" s="498">
        <f>IF(AND(NOT(AA154=1),NOT(AC154=1)),1+V153,V153)</f>
        <v>2</v>
      </c>
      <c r="W154" s="498">
        <f>IF(AND(NOT(AA154=1),AC154=1),1+W153,W153)</f>
        <v>0</v>
      </c>
      <c r="X154" s="498" t="e">
        <f>AG154</f>
        <v>#VALUE!</v>
      </c>
      <c r="Y154" s="500" t="e">
        <f t="shared" ref="Y154:Y206" si="36">VLOOKUP($U154,$U$307:$AM$1143,Y$149,FALSE)</f>
        <v>#VALUE!</v>
      </c>
      <c r="Z154" s="500" t="str">
        <f t="shared" ref="Z154:Z155" si="37">IF(I5="","",I5)</f>
        <v/>
      </c>
      <c r="AA154" s="498" t="str">
        <f t="shared" ref="AA154:AA206" si="38">IF(ISERROR(IF(ABS(Y154-Z154)&lt;$AA$150,1,"")),"",IF(ABS(Y154-Z154)&lt;$AA$150,1,""))</f>
        <v/>
      </c>
      <c r="AB154" s="500" t="e">
        <f>$D$12*(1+$D$35)^($H72-$D$3)</f>
        <v>#VALUE!</v>
      </c>
      <c r="AC154" s="498" t="str">
        <f t="shared" ref="AC154:AC206" si="39">IF(OR(Z154="",AA154=1),"",IF(ABS(Z154-AB154)&lt;$AA$150,1,""))</f>
        <v/>
      </c>
      <c r="AD154" s="498" t="str">
        <f t="shared" ref="AD154:AD206" si="40">IF(AA154=1,"B",IF(AC154=1,"D","C"))</f>
        <v>C</v>
      </c>
      <c r="AF154" s="498" t="e">
        <f t="shared" si="34"/>
        <v>#VALUE!</v>
      </c>
      <c r="AG154" s="498" t="e">
        <f t="shared" si="34"/>
        <v>#VALUE!</v>
      </c>
      <c r="AH154" s="498" t="e">
        <f t="shared" si="34"/>
        <v>#VALUE!</v>
      </c>
      <c r="AI154" s="498" t="e">
        <f t="shared" si="34"/>
        <v>#VALUE!</v>
      </c>
      <c r="AJ154" s="500" t="e">
        <f t="shared" si="34"/>
        <v>#VALUE!</v>
      </c>
      <c r="AL154" s="498" t="e">
        <f t="shared" si="34"/>
        <v>#VALUE!</v>
      </c>
      <c r="AM154" s="498" t="e">
        <f t="shared" si="34"/>
        <v>#VALUE!</v>
      </c>
      <c r="AN154" s="498" t="e">
        <f t="shared" ref="AN154:AN206" si="41">LEN(AM154)</f>
        <v>#VALUE!</v>
      </c>
      <c r="AO154" s="499" t="e">
        <f t="shared" ref="AO154:AO206" si="42">IF(AN154=MAX($AN$153:$AN$206),"*","")</f>
        <v>#VALUE!</v>
      </c>
    </row>
    <row r="155" spans="21:41" s="498" customFormat="1" ht="0.65" hidden="1" customHeight="1">
      <c r="U155" s="499" t="e">
        <f t="shared" si="35"/>
        <v>#VALUE!</v>
      </c>
      <c r="V155" s="498">
        <f>IF(AND(NOT(AA155=1),NOT(AC155=1)),1+V154,V154)</f>
        <v>3</v>
      </c>
      <c r="W155" s="498">
        <f>IF(AND(NOT(AA155=1),AC155=1),1+W154,W154)</f>
        <v>0</v>
      </c>
      <c r="X155" s="498" t="e">
        <f>AG155</f>
        <v>#VALUE!</v>
      </c>
      <c r="Y155" s="500" t="e">
        <f t="shared" si="36"/>
        <v>#VALUE!</v>
      </c>
      <c r="Z155" s="500" t="str">
        <f t="shared" si="37"/>
        <v/>
      </c>
      <c r="AA155" s="498" t="str">
        <f t="shared" si="38"/>
        <v/>
      </c>
      <c r="AB155" s="500" t="e">
        <f>$D$12*(1+$D$35)^($H73-$D$3)</f>
        <v>#VALUE!</v>
      </c>
      <c r="AC155" s="498" t="str">
        <f t="shared" si="39"/>
        <v/>
      </c>
      <c r="AD155" s="498" t="str">
        <f t="shared" si="40"/>
        <v>C</v>
      </c>
      <c r="AF155" s="498" t="e">
        <f t="shared" si="34"/>
        <v>#VALUE!</v>
      </c>
      <c r="AG155" s="498" t="e">
        <f t="shared" si="34"/>
        <v>#VALUE!</v>
      </c>
      <c r="AH155" s="498" t="e">
        <f t="shared" si="34"/>
        <v>#VALUE!</v>
      </c>
      <c r="AI155" s="498" t="e">
        <f t="shared" si="34"/>
        <v>#VALUE!</v>
      </c>
      <c r="AJ155" s="500" t="e">
        <f t="shared" si="34"/>
        <v>#VALUE!</v>
      </c>
      <c r="AL155" s="498" t="e">
        <f t="shared" si="34"/>
        <v>#VALUE!</v>
      </c>
      <c r="AM155" s="498" t="e">
        <f t="shared" si="34"/>
        <v>#VALUE!</v>
      </c>
      <c r="AN155" s="498" t="e">
        <f t="shared" si="41"/>
        <v>#VALUE!</v>
      </c>
      <c r="AO155" s="499" t="e">
        <f t="shared" si="42"/>
        <v>#VALUE!</v>
      </c>
    </row>
    <row r="156" spans="21:41" s="498" customFormat="1" ht="0.65" hidden="1" customHeight="1">
      <c r="U156" s="499" t="e">
        <f t="shared" si="35"/>
        <v>#VALUE!</v>
      </c>
      <c r="V156" s="498">
        <f>IF(AND(NOT(AA156=1),NOT(AC156=1)),1+V155,V155)</f>
        <v>4</v>
      </c>
      <c r="W156" s="498">
        <f>IF(AND(NOT(AA156=1),AC156=1),1+W155,W155)</f>
        <v>0</v>
      </c>
      <c r="X156" s="498" t="e">
        <f>AG156</f>
        <v>#VALUE!</v>
      </c>
      <c r="Y156" s="500" t="e">
        <f t="shared" si="36"/>
        <v>#VALUE!</v>
      </c>
      <c r="Z156" s="500" t="str">
        <f>IF(J4="","",J4)</f>
        <v/>
      </c>
      <c r="AA156" s="498" t="str">
        <f t="shared" si="38"/>
        <v/>
      </c>
      <c r="AB156" s="500" t="e">
        <f>$D$13*(1+$D$36)^($H71-$D$3)-(AB175-AB174)</f>
        <v>#VALUE!</v>
      </c>
      <c r="AC156" s="498" t="str">
        <f t="shared" si="39"/>
        <v/>
      </c>
      <c r="AD156" s="498" t="str">
        <f t="shared" si="40"/>
        <v>C</v>
      </c>
      <c r="AF156" s="498" t="e">
        <f t="shared" si="34"/>
        <v>#VALUE!</v>
      </c>
      <c r="AG156" s="498" t="e">
        <f t="shared" si="34"/>
        <v>#VALUE!</v>
      </c>
      <c r="AH156" s="498" t="e">
        <f t="shared" si="34"/>
        <v>#VALUE!</v>
      </c>
      <c r="AI156" s="498" t="e">
        <f t="shared" si="34"/>
        <v>#VALUE!</v>
      </c>
      <c r="AJ156" s="500" t="e">
        <f t="shared" si="34"/>
        <v>#VALUE!</v>
      </c>
      <c r="AL156" s="498" t="e">
        <f t="shared" si="34"/>
        <v>#VALUE!</v>
      </c>
      <c r="AM156" s="498" t="e">
        <f t="shared" si="34"/>
        <v>#VALUE!</v>
      </c>
      <c r="AN156" s="498" t="e">
        <f t="shared" si="41"/>
        <v>#VALUE!</v>
      </c>
      <c r="AO156" s="499" t="e">
        <f t="shared" si="42"/>
        <v>#VALUE!</v>
      </c>
    </row>
    <row r="157" spans="21:41" s="498" customFormat="1" ht="0.65" hidden="1" customHeight="1">
      <c r="U157" s="499" t="e">
        <f t="shared" si="35"/>
        <v>#VALUE!</v>
      </c>
      <c r="V157" s="498">
        <f t="shared" ref="V157:V206" si="43">IF(AND(NOT(AA157=1),NOT(AC157=1)),1+V156,V156)</f>
        <v>5</v>
      </c>
      <c r="W157" s="498">
        <f t="shared" ref="W157:W206" si="44">IF(AND(NOT(AA157=1),AC157=1),1+W156,W156)</f>
        <v>0</v>
      </c>
      <c r="X157" s="498" t="e">
        <f t="shared" ref="X157:X206" si="45">AG157</f>
        <v>#VALUE!</v>
      </c>
      <c r="Y157" s="500" t="e">
        <f t="shared" si="36"/>
        <v>#VALUE!</v>
      </c>
      <c r="Z157" s="500" t="str">
        <f t="shared" ref="Z157:Z158" si="46">IF(J5="","",J5)</f>
        <v/>
      </c>
      <c r="AA157" s="498" t="str">
        <f t="shared" si="38"/>
        <v/>
      </c>
      <c r="AB157" s="500" t="e">
        <f>$D$13*(1+$D$36)^($H72-$D$3)-(AB176-AB175)</f>
        <v>#VALUE!</v>
      </c>
      <c r="AC157" s="498" t="str">
        <f t="shared" si="39"/>
        <v/>
      </c>
      <c r="AD157" s="498" t="str">
        <f t="shared" si="40"/>
        <v>C</v>
      </c>
      <c r="AF157" s="498" t="e">
        <f t="shared" si="34"/>
        <v>#VALUE!</v>
      </c>
      <c r="AG157" s="498" t="e">
        <f t="shared" si="34"/>
        <v>#VALUE!</v>
      </c>
      <c r="AH157" s="498" t="e">
        <f t="shared" si="34"/>
        <v>#VALUE!</v>
      </c>
      <c r="AI157" s="498" t="e">
        <f t="shared" si="34"/>
        <v>#VALUE!</v>
      </c>
      <c r="AJ157" s="500" t="e">
        <f t="shared" si="34"/>
        <v>#VALUE!</v>
      </c>
      <c r="AL157" s="498" t="e">
        <f t="shared" si="34"/>
        <v>#VALUE!</v>
      </c>
      <c r="AM157" s="498" t="e">
        <f t="shared" si="34"/>
        <v>#VALUE!</v>
      </c>
      <c r="AN157" s="498" t="e">
        <f t="shared" si="41"/>
        <v>#VALUE!</v>
      </c>
      <c r="AO157" s="499" t="e">
        <f t="shared" si="42"/>
        <v>#VALUE!</v>
      </c>
    </row>
    <row r="158" spans="21:41" s="498" customFormat="1" ht="0.65" hidden="1" customHeight="1">
      <c r="U158" s="499" t="e">
        <f t="shared" si="35"/>
        <v>#VALUE!</v>
      </c>
      <c r="V158" s="498">
        <f t="shared" si="43"/>
        <v>6</v>
      </c>
      <c r="W158" s="498">
        <f t="shared" si="44"/>
        <v>0</v>
      </c>
      <c r="X158" s="498" t="e">
        <f t="shared" si="45"/>
        <v>#VALUE!</v>
      </c>
      <c r="Y158" s="500" t="e">
        <f t="shared" si="36"/>
        <v>#VALUE!</v>
      </c>
      <c r="Z158" s="500" t="str">
        <f t="shared" si="46"/>
        <v/>
      </c>
      <c r="AA158" s="498" t="str">
        <f t="shared" si="38"/>
        <v/>
      </c>
      <c r="AB158" s="500" t="e">
        <f>$D$13*(1+$D$36)^($H73-$D$3)-(AB177-AB176)</f>
        <v>#VALUE!</v>
      </c>
      <c r="AC158" s="498" t="str">
        <f t="shared" si="39"/>
        <v/>
      </c>
      <c r="AD158" s="498" t="str">
        <f t="shared" si="40"/>
        <v>C</v>
      </c>
      <c r="AF158" s="498" t="e">
        <f t="shared" si="34"/>
        <v>#VALUE!</v>
      </c>
      <c r="AG158" s="498" t="e">
        <f t="shared" si="34"/>
        <v>#VALUE!</v>
      </c>
      <c r="AH158" s="498" t="e">
        <f t="shared" si="34"/>
        <v>#VALUE!</v>
      </c>
      <c r="AI158" s="498" t="e">
        <f t="shared" si="34"/>
        <v>#VALUE!</v>
      </c>
      <c r="AJ158" s="500" t="e">
        <f t="shared" si="34"/>
        <v>#VALUE!</v>
      </c>
      <c r="AL158" s="498" t="e">
        <f t="shared" si="34"/>
        <v>#VALUE!</v>
      </c>
      <c r="AM158" s="498" t="e">
        <f t="shared" si="34"/>
        <v>#VALUE!</v>
      </c>
      <c r="AN158" s="498" t="e">
        <f t="shared" si="41"/>
        <v>#VALUE!</v>
      </c>
      <c r="AO158" s="499" t="e">
        <f t="shared" si="42"/>
        <v>#VALUE!</v>
      </c>
    </row>
    <row r="159" spans="21:41" s="498" customFormat="1" ht="0.65" hidden="1" customHeight="1">
      <c r="U159" s="499" t="e">
        <f t="shared" si="35"/>
        <v>#VALUE!</v>
      </c>
      <c r="V159" s="498">
        <f t="shared" si="43"/>
        <v>7</v>
      </c>
      <c r="W159" s="498">
        <f t="shared" si="44"/>
        <v>0</v>
      </c>
      <c r="X159" s="498" t="e">
        <f t="shared" si="45"/>
        <v>#VALUE!</v>
      </c>
      <c r="Y159" s="500" t="e">
        <f t="shared" si="36"/>
        <v>#VALUE!</v>
      </c>
      <c r="Z159" s="500" t="str">
        <f>IF(K4="","",K4)</f>
        <v/>
      </c>
      <c r="AA159" s="498" t="str">
        <f t="shared" si="38"/>
        <v/>
      </c>
      <c r="AB159" s="500" t="e">
        <f>$D$7/$D$8</f>
        <v>#VALUE!</v>
      </c>
      <c r="AC159" s="498" t="str">
        <f t="shared" si="39"/>
        <v/>
      </c>
      <c r="AD159" s="498" t="str">
        <f t="shared" si="40"/>
        <v>C</v>
      </c>
      <c r="AF159" s="498" t="e">
        <f t="shared" si="34"/>
        <v>#VALUE!</v>
      </c>
      <c r="AG159" s="498" t="e">
        <f t="shared" si="34"/>
        <v>#VALUE!</v>
      </c>
      <c r="AH159" s="498" t="e">
        <f t="shared" si="34"/>
        <v>#VALUE!</v>
      </c>
      <c r="AI159" s="498" t="e">
        <f t="shared" si="34"/>
        <v>#VALUE!</v>
      </c>
      <c r="AJ159" s="500" t="e">
        <f t="shared" si="34"/>
        <v>#VALUE!</v>
      </c>
      <c r="AL159" s="498" t="e">
        <f t="shared" si="34"/>
        <v>#VALUE!</v>
      </c>
      <c r="AM159" s="498" t="e">
        <f t="shared" si="34"/>
        <v>#VALUE!</v>
      </c>
      <c r="AN159" s="498" t="e">
        <f t="shared" si="41"/>
        <v>#VALUE!</v>
      </c>
      <c r="AO159" s="499" t="e">
        <f t="shared" si="42"/>
        <v>#VALUE!</v>
      </c>
    </row>
    <row r="160" spans="21:41" s="498" customFormat="1" ht="0.65" hidden="1" customHeight="1">
      <c r="U160" s="499" t="e">
        <f t="shared" si="35"/>
        <v>#VALUE!</v>
      </c>
      <c r="V160" s="498">
        <f t="shared" si="43"/>
        <v>8</v>
      </c>
      <c r="W160" s="498">
        <f t="shared" si="44"/>
        <v>0</v>
      </c>
      <c r="X160" s="498" t="e">
        <f t="shared" si="45"/>
        <v>#VALUE!</v>
      </c>
      <c r="Y160" s="500" t="e">
        <f t="shared" si="36"/>
        <v>#VALUE!</v>
      </c>
      <c r="Z160" s="500" t="str">
        <f t="shared" ref="Z160:Z161" si="47">IF(K5="","",K5)</f>
        <v/>
      </c>
      <c r="AA160" s="498" t="str">
        <f t="shared" si="38"/>
        <v/>
      </c>
      <c r="AB160" s="500" t="e">
        <f>$D$7/$D$8</f>
        <v>#VALUE!</v>
      </c>
      <c r="AC160" s="498" t="str">
        <f t="shared" si="39"/>
        <v/>
      </c>
      <c r="AD160" s="498" t="str">
        <f t="shared" si="40"/>
        <v>C</v>
      </c>
      <c r="AF160" s="498" t="e">
        <f t="shared" si="34"/>
        <v>#VALUE!</v>
      </c>
      <c r="AG160" s="498" t="e">
        <f t="shared" si="34"/>
        <v>#VALUE!</v>
      </c>
      <c r="AH160" s="498" t="e">
        <f t="shared" si="34"/>
        <v>#VALUE!</v>
      </c>
      <c r="AI160" s="498" t="e">
        <f t="shared" si="34"/>
        <v>#VALUE!</v>
      </c>
      <c r="AJ160" s="500" t="e">
        <f t="shared" si="34"/>
        <v>#VALUE!</v>
      </c>
      <c r="AL160" s="498" t="e">
        <f t="shared" si="34"/>
        <v>#VALUE!</v>
      </c>
      <c r="AM160" s="498" t="e">
        <f t="shared" si="34"/>
        <v>#VALUE!</v>
      </c>
      <c r="AN160" s="498" t="e">
        <f t="shared" si="41"/>
        <v>#VALUE!</v>
      </c>
      <c r="AO160" s="499" t="e">
        <f t="shared" si="42"/>
        <v>#VALUE!</v>
      </c>
    </row>
    <row r="161" spans="21:41" s="498" customFormat="1" ht="0.65" hidden="1" customHeight="1">
      <c r="U161" s="499" t="e">
        <f t="shared" si="35"/>
        <v>#VALUE!</v>
      </c>
      <c r="V161" s="498">
        <f t="shared" si="43"/>
        <v>9</v>
      </c>
      <c r="W161" s="498">
        <f t="shared" si="44"/>
        <v>0</v>
      </c>
      <c r="X161" s="498" t="e">
        <f t="shared" si="45"/>
        <v>#VALUE!</v>
      </c>
      <c r="Y161" s="500" t="e">
        <f t="shared" si="36"/>
        <v>#VALUE!</v>
      </c>
      <c r="Z161" s="500" t="str">
        <f t="shared" si="47"/>
        <v/>
      </c>
      <c r="AA161" s="498" t="str">
        <f t="shared" si="38"/>
        <v/>
      </c>
      <c r="AB161" s="500" t="e">
        <f>$D$7/$D$8</f>
        <v>#VALUE!</v>
      </c>
      <c r="AC161" s="498" t="str">
        <f t="shared" si="39"/>
        <v/>
      </c>
      <c r="AD161" s="498" t="str">
        <f t="shared" si="40"/>
        <v>C</v>
      </c>
      <c r="AF161" s="498" t="e">
        <f t="shared" si="34"/>
        <v>#VALUE!</v>
      </c>
      <c r="AG161" s="498" t="e">
        <f t="shared" si="34"/>
        <v>#VALUE!</v>
      </c>
      <c r="AH161" s="498" t="e">
        <f t="shared" si="34"/>
        <v>#VALUE!</v>
      </c>
      <c r="AI161" s="498" t="e">
        <f t="shared" si="34"/>
        <v>#VALUE!</v>
      </c>
      <c r="AJ161" s="500" t="e">
        <f t="shared" si="34"/>
        <v>#VALUE!</v>
      </c>
      <c r="AL161" s="498" t="e">
        <f t="shared" si="34"/>
        <v>#VALUE!</v>
      </c>
      <c r="AM161" s="498" t="e">
        <f t="shared" si="34"/>
        <v>#VALUE!</v>
      </c>
      <c r="AN161" s="498" t="e">
        <f t="shared" si="41"/>
        <v>#VALUE!</v>
      </c>
      <c r="AO161" s="499" t="e">
        <f t="shared" si="42"/>
        <v>#VALUE!</v>
      </c>
    </row>
    <row r="162" spans="21:41" s="498" customFormat="1" ht="0.65" hidden="1" customHeight="1">
      <c r="U162" s="499" t="e">
        <f t="shared" si="35"/>
        <v>#VALUE!</v>
      </c>
      <c r="V162" s="498">
        <f t="shared" si="43"/>
        <v>10</v>
      </c>
      <c r="W162" s="498">
        <f t="shared" si="44"/>
        <v>0</v>
      </c>
      <c r="X162" s="498" t="e">
        <f t="shared" si="45"/>
        <v>#VALUE!</v>
      </c>
      <c r="Y162" s="500" t="e">
        <f t="shared" si="36"/>
        <v>#VALUE!</v>
      </c>
      <c r="Z162" s="500" t="str">
        <f>IF(L4="","",L4)</f>
        <v/>
      </c>
      <c r="AA162" s="498" t="str">
        <f t="shared" si="38"/>
        <v/>
      </c>
      <c r="AB162" s="500">
        <f>I4-J4-K4</f>
        <v>0</v>
      </c>
      <c r="AC162" s="498" t="str">
        <f t="shared" si="39"/>
        <v/>
      </c>
      <c r="AD162" s="498" t="str">
        <f t="shared" si="40"/>
        <v>C</v>
      </c>
      <c r="AF162" s="498" t="e">
        <f t="shared" si="34"/>
        <v>#VALUE!</v>
      </c>
      <c r="AG162" s="498" t="e">
        <f t="shared" si="34"/>
        <v>#VALUE!</v>
      </c>
      <c r="AH162" s="498" t="e">
        <f t="shared" si="34"/>
        <v>#VALUE!</v>
      </c>
      <c r="AI162" s="500" t="e">
        <f t="shared" si="34"/>
        <v>#VALUE!</v>
      </c>
      <c r="AJ162" s="500" t="e">
        <f t="shared" si="34"/>
        <v>#VALUE!</v>
      </c>
      <c r="AL162" s="500" t="e">
        <f t="shared" si="34"/>
        <v>#VALUE!</v>
      </c>
      <c r="AM162" s="498" t="e">
        <f t="shared" si="34"/>
        <v>#VALUE!</v>
      </c>
      <c r="AN162" s="498" t="e">
        <f t="shared" si="41"/>
        <v>#VALUE!</v>
      </c>
      <c r="AO162" s="499" t="e">
        <f t="shared" si="42"/>
        <v>#VALUE!</v>
      </c>
    </row>
    <row r="163" spans="21:41" s="498" customFormat="1" ht="0.65" hidden="1" customHeight="1">
      <c r="U163" s="499" t="e">
        <f t="shared" si="35"/>
        <v>#VALUE!</v>
      </c>
      <c r="V163" s="498">
        <f t="shared" si="43"/>
        <v>11</v>
      </c>
      <c r="W163" s="498">
        <f t="shared" si="44"/>
        <v>0</v>
      </c>
      <c r="X163" s="498" t="e">
        <f t="shared" si="45"/>
        <v>#VALUE!</v>
      </c>
      <c r="Y163" s="500" t="e">
        <f t="shared" si="36"/>
        <v>#VALUE!</v>
      </c>
      <c r="Z163" s="500" t="str">
        <f t="shared" ref="Z163:Z164" si="48">IF(L5="","",L5)</f>
        <v/>
      </c>
      <c r="AA163" s="498" t="str">
        <f t="shared" si="38"/>
        <v/>
      </c>
      <c r="AB163" s="500">
        <f>I5-J5-K5</f>
        <v>0</v>
      </c>
      <c r="AC163" s="498" t="str">
        <f t="shared" si="39"/>
        <v/>
      </c>
      <c r="AD163" s="498" t="str">
        <f t="shared" si="40"/>
        <v>C</v>
      </c>
      <c r="AF163" s="498" t="e">
        <f t="shared" si="34"/>
        <v>#VALUE!</v>
      </c>
      <c r="AG163" s="498" t="e">
        <f t="shared" si="34"/>
        <v>#VALUE!</v>
      </c>
      <c r="AH163" s="498" t="e">
        <f t="shared" si="34"/>
        <v>#VALUE!</v>
      </c>
      <c r="AI163" s="500" t="e">
        <f t="shared" si="34"/>
        <v>#VALUE!</v>
      </c>
      <c r="AJ163" s="500" t="e">
        <f t="shared" si="34"/>
        <v>#VALUE!</v>
      </c>
      <c r="AL163" s="500" t="e">
        <f t="shared" si="34"/>
        <v>#VALUE!</v>
      </c>
      <c r="AM163" s="498" t="e">
        <f t="shared" si="34"/>
        <v>#VALUE!</v>
      </c>
      <c r="AN163" s="498" t="e">
        <f t="shared" si="41"/>
        <v>#VALUE!</v>
      </c>
      <c r="AO163" s="499" t="e">
        <f t="shared" si="42"/>
        <v>#VALUE!</v>
      </c>
    </row>
    <row r="164" spans="21:41" s="498" customFormat="1" ht="0.65" hidden="1" customHeight="1">
      <c r="U164" s="499" t="e">
        <f t="shared" si="35"/>
        <v>#VALUE!</v>
      </c>
      <c r="V164" s="498">
        <f t="shared" si="43"/>
        <v>12</v>
      </c>
      <c r="W164" s="498">
        <f t="shared" si="44"/>
        <v>0</v>
      </c>
      <c r="X164" s="498" t="e">
        <f t="shared" si="45"/>
        <v>#VALUE!</v>
      </c>
      <c r="Y164" s="500" t="e">
        <f t="shared" si="36"/>
        <v>#VALUE!</v>
      </c>
      <c r="Z164" s="500" t="str">
        <f t="shared" si="48"/>
        <v/>
      </c>
      <c r="AA164" s="498" t="str">
        <f t="shared" si="38"/>
        <v/>
      </c>
      <c r="AB164" s="500">
        <f>I6-J6-K6</f>
        <v>0</v>
      </c>
      <c r="AC164" s="498" t="str">
        <f t="shared" si="39"/>
        <v/>
      </c>
      <c r="AD164" s="498" t="str">
        <f t="shared" si="40"/>
        <v>C</v>
      </c>
      <c r="AF164" s="498" t="e">
        <f t="shared" si="34"/>
        <v>#VALUE!</v>
      </c>
      <c r="AG164" s="498" t="e">
        <f t="shared" si="34"/>
        <v>#VALUE!</v>
      </c>
      <c r="AH164" s="498" t="e">
        <f t="shared" si="34"/>
        <v>#VALUE!</v>
      </c>
      <c r="AI164" s="500" t="e">
        <f t="shared" si="34"/>
        <v>#VALUE!</v>
      </c>
      <c r="AJ164" s="500" t="e">
        <f t="shared" si="34"/>
        <v>#VALUE!</v>
      </c>
      <c r="AL164" s="500" t="e">
        <f t="shared" si="34"/>
        <v>#VALUE!</v>
      </c>
      <c r="AM164" s="498" t="e">
        <f t="shared" si="34"/>
        <v>#VALUE!</v>
      </c>
      <c r="AN164" s="498" t="e">
        <f t="shared" si="41"/>
        <v>#VALUE!</v>
      </c>
      <c r="AO164" s="499" t="e">
        <f t="shared" si="42"/>
        <v>#VALUE!</v>
      </c>
    </row>
    <row r="165" spans="21:41" s="498" customFormat="1" ht="0.65" hidden="1" customHeight="1">
      <c r="U165" s="499" t="e">
        <f t="shared" si="35"/>
        <v>#VALUE!</v>
      </c>
      <c r="V165" s="498">
        <f t="shared" si="43"/>
        <v>13</v>
      </c>
      <c r="W165" s="498">
        <f t="shared" si="44"/>
        <v>0</v>
      </c>
      <c r="X165" s="498" t="e">
        <f t="shared" si="45"/>
        <v>#VALUE!</v>
      </c>
      <c r="Y165" s="500" t="e">
        <f t="shared" si="36"/>
        <v>#VALUE!</v>
      </c>
      <c r="Z165" s="500" t="str">
        <f>IF(M4="","",M4)</f>
        <v/>
      </c>
      <c r="AA165" s="498" t="str">
        <f t="shared" si="38"/>
        <v/>
      </c>
      <c r="AB165" s="500" t="e">
        <f>$D$24*L4</f>
        <v>#VALUE!</v>
      </c>
      <c r="AC165" s="498" t="str">
        <f t="shared" si="39"/>
        <v/>
      </c>
      <c r="AD165" s="498" t="str">
        <f t="shared" si="40"/>
        <v>C</v>
      </c>
      <c r="AF165" s="498" t="e">
        <f t="shared" si="34"/>
        <v>#VALUE!</v>
      </c>
      <c r="AG165" s="498" t="e">
        <f t="shared" si="34"/>
        <v>#VALUE!</v>
      </c>
      <c r="AH165" s="498" t="e">
        <f t="shared" si="34"/>
        <v>#VALUE!</v>
      </c>
      <c r="AI165" s="498" t="e">
        <f t="shared" si="34"/>
        <v>#VALUE!</v>
      </c>
      <c r="AJ165" s="500" t="e">
        <f t="shared" si="34"/>
        <v>#VALUE!</v>
      </c>
      <c r="AL165" s="498" t="e">
        <f t="shared" si="34"/>
        <v>#VALUE!</v>
      </c>
      <c r="AM165" s="498" t="e">
        <f t="shared" si="34"/>
        <v>#VALUE!</v>
      </c>
      <c r="AN165" s="498" t="e">
        <f t="shared" si="41"/>
        <v>#VALUE!</v>
      </c>
      <c r="AO165" s="499" t="e">
        <f t="shared" si="42"/>
        <v>#VALUE!</v>
      </c>
    </row>
    <row r="166" spans="21:41" s="498" customFormat="1" ht="0.65" hidden="1" customHeight="1">
      <c r="U166" s="499" t="e">
        <f t="shared" si="35"/>
        <v>#VALUE!</v>
      </c>
      <c r="V166" s="498">
        <f t="shared" si="43"/>
        <v>14</v>
      </c>
      <c r="W166" s="498">
        <f t="shared" si="44"/>
        <v>0</v>
      </c>
      <c r="X166" s="498" t="e">
        <f t="shared" si="45"/>
        <v>#VALUE!</v>
      </c>
      <c r="Y166" s="500" t="e">
        <f t="shared" si="36"/>
        <v>#VALUE!</v>
      </c>
      <c r="Z166" s="500" t="str">
        <f t="shared" ref="Z166:Z167" si="49">IF(M5="","",M5)</f>
        <v/>
      </c>
      <c r="AA166" s="498" t="str">
        <f t="shared" si="38"/>
        <v/>
      </c>
      <c r="AB166" s="500" t="e">
        <f>$D$24*L5</f>
        <v>#VALUE!</v>
      </c>
      <c r="AC166" s="498" t="str">
        <f t="shared" si="39"/>
        <v/>
      </c>
      <c r="AD166" s="498" t="str">
        <f t="shared" si="40"/>
        <v>C</v>
      </c>
      <c r="AF166" s="498" t="e">
        <f t="shared" si="34"/>
        <v>#VALUE!</v>
      </c>
      <c r="AG166" s="498" t="e">
        <f t="shared" si="34"/>
        <v>#VALUE!</v>
      </c>
      <c r="AH166" s="498" t="e">
        <f t="shared" si="34"/>
        <v>#VALUE!</v>
      </c>
      <c r="AI166" s="498" t="e">
        <f t="shared" si="34"/>
        <v>#VALUE!</v>
      </c>
      <c r="AJ166" s="500" t="e">
        <f t="shared" si="34"/>
        <v>#VALUE!</v>
      </c>
      <c r="AL166" s="498" t="e">
        <f t="shared" si="34"/>
        <v>#VALUE!</v>
      </c>
      <c r="AM166" s="498" t="e">
        <f t="shared" si="34"/>
        <v>#VALUE!</v>
      </c>
      <c r="AN166" s="498" t="e">
        <f t="shared" si="41"/>
        <v>#VALUE!</v>
      </c>
      <c r="AO166" s="499" t="e">
        <f t="shared" si="42"/>
        <v>#VALUE!</v>
      </c>
    </row>
    <row r="167" spans="21:41" s="498" customFormat="1" ht="0.65" hidden="1" customHeight="1">
      <c r="U167" s="499" t="e">
        <f t="shared" si="35"/>
        <v>#VALUE!</v>
      </c>
      <c r="V167" s="498">
        <f t="shared" si="43"/>
        <v>15</v>
      </c>
      <c r="W167" s="498">
        <f t="shared" si="44"/>
        <v>0</v>
      </c>
      <c r="X167" s="498" t="e">
        <f t="shared" si="45"/>
        <v>#VALUE!</v>
      </c>
      <c r="Y167" s="500" t="e">
        <f t="shared" si="36"/>
        <v>#VALUE!</v>
      </c>
      <c r="Z167" s="500" t="str">
        <f t="shared" si="49"/>
        <v/>
      </c>
      <c r="AA167" s="498" t="str">
        <f t="shared" si="38"/>
        <v/>
      </c>
      <c r="AB167" s="500" t="e">
        <f>$D$24*L6</f>
        <v>#VALUE!</v>
      </c>
      <c r="AC167" s="498" t="str">
        <f t="shared" si="39"/>
        <v/>
      </c>
      <c r="AD167" s="498" t="str">
        <f t="shared" si="40"/>
        <v>C</v>
      </c>
      <c r="AF167" s="498" t="e">
        <f t="shared" si="34"/>
        <v>#VALUE!</v>
      </c>
      <c r="AG167" s="498" t="e">
        <f t="shared" si="34"/>
        <v>#VALUE!</v>
      </c>
      <c r="AH167" s="498" t="e">
        <f t="shared" si="34"/>
        <v>#VALUE!</v>
      </c>
      <c r="AI167" s="498" t="e">
        <f t="shared" si="34"/>
        <v>#VALUE!</v>
      </c>
      <c r="AJ167" s="500" t="e">
        <f t="shared" si="34"/>
        <v>#VALUE!</v>
      </c>
      <c r="AL167" s="498" t="e">
        <f t="shared" si="34"/>
        <v>#VALUE!</v>
      </c>
      <c r="AM167" s="498" t="e">
        <f t="shared" si="34"/>
        <v>#VALUE!</v>
      </c>
      <c r="AN167" s="498" t="e">
        <f t="shared" si="41"/>
        <v>#VALUE!</v>
      </c>
      <c r="AO167" s="499" t="e">
        <f t="shared" si="42"/>
        <v>#VALUE!</v>
      </c>
    </row>
    <row r="168" spans="21:41" s="498" customFormat="1" ht="0.65" hidden="1" customHeight="1">
      <c r="U168" s="499" t="e">
        <f t="shared" si="35"/>
        <v>#VALUE!</v>
      </c>
      <c r="V168" s="498">
        <f t="shared" si="43"/>
        <v>16</v>
      </c>
      <c r="W168" s="498">
        <f t="shared" si="44"/>
        <v>0</v>
      </c>
      <c r="X168" s="498" t="e">
        <f t="shared" si="45"/>
        <v>#VALUE!</v>
      </c>
      <c r="Y168" s="500" t="e">
        <f t="shared" si="36"/>
        <v>#VALUE!</v>
      </c>
      <c r="Z168" s="500" t="str">
        <f>IF(N4="","",N4)</f>
        <v/>
      </c>
      <c r="AA168" s="498" t="str">
        <f t="shared" si="38"/>
        <v/>
      </c>
      <c r="AB168" s="500">
        <f>L4-M4</f>
        <v>0</v>
      </c>
      <c r="AC168" s="498" t="str">
        <f t="shared" si="39"/>
        <v/>
      </c>
      <c r="AD168" s="498" t="str">
        <f t="shared" si="40"/>
        <v>C</v>
      </c>
      <c r="AF168" s="498" t="e">
        <f t="shared" si="34"/>
        <v>#VALUE!</v>
      </c>
      <c r="AG168" s="498" t="e">
        <f t="shared" si="34"/>
        <v>#VALUE!</v>
      </c>
      <c r="AH168" s="498" t="e">
        <f t="shared" si="34"/>
        <v>#VALUE!</v>
      </c>
      <c r="AI168" s="500" t="e">
        <f t="shared" si="34"/>
        <v>#VALUE!</v>
      </c>
      <c r="AJ168" s="500" t="e">
        <f t="shared" si="34"/>
        <v>#VALUE!</v>
      </c>
      <c r="AL168" s="500" t="e">
        <f t="shared" si="34"/>
        <v>#VALUE!</v>
      </c>
      <c r="AM168" s="498" t="e">
        <f t="shared" si="34"/>
        <v>#VALUE!</v>
      </c>
      <c r="AN168" s="498" t="e">
        <f t="shared" si="41"/>
        <v>#VALUE!</v>
      </c>
      <c r="AO168" s="499" t="e">
        <f t="shared" si="42"/>
        <v>#VALUE!</v>
      </c>
    </row>
    <row r="169" spans="21:41" s="498" customFormat="1" ht="0.65" hidden="1" customHeight="1">
      <c r="U169" s="499" t="e">
        <f t="shared" si="35"/>
        <v>#VALUE!</v>
      </c>
      <c r="V169" s="498">
        <f t="shared" si="43"/>
        <v>17</v>
      </c>
      <c r="W169" s="498">
        <f t="shared" si="44"/>
        <v>0</v>
      </c>
      <c r="X169" s="498" t="e">
        <f t="shared" si="45"/>
        <v>#VALUE!</v>
      </c>
      <c r="Y169" s="500" t="e">
        <f t="shared" si="36"/>
        <v>#VALUE!</v>
      </c>
      <c r="Z169" s="500" t="str">
        <f t="shared" ref="Z169:Z170" si="50">IF(N5="","",N5)</f>
        <v/>
      </c>
      <c r="AA169" s="498" t="str">
        <f t="shared" si="38"/>
        <v/>
      </c>
      <c r="AB169" s="500">
        <f>L5-M5</f>
        <v>0</v>
      </c>
      <c r="AC169" s="498" t="str">
        <f t="shared" si="39"/>
        <v/>
      </c>
      <c r="AD169" s="498" t="str">
        <f t="shared" si="40"/>
        <v>C</v>
      </c>
      <c r="AF169" s="498" t="e">
        <f t="shared" ref="AF169:AM184" si="51">VLOOKUP($U169,$U$307:$AM$1143,AF$149,FALSE)</f>
        <v>#VALUE!</v>
      </c>
      <c r="AG169" s="498" t="e">
        <f t="shared" si="51"/>
        <v>#VALUE!</v>
      </c>
      <c r="AH169" s="498" t="e">
        <f t="shared" si="51"/>
        <v>#VALUE!</v>
      </c>
      <c r="AI169" s="500" t="e">
        <f t="shared" si="51"/>
        <v>#VALUE!</v>
      </c>
      <c r="AJ169" s="500" t="e">
        <f t="shared" si="51"/>
        <v>#VALUE!</v>
      </c>
      <c r="AL169" s="500" t="e">
        <f t="shared" si="51"/>
        <v>#VALUE!</v>
      </c>
      <c r="AM169" s="498" t="e">
        <f t="shared" si="51"/>
        <v>#VALUE!</v>
      </c>
      <c r="AN169" s="498" t="e">
        <f t="shared" si="41"/>
        <v>#VALUE!</v>
      </c>
      <c r="AO169" s="499" t="e">
        <f t="shared" si="42"/>
        <v>#VALUE!</v>
      </c>
    </row>
    <row r="170" spans="21:41" s="498" customFormat="1" ht="0.65" hidden="1" customHeight="1">
      <c r="U170" s="499" t="e">
        <f t="shared" si="35"/>
        <v>#VALUE!</v>
      </c>
      <c r="V170" s="498">
        <f t="shared" si="43"/>
        <v>18</v>
      </c>
      <c r="W170" s="498">
        <f t="shared" si="44"/>
        <v>0</v>
      </c>
      <c r="X170" s="498" t="e">
        <f t="shared" si="45"/>
        <v>#VALUE!</v>
      </c>
      <c r="Y170" s="500" t="e">
        <f t="shared" si="36"/>
        <v>#VALUE!</v>
      </c>
      <c r="Z170" s="500" t="str">
        <f t="shared" si="50"/>
        <v/>
      </c>
      <c r="AA170" s="498" t="str">
        <f t="shared" si="38"/>
        <v/>
      </c>
      <c r="AB170" s="500">
        <f>L6-M6</f>
        <v>0</v>
      </c>
      <c r="AC170" s="498" t="str">
        <f t="shared" si="39"/>
        <v/>
      </c>
      <c r="AD170" s="498" t="str">
        <f t="shared" si="40"/>
        <v>C</v>
      </c>
      <c r="AF170" s="498" t="e">
        <f t="shared" si="51"/>
        <v>#VALUE!</v>
      </c>
      <c r="AG170" s="498" t="e">
        <f t="shared" si="51"/>
        <v>#VALUE!</v>
      </c>
      <c r="AH170" s="498" t="e">
        <f t="shared" si="51"/>
        <v>#VALUE!</v>
      </c>
      <c r="AI170" s="500" t="e">
        <f t="shared" si="51"/>
        <v>#VALUE!</v>
      </c>
      <c r="AJ170" s="500" t="e">
        <f t="shared" si="51"/>
        <v>#VALUE!</v>
      </c>
      <c r="AL170" s="500" t="e">
        <f t="shared" si="51"/>
        <v>#VALUE!</v>
      </c>
      <c r="AM170" s="498" t="e">
        <f t="shared" si="51"/>
        <v>#VALUE!</v>
      </c>
      <c r="AN170" s="498" t="e">
        <f t="shared" si="41"/>
        <v>#VALUE!</v>
      </c>
      <c r="AO170" s="499" t="e">
        <f t="shared" si="42"/>
        <v>#VALUE!</v>
      </c>
    </row>
    <row r="171" spans="21:41" s="498" customFormat="1" ht="0.65" hidden="1" customHeight="1">
      <c r="U171" s="499" t="e">
        <f t="shared" si="35"/>
        <v>#VALUE!</v>
      </c>
      <c r="V171" s="498">
        <f t="shared" si="43"/>
        <v>19</v>
      </c>
      <c r="W171" s="498">
        <f t="shared" si="44"/>
        <v>0</v>
      </c>
      <c r="X171" s="498" t="e">
        <f t="shared" si="45"/>
        <v>#VALUE!</v>
      </c>
      <c r="Y171" s="500" t="e">
        <f t="shared" si="36"/>
        <v>#VALUE!</v>
      </c>
      <c r="Z171" s="500" t="str">
        <f>IF(O4="","",O4)</f>
        <v/>
      </c>
      <c r="AA171" s="498" t="str">
        <f t="shared" si="38"/>
        <v/>
      </c>
      <c r="AB171" s="500">
        <f>N4+K4</f>
        <v>0</v>
      </c>
      <c r="AC171" s="498" t="str">
        <f t="shared" si="39"/>
        <v/>
      </c>
      <c r="AD171" s="498" t="str">
        <f t="shared" si="40"/>
        <v>C</v>
      </c>
      <c r="AF171" s="498" t="e">
        <f t="shared" si="51"/>
        <v>#VALUE!</v>
      </c>
      <c r="AG171" s="498" t="e">
        <f t="shared" si="51"/>
        <v>#VALUE!</v>
      </c>
      <c r="AH171" s="498" t="e">
        <f t="shared" si="51"/>
        <v>#VALUE!</v>
      </c>
      <c r="AI171" s="500" t="e">
        <f t="shared" si="51"/>
        <v>#VALUE!</v>
      </c>
      <c r="AJ171" s="500" t="e">
        <f t="shared" si="51"/>
        <v>#VALUE!</v>
      </c>
      <c r="AL171" s="500" t="e">
        <f t="shared" si="51"/>
        <v>#VALUE!</v>
      </c>
      <c r="AM171" s="498" t="e">
        <f t="shared" si="51"/>
        <v>#VALUE!</v>
      </c>
      <c r="AN171" s="498" t="e">
        <f t="shared" si="41"/>
        <v>#VALUE!</v>
      </c>
      <c r="AO171" s="499" t="e">
        <f t="shared" si="42"/>
        <v>#VALUE!</v>
      </c>
    </row>
    <row r="172" spans="21:41" s="498" customFormat="1" ht="0.65" hidden="1" customHeight="1">
      <c r="U172" s="499" t="e">
        <f t="shared" si="35"/>
        <v>#VALUE!</v>
      </c>
      <c r="V172" s="498">
        <f t="shared" si="43"/>
        <v>20</v>
      </c>
      <c r="W172" s="498">
        <f t="shared" si="44"/>
        <v>0</v>
      </c>
      <c r="X172" s="498" t="e">
        <f t="shared" si="45"/>
        <v>#VALUE!</v>
      </c>
      <c r="Y172" s="500" t="e">
        <f t="shared" si="36"/>
        <v>#VALUE!</v>
      </c>
      <c r="Z172" s="500" t="str">
        <f t="shared" ref="Z172:Z173" si="52">IF(O5="","",O5)</f>
        <v/>
      </c>
      <c r="AA172" s="498" t="str">
        <f t="shared" si="38"/>
        <v/>
      </c>
      <c r="AB172" s="500">
        <f>N5+K5</f>
        <v>0</v>
      </c>
      <c r="AC172" s="498" t="str">
        <f t="shared" si="39"/>
        <v/>
      </c>
      <c r="AD172" s="498" t="str">
        <f t="shared" si="40"/>
        <v>C</v>
      </c>
      <c r="AF172" s="498" t="e">
        <f t="shared" si="51"/>
        <v>#VALUE!</v>
      </c>
      <c r="AG172" s="498" t="e">
        <f t="shared" si="51"/>
        <v>#VALUE!</v>
      </c>
      <c r="AH172" s="498" t="e">
        <f t="shared" si="51"/>
        <v>#VALUE!</v>
      </c>
      <c r="AI172" s="500" t="e">
        <f t="shared" si="51"/>
        <v>#VALUE!</v>
      </c>
      <c r="AJ172" s="500" t="e">
        <f t="shared" si="51"/>
        <v>#VALUE!</v>
      </c>
      <c r="AL172" s="500" t="e">
        <f t="shared" si="51"/>
        <v>#VALUE!</v>
      </c>
      <c r="AM172" s="498" t="e">
        <f t="shared" si="51"/>
        <v>#VALUE!</v>
      </c>
      <c r="AN172" s="498" t="e">
        <f t="shared" si="41"/>
        <v>#VALUE!</v>
      </c>
      <c r="AO172" s="499" t="e">
        <f t="shared" si="42"/>
        <v>#VALUE!</v>
      </c>
    </row>
    <row r="173" spans="21:41" s="498" customFormat="1" ht="0.65" hidden="1" customHeight="1">
      <c r="U173" s="499" t="e">
        <f t="shared" si="35"/>
        <v>#VALUE!</v>
      </c>
      <c r="V173" s="498">
        <f t="shared" si="43"/>
        <v>21</v>
      </c>
      <c r="W173" s="498">
        <f t="shared" si="44"/>
        <v>0</v>
      </c>
      <c r="X173" s="498" t="e">
        <f t="shared" si="45"/>
        <v>#VALUE!</v>
      </c>
      <c r="Y173" s="500" t="e">
        <f t="shared" si="36"/>
        <v>#VALUE!</v>
      </c>
      <c r="Z173" s="500" t="str">
        <f t="shared" si="52"/>
        <v/>
      </c>
      <c r="AA173" s="498" t="str">
        <f t="shared" si="38"/>
        <v/>
      </c>
      <c r="AB173" s="500">
        <f>N6+K6</f>
        <v>0</v>
      </c>
      <c r="AC173" s="498" t="str">
        <f t="shared" si="39"/>
        <v/>
      </c>
      <c r="AD173" s="498" t="str">
        <f t="shared" si="40"/>
        <v>C</v>
      </c>
      <c r="AF173" s="498" t="e">
        <f t="shared" si="51"/>
        <v>#VALUE!</v>
      </c>
      <c r="AG173" s="498" t="e">
        <f t="shared" si="51"/>
        <v>#VALUE!</v>
      </c>
      <c r="AH173" s="498" t="e">
        <f t="shared" si="51"/>
        <v>#VALUE!</v>
      </c>
      <c r="AI173" s="500" t="e">
        <f t="shared" si="51"/>
        <v>#VALUE!</v>
      </c>
      <c r="AJ173" s="500" t="e">
        <f t="shared" si="51"/>
        <v>#VALUE!</v>
      </c>
      <c r="AL173" s="500" t="e">
        <f t="shared" si="51"/>
        <v>#VALUE!</v>
      </c>
      <c r="AM173" s="498" t="e">
        <f t="shared" si="51"/>
        <v>#VALUE!</v>
      </c>
      <c r="AN173" s="498" t="e">
        <f t="shared" si="41"/>
        <v>#VALUE!</v>
      </c>
      <c r="AO173" s="499" t="e">
        <f t="shared" si="42"/>
        <v>#VALUE!</v>
      </c>
    </row>
    <row r="174" spans="21:41" s="498" customFormat="1" ht="0.65" hidden="1" customHeight="1">
      <c r="U174" s="499" t="e">
        <f t="shared" si="35"/>
        <v>#VALUE!</v>
      </c>
      <c r="V174" s="498">
        <f t="shared" si="43"/>
        <v>22</v>
      </c>
      <c r="W174" s="498">
        <f t="shared" si="44"/>
        <v>0</v>
      </c>
      <c r="X174" s="498" t="e">
        <f t="shared" si="45"/>
        <v>#VALUE!</v>
      </c>
      <c r="Y174" s="500" t="e">
        <f t="shared" si="36"/>
        <v>#VALUE!</v>
      </c>
      <c r="Z174" s="500" t="str">
        <f>IF(I10="","",I10)</f>
        <v/>
      </c>
      <c r="AA174" s="498" t="str">
        <f t="shared" si="38"/>
        <v/>
      </c>
      <c r="AB174" s="500" t="e">
        <f>$D$19</f>
        <v>#VALUE!</v>
      </c>
      <c r="AC174" s="498" t="str">
        <f t="shared" si="39"/>
        <v/>
      </c>
      <c r="AD174" s="498" t="str">
        <f t="shared" si="40"/>
        <v>C</v>
      </c>
      <c r="AF174" s="498" t="e">
        <f t="shared" si="51"/>
        <v>#VALUE!</v>
      </c>
      <c r="AG174" s="498" t="e">
        <f t="shared" si="51"/>
        <v>#VALUE!</v>
      </c>
      <c r="AH174" s="498" t="e">
        <f t="shared" si="51"/>
        <v>#VALUE!</v>
      </c>
      <c r="AI174" s="500" t="e">
        <f t="shared" si="51"/>
        <v>#VALUE!</v>
      </c>
      <c r="AJ174" s="500" t="e">
        <f t="shared" si="51"/>
        <v>#VALUE!</v>
      </c>
      <c r="AL174" s="500" t="e">
        <f t="shared" si="51"/>
        <v>#VALUE!</v>
      </c>
      <c r="AM174" s="498" t="e">
        <f t="shared" si="51"/>
        <v>#VALUE!</v>
      </c>
      <c r="AN174" s="498" t="e">
        <f t="shared" si="41"/>
        <v>#VALUE!</v>
      </c>
      <c r="AO174" s="499" t="e">
        <f t="shared" si="42"/>
        <v>#VALUE!</v>
      </c>
    </row>
    <row r="175" spans="21:41" s="498" customFormat="1" ht="0.65" hidden="1" customHeight="1">
      <c r="U175" s="499" t="e">
        <f t="shared" si="35"/>
        <v>#VALUE!</v>
      </c>
      <c r="V175" s="498">
        <f t="shared" si="43"/>
        <v>23</v>
      </c>
      <c r="W175" s="498">
        <f t="shared" si="44"/>
        <v>0</v>
      </c>
      <c r="X175" s="498" t="e">
        <f t="shared" si="45"/>
        <v>#VALUE!</v>
      </c>
      <c r="Y175" s="500" t="e">
        <f t="shared" si="36"/>
        <v>#VALUE!</v>
      </c>
      <c r="Z175" s="500" t="str">
        <f t="shared" ref="Z175:Z177" si="53">IF(I11="","",I11)</f>
        <v/>
      </c>
      <c r="AA175" s="498" t="str">
        <f t="shared" si="38"/>
        <v/>
      </c>
      <c r="AB175" s="500" t="e">
        <f>AB174*(1+$D$36)</f>
        <v>#VALUE!</v>
      </c>
      <c r="AC175" s="498" t="str">
        <f t="shared" si="39"/>
        <v/>
      </c>
      <c r="AD175" s="498" t="str">
        <f t="shared" si="40"/>
        <v>C</v>
      </c>
      <c r="AF175" s="498" t="e">
        <f t="shared" si="51"/>
        <v>#VALUE!</v>
      </c>
      <c r="AG175" s="498" t="e">
        <f t="shared" si="51"/>
        <v>#VALUE!</v>
      </c>
      <c r="AH175" s="498" t="e">
        <f t="shared" si="51"/>
        <v>#VALUE!</v>
      </c>
      <c r="AI175" s="498" t="e">
        <f t="shared" si="51"/>
        <v>#VALUE!</v>
      </c>
      <c r="AJ175" s="500" t="e">
        <f t="shared" si="51"/>
        <v>#VALUE!</v>
      </c>
      <c r="AL175" s="500" t="e">
        <f t="shared" si="51"/>
        <v>#VALUE!</v>
      </c>
      <c r="AM175" s="498" t="e">
        <f t="shared" si="51"/>
        <v>#VALUE!</v>
      </c>
      <c r="AN175" s="498" t="e">
        <f t="shared" si="41"/>
        <v>#VALUE!</v>
      </c>
      <c r="AO175" s="499" t="e">
        <f t="shared" si="42"/>
        <v>#VALUE!</v>
      </c>
    </row>
    <row r="176" spans="21:41" s="498" customFormat="1" ht="0.65" hidden="1" customHeight="1">
      <c r="U176" s="499" t="e">
        <f t="shared" si="35"/>
        <v>#VALUE!</v>
      </c>
      <c r="V176" s="498">
        <f t="shared" si="43"/>
        <v>24</v>
      </c>
      <c r="W176" s="498">
        <f t="shared" si="44"/>
        <v>0</v>
      </c>
      <c r="X176" s="498" t="e">
        <f t="shared" si="45"/>
        <v>#VALUE!</v>
      </c>
      <c r="Y176" s="500" t="e">
        <f t="shared" si="36"/>
        <v>#VALUE!</v>
      </c>
      <c r="Z176" s="500" t="str">
        <f t="shared" si="53"/>
        <v/>
      </c>
      <c r="AA176" s="498" t="str">
        <f t="shared" si="38"/>
        <v/>
      </c>
      <c r="AB176" s="500" t="e">
        <f>AB175*(1+$D$36)</f>
        <v>#VALUE!</v>
      </c>
      <c r="AC176" s="498" t="str">
        <f t="shared" si="39"/>
        <v/>
      </c>
      <c r="AD176" s="498" t="str">
        <f t="shared" si="40"/>
        <v>C</v>
      </c>
      <c r="AF176" s="498" t="e">
        <f t="shared" si="51"/>
        <v>#VALUE!</v>
      </c>
      <c r="AG176" s="498" t="e">
        <f t="shared" si="51"/>
        <v>#VALUE!</v>
      </c>
      <c r="AH176" s="498" t="e">
        <f t="shared" si="51"/>
        <v>#VALUE!</v>
      </c>
      <c r="AI176" s="498" t="e">
        <f t="shared" si="51"/>
        <v>#VALUE!</v>
      </c>
      <c r="AJ176" s="500" t="e">
        <f t="shared" si="51"/>
        <v>#VALUE!</v>
      </c>
      <c r="AL176" s="500" t="e">
        <f t="shared" si="51"/>
        <v>#VALUE!</v>
      </c>
      <c r="AM176" s="498" t="e">
        <f t="shared" si="51"/>
        <v>#VALUE!</v>
      </c>
      <c r="AN176" s="498" t="e">
        <f t="shared" si="41"/>
        <v>#VALUE!</v>
      </c>
      <c r="AO176" s="499" t="e">
        <f t="shared" si="42"/>
        <v>#VALUE!</v>
      </c>
    </row>
    <row r="177" spans="21:41" s="498" customFormat="1" ht="0.65" hidden="1" customHeight="1">
      <c r="U177" s="499" t="e">
        <f t="shared" si="35"/>
        <v>#VALUE!</v>
      </c>
      <c r="V177" s="498">
        <f t="shared" si="43"/>
        <v>25</v>
      </c>
      <c r="W177" s="498">
        <f t="shared" si="44"/>
        <v>0</v>
      </c>
      <c r="X177" s="498" t="e">
        <f t="shared" si="45"/>
        <v>#VALUE!</v>
      </c>
      <c r="Y177" s="500" t="e">
        <f t="shared" si="36"/>
        <v>#VALUE!</v>
      </c>
      <c r="Z177" s="500" t="str">
        <f t="shared" si="53"/>
        <v/>
      </c>
      <c r="AA177" s="498" t="str">
        <f t="shared" si="38"/>
        <v/>
      </c>
      <c r="AB177" s="500" t="e">
        <f>AB176*(1+$D$36)</f>
        <v>#VALUE!</v>
      </c>
      <c r="AC177" s="498" t="str">
        <f t="shared" si="39"/>
        <v/>
      </c>
      <c r="AD177" s="498" t="str">
        <f t="shared" si="40"/>
        <v>C</v>
      </c>
      <c r="AF177" s="498" t="e">
        <f t="shared" si="51"/>
        <v>#VALUE!</v>
      </c>
      <c r="AG177" s="498" t="e">
        <f t="shared" si="51"/>
        <v>#VALUE!</v>
      </c>
      <c r="AH177" s="498" t="e">
        <f t="shared" si="51"/>
        <v>#VALUE!</v>
      </c>
      <c r="AI177" s="498" t="e">
        <f t="shared" si="51"/>
        <v>#VALUE!</v>
      </c>
      <c r="AJ177" s="500" t="e">
        <f t="shared" si="51"/>
        <v>#VALUE!</v>
      </c>
      <c r="AL177" s="500" t="e">
        <f t="shared" si="51"/>
        <v>#VALUE!</v>
      </c>
      <c r="AM177" s="498" t="e">
        <f t="shared" si="51"/>
        <v>#VALUE!</v>
      </c>
      <c r="AN177" s="498" t="e">
        <f t="shared" si="41"/>
        <v>#VALUE!</v>
      </c>
      <c r="AO177" s="499" t="e">
        <f t="shared" si="42"/>
        <v>#VALUE!</v>
      </c>
    </row>
    <row r="178" spans="21:41" s="498" customFormat="1" ht="0.65" hidden="1" customHeight="1">
      <c r="U178" s="499" t="e">
        <f t="shared" si="35"/>
        <v>#VALUE!</v>
      </c>
      <c r="V178" s="498">
        <f t="shared" si="43"/>
        <v>26</v>
      </c>
      <c r="W178" s="498">
        <f t="shared" si="44"/>
        <v>0</v>
      </c>
      <c r="X178" s="498" t="e">
        <f t="shared" si="45"/>
        <v>#VALUE!</v>
      </c>
      <c r="Y178" s="500" t="e">
        <f t="shared" si="36"/>
        <v>#VALUE!</v>
      </c>
      <c r="Z178" s="500" t="str">
        <f>IF(J10="","",J10)</f>
        <v/>
      </c>
      <c r="AA178" s="498" t="str">
        <f t="shared" si="38"/>
        <v/>
      </c>
      <c r="AB178" s="500">
        <v>0</v>
      </c>
      <c r="AC178" s="498" t="str">
        <f t="shared" si="39"/>
        <v/>
      </c>
      <c r="AD178" s="498" t="str">
        <f t="shared" si="40"/>
        <v>C</v>
      </c>
      <c r="AF178" s="498" t="e">
        <f t="shared" si="51"/>
        <v>#VALUE!</v>
      </c>
      <c r="AG178" s="498" t="e">
        <f t="shared" si="51"/>
        <v>#VALUE!</v>
      </c>
      <c r="AH178" s="498" t="e">
        <f t="shared" si="51"/>
        <v>#VALUE!</v>
      </c>
      <c r="AI178" s="498" t="e">
        <f t="shared" si="51"/>
        <v>#VALUE!</v>
      </c>
      <c r="AJ178" s="500" t="e">
        <f t="shared" si="51"/>
        <v>#VALUE!</v>
      </c>
      <c r="AL178" s="498" t="e">
        <f t="shared" si="51"/>
        <v>#VALUE!</v>
      </c>
      <c r="AM178" s="498" t="e">
        <f t="shared" si="51"/>
        <v>#VALUE!</v>
      </c>
      <c r="AN178" s="498" t="e">
        <f t="shared" si="41"/>
        <v>#VALUE!</v>
      </c>
      <c r="AO178" s="499" t="e">
        <f t="shared" si="42"/>
        <v>#VALUE!</v>
      </c>
    </row>
    <row r="179" spans="21:41" s="498" customFormat="1" ht="0.65" hidden="1" customHeight="1">
      <c r="U179" s="499" t="e">
        <f t="shared" si="35"/>
        <v>#VALUE!</v>
      </c>
      <c r="V179" s="498">
        <f t="shared" si="43"/>
        <v>27</v>
      </c>
      <c r="W179" s="498">
        <f t="shared" si="44"/>
        <v>0</v>
      </c>
      <c r="X179" s="498" t="e">
        <f t="shared" si="45"/>
        <v>#VALUE!</v>
      </c>
      <c r="Y179" s="500" t="e">
        <f t="shared" si="36"/>
        <v>#VALUE!</v>
      </c>
      <c r="Z179" s="500" t="str">
        <f t="shared" ref="Z179:Z181" si="54">IF(J11="","",J11)</f>
        <v/>
      </c>
      <c r="AA179" s="498" t="str">
        <f t="shared" si="38"/>
        <v/>
      </c>
      <c r="AB179" s="500" t="e">
        <f>I4*(1+$D$23)/360*$D$15</f>
        <v>#VALUE!</v>
      </c>
      <c r="AC179" s="498" t="str">
        <f t="shared" si="39"/>
        <v/>
      </c>
      <c r="AD179" s="498" t="str">
        <f t="shared" si="40"/>
        <v>C</v>
      </c>
      <c r="AF179" s="498" t="e">
        <f t="shared" si="51"/>
        <v>#VALUE!</v>
      </c>
      <c r="AG179" s="498" t="e">
        <f t="shared" si="51"/>
        <v>#VALUE!</v>
      </c>
      <c r="AH179" s="498" t="e">
        <f t="shared" si="51"/>
        <v>#VALUE!</v>
      </c>
      <c r="AI179" s="498" t="e">
        <f t="shared" si="51"/>
        <v>#VALUE!</v>
      </c>
      <c r="AJ179" s="500" t="e">
        <f t="shared" si="51"/>
        <v>#VALUE!</v>
      </c>
      <c r="AL179" s="498" t="e">
        <f t="shared" si="51"/>
        <v>#VALUE!</v>
      </c>
      <c r="AM179" s="498" t="e">
        <f t="shared" si="51"/>
        <v>#VALUE!</v>
      </c>
      <c r="AN179" s="498" t="e">
        <f t="shared" si="41"/>
        <v>#VALUE!</v>
      </c>
      <c r="AO179" s="499" t="e">
        <f t="shared" si="42"/>
        <v>#VALUE!</v>
      </c>
    </row>
    <row r="180" spans="21:41" s="498" customFormat="1" ht="0.65" hidden="1" customHeight="1">
      <c r="U180" s="499" t="e">
        <f t="shared" si="35"/>
        <v>#VALUE!</v>
      </c>
      <c r="V180" s="498">
        <f t="shared" si="43"/>
        <v>28</v>
      </c>
      <c r="W180" s="498">
        <f t="shared" si="44"/>
        <v>0</v>
      </c>
      <c r="X180" s="498" t="e">
        <f t="shared" si="45"/>
        <v>#VALUE!</v>
      </c>
      <c r="Y180" s="500" t="e">
        <f t="shared" si="36"/>
        <v>#VALUE!</v>
      </c>
      <c r="Z180" s="500" t="str">
        <f t="shared" si="54"/>
        <v/>
      </c>
      <c r="AA180" s="498" t="str">
        <f t="shared" si="38"/>
        <v/>
      </c>
      <c r="AB180" s="500" t="e">
        <f>I5*(1+$D$23)/360*$D$15</f>
        <v>#VALUE!</v>
      </c>
      <c r="AC180" s="498" t="str">
        <f t="shared" si="39"/>
        <v/>
      </c>
      <c r="AD180" s="498" t="str">
        <f t="shared" si="40"/>
        <v>C</v>
      </c>
      <c r="AF180" s="498" t="e">
        <f t="shared" si="51"/>
        <v>#VALUE!</v>
      </c>
      <c r="AG180" s="498" t="e">
        <f t="shared" si="51"/>
        <v>#VALUE!</v>
      </c>
      <c r="AH180" s="498" t="e">
        <f t="shared" si="51"/>
        <v>#VALUE!</v>
      </c>
      <c r="AI180" s="498" t="e">
        <f t="shared" si="51"/>
        <v>#VALUE!</v>
      </c>
      <c r="AJ180" s="500" t="e">
        <f t="shared" si="51"/>
        <v>#VALUE!</v>
      </c>
      <c r="AL180" s="498" t="e">
        <f t="shared" si="51"/>
        <v>#VALUE!</v>
      </c>
      <c r="AM180" s="498" t="e">
        <f t="shared" si="51"/>
        <v>#VALUE!</v>
      </c>
      <c r="AN180" s="498" t="e">
        <f t="shared" si="41"/>
        <v>#VALUE!</v>
      </c>
      <c r="AO180" s="499" t="e">
        <f t="shared" si="42"/>
        <v>#VALUE!</v>
      </c>
    </row>
    <row r="181" spans="21:41" s="498" customFormat="1" ht="0.65" hidden="1" customHeight="1">
      <c r="U181" s="499" t="e">
        <f t="shared" si="35"/>
        <v>#VALUE!</v>
      </c>
      <c r="V181" s="498">
        <f t="shared" si="43"/>
        <v>29</v>
      </c>
      <c r="W181" s="498">
        <f t="shared" si="44"/>
        <v>0</v>
      </c>
      <c r="X181" s="498" t="e">
        <f t="shared" si="45"/>
        <v>#VALUE!</v>
      </c>
      <c r="Y181" s="500" t="e">
        <f t="shared" si="36"/>
        <v>#VALUE!</v>
      </c>
      <c r="Z181" s="500" t="str">
        <f t="shared" si="54"/>
        <v/>
      </c>
      <c r="AA181" s="498" t="str">
        <f t="shared" si="38"/>
        <v/>
      </c>
      <c r="AB181" s="500" t="e">
        <f>I6*(1+$D$23)/360*$D$15</f>
        <v>#VALUE!</v>
      </c>
      <c r="AC181" s="498" t="str">
        <f t="shared" si="39"/>
        <v/>
      </c>
      <c r="AD181" s="498" t="str">
        <f t="shared" si="40"/>
        <v>C</v>
      </c>
      <c r="AF181" s="498" t="e">
        <f t="shared" si="51"/>
        <v>#VALUE!</v>
      </c>
      <c r="AG181" s="498" t="e">
        <f t="shared" si="51"/>
        <v>#VALUE!</v>
      </c>
      <c r="AH181" s="498" t="e">
        <f t="shared" si="51"/>
        <v>#VALUE!</v>
      </c>
      <c r="AI181" s="498" t="e">
        <f t="shared" si="51"/>
        <v>#VALUE!</v>
      </c>
      <c r="AJ181" s="500" t="e">
        <f t="shared" si="51"/>
        <v>#VALUE!</v>
      </c>
      <c r="AL181" s="498" t="e">
        <f t="shared" si="51"/>
        <v>#VALUE!</v>
      </c>
      <c r="AM181" s="498" t="e">
        <f t="shared" si="51"/>
        <v>#VALUE!</v>
      </c>
      <c r="AN181" s="498" t="e">
        <f t="shared" si="41"/>
        <v>#VALUE!</v>
      </c>
      <c r="AO181" s="499" t="e">
        <f t="shared" si="42"/>
        <v>#VALUE!</v>
      </c>
    </row>
    <row r="182" spans="21:41" s="498" customFormat="1" ht="0.65" hidden="1" customHeight="1">
      <c r="U182" s="499" t="e">
        <f t="shared" si="35"/>
        <v>#VALUE!</v>
      </c>
      <c r="V182" s="498">
        <f t="shared" si="43"/>
        <v>30</v>
      </c>
      <c r="W182" s="498">
        <f t="shared" si="44"/>
        <v>0</v>
      </c>
      <c r="X182" s="498" t="e">
        <f t="shared" si="45"/>
        <v>#VALUE!</v>
      </c>
      <c r="Y182" s="500" t="e">
        <f t="shared" si="36"/>
        <v>#VALUE!</v>
      </c>
      <c r="Z182" s="500" t="str">
        <f>IF(K10="","",K10)</f>
        <v/>
      </c>
      <c r="AA182" s="498" t="str">
        <f t="shared" si="38"/>
        <v/>
      </c>
      <c r="AB182" s="500">
        <v>0</v>
      </c>
      <c r="AC182" s="498" t="str">
        <f t="shared" si="39"/>
        <v/>
      </c>
      <c r="AD182" s="498" t="str">
        <f t="shared" si="40"/>
        <v>C</v>
      </c>
      <c r="AF182" s="498" t="e">
        <f t="shared" si="51"/>
        <v>#VALUE!</v>
      </c>
      <c r="AG182" s="498" t="e">
        <f t="shared" si="51"/>
        <v>#VALUE!</v>
      </c>
      <c r="AH182" s="498" t="e">
        <f t="shared" si="51"/>
        <v>#VALUE!</v>
      </c>
      <c r="AI182" s="498" t="e">
        <f t="shared" si="51"/>
        <v>#VALUE!</v>
      </c>
      <c r="AJ182" s="500" t="e">
        <f t="shared" si="51"/>
        <v>#VALUE!</v>
      </c>
      <c r="AL182" s="498" t="e">
        <f t="shared" si="51"/>
        <v>#VALUE!</v>
      </c>
      <c r="AM182" s="498" t="e">
        <f t="shared" si="51"/>
        <v>#VALUE!</v>
      </c>
      <c r="AN182" s="498" t="e">
        <f t="shared" si="41"/>
        <v>#VALUE!</v>
      </c>
      <c r="AO182" s="499" t="e">
        <f t="shared" si="42"/>
        <v>#VALUE!</v>
      </c>
    </row>
    <row r="183" spans="21:41" s="498" customFormat="1" ht="0.65" hidden="1" customHeight="1">
      <c r="U183" s="499" t="e">
        <f t="shared" si="35"/>
        <v>#VALUE!</v>
      </c>
      <c r="V183" s="498">
        <f t="shared" si="43"/>
        <v>31</v>
      </c>
      <c r="W183" s="498">
        <f t="shared" si="44"/>
        <v>0</v>
      </c>
      <c r="X183" s="498" t="e">
        <f t="shared" si="45"/>
        <v>#VALUE!</v>
      </c>
      <c r="Y183" s="500" t="e">
        <f t="shared" si="36"/>
        <v>#VALUE!</v>
      </c>
      <c r="Z183" s="500" t="str">
        <f t="shared" ref="Z183:Z185" si="55">IF(K11="","",K11)</f>
        <v/>
      </c>
      <c r="AA183" s="498" t="str">
        <f t="shared" si="38"/>
        <v/>
      </c>
      <c r="AB183" s="500" t="e">
        <f>(J4+I11-I10)*(1+$D$23)/360*$D$16</f>
        <v>#VALUE!</v>
      </c>
      <c r="AC183" s="498" t="str">
        <f t="shared" si="39"/>
        <v/>
      </c>
      <c r="AD183" s="498" t="str">
        <f t="shared" si="40"/>
        <v>C</v>
      </c>
      <c r="AF183" s="498" t="e">
        <f t="shared" si="51"/>
        <v>#VALUE!</v>
      </c>
      <c r="AG183" s="498" t="e">
        <f t="shared" si="51"/>
        <v>#VALUE!</v>
      </c>
      <c r="AH183" s="498" t="e">
        <f t="shared" si="51"/>
        <v>#VALUE!</v>
      </c>
      <c r="AI183" s="498" t="e">
        <f t="shared" si="51"/>
        <v>#VALUE!</v>
      </c>
      <c r="AJ183" s="500" t="e">
        <f t="shared" si="51"/>
        <v>#VALUE!</v>
      </c>
      <c r="AL183" s="498" t="e">
        <f t="shared" si="51"/>
        <v>#VALUE!</v>
      </c>
      <c r="AM183" s="498" t="e">
        <f t="shared" si="51"/>
        <v>#VALUE!</v>
      </c>
      <c r="AN183" s="498" t="e">
        <f t="shared" si="41"/>
        <v>#VALUE!</v>
      </c>
      <c r="AO183" s="499" t="e">
        <f t="shared" si="42"/>
        <v>#VALUE!</v>
      </c>
    </row>
    <row r="184" spans="21:41" s="498" customFormat="1" ht="0.65" hidden="1" customHeight="1">
      <c r="U184" s="499" t="e">
        <f t="shared" si="35"/>
        <v>#VALUE!</v>
      </c>
      <c r="V184" s="498">
        <f t="shared" si="43"/>
        <v>32</v>
      </c>
      <c r="W184" s="498">
        <f t="shared" si="44"/>
        <v>0</v>
      </c>
      <c r="X184" s="498" t="e">
        <f t="shared" si="45"/>
        <v>#VALUE!</v>
      </c>
      <c r="Y184" s="500" t="e">
        <f t="shared" si="36"/>
        <v>#VALUE!</v>
      </c>
      <c r="Z184" s="500" t="str">
        <f t="shared" si="55"/>
        <v/>
      </c>
      <c r="AA184" s="498" t="str">
        <f t="shared" si="38"/>
        <v/>
      </c>
      <c r="AB184" s="500" t="e">
        <f>(J5+I12-I11)*(1+$D$23)/360*$D$16</f>
        <v>#VALUE!</v>
      </c>
      <c r="AC184" s="498" t="str">
        <f t="shared" si="39"/>
        <v/>
      </c>
      <c r="AD184" s="498" t="str">
        <f t="shared" si="40"/>
        <v>C</v>
      </c>
      <c r="AF184" s="498" t="e">
        <f t="shared" si="51"/>
        <v>#VALUE!</v>
      </c>
      <c r="AG184" s="498" t="e">
        <f t="shared" si="51"/>
        <v>#VALUE!</v>
      </c>
      <c r="AH184" s="498" t="e">
        <f t="shared" si="51"/>
        <v>#VALUE!</v>
      </c>
      <c r="AI184" s="498" t="e">
        <f t="shared" si="51"/>
        <v>#VALUE!</v>
      </c>
      <c r="AJ184" s="500" t="e">
        <f t="shared" si="51"/>
        <v>#VALUE!</v>
      </c>
      <c r="AL184" s="498" t="e">
        <f t="shared" si="51"/>
        <v>#VALUE!</v>
      </c>
      <c r="AM184" s="498" t="e">
        <f t="shared" si="51"/>
        <v>#VALUE!</v>
      </c>
      <c r="AN184" s="498" t="e">
        <f t="shared" si="41"/>
        <v>#VALUE!</v>
      </c>
      <c r="AO184" s="499" t="e">
        <f t="shared" si="42"/>
        <v>#VALUE!</v>
      </c>
    </row>
    <row r="185" spans="21:41" s="498" customFormat="1" ht="0.65" hidden="1" customHeight="1">
      <c r="U185" s="499" t="e">
        <f t="shared" si="35"/>
        <v>#VALUE!</v>
      </c>
      <c r="V185" s="498">
        <f t="shared" si="43"/>
        <v>33</v>
      </c>
      <c r="W185" s="498">
        <f t="shared" si="44"/>
        <v>0</v>
      </c>
      <c r="X185" s="498" t="e">
        <f t="shared" si="45"/>
        <v>#VALUE!</v>
      </c>
      <c r="Y185" s="500" t="e">
        <f t="shared" si="36"/>
        <v>#VALUE!</v>
      </c>
      <c r="Z185" s="500" t="str">
        <f t="shared" si="55"/>
        <v/>
      </c>
      <c r="AA185" s="498" t="str">
        <f t="shared" si="38"/>
        <v/>
      </c>
      <c r="AB185" s="500" t="e">
        <f>(J6+I13-I12)*(1+$D$23)/360*$D$16</f>
        <v>#VALUE!</v>
      </c>
      <c r="AC185" s="498" t="str">
        <f t="shared" si="39"/>
        <v/>
      </c>
      <c r="AD185" s="498" t="str">
        <f t="shared" si="40"/>
        <v>C</v>
      </c>
      <c r="AF185" s="498" t="e">
        <f t="shared" ref="AF185:AM200" si="56">VLOOKUP($U185,$U$307:$AM$1143,AF$149,FALSE)</f>
        <v>#VALUE!</v>
      </c>
      <c r="AG185" s="498" t="e">
        <f t="shared" si="56"/>
        <v>#VALUE!</v>
      </c>
      <c r="AH185" s="498" t="e">
        <f t="shared" si="56"/>
        <v>#VALUE!</v>
      </c>
      <c r="AI185" s="498" t="e">
        <f t="shared" si="56"/>
        <v>#VALUE!</v>
      </c>
      <c r="AJ185" s="500" t="e">
        <f t="shared" si="56"/>
        <v>#VALUE!</v>
      </c>
      <c r="AL185" s="498" t="e">
        <f t="shared" si="56"/>
        <v>#VALUE!</v>
      </c>
      <c r="AM185" s="498" t="e">
        <f t="shared" si="56"/>
        <v>#VALUE!</v>
      </c>
      <c r="AN185" s="498" t="e">
        <f t="shared" si="41"/>
        <v>#VALUE!</v>
      </c>
      <c r="AO185" s="499" t="e">
        <f t="shared" si="42"/>
        <v>#VALUE!</v>
      </c>
    </row>
    <row r="186" spans="21:41" s="498" customFormat="1" ht="0.65" hidden="1" customHeight="1">
      <c r="U186" s="499" t="e">
        <f t="shared" si="35"/>
        <v>#VALUE!</v>
      </c>
      <c r="V186" s="498">
        <f t="shared" si="43"/>
        <v>34</v>
      </c>
      <c r="W186" s="498">
        <f t="shared" si="44"/>
        <v>0</v>
      </c>
      <c r="X186" s="498" t="e">
        <f t="shared" si="45"/>
        <v>#VALUE!</v>
      </c>
      <c r="Y186" s="500" t="e">
        <f t="shared" si="36"/>
        <v>#VALUE!</v>
      </c>
      <c r="Z186" s="500" t="str">
        <f>IF(L10="","",L10)</f>
        <v/>
      </c>
      <c r="AA186" s="498" t="str">
        <f t="shared" si="38"/>
        <v/>
      </c>
      <c r="AB186" s="500">
        <f>I10+J10-K10</f>
        <v>0</v>
      </c>
      <c r="AC186" s="498" t="str">
        <f t="shared" si="39"/>
        <v/>
      </c>
      <c r="AD186" s="498" t="str">
        <f t="shared" si="40"/>
        <v>C</v>
      </c>
      <c r="AF186" s="498" t="e">
        <f t="shared" si="56"/>
        <v>#VALUE!</v>
      </c>
      <c r="AG186" s="498" t="e">
        <f t="shared" si="56"/>
        <v>#VALUE!</v>
      </c>
      <c r="AH186" s="498" t="e">
        <f t="shared" si="56"/>
        <v>#VALUE!</v>
      </c>
      <c r="AI186" s="500" t="e">
        <f t="shared" si="56"/>
        <v>#VALUE!</v>
      </c>
      <c r="AJ186" s="500" t="e">
        <f t="shared" si="56"/>
        <v>#VALUE!</v>
      </c>
      <c r="AL186" s="500" t="e">
        <f t="shared" si="56"/>
        <v>#VALUE!</v>
      </c>
      <c r="AM186" s="498" t="e">
        <f t="shared" si="56"/>
        <v>#VALUE!</v>
      </c>
      <c r="AN186" s="498" t="e">
        <f t="shared" si="41"/>
        <v>#VALUE!</v>
      </c>
      <c r="AO186" s="499" t="e">
        <f t="shared" si="42"/>
        <v>#VALUE!</v>
      </c>
    </row>
    <row r="187" spans="21:41" s="498" customFormat="1" ht="0.65" hidden="1" customHeight="1">
      <c r="U187" s="499" t="e">
        <f t="shared" si="35"/>
        <v>#VALUE!</v>
      </c>
      <c r="V187" s="498">
        <f t="shared" si="43"/>
        <v>35</v>
      </c>
      <c r="W187" s="498">
        <f t="shared" si="44"/>
        <v>0</v>
      </c>
      <c r="X187" s="498" t="e">
        <f t="shared" si="45"/>
        <v>#VALUE!</v>
      </c>
      <c r="Y187" s="500" t="e">
        <f t="shared" si="36"/>
        <v>#VALUE!</v>
      </c>
      <c r="Z187" s="500" t="str">
        <f t="shared" ref="Z187:Z189" si="57">IF(L11="","",L11)</f>
        <v/>
      </c>
      <c r="AA187" s="498" t="str">
        <f t="shared" si="38"/>
        <v/>
      </c>
      <c r="AB187" s="500">
        <f>I11+J11-K11</f>
        <v>0</v>
      </c>
      <c r="AC187" s="498" t="str">
        <f t="shared" si="39"/>
        <v/>
      </c>
      <c r="AD187" s="498" t="str">
        <f t="shared" si="40"/>
        <v>C</v>
      </c>
      <c r="AF187" s="498" t="e">
        <f t="shared" si="56"/>
        <v>#VALUE!</v>
      </c>
      <c r="AG187" s="498" t="e">
        <f t="shared" si="56"/>
        <v>#VALUE!</v>
      </c>
      <c r="AH187" s="498" t="e">
        <f t="shared" si="56"/>
        <v>#VALUE!</v>
      </c>
      <c r="AI187" s="500" t="e">
        <f t="shared" si="56"/>
        <v>#VALUE!</v>
      </c>
      <c r="AJ187" s="500" t="e">
        <f t="shared" si="56"/>
        <v>#VALUE!</v>
      </c>
      <c r="AL187" s="500" t="e">
        <f t="shared" si="56"/>
        <v>#VALUE!</v>
      </c>
      <c r="AM187" s="498" t="e">
        <f t="shared" si="56"/>
        <v>#VALUE!</v>
      </c>
      <c r="AN187" s="498" t="e">
        <f t="shared" si="41"/>
        <v>#VALUE!</v>
      </c>
      <c r="AO187" s="499" t="e">
        <f t="shared" si="42"/>
        <v>#VALUE!</v>
      </c>
    </row>
    <row r="188" spans="21:41" s="498" customFormat="1" ht="0.65" hidden="1" customHeight="1">
      <c r="U188" s="499" t="e">
        <f t="shared" si="35"/>
        <v>#VALUE!</v>
      </c>
      <c r="V188" s="498">
        <f t="shared" si="43"/>
        <v>36</v>
      </c>
      <c r="W188" s="498">
        <f t="shared" si="44"/>
        <v>0</v>
      </c>
      <c r="X188" s="498" t="e">
        <f t="shared" si="45"/>
        <v>#VALUE!</v>
      </c>
      <c r="Y188" s="500" t="e">
        <f t="shared" si="36"/>
        <v>#VALUE!</v>
      </c>
      <c r="Z188" s="500" t="str">
        <f t="shared" si="57"/>
        <v/>
      </c>
      <c r="AA188" s="498" t="str">
        <f t="shared" si="38"/>
        <v/>
      </c>
      <c r="AB188" s="500">
        <f>I12+J12-K12</f>
        <v>0</v>
      </c>
      <c r="AC188" s="498" t="str">
        <f t="shared" si="39"/>
        <v/>
      </c>
      <c r="AD188" s="498" t="str">
        <f t="shared" si="40"/>
        <v>C</v>
      </c>
      <c r="AF188" s="498" t="e">
        <f t="shared" si="56"/>
        <v>#VALUE!</v>
      </c>
      <c r="AG188" s="498" t="e">
        <f t="shared" si="56"/>
        <v>#VALUE!</v>
      </c>
      <c r="AH188" s="498" t="e">
        <f t="shared" si="56"/>
        <v>#VALUE!</v>
      </c>
      <c r="AI188" s="500" t="e">
        <f t="shared" si="56"/>
        <v>#VALUE!</v>
      </c>
      <c r="AJ188" s="500" t="e">
        <f t="shared" si="56"/>
        <v>#VALUE!</v>
      </c>
      <c r="AL188" s="500" t="e">
        <f t="shared" si="56"/>
        <v>#VALUE!</v>
      </c>
      <c r="AM188" s="498" t="e">
        <f t="shared" si="56"/>
        <v>#VALUE!</v>
      </c>
      <c r="AN188" s="498" t="e">
        <f t="shared" si="41"/>
        <v>#VALUE!</v>
      </c>
      <c r="AO188" s="499" t="e">
        <f t="shared" si="42"/>
        <v>#VALUE!</v>
      </c>
    </row>
    <row r="189" spans="21:41" s="498" customFormat="1" ht="0.65" hidden="1" customHeight="1">
      <c r="U189" s="499" t="e">
        <f t="shared" si="35"/>
        <v>#VALUE!</v>
      </c>
      <c r="V189" s="498">
        <f t="shared" si="43"/>
        <v>37</v>
      </c>
      <c r="W189" s="498">
        <f t="shared" si="44"/>
        <v>0</v>
      </c>
      <c r="X189" s="498" t="e">
        <f t="shared" si="45"/>
        <v>#VALUE!</v>
      </c>
      <c r="Y189" s="500" t="e">
        <f t="shared" si="36"/>
        <v>#VALUE!</v>
      </c>
      <c r="Z189" s="500" t="str">
        <f t="shared" si="57"/>
        <v/>
      </c>
      <c r="AA189" s="498" t="str">
        <f t="shared" si="38"/>
        <v/>
      </c>
      <c r="AB189" s="500">
        <f>I13+J13-K13</f>
        <v>0</v>
      </c>
      <c r="AC189" s="498" t="str">
        <f t="shared" si="39"/>
        <v/>
      </c>
      <c r="AD189" s="498" t="str">
        <f t="shared" si="40"/>
        <v>C</v>
      </c>
      <c r="AF189" s="498" t="e">
        <f t="shared" si="56"/>
        <v>#VALUE!</v>
      </c>
      <c r="AG189" s="498" t="e">
        <f t="shared" si="56"/>
        <v>#VALUE!</v>
      </c>
      <c r="AH189" s="498" t="e">
        <f t="shared" si="56"/>
        <v>#VALUE!</v>
      </c>
      <c r="AI189" s="500" t="e">
        <f t="shared" si="56"/>
        <v>#VALUE!</v>
      </c>
      <c r="AJ189" s="500" t="e">
        <f t="shared" si="56"/>
        <v>#VALUE!</v>
      </c>
      <c r="AL189" s="500" t="e">
        <f t="shared" si="56"/>
        <v>#VALUE!</v>
      </c>
      <c r="AM189" s="498" t="e">
        <f t="shared" si="56"/>
        <v>#VALUE!</v>
      </c>
      <c r="AN189" s="498" t="e">
        <f t="shared" si="41"/>
        <v>#VALUE!</v>
      </c>
      <c r="AO189" s="499" t="e">
        <f t="shared" si="42"/>
        <v>#VALUE!</v>
      </c>
    </row>
    <row r="190" spans="21:41" s="498" customFormat="1" ht="0.65" hidden="1" customHeight="1">
      <c r="U190" s="499" t="e">
        <f t="shared" si="35"/>
        <v>#VALUE!</v>
      </c>
      <c r="V190" s="498">
        <f t="shared" si="43"/>
        <v>38</v>
      </c>
      <c r="W190" s="498">
        <f t="shared" si="44"/>
        <v>0</v>
      </c>
      <c r="X190" s="498" t="e">
        <f t="shared" si="45"/>
        <v>#VALUE!</v>
      </c>
      <c r="Y190" s="500" t="e">
        <f t="shared" si="36"/>
        <v>#VALUE!</v>
      </c>
      <c r="Z190" s="500" t="str">
        <f>IF(M10="","",M10)</f>
        <v/>
      </c>
      <c r="AA190" s="498" t="str">
        <f t="shared" si="38"/>
        <v/>
      </c>
      <c r="AB190" s="500" t="e">
        <f>L10-IF(H10=$D$3,0,L9)</f>
        <v>#VALUE!</v>
      </c>
      <c r="AC190" s="498" t="str">
        <f t="shared" si="39"/>
        <v/>
      </c>
      <c r="AD190" s="498" t="str">
        <f t="shared" si="40"/>
        <v>C</v>
      </c>
      <c r="AF190" s="498" t="e">
        <f t="shared" si="56"/>
        <v>#VALUE!</v>
      </c>
      <c r="AG190" s="498" t="e">
        <f t="shared" si="56"/>
        <v>#VALUE!</v>
      </c>
      <c r="AH190" s="498" t="e">
        <f t="shared" si="56"/>
        <v>#VALUE!</v>
      </c>
      <c r="AI190" s="500" t="e">
        <f t="shared" si="56"/>
        <v>#VALUE!</v>
      </c>
      <c r="AJ190" s="500" t="e">
        <f t="shared" si="56"/>
        <v>#VALUE!</v>
      </c>
      <c r="AL190" s="500" t="e">
        <f t="shared" si="56"/>
        <v>#VALUE!</v>
      </c>
      <c r="AM190" s="498" t="e">
        <f t="shared" si="56"/>
        <v>#VALUE!</v>
      </c>
      <c r="AN190" s="498" t="e">
        <f t="shared" si="41"/>
        <v>#VALUE!</v>
      </c>
      <c r="AO190" s="499" t="e">
        <f t="shared" si="42"/>
        <v>#VALUE!</v>
      </c>
    </row>
    <row r="191" spans="21:41" s="498" customFormat="1" ht="0.65" hidden="1" customHeight="1">
      <c r="U191" s="499" t="e">
        <f t="shared" si="35"/>
        <v>#VALUE!</v>
      </c>
      <c r="V191" s="498">
        <f t="shared" si="43"/>
        <v>39</v>
      </c>
      <c r="W191" s="498">
        <f t="shared" si="44"/>
        <v>0</v>
      </c>
      <c r="X191" s="498" t="e">
        <f t="shared" si="45"/>
        <v>#VALUE!</v>
      </c>
      <c r="Y191" s="500" t="e">
        <f t="shared" si="36"/>
        <v>#VALUE!</v>
      </c>
      <c r="Z191" s="500" t="str">
        <f t="shared" ref="Z191:Z193" si="58">IF(M11="","",M11)</f>
        <v/>
      </c>
      <c r="AA191" s="498" t="str">
        <f t="shared" si="38"/>
        <v/>
      </c>
      <c r="AB191" s="500" t="e">
        <f>L11-IF(H11=$D$3,0,L10)</f>
        <v>#VALUE!</v>
      </c>
      <c r="AC191" s="498" t="str">
        <f t="shared" si="39"/>
        <v/>
      </c>
      <c r="AD191" s="498" t="str">
        <f t="shared" si="40"/>
        <v>C</v>
      </c>
      <c r="AF191" s="498" t="e">
        <f t="shared" si="56"/>
        <v>#VALUE!</v>
      </c>
      <c r="AG191" s="498" t="e">
        <f t="shared" si="56"/>
        <v>#VALUE!</v>
      </c>
      <c r="AH191" s="498" t="e">
        <f t="shared" si="56"/>
        <v>#VALUE!</v>
      </c>
      <c r="AI191" s="500" t="e">
        <f t="shared" si="56"/>
        <v>#VALUE!</v>
      </c>
      <c r="AJ191" s="500" t="e">
        <f t="shared" si="56"/>
        <v>#VALUE!</v>
      </c>
      <c r="AL191" s="500" t="e">
        <f t="shared" si="56"/>
        <v>#VALUE!</v>
      </c>
      <c r="AM191" s="498" t="e">
        <f t="shared" si="56"/>
        <v>#VALUE!</v>
      </c>
      <c r="AN191" s="498" t="e">
        <f t="shared" si="41"/>
        <v>#VALUE!</v>
      </c>
      <c r="AO191" s="499" t="e">
        <f t="shared" si="42"/>
        <v>#VALUE!</v>
      </c>
    </row>
    <row r="192" spans="21:41" s="498" customFormat="1" ht="0.65" hidden="1" customHeight="1">
      <c r="U192" s="499" t="e">
        <f t="shared" si="35"/>
        <v>#VALUE!</v>
      </c>
      <c r="V192" s="498">
        <f t="shared" si="43"/>
        <v>40</v>
      </c>
      <c r="W192" s="498">
        <f t="shared" si="44"/>
        <v>0</v>
      </c>
      <c r="X192" s="498" t="e">
        <f t="shared" si="45"/>
        <v>#VALUE!</v>
      </c>
      <c r="Y192" s="500" t="e">
        <f t="shared" si="36"/>
        <v>#VALUE!</v>
      </c>
      <c r="Z192" s="500" t="str">
        <f t="shared" si="58"/>
        <v/>
      </c>
      <c r="AA192" s="498" t="str">
        <f t="shared" si="38"/>
        <v/>
      </c>
      <c r="AB192" s="500" t="e">
        <f>L12-IF(H12=$D$3,0,L11)</f>
        <v>#VALUE!</v>
      </c>
      <c r="AC192" s="498" t="str">
        <f t="shared" si="39"/>
        <v/>
      </c>
      <c r="AD192" s="498" t="str">
        <f t="shared" si="40"/>
        <v>C</v>
      </c>
      <c r="AF192" s="498" t="e">
        <f t="shared" si="56"/>
        <v>#VALUE!</v>
      </c>
      <c r="AG192" s="498" t="e">
        <f t="shared" si="56"/>
        <v>#VALUE!</v>
      </c>
      <c r="AH192" s="498" t="e">
        <f t="shared" si="56"/>
        <v>#VALUE!</v>
      </c>
      <c r="AI192" s="500" t="e">
        <f t="shared" si="56"/>
        <v>#VALUE!</v>
      </c>
      <c r="AJ192" s="500" t="e">
        <f t="shared" si="56"/>
        <v>#VALUE!</v>
      </c>
      <c r="AL192" s="500" t="e">
        <f t="shared" si="56"/>
        <v>#VALUE!</v>
      </c>
      <c r="AM192" s="498" t="e">
        <f t="shared" si="56"/>
        <v>#VALUE!</v>
      </c>
      <c r="AN192" s="498" t="e">
        <f t="shared" si="41"/>
        <v>#VALUE!</v>
      </c>
      <c r="AO192" s="499" t="e">
        <f t="shared" si="42"/>
        <v>#VALUE!</v>
      </c>
    </row>
    <row r="193" spans="21:41" s="498" customFormat="1" ht="0.65" hidden="1" customHeight="1">
      <c r="U193" s="499" t="e">
        <f t="shared" si="35"/>
        <v>#VALUE!</v>
      </c>
      <c r="V193" s="498">
        <f t="shared" si="43"/>
        <v>41</v>
      </c>
      <c r="W193" s="498">
        <f t="shared" si="44"/>
        <v>0</v>
      </c>
      <c r="X193" s="498" t="e">
        <f t="shared" si="45"/>
        <v>#VALUE!</v>
      </c>
      <c r="Y193" s="500" t="e">
        <f t="shared" si="36"/>
        <v>#VALUE!</v>
      </c>
      <c r="Z193" s="500" t="str">
        <f t="shared" si="58"/>
        <v/>
      </c>
      <c r="AA193" s="498" t="str">
        <f t="shared" si="38"/>
        <v/>
      </c>
      <c r="AB193" s="500" t="e">
        <f>L13-IF(H13=$D$3,0,L12)</f>
        <v>#VALUE!</v>
      </c>
      <c r="AC193" s="498" t="str">
        <f t="shared" si="39"/>
        <v/>
      </c>
      <c r="AD193" s="498" t="str">
        <f t="shared" si="40"/>
        <v>C</v>
      </c>
      <c r="AF193" s="498" t="e">
        <f t="shared" si="56"/>
        <v>#VALUE!</v>
      </c>
      <c r="AG193" s="498" t="e">
        <f t="shared" si="56"/>
        <v>#VALUE!</v>
      </c>
      <c r="AH193" s="498" t="e">
        <f t="shared" si="56"/>
        <v>#VALUE!</v>
      </c>
      <c r="AI193" s="500" t="e">
        <f t="shared" si="56"/>
        <v>#VALUE!</v>
      </c>
      <c r="AJ193" s="500" t="e">
        <f t="shared" si="56"/>
        <v>#VALUE!</v>
      </c>
      <c r="AL193" s="500" t="e">
        <f t="shared" si="56"/>
        <v>#VALUE!</v>
      </c>
      <c r="AM193" s="498" t="e">
        <f t="shared" si="56"/>
        <v>#VALUE!</v>
      </c>
      <c r="AN193" s="498" t="e">
        <f t="shared" si="41"/>
        <v>#VALUE!</v>
      </c>
      <c r="AO193" s="499" t="e">
        <f t="shared" si="42"/>
        <v>#VALUE!</v>
      </c>
    </row>
    <row r="194" spans="21:41" s="498" customFormat="1" ht="0.65" hidden="1" customHeight="1">
      <c r="U194" s="499" t="e">
        <f t="shared" si="35"/>
        <v>#VALUE!</v>
      </c>
      <c r="V194" s="498">
        <f t="shared" si="43"/>
        <v>42</v>
      </c>
      <c r="W194" s="498">
        <f t="shared" si="44"/>
        <v>0</v>
      </c>
      <c r="X194" s="498" t="e">
        <f t="shared" si="45"/>
        <v>#VALUE!</v>
      </c>
      <c r="Y194" s="500" t="e">
        <f t="shared" si="36"/>
        <v>#VALUE!</v>
      </c>
      <c r="Z194" s="500" t="str">
        <f>IF(I16="","",I16)</f>
        <v/>
      </c>
      <c r="AA194" s="498" t="str">
        <f t="shared" si="38"/>
        <v/>
      </c>
      <c r="AB194" s="500" t="e">
        <f>D7+M10</f>
        <v>#VALUE!</v>
      </c>
      <c r="AC194" s="498" t="str">
        <f t="shared" si="39"/>
        <v/>
      </c>
      <c r="AD194" s="498" t="str">
        <f t="shared" si="40"/>
        <v>C</v>
      </c>
      <c r="AF194" s="500" t="e">
        <f t="shared" si="56"/>
        <v>#VALUE!</v>
      </c>
      <c r="AG194" s="498" t="e">
        <f t="shared" si="56"/>
        <v>#VALUE!</v>
      </c>
      <c r="AH194" s="498" t="e">
        <f t="shared" si="56"/>
        <v>#VALUE!</v>
      </c>
      <c r="AI194" s="500" t="e">
        <f t="shared" si="56"/>
        <v>#VALUE!</v>
      </c>
      <c r="AJ194" s="500" t="e">
        <f t="shared" si="56"/>
        <v>#VALUE!</v>
      </c>
      <c r="AL194" s="500" t="e">
        <f t="shared" si="56"/>
        <v>#VALUE!</v>
      </c>
      <c r="AM194" s="498" t="e">
        <f t="shared" si="56"/>
        <v>#VALUE!</v>
      </c>
      <c r="AN194" s="498" t="e">
        <f t="shared" si="41"/>
        <v>#VALUE!</v>
      </c>
      <c r="AO194" s="499" t="e">
        <f t="shared" si="42"/>
        <v>#VALUE!</v>
      </c>
    </row>
    <row r="195" spans="21:41" s="498" customFormat="1" ht="0.65" hidden="1" customHeight="1">
      <c r="U195" s="499" t="e">
        <f t="shared" si="35"/>
        <v>#VALUE!</v>
      </c>
      <c r="V195" s="498">
        <f t="shared" si="43"/>
        <v>43</v>
      </c>
      <c r="W195" s="498">
        <f t="shared" si="44"/>
        <v>0</v>
      </c>
      <c r="X195" s="498" t="e">
        <f t="shared" si="45"/>
        <v>#VALUE!</v>
      </c>
      <c r="Y195" s="500" t="e">
        <f t="shared" si="36"/>
        <v>#VALUE!</v>
      </c>
      <c r="Z195" s="500" t="str">
        <f t="shared" ref="Z195:Z197" si="59">IF(I17="","",I17)</f>
        <v/>
      </c>
      <c r="AA195" s="498" t="str">
        <f t="shared" si="38"/>
        <v/>
      </c>
      <c r="AB195" s="500" t="e">
        <f>D9*(1+$D$37)^3-D24*(D9*(1+$D$37)^3-D7*(1-3/D8))</f>
        <v>#VALUE!</v>
      </c>
      <c r="AC195" s="498" t="str">
        <f t="shared" si="39"/>
        <v/>
      </c>
      <c r="AD195" s="498" t="str">
        <f t="shared" si="40"/>
        <v>C</v>
      </c>
      <c r="AF195" s="500" t="e">
        <f t="shared" si="56"/>
        <v>#VALUE!</v>
      </c>
      <c r="AG195" s="498" t="e">
        <f t="shared" si="56"/>
        <v>#VALUE!</v>
      </c>
      <c r="AH195" s="498" t="e">
        <f t="shared" si="56"/>
        <v>#VALUE!</v>
      </c>
      <c r="AI195" s="498" t="e">
        <f t="shared" si="56"/>
        <v>#VALUE!</v>
      </c>
      <c r="AJ195" s="500" t="e">
        <f t="shared" si="56"/>
        <v>#VALUE!</v>
      </c>
      <c r="AL195" s="498" t="e">
        <f t="shared" si="56"/>
        <v>#VALUE!</v>
      </c>
      <c r="AM195" s="498" t="e">
        <f t="shared" si="56"/>
        <v>#VALUE!</v>
      </c>
      <c r="AN195" s="498" t="e">
        <f t="shared" si="41"/>
        <v>#VALUE!</v>
      </c>
      <c r="AO195" s="499" t="e">
        <f t="shared" si="42"/>
        <v>#VALUE!</v>
      </c>
    </row>
    <row r="196" spans="21:41" s="498" customFormat="1" ht="0.65" hidden="1" customHeight="1">
      <c r="U196" s="499" t="e">
        <f t="shared" si="35"/>
        <v>#VALUE!</v>
      </c>
      <c r="V196" s="498">
        <f t="shared" si="43"/>
        <v>44</v>
      </c>
      <c r="W196" s="498">
        <f t="shared" si="44"/>
        <v>0</v>
      </c>
      <c r="X196" s="498" t="e">
        <f t="shared" si="45"/>
        <v>#VALUE!</v>
      </c>
      <c r="Y196" s="500" t="e">
        <f t="shared" si="36"/>
        <v>#VALUE!</v>
      </c>
      <c r="Z196" s="500" t="str">
        <f t="shared" si="59"/>
        <v/>
      </c>
      <c r="AA196" s="498" t="str">
        <f t="shared" si="38"/>
        <v/>
      </c>
      <c r="AB196" s="500">
        <f>L13</f>
        <v>0</v>
      </c>
      <c r="AC196" s="498" t="str">
        <f t="shared" si="39"/>
        <v/>
      </c>
      <c r="AD196" s="498" t="str">
        <f t="shared" si="40"/>
        <v>C</v>
      </c>
      <c r="AF196" s="500" t="e">
        <f t="shared" si="56"/>
        <v>#VALUE!</v>
      </c>
      <c r="AG196" s="498" t="e">
        <f t="shared" si="56"/>
        <v>#VALUE!</v>
      </c>
      <c r="AH196" s="498" t="e">
        <f t="shared" si="56"/>
        <v>#VALUE!</v>
      </c>
      <c r="AI196" s="500" t="e">
        <f t="shared" si="56"/>
        <v>#VALUE!</v>
      </c>
      <c r="AJ196" s="500" t="e">
        <f t="shared" si="56"/>
        <v>#VALUE!</v>
      </c>
      <c r="AL196" s="500" t="e">
        <f t="shared" si="56"/>
        <v>#VALUE!</v>
      </c>
      <c r="AM196" s="498" t="e">
        <f t="shared" si="56"/>
        <v>#VALUE!</v>
      </c>
      <c r="AN196" s="498" t="e">
        <f t="shared" si="41"/>
        <v>#VALUE!</v>
      </c>
      <c r="AO196" s="499" t="e">
        <f t="shared" si="42"/>
        <v>#VALUE!</v>
      </c>
    </row>
    <row r="197" spans="21:41" s="498" customFormat="1" ht="0.65" hidden="1" customHeight="1">
      <c r="U197" s="499" t="e">
        <f t="shared" si="35"/>
        <v>#VALUE!</v>
      </c>
      <c r="V197" s="498">
        <f t="shared" si="43"/>
        <v>45</v>
      </c>
      <c r="W197" s="498">
        <f t="shared" si="44"/>
        <v>0</v>
      </c>
      <c r="X197" s="498" t="e">
        <f t="shared" si="45"/>
        <v>#VALUE!</v>
      </c>
      <c r="Y197" s="500" t="e">
        <f t="shared" si="36"/>
        <v>#VALUE!</v>
      </c>
      <c r="Z197" s="500" t="str">
        <f t="shared" si="59"/>
        <v/>
      </c>
      <c r="AA197" s="498" t="str">
        <f t="shared" si="38"/>
        <v/>
      </c>
      <c r="AB197" s="500">
        <f>I17+I18</f>
        <v>0</v>
      </c>
      <c r="AC197" s="498" t="str">
        <f t="shared" si="39"/>
        <v/>
      </c>
      <c r="AD197" s="498" t="str">
        <f t="shared" si="40"/>
        <v>C</v>
      </c>
      <c r="AF197" s="500" t="e">
        <f t="shared" si="56"/>
        <v>#VALUE!</v>
      </c>
      <c r="AG197" s="498" t="e">
        <f t="shared" si="56"/>
        <v>#VALUE!</v>
      </c>
      <c r="AH197" s="498" t="e">
        <f t="shared" si="56"/>
        <v>#VALUE!</v>
      </c>
      <c r="AI197" s="500" t="e">
        <f t="shared" si="56"/>
        <v>#VALUE!</v>
      </c>
      <c r="AJ197" s="500" t="e">
        <f t="shared" si="56"/>
        <v>#VALUE!</v>
      </c>
      <c r="AL197" s="500" t="e">
        <f t="shared" si="56"/>
        <v>#VALUE!</v>
      </c>
      <c r="AM197" s="498" t="e">
        <f t="shared" si="56"/>
        <v>#VALUE!</v>
      </c>
      <c r="AN197" s="498" t="e">
        <f t="shared" si="41"/>
        <v>#VALUE!</v>
      </c>
      <c r="AO197" s="499" t="e">
        <f t="shared" si="42"/>
        <v>#VALUE!</v>
      </c>
    </row>
    <row r="198" spans="21:41" s="498" customFormat="1" ht="0.65" hidden="1" customHeight="1">
      <c r="U198" s="499" t="e">
        <f t="shared" si="35"/>
        <v>#VALUE!</v>
      </c>
      <c r="V198" s="498">
        <f t="shared" si="43"/>
        <v>46</v>
      </c>
      <c r="W198" s="498">
        <f t="shared" si="44"/>
        <v>0</v>
      </c>
      <c r="X198" s="498" t="e">
        <f t="shared" si="45"/>
        <v>#VALUE!</v>
      </c>
      <c r="Y198" s="510" t="e">
        <f t="shared" si="36"/>
        <v>#VALUE!</v>
      </c>
      <c r="Z198" s="510" t="str">
        <f>IF(L17="","",L17)</f>
        <v/>
      </c>
      <c r="AA198" s="498" t="str">
        <f t="shared" si="38"/>
        <v/>
      </c>
      <c r="AB198" s="510" t="e">
        <f>D28*(1-D24)/D31</f>
        <v>#VALUE!</v>
      </c>
      <c r="AC198" s="498" t="str">
        <f t="shared" si="39"/>
        <v/>
      </c>
      <c r="AD198" s="498" t="str">
        <f t="shared" si="40"/>
        <v>C</v>
      </c>
      <c r="AF198" s="500" t="e">
        <f t="shared" si="56"/>
        <v>#VALUE!</v>
      </c>
      <c r="AG198" s="498" t="e">
        <f t="shared" si="56"/>
        <v>#VALUE!</v>
      </c>
      <c r="AH198" s="498" t="e">
        <f t="shared" si="56"/>
        <v>#VALUE!</v>
      </c>
      <c r="AI198" s="498" t="e">
        <f t="shared" si="56"/>
        <v>#VALUE!</v>
      </c>
      <c r="AJ198" s="510" t="e">
        <f t="shared" si="56"/>
        <v>#VALUE!</v>
      </c>
      <c r="AL198" s="498" t="e">
        <f t="shared" si="56"/>
        <v>#VALUE!</v>
      </c>
      <c r="AM198" s="498" t="e">
        <f t="shared" si="56"/>
        <v>#VALUE!</v>
      </c>
      <c r="AN198" s="498" t="e">
        <f t="shared" si="41"/>
        <v>#VALUE!</v>
      </c>
      <c r="AO198" s="499" t="e">
        <f t="shared" si="42"/>
        <v>#VALUE!</v>
      </c>
    </row>
    <row r="199" spans="21:41" s="498" customFormat="1" ht="0.65" hidden="1" customHeight="1">
      <c r="U199" s="499" t="e">
        <f t="shared" si="35"/>
        <v>#VALUE!</v>
      </c>
      <c r="V199" s="498">
        <f t="shared" si="43"/>
        <v>47</v>
      </c>
      <c r="W199" s="498">
        <f t="shared" si="44"/>
        <v>0</v>
      </c>
      <c r="X199" s="498" t="e">
        <f t="shared" si="45"/>
        <v>#VALUE!</v>
      </c>
      <c r="Y199" s="510" t="e">
        <f t="shared" si="36"/>
        <v>#VALUE!</v>
      </c>
      <c r="Z199" s="510" t="str">
        <f t="shared" ref="Z199:Z200" si="60">IF(L18="","",L18)</f>
        <v/>
      </c>
      <c r="AA199" s="498" t="str">
        <f t="shared" si="38"/>
        <v/>
      </c>
      <c r="AB199" s="510" t="e">
        <f>D29/D32+D30</f>
        <v>#VALUE!</v>
      </c>
      <c r="AC199" s="498" t="str">
        <f t="shared" si="39"/>
        <v/>
      </c>
      <c r="AD199" s="498" t="str">
        <f t="shared" si="40"/>
        <v>C</v>
      </c>
      <c r="AF199" s="500" t="e">
        <f t="shared" si="56"/>
        <v>#VALUE!</v>
      </c>
      <c r="AG199" s="498" t="e">
        <f t="shared" si="56"/>
        <v>#VALUE!</v>
      </c>
      <c r="AH199" s="498" t="e">
        <f t="shared" si="56"/>
        <v>#VALUE!</v>
      </c>
      <c r="AI199" s="511" t="e">
        <f t="shared" si="56"/>
        <v>#VALUE!</v>
      </c>
      <c r="AJ199" s="510" t="e">
        <f t="shared" si="56"/>
        <v>#VALUE!</v>
      </c>
      <c r="AL199" s="511" t="e">
        <f t="shared" si="56"/>
        <v>#VALUE!</v>
      </c>
      <c r="AM199" s="498" t="e">
        <f t="shared" si="56"/>
        <v>#VALUE!</v>
      </c>
      <c r="AN199" s="498" t="e">
        <f t="shared" si="41"/>
        <v>#VALUE!</v>
      </c>
      <c r="AO199" s="499" t="e">
        <f t="shared" si="42"/>
        <v>#VALUE!</v>
      </c>
    </row>
    <row r="200" spans="21:41" s="498" customFormat="1" ht="0.65" hidden="1" customHeight="1">
      <c r="U200" s="499" t="e">
        <f t="shared" si="35"/>
        <v>#VALUE!</v>
      </c>
      <c r="V200" s="498">
        <f t="shared" si="43"/>
        <v>48</v>
      </c>
      <c r="W200" s="498">
        <f t="shared" si="44"/>
        <v>0</v>
      </c>
      <c r="X200" s="498" t="e">
        <f t="shared" si="45"/>
        <v>#VALUE!</v>
      </c>
      <c r="Y200" s="510" t="e">
        <f t="shared" si="36"/>
        <v>#VALUE!</v>
      </c>
      <c r="Z200" s="510" t="str">
        <f t="shared" si="60"/>
        <v/>
      </c>
      <c r="AA200" s="498" t="str">
        <f t="shared" si="38"/>
        <v/>
      </c>
      <c r="AB200" s="510" t="e">
        <f>(L17*D31+L18*D32)/(D31+D32)</f>
        <v>#VALUE!</v>
      </c>
      <c r="AC200" s="498" t="str">
        <f t="shared" si="39"/>
        <v/>
      </c>
      <c r="AD200" s="498" t="str">
        <f t="shared" si="40"/>
        <v>C</v>
      </c>
      <c r="AF200" s="500" t="e">
        <f t="shared" si="56"/>
        <v>#VALUE!</v>
      </c>
      <c r="AG200" s="498" t="e">
        <f t="shared" si="56"/>
        <v>#VALUE!</v>
      </c>
      <c r="AH200" s="498" t="e">
        <f t="shared" si="56"/>
        <v>#VALUE!</v>
      </c>
      <c r="AI200" s="498" t="e">
        <f t="shared" si="56"/>
        <v>#VALUE!</v>
      </c>
      <c r="AJ200" s="510" t="e">
        <f t="shared" si="56"/>
        <v>#VALUE!</v>
      </c>
      <c r="AL200" s="498" t="e">
        <f t="shared" si="56"/>
        <v>#VALUE!</v>
      </c>
      <c r="AM200" s="498" t="e">
        <f t="shared" si="56"/>
        <v>#VALUE!</v>
      </c>
      <c r="AN200" s="498" t="e">
        <f t="shared" si="41"/>
        <v>#VALUE!</v>
      </c>
      <c r="AO200" s="499" t="e">
        <f t="shared" si="42"/>
        <v>#VALUE!</v>
      </c>
    </row>
    <row r="201" spans="21:41" s="498" customFormat="1" ht="0.65" hidden="1" customHeight="1">
      <c r="U201" s="499" t="e">
        <f t="shared" si="35"/>
        <v>#VALUE!</v>
      </c>
      <c r="V201" s="498">
        <f t="shared" si="43"/>
        <v>49</v>
      </c>
      <c r="W201" s="498">
        <f t="shared" si="44"/>
        <v>0</v>
      </c>
      <c r="X201" s="498" t="e">
        <f t="shared" si="45"/>
        <v>#VALUE!</v>
      </c>
      <c r="Y201" s="500" t="e">
        <f t="shared" si="36"/>
        <v>#VALUE!</v>
      </c>
      <c r="Z201" s="500" t="str">
        <f>IF(P10="","",P10)</f>
        <v/>
      </c>
      <c r="AA201" s="498" t="str">
        <f t="shared" si="38"/>
        <v/>
      </c>
      <c r="AB201" s="500">
        <f>-I16</f>
        <v>0</v>
      </c>
      <c r="AC201" s="498" t="str">
        <f t="shared" si="39"/>
        <v/>
      </c>
      <c r="AD201" s="498" t="str">
        <f t="shared" si="40"/>
        <v>C</v>
      </c>
      <c r="AF201" s="498" t="e">
        <f t="shared" ref="AF201:AM206" si="61">VLOOKUP($U201,$U$307:$AM$1143,AF$149,FALSE)</f>
        <v>#VALUE!</v>
      </c>
      <c r="AG201" s="498" t="e">
        <f t="shared" si="61"/>
        <v>#VALUE!</v>
      </c>
      <c r="AH201" s="498" t="e">
        <f t="shared" si="61"/>
        <v>#VALUE!</v>
      </c>
      <c r="AI201" s="500" t="e">
        <f t="shared" si="61"/>
        <v>#VALUE!</v>
      </c>
      <c r="AJ201" s="500" t="e">
        <f t="shared" si="61"/>
        <v>#VALUE!</v>
      </c>
      <c r="AL201" s="500" t="e">
        <f t="shared" si="61"/>
        <v>#VALUE!</v>
      </c>
      <c r="AM201" s="498" t="e">
        <f t="shared" si="61"/>
        <v>#VALUE!</v>
      </c>
      <c r="AN201" s="498" t="e">
        <f t="shared" si="41"/>
        <v>#VALUE!</v>
      </c>
      <c r="AO201" s="499" t="e">
        <f t="shared" si="42"/>
        <v>#VALUE!</v>
      </c>
    </row>
    <row r="202" spans="21:41" s="498" customFormat="1" ht="0.65" hidden="1" customHeight="1">
      <c r="U202" s="499" t="e">
        <f t="shared" si="35"/>
        <v>#VALUE!</v>
      </c>
      <c r="V202" s="498">
        <f t="shared" si="43"/>
        <v>50</v>
      </c>
      <c r="W202" s="498">
        <f t="shared" si="44"/>
        <v>0</v>
      </c>
      <c r="X202" s="498" t="e">
        <f t="shared" si="45"/>
        <v>#VALUE!</v>
      </c>
      <c r="Y202" s="500" t="e">
        <f t="shared" si="36"/>
        <v>#VALUE!</v>
      </c>
      <c r="Z202" s="500" t="str">
        <f t="shared" ref="Z202:Z204" si="62">IF(P11="","",P11)</f>
        <v/>
      </c>
      <c r="AA202" s="498" t="str">
        <f t="shared" si="38"/>
        <v/>
      </c>
      <c r="AB202" s="500" t="e">
        <f>O4-M11+IF(O11=$O$13,$I$19,0)</f>
        <v>#VALUE!</v>
      </c>
      <c r="AC202" s="498" t="str">
        <f t="shared" si="39"/>
        <v/>
      </c>
      <c r="AD202" s="498" t="str">
        <f t="shared" si="40"/>
        <v>C</v>
      </c>
      <c r="AF202" s="498" t="e">
        <f t="shared" si="61"/>
        <v>#VALUE!</v>
      </c>
      <c r="AG202" s="498" t="e">
        <f t="shared" si="61"/>
        <v>#VALUE!</v>
      </c>
      <c r="AH202" s="498" t="e">
        <f t="shared" si="61"/>
        <v>#VALUE!</v>
      </c>
      <c r="AI202" s="500" t="e">
        <f t="shared" si="61"/>
        <v>#VALUE!</v>
      </c>
      <c r="AJ202" s="500" t="e">
        <f t="shared" si="61"/>
        <v>#VALUE!</v>
      </c>
      <c r="AL202" s="498" t="e">
        <f t="shared" si="61"/>
        <v>#VALUE!</v>
      </c>
      <c r="AM202" s="498" t="e">
        <f t="shared" si="61"/>
        <v>#VALUE!</v>
      </c>
      <c r="AN202" s="498" t="e">
        <f t="shared" si="41"/>
        <v>#VALUE!</v>
      </c>
      <c r="AO202" s="499" t="e">
        <f t="shared" si="42"/>
        <v>#VALUE!</v>
      </c>
    </row>
    <row r="203" spans="21:41" s="498" customFormat="1" ht="0.65" hidden="1" customHeight="1">
      <c r="U203" s="499" t="e">
        <f t="shared" si="35"/>
        <v>#VALUE!</v>
      </c>
      <c r="V203" s="498">
        <f t="shared" si="43"/>
        <v>51</v>
      </c>
      <c r="W203" s="498">
        <f t="shared" si="44"/>
        <v>0</v>
      </c>
      <c r="X203" s="498" t="e">
        <f t="shared" si="45"/>
        <v>#VALUE!</v>
      </c>
      <c r="Y203" s="500" t="e">
        <f t="shared" si="36"/>
        <v>#VALUE!</v>
      </c>
      <c r="Z203" s="500" t="str">
        <f t="shared" si="62"/>
        <v/>
      </c>
      <c r="AA203" s="498" t="str">
        <f t="shared" si="38"/>
        <v/>
      </c>
      <c r="AB203" s="500" t="e">
        <f>O5-M12+IF(O12=$O$13,$I$19,0)</f>
        <v>#VALUE!</v>
      </c>
      <c r="AC203" s="498" t="str">
        <f t="shared" si="39"/>
        <v/>
      </c>
      <c r="AD203" s="498" t="str">
        <f t="shared" si="40"/>
        <v>C</v>
      </c>
      <c r="AF203" s="498" t="e">
        <f t="shared" si="61"/>
        <v>#VALUE!</v>
      </c>
      <c r="AG203" s="498" t="e">
        <f t="shared" si="61"/>
        <v>#VALUE!</v>
      </c>
      <c r="AH203" s="498" t="e">
        <f t="shared" si="61"/>
        <v>#VALUE!</v>
      </c>
      <c r="AI203" s="500" t="e">
        <f t="shared" si="61"/>
        <v>#VALUE!</v>
      </c>
      <c r="AJ203" s="500" t="e">
        <f t="shared" si="61"/>
        <v>#VALUE!</v>
      </c>
      <c r="AL203" s="498" t="e">
        <f t="shared" si="61"/>
        <v>#VALUE!</v>
      </c>
      <c r="AM203" s="498" t="e">
        <f t="shared" si="61"/>
        <v>#VALUE!</v>
      </c>
      <c r="AN203" s="498" t="e">
        <f t="shared" si="41"/>
        <v>#VALUE!</v>
      </c>
      <c r="AO203" s="499" t="e">
        <f t="shared" si="42"/>
        <v>#VALUE!</v>
      </c>
    </row>
    <row r="204" spans="21:41" s="498" customFormat="1" ht="0.65" hidden="1" customHeight="1">
      <c r="U204" s="499" t="e">
        <f t="shared" si="35"/>
        <v>#VALUE!</v>
      </c>
      <c r="V204" s="498">
        <f t="shared" si="43"/>
        <v>52</v>
      </c>
      <c r="W204" s="498">
        <f t="shared" si="44"/>
        <v>0</v>
      </c>
      <c r="X204" s="498" t="e">
        <f t="shared" si="45"/>
        <v>#VALUE!</v>
      </c>
      <c r="Y204" s="500" t="e">
        <f t="shared" si="36"/>
        <v>#VALUE!</v>
      </c>
      <c r="Z204" s="500" t="str">
        <f t="shared" si="62"/>
        <v/>
      </c>
      <c r="AA204" s="498" t="str">
        <f t="shared" si="38"/>
        <v/>
      </c>
      <c r="AB204" s="500" t="e">
        <f>O6-M13+IF(O13=$O$13,$I$19,0)</f>
        <v>#VALUE!</v>
      </c>
      <c r="AC204" s="498" t="str">
        <f t="shared" si="39"/>
        <v/>
      </c>
      <c r="AD204" s="498" t="str">
        <f t="shared" si="40"/>
        <v>C</v>
      </c>
      <c r="AF204" s="498" t="e">
        <f t="shared" si="61"/>
        <v>#VALUE!</v>
      </c>
      <c r="AG204" s="498" t="e">
        <f t="shared" si="61"/>
        <v>#VALUE!</v>
      </c>
      <c r="AH204" s="498" t="e">
        <f t="shared" si="61"/>
        <v>#VALUE!</v>
      </c>
      <c r="AI204" s="500" t="e">
        <f t="shared" si="61"/>
        <v>#VALUE!</v>
      </c>
      <c r="AJ204" s="500" t="e">
        <f t="shared" si="61"/>
        <v>#VALUE!</v>
      </c>
      <c r="AL204" s="498" t="e">
        <f t="shared" si="61"/>
        <v>#VALUE!</v>
      </c>
      <c r="AM204" s="498" t="e">
        <f t="shared" si="61"/>
        <v>#VALUE!</v>
      </c>
      <c r="AN204" s="498" t="e">
        <f t="shared" si="41"/>
        <v>#VALUE!</v>
      </c>
      <c r="AO204" s="499" t="e">
        <f t="shared" si="42"/>
        <v>#VALUE!</v>
      </c>
    </row>
    <row r="205" spans="21:41" s="498" customFormat="1" ht="0.65" hidden="1" customHeight="1">
      <c r="U205" s="499" t="e">
        <f t="shared" si="35"/>
        <v>#VALUE!</v>
      </c>
      <c r="V205" s="498">
        <f t="shared" si="43"/>
        <v>53</v>
      </c>
      <c r="W205" s="498">
        <f t="shared" si="44"/>
        <v>0</v>
      </c>
      <c r="X205" s="498" t="e">
        <f t="shared" si="45"/>
        <v>#VALUE!</v>
      </c>
      <c r="Y205" s="500" t="e">
        <f t="shared" si="36"/>
        <v>#VALUE!</v>
      </c>
      <c r="Z205" s="500" t="str">
        <f>IF(P15="","",P15)</f>
        <v/>
      </c>
      <c r="AA205" s="498" t="str">
        <f t="shared" si="38"/>
        <v/>
      </c>
      <c r="AB205" s="500">
        <f>NPV(L19,P11:P13)+P10</f>
        <v>0</v>
      </c>
      <c r="AC205" s="498" t="str">
        <f t="shared" si="39"/>
        <v/>
      </c>
      <c r="AD205" s="498" t="str">
        <f t="shared" si="40"/>
        <v>C</v>
      </c>
      <c r="AF205" s="500" t="e">
        <f t="shared" si="61"/>
        <v>#VALUE!</v>
      </c>
      <c r="AG205" s="498" t="e">
        <f t="shared" si="61"/>
        <v>#VALUE!</v>
      </c>
      <c r="AH205" s="498" t="e">
        <f t="shared" si="61"/>
        <v>#VALUE!</v>
      </c>
      <c r="AI205" s="500" t="e">
        <f t="shared" si="61"/>
        <v>#VALUE!</v>
      </c>
      <c r="AJ205" s="500" t="e">
        <f t="shared" si="61"/>
        <v>#VALUE!</v>
      </c>
      <c r="AL205" s="512" t="e">
        <f t="shared" si="61"/>
        <v>#VALUE!</v>
      </c>
      <c r="AM205" s="498" t="e">
        <f t="shared" si="61"/>
        <v>#VALUE!</v>
      </c>
      <c r="AN205" s="498" t="e">
        <f t="shared" si="41"/>
        <v>#VALUE!</v>
      </c>
      <c r="AO205" s="499" t="e">
        <f t="shared" si="42"/>
        <v>#VALUE!</v>
      </c>
    </row>
    <row r="206" spans="21:41" s="498" customFormat="1" ht="0.65" hidden="1" customHeight="1">
      <c r="U206" s="499" t="e">
        <f t="shared" si="35"/>
        <v>#VALUE!</v>
      </c>
      <c r="V206" s="498">
        <f t="shared" si="43"/>
        <v>54</v>
      </c>
      <c r="W206" s="498">
        <f t="shared" si="44"/>
        <v>0</v>
      </c>
      <c r="X206" s="498" t="e">
        <f t="shared" si="45"/>
        <v>#VALUE!</v>
      </c>
      <c r="Y206" s="510" t="e">
        <f t="shared" si="36"/>
        <v>#VALUE!</v>
      </c>
      <c r="Z206" s="510" t="str">
        <f>IF(P16="","",P16)</f>
        <v/>
      </c>
      <c r="AA206" s="498" t="str">
        <f t="shared" si="38"/>
        <v/>
      </c>
      <c r="AB206" s="510" t="e">
        <f>IRR(P10:P13)</f>
        <v>#NUM!</v>
      </c>
      <c r="AC206" s="498" t="str">
        <f t="shared" si="39"/>
        <v/>
      </c>
      <c r="AD206" s="498" t="str">
        <f t="shared" si="40"/>
        <v>C</v>
      </c>
      <c r="AF206" s="498" t="e">
        <f t="shared" si="61"/>
        <v>#VALUE!</v>
      </c>
      <c r="AG206" s="498" t="e">
        <f t="shared" si="61"/>
        <v>#VALUE!</v>
      </c>
      <c r="AH206" s="498" t="e">
        <f t="shared" si="61"/>
        <v>#VALUE!</v>
      </c>
      <c r="AI206" s="511" t="e">
        <f t="shared" si="61"/>
        <v>#VALUE!</v>
      </c>
      <c r="AJ206" s="510" t="e">
        <f t="shared" si="61"/>
        <v>#VALUE!</v>
      </c>
      <c r="AL206" s="511" t="e">
        <f t="shared" si="61"/>
        <v>#VALUE!</v>
      </c>
      <c r="AM206" s="498" t="e">
        <f t="shared" si="61"/>
        <v>#VALUE!</v>
      </c>
      <c r="AN206" s="498" t="e">
        <f t="shared" si="41"/>
        <v>#VALUE!</v>
      </c>
      <c r="AO206" s="499" t="e">
        <f t="shared" si="42"/>
        <v>#VALUE!</v>
      </c>
    </row>
    <row r="207" spans="21:41" s="498" customFormat="1" ht="0.65" hidden="1" customHeight="1">
      <c r="U207" s="499" t="e">
        <f t="shared" si="35"/>
        <v>#VALUE!</v>
      </c>
      <c r="Z207" s="498" t="s">
        <v>411</v>
      </c>
      <c r="AA207" s="498">
        <f>SUM(AA153:AA206)</f>
        <v>0</v>
      </c>
      <c r="AB207" s="498" t="s">
        <v>2167</v>
      </c>
      <c r="AC207" s="498">
        <f>SUM(AC153:AC206)</f>
        <v>0</v>
      </c>
    </row>
    <row r="208" spans="21:41" s="498" customFormat="1" ht="0.65" hidden="1" customHeight="1">
      <c r="U208" s="499" t="e">
        <f t="shared" si="35"/>
        <v>#VALUE!</v>
      </c>
      <c r="AG208" s="498" t="e">
        <f>AG207+IF(AH208="",0,1)</f>
        <v>#VALUE!</v>
      </c>
      <c r="AH208" s="498" t="e">
        <f t="shared" ref="AH208:AI215" si="63">VLOOKUP($U208,$U$307:$AM$1143,AH$149,FALSE)</f>
        <v>#VALUE!</v>
      </c>
      <c r="AI208" s="498" t="e">
        <f t="shared" si="63"/>
        <v>#VALUE!</v>
      </c>
    </row>
    <row r="209" spans="2:35" s="498" customFormat="1" ht="0.65" hidden="1" customHeight="1">
      <c r="U209" s="499" t="e">
        <f t="shared" si="35"/>
        <v>#VALUE!</v>
      </c>
      <c r="AG209" s="498" t="e">
        <f t="shared" ref="AG209:AG219" si="64">AG208+IF(AH209="",0,1)</f>
        <v>#VALUE!</v>
      </c>
      <c r="AH209" s="498" t="e">
        <f t="shared" si="63"/>
        <v>#VALUE!</v>
      </c>
      <c r="AI209" s="498" t="e">
        <f t="shared" si="63"/>
        <v>#VALUE!</v>
      </c>
    </row>
    <row r="210" spans="2:35" s="498" customFormat="1" ht="0.65" hidden="1" customHeight="1">
      <c r="U210" s="499" t="e">
        <f t="shared" si="35"/>
        <v>#VALUE!</v>
      </c>
      <c r="AG210" s="498" t="e">
        <f t="shared" si="64"/>
        <v>#VALUE!</v>
      </c>
      <c r="AH210" s="498" t="e">
        <f t="shared" si="63"/>
        <v>#VALUE!</v>
      </c>
      <c r="AI210" s="498" t="e">
        <f t="shared" si="63"/>
        <v>#VALUE!</v>
      </c>
    </row>
    <row r="211" spans="2:35" s="498" customFormat="1" ht="0.65" hidden="1" customHeight="1">
      <c r="U211" s="499" t="e">
        <f t="shared" si="35"/>
        <v>#VALUE!</v>
      </c>
      <c r="AG211" s="498" t="e">
        <f t="shared" si="64"/>
        <v>#VALUE!</v>
      </c>
      <c r="AH211" s="498" t="e">
        <f t="shared" si="63"/>
        <v>#VALUE!</v>
      </c>
      <c r="AI211" s="498" t="e">
        <f t="shared" si="63"/>
        <v>#VALUE!</v>
      </c>
    </row>
    <row r="212" spans="2:35" s="498" customFormat="1" ht="0.65" hidden="1" customHeight="1">
      <c r="U212" s="499" t="e">
        <f t="shared" si="35"/>
        <v>#VALUE!</v>
      </c>
      <c r="AG212" s="498" t="e">
        <f t="shared" si="64"/>
        <v>#VALUE!</v>
      </c>
      <c r="AH212" s="498" t="e">
        <f t="shared" si="63"/>
        <v>#VALUE!</v>
      </c>
      <c r="AI212" s="498" t="e">
        <f t="shared" si="63"/>
        <v>#VALUE!</v>
      </c>
    </row>
    <row r="213" spans="2:35" s="498" customFormat="1" ht="0.65" hidden="1" customHeight="1">
      <c r="U213" s="499" t="e">
        <f t="shared" si="35"/>
        <v>#VALUE!</v>
      </c>
      <c r="AG213" s="498" t="e">
        <f t="shared" si="64"/>
        <v>#VALUE!</v>
      </c>
      <c r="AH213" s="498" t="e">
        <f t="shared" si="63"/>
        <v>#VALUE!</v>
      </c>
      <c r="AI213" s="498" t="e">
        <f t="shared" si="63"/>
        <v>#VALUE!</v>
      </c>
    </row>
    <row r="214" spans="2:35" s="498" customFormat="1" ht="0.65" hidden="1" customHeight="1">
      <c r="U214" s="499" t="e">
        <f t="shared" si="35"/>
        <v>#VALUE!</v>
      </c>
      <c r="AG214" s="498" t="e">
        <f t="shared" si="64"/>
        <v>#VALUE!</v>
      </c>
      <c r="AH214" s="498" t="e">
        <f t="shared" si="63"/>
        <v>#VALUE!</v>
      </c>
      <c r="AI214" s="498" t="e">
        <f t="shared" si="63"/>
        <v>#VALUE!</v>
      </c>
    </row>
    <row r="215" spans="2:35" s="498" customFormat="1" ht="0.65" hidden="1" customHeight="1">
      <c r="U215" s="499" t="e">
        <f t="shared" si="35"/>
        <v>#VALUE!</v>
      </c>
      <c r="AG215" s="498" t="e">
        <f t="shared" si="64"/>
        <v>#VALUE!</v>
      </c>
      <c r="AH215" s="498" t="e">
        <f t="shared" si="63"/>
        <v>#VALUE!</v>
      </c>
      <c r="AI215" s="498" t="e">
        <f t="shared" si="63"/>
        <v>#VALUE!</v>
      </c>
    </row>
    <row r="216" spans="2:35" s="498" customFormat="1" ht="0.65" hidden="1" customHeight="1">
      <c r="U216" s="499" t="e">
        <f t="shared" si="35"/>
        <v>#VALUE!</v>
      </c>
      <c r="AG216" s="498" t="e">
        <f t="shared" si="64"/>
        <v>#VALUE!</v>
      </c>
    </row>
    <row r="217" spans="2:35" s="498" customFormat="1" ht="0.65" hidden="1" customHeight="1">
      <c r="U217" s="499" t="e">
        <f t="shared" si="35"/>
        <v>#VALUE!</v>
      </c>
      <c r="AG217" s="498" t="e">
        <f t="shared" si="64"/>
        <v>#VALUE!</v>
      </c>
    </row>
    <row r="218" spans="2:35" s="498" customFormat="1" ht="0.65" hidden="1" customHeight="1">
      <c r="U218" s="499" t="e">
        <f>1+U217</f>
        <v>#VALUE!</v>
      </c>
      <c r="AG218" s="498" t="e">
        <f t="shared" si="64"/>
        <v>#VALUE!</v>
      </c>
    </row>
    <row r="219" spans="2:35" s="498" customFormat="1" ht="0.65" hidden="1" customHeight="1">
      <c r="U219" s="499" t="e">
        <f>1+U218</f>
        <v>#VALUE!</v>
      </c>
      <c r="AG219" s="498" t="e">
        <f t="shared" si="64"/>
        <v>#VALUE!</v>
      </c>
    </row>
    <row r="220" spans="2:35" s="498" customFormat="1" ht="0.65" hidden="1" customHeight="1"/>
    <row r="221" spans="2:35" s="498" customFormat="1" ht="0.65" hidden="1" customHeight="1"/>
    <row r="222" spans="2:35" s="498" customFormat="1" ht="0.65" hidden="1" customHeight="1">
      <c r="G222" s="499">
        <v>1</v>
      </c>
      <c r="H222" s="499">
        <v>2</v>
      </c>
      <c r="I222" s="499">
        <v>3</v>
      </c>
      <c r="J222" s="499">
        <v>4</v>
      </c>
      <c r="K222" s="499">
        <v>5</v>
      </c>
      <c r="L222" s="499">
        <v>6</v>
      </c>
      <c r="M222" s="499">
        <v>7</v>
      </c>
      <c r="N222" s="499">
        <v>8</v>
      </c>
      <c r="O222" s="499">
        <v>9</v>
      </c>
      <c r="P222" s="499">
        <v>10</v>
      </c>
      <c r="Q222" s="500"/>
    </row>
    <row r="223" spans="2:35" s="498" customFormat="1" ht="0.65" hidden="1" customHeight="1">
      <c r="I223" s="499">
        <v>0.01</v>
      </c>
      <c r="Q223" s="500"/>
    </row>
    <row r="224" spans="2:35" s="498" customFormat="1" ht="0.65" hidden="1" customHeight="1">
      <c r="B224" s="499">
        <v>1001</v>
      </c>
      <c r="C224" s="498">
        <v>2022</v>
      </c>
      <c r="E224" s="499"/>
      <c r="G224" s="499">
        <v>1001</v>
      </c>
      <c r="H224" s="501" t="s">
        <v>0</v>
      </c>
      <c r="I224" s="502" t="s">
        <v>2113</v>
      </c>
      <c r="J224" s="502" t="s">
        <v>2114</v>
      </c>
      <c r="K224" s="502" t="s">
        <v>2115</v>
      </c>
      <c r="L224" s="502" t="s">
        <v>2116</v>
      </c>
      <c r="M224" s="502" t="s">
        <v>2117</v>
      </c>
      <c r="N224" s="502" t="s">
        <v>2118</v>
      </c>
      <c r="O224" s="502" t="s">
        <v>2119</v>
      </c>
      <c r="Q224" s="500"/>
    </row>
    <row r="225" spans="2:16" s="498" customFormat="1" ht="0.65" hidden="1" customHeight="1">
      <c r="B225" s="499">
        <v>1002</v>
      </c>
      <c r="E225" s="499"/>
      <c r="G225" s="499">
        <v>1002</v>
      </c>
      <c r="H225" s="503">
        <v>2023</v>
      </c>
      <c r="I225" s="500">
        <v>408000</v>
      </c>
      <c r="J225" s="500">
        <v>201600</v>
      </c>
      <c r="K225" s="500">
        <v>120000</v>
      </c>
      <c r="L225" s="500">
        <v>86400</v>
      </c>
      <c r="M225" s="500">
        <v>25920</v>
      </c>
      <c r="N225" s="500">
        <v>60480</v>
      </c>
      <c r="O225" s="500">
        <v>180480</v>
      </c>
    </row>
    <row r="226" spans="2:16" s="498" customFormat="1" ht="0.65" hidden="1" customHeight="1">
      <c r="B226" s="499">
        <v>1003</v>
      </c>
      <c r="E226" s="499"/>
      <c r="G226" s="499">
        <v>1003</v>
      </c>
      <c r="H226" s="503">
        <v>2024</v>
      </c>
      <c r="I226" s="500">
        <v>416160</v>
      </c>
      <c r="J226" s="500">
        <v>203616</v>
      </c>
      <c r="K226" s="500">
        <v>120000</v>
      </c>
      <c r="L226" s="500">
        <v>92544</v>
      </c>
      <c r="M226" s="500">
        <v>27763.200000000001</v>
      </c>
      <c r="N226" s="500">
        <v>64780.800000000003</v>
      </c>
      <c r="O226" s="500">
        <v>184780.79999999999</v>
      </c>
    </row>
    <row r="227" spans="2:16" s="498" customFormat="1" ht="0.65" hidden="1" customHeight="1">
      <c r="B227" s="499">
        <v>1004</v>
      </c>
      <c r="E227" s="499"/>
      <c r="G227" s="499">
        <v>1004</v>
      </c>
      <c r="H227" s="503">
        <v>2025</v>
      </c>
      <c r="I227" s="500">
        <v>424483.19999999995</v>
      </c>
      <c r="J227" s="500">
        <v>205652.15999999997</v>
      </c>
      <c r="K227" s="500">
        <v>120000</v>
      </c>
      <c r="L227" s="500">
        <v>98831.039999999979</v>
      </c>
      <c r="M227" s="500">
        <v>29649.311999999991</v>
      </c>
      <c r="N227" s="500">
        <v>69181.727999999988</v>
      </c>
      <c r="O227" s="500">
        <v>189181.728</v>
      </c>
    </row>
    <row r="228" spans="2:16" s="498" customFormat="1" ht="0.65" hidden="1" customHeight="1">
      <c r="B228" s="499">
        <v>1005</v>
      </c>
      <c r="C228" s="498">
        <v>1200000</v>
      </c>
      <c r="E228" s="499"/>
      <c r="G228" s="499">
        <v>1005</v>
      </c>
    </row>
    <row r="229" spans="2:16" s="498" customFormat="1" ht="0.65" hidden="1" customHeight="1">
      <c r="B229" s="499">
        <v>1006</v>
      </c>
      <c r="C229" s="498">
        <v>10</v>
      </c>
      <c r="E229" s="499"/>
      <c r="G229" s="499">
        <v>1006</v>
      </c>
    </row>
    <row r="230" spans="2:16" s="498" customFormat="1" ht="0.65" hidden="1" customHeight="1">
      <c r="B230" s="499">
        <v>1007</v>
      </c>
      <c r="C230" s="498">
        <v>400000</v>
      </c>
      <c r="E230" s="499"/>
      <c r="G230" s="499">
        <v>1007</v>
      </c>
      <c r="H230" s="501" t="s">
        <v>0</v>
      </c>
      <c r="I230" s="502" t="s">
        <v>2121</v>
      </c>
      <c r="J230" s="502" t="s">
        <v>2122</v>
      </c>
      <c r="K230" s="502" t="s">
        <v>2123</v>
      </c>
      <c r="L230" s="502" t="s">
        <v>2124</v>
      </c>
      <c r="M230" s="502" t="s">
        <v>2125</v>
      </c>
      <c r="N230" s="500"/>
      <c r="O230" s="501" t="s">
        <v>0</v>
      </c>
      <c r="P230" s="501" t="s">
        <v>1</v>
      </c>
    </row>
    <row r="231" spans="2:16" s="498" customFormat="1" ht="0.65" hidden="1" customHeight="1">
      <c r="B231" s="499">
        <v>1008</v>
      </c>
      <c r="E231" s="499"/>
      <c r="G231" s="499">
        <v>1008</v>
      </c>
      <c r="H231" s="503">
        <v>2022</v>
      </c>
      <c r="I231" s="500">
        <v>40000</v>
      </c>
      <c r="J231" s="500">
        <v>0</v>
      </c>
      <c r="K231" s="500">
        <v>0</v>
      </c>
      <c r="L231" s="500">
        <v>40000</v>
      </c>
      <c r="M231" s="500">
        <v>40000</v>
      </c>
      <c r="N231" s="504"/>
      <c r="O231" s="503">
        <v>2022</v>
      </c>
      <c r="P231" s="500">
        <v>-1240000</v>
      </c>
    </row>
    <row r="232" spans="2:16" s="498" customFormat="1" ht="0.65" hidden="1" customHeight="1">
      <c r="B232" s="499">
        <v>1009</v>
      </c>
      <c r="E232" s="499"/>
      <c r="G232" s="499">
        <v>1009</v>
      </c>
      <c r="H232" s="503">
        <v>2023</v>
      </c>
      <c r="I232" s="500">
        <v>40400</v>
      </c>
      <c r="J232" s="500">
        <v>123420</v>
      </c>
      <c r="K232" s="500">
        <v>40736.666666666664</v>
      </c>
      <c r="L232" s="500">
        <v>123083.33333333334</v>
      </c>
      <c r="M232" s="500">
        <v>83083.333333333343</v>
      </c>
      <c r="N232" s="500"/>
      <c r="O232" s="503">
        <v>2023</v>
      </c>
      <c r="P232" s="500">
        <v>97396.666666666657</v>
      </c>
    </row>
    <row r="233" spans="2:16" s="498" customFormat="1" ht="0.65" hidden="1" customHeight="1">
      <c r="B233" s="499">
        <v>1010</v>
      </c>
      <c r="C233" s="498">
        <v>400000</v>
      </c>
      <c r="E233" s="499"/>
      <c r="G233" s="499">
        <v>1010</v>
      </c>
      <c r="H233" s="503">
        <v>2024</v>
      </c>
      <c r="I233" s="500">
        <v>40804</v>
      </c>
      <c r="J233" s="500">
        <v>125888.4</v>
      </c>
      <c r="K233" s="500">
        <v>41144.033333333333</v>
      </c>
      <c r="L233" s="500">
        <v>125548.36666666667</v>
      </c>
      <c r="M233" s="500">
        <v>2465.0333333333256</v>
      </c>
      <c r="N233" s="500"/>
      <c r="O233" s="503">
        <v>2024</v>
      </c>
      <c r="P233" s="500">
        <v>182315.76666666666</v>
      </c>
    </row>
    <row r="234" spans="2:16" s="498" customFormat="1" ht="0.65" hidden="1" customHeight="1">
      <c r="B234" s="499">
        <v>1011</v>
      </c>
      <c r="C234" s="498">
        <v>200000</v>
      </c>
      <c r="E234" s="499"/>
      <c r="G234" s="499">
        <v>1011</v>
      </c>
      <c r="H234" s="503">
        <v>2025</v>
      </c>
      <c r="I234" s="500">
        <v>41212.04</v>
      </c>
      <c r="J234" s="500">
        <v>128406.16799999996</v>
      </c>
      <c r="K234" s="500">
        <v>41555.473666666665</v>
      </c>
      <c r="L234" s="500">
        <v>128062.7343333333</v>
      </c>
      <c r="M234" s="500">
        <v>2514.3676666666288</v>
      </c>
      <c r="N234" s="500"/>
      <c r="O234" s="503">
        <v>2025</v>
      </c>
      <c r="P234" s="500">
        <v>890865.0946666667</v>
      </c>
    </row>
    <row r="235" spans="2:16" s="498" customFormat="1" ht="0.65" hidden="1" customHeight="1">
      <c r="B235" s="499">
        <v>1012</v>
      </c>
      <c r="E235" s="499"/>
      <c r="G235" s="499">
        <v>1012</v>
      </c>
    </row>
    <row r="236" spans="2:16" s="498" customFormat="1" ht="0.65" hidden="1" customHeight="1">
      <c r="B236" s="499">
        <v>1013</v>
      </c>
      <c r="C236" s="498">
        <v>90</v>
      </c>
      <c r="E236" s="499"/>
      <c r="G236" s="499">
        <v>1013</v>
      </c>
      <c r="O236" s="500" t="s">
        <v>13</v>
      </c>
      <c r="P236" s="501">
        <v>-220934.11398489738</v>
      </c>
    </row>
    <row r="237" spans="2:16" s="498" customFormat="1" ht="0.65" hidden="1" customHeight="1">
      <c r="B237" s="499">
        <v>1014</v>
      </c>
      <c r="C237" s="498">
        <v>60</v>
      </c>
      <c r="E237" s="499"/>
      <c r="G237" s="499">
        <v>1014</v>
      </c>
      <c r="H237" s="505" t="s">
        <v>490</v>
      </c>
      <c r="I237" s="500">
        <v>1240000</v>
      </c>
      <c r="O237" s="498" t="s">
        <v>28</v>
      </c>
      <c r="P237" s="506">
        <v>-2.1253125908599624E-2</v>
      </c>
    </row>
    <row r="238" spans="2:16" s="498" customFormat="1" ht="0.65" hidden="1" customHeight="1">
      <c r="B238" s="499">
        <v>1015</v>
      </c>
      <c r="E238" s="499"/>
      <c r="G238" s="499">
        <v>1015</v>
      </c>
      <c r="H238" s="505" t="s">
        <v>2168</v>
      </c>
      <c r="I238" s="500">
        <v>576135</v>
      </c>
      <c r="K238" s="505" t="s">
        <v>124</v>
      </c>
      <c r="L238" s="506">
        <v>3.5000000000000003E-2</v>
      </c>
    </row>
    <row r="239" spans="2:16" s="498" customFormat="1" ht="0.65" hidden="1" customHeight="1">
      <c r="B239" s="499">
        <v>1016</v>
      </c>
      <c r="E239" s="499"/>
      <c r="G239" s="499">
        <v>1016</v>
      </c>
      <c r="H239" s="505" t="s">
        <v>2169</v>
      </c>
      <c r="I239" s="500">
        <v>128062.7343333333</v>
      </c>
      <c r="K239" s="505" t="s">
        <v>125</v>
      </c>
      <c r="L239" s="506">
        <v>0.09</v>
      </c>
    </row>
    <row r="240" spans="2:16" s="498" customFormat="1" ht="0.65" hidden="1" customHeight="1">
      <c r="B240" s="499">
        <v>1017</v>
      </c>
      <c r="C240" s="498">
        <v>40000</v>
      </c>
      <c r="E240" s="499"/>
      <c r="G240" s="499">
        <v>1017</v>
      </c>
      <c r="H240" s="505" t="s">
        <v>2170</v>
      </c>
      <c r="I240" s="500">
        <v>704197.73433333333</v>
      </c>
      <c r="K240" s="505" t="s">
        <v>126</v>
      </c>
      <c r="L240" s="506">
        <v>5.3333333333333337E-2</v>
      </c>
    </row>
    <row r="241" spans="2:16" s="498" customFormat="1" ht="0.65" hidden="1" customHeight="1">
      <c r="B241" s="499">
        <v>1018</v>
      </c>
      <c r="C241" s="498">
        <v>0.2</v>
      </c>
      <c r="E241" s="499"/>
    </row>
    <row r="242" spans="2:16" s="498" customFormat="1" ht="0.65" hidden="1" customHeight="1">
      <c r="B242" s="499">
        <v>1019</v>
      </c>
      <c r="E242" s="499"/>
    </row>
    <row r="243" spans="2:16" s="498" customFormat="1" ht="0.65" hidden="1" customHeight="1">
      <c r="B243" s="499">
        <v>1020</v>
      </c>
      <c r="E243" s="499"/>
      <c r="H243" s="499"/>
      <c r="I243" s="499"/>
      <c r="J243" s="499"/>
      <c r="K243" s="499"/>
      <c r="L243" s="499"/>
      <c r="M243" s="499"/>
      <c r="N243" s="499"/>
      <c r="O243" s="499"/>
      <c r="P243" s="499"/>
    </row>
    <row r="244" spans="2:16" s="498" customFormat="1" ht="0.65" hidden="1" customHeight="1">
      <c r="B244" s="499">
        <v>1021</v>
      </c>
      <c r="C244" s="498">
        <v>0.21</v>
      </c>
      <c r="E244" s="499"/>
      <c r="H244" s="499"/>
      <c r="I244" s="499"/>
      <c r="J244" s="499"/>
      <c r="K244" s="499"/>
      <c r="L244" s="499"/>
      <c r="M244" s="499"/>
      <c r="N244" s="499"/>
      <c r="O244" s="499"/>
      <c r="P244" s="499"/>
    </row>
    <row r="245" spans="2:16" s="498" customFormat="1" ht="0.65" hidden="1" customHeight="1">
      <c r="B245" s="499">
        <v>1022</v>
      </c>
      <c r="C245" s="498">
        <v>0.3</v>
      </c>
      <c r="E245" s="499"/>
      <c r="H245" s="499"/>
      <c r="I245" s="499"/>
      <c r="J245" s="499"/>
      <c r="K245" s="499"/>
      <c r="L245" s="499"/>
      <c r="M245" s="499"/>
      <c r="N245" s="499"/>
      <c r="O245" s="499"/>
      <c r="P245" s="499"/>
    </row>
    <row r="246" spans="2:16" s="498" customFormat="1" ht="0.65" hidden="1" customHeight="1">
      <c r="B246" s="499">
        <v>1023</v>
      </c>
      <c r="E246" s="499"/>
      <c r="H246" s="499"/>
      <c r="I246" s="499"/>
      <c r="J246" s="499"/>
      <c r="K246" s="499"/>
      <c r="L246" s="499"/>
      <c r="M246" s="499"/>
      <c r="N246" s="499"/>
      <c r="O246" s="499"/>
      <c r="P246" s="499"/>
    </row>
    <row r="247" spans="2:16" s="498" customFormat="1" ht="0.65" hidden="1" customHeight="1">
      <c r="B247" s="499">
        <v>1024</v>
      </c>
      <c r="E247" s="499"/>
      <c r="H247" s="499"/>
      <c r="I247" s="499"/>
      <c r="J247" s="499"/>
      <c r="K247" s="499"/>
      <c r="L247" s="499"/>
      <c r="M247" s="499"/>
      <c r="N247" s="499"/>
      <c r="O247" s="499"/>
      <c r="P247" s="499"/>
    </row>
    <row r="248" spans="2:16" s="498" customFormat="1" ht="0.65" hidden="1" customHeight="1">
      <c r="B248" s="499">
        <v>1025</v>
      </c>
      <c r="E248" s="499"/>
      <c r="H248" s="499"/>
      <c r="I248" s="499"/>
      <c r="J248" s="499"/>
      <c r="K248" s="499"/>
      <c r="L248" s="499"/>
      <c r="M248" s="499"/>
      <c r="N248" s="499"/>
      <c r="O248" s="499"/>
      <c r="P248" s="499"/>
    </row>
    <row r="249" spans="2:16" s="498" customFormat="1" ht="0.65" hidden="1" customHeight="1">
      <c r="B249" s="499">
        <v>1026</v>
      </c>
      <c r="C249" s="498">
        <v>500000</v>
      </c>
      <c r="E249" s="499"/>
      <c r="H249" s="499"/>
      <c r="I249" s="499"/>
      <c r="J249" s="499"/>
      <c r="K249" s="499"/>
      <c r="L249" s="499"/>
      <c r="M249" s="499"/>
      <c r="N249" s="499"/>
      <c r="O249" s="499"/>
      <c r="P249" s="499"/>
    </row>
    <row r="250" spans="2:16" s="498" customFormat="1" ht="0.65" hidden="1" customHeight="1">
      <c r="B250" s="499">
        <v>1027</v>
      </c>
      <c r="C250" s="498">
        <v>250000</v>
      </c>
      <c r="E250" s="499"/>
      <c r="H250" s="499"/>
      <c r="I250" s="499"/>
      <c r="J250" s="499"/>
      <c r="K250" s="499"/>
      <c r="L250" s="499"/>
      <c r="M250" s="499"/>
      <c r="N250" s="499"/>
      <c r="O250" s="499"/>
      <c r="P250" s="499"/>
    </row>
    <row r="251" spans="2:16" s="498" customFormat="1" ht="0.65" hidden="1" customHeight="1">
      <c r="B251" s="499">
        <v>1028</v>
      </c>
      <c r="C251" s="498">
        <v>0.04</v>
      </c>
      <c r="E251" s="499"/>
      <c r="H251" s="499"/>
      <c r="I251" s="501"/>
      <c r="J251" s="499"/>
      <c r="K251" s="499"/>
      <c r="L251" s="501"/>
      <c r="M251" s="499"/>
      <c r="N251" s="499"/>
      <c r="O251" s="499"/>
      <c r="P251" s="499"/>
    </row>
    <row r="252" spans="2:16" s="498" customFormat="1" ht="0.65" hidden="1" customHeight="1">
      <c r="B252" s="499">
        <v>1029</v>
      </c>
      <c r="C252" s="498">
        <v>10000000</v>
      </c>
      <c r="E252" s="499"/>
      <c r="H252" s="499"/>
      <c r="I252" s="499"/>
      <c r="J252" s="499"/>
      <c r="K252" s="499"/>
      <c r="L252" s="501"/>
      <c r="M252" s="501"/>
      <c r="N252" s="501"/>
      <c r="O252" s="499"/>
      <c r="P252" s="499"/>
    </row>
    <row r="253" spans="2:16" s="498" customFormat="1" ht="0.65" hidden="1" customHeight="1">
      <c r="B253" s="499">
        <v>1030</v>
      </c>
      <c r="C253" s="498">
        <v>5000000</v>
      </c>
      <c r="E253" s="499"/>
      <c r="H253" s="499"/>
      <c r="I253" s="499"/>
      <c r="J253" s="499"/>
      <c r="K253" s="499"/>
      <c r="L253" s="501"/>
      <c r="M253" s="501"/>
      <c r="N253" s="501"/>
      <c r="O253" s="499"/>
      <c r="P253" s="499"/>
    </row>
    <row r="254" spans="2:16" s="498" customFormat="1" ht="0.65" hidden="1" customHeight="1">
      <c r="B254" s="499">
        <v>1031</v>
      </c>
      <c r="E254" s="499"/>
      <c r="H254" s="499"/>
      <c r="I254" s="499"/>
      <c r="J254" s="499"/>
      <c r="K254" s="499"/>
      <c r="L254" s="501"/>
      <c r="M254" s="499"/>
      <c r="N254" s="499"/>
      <c r="O254" s="499"/>
      <c r="P254" s="499"/>
    </row>
    <row r="255" spans="2:16" s="498" customFormat="1" ht="0.65" hidden="1" customHeight="1">
      <c r="B255" s="499">
        <v>1032</v>
      </c>
      <c r="E255" s="499"/>
      <c r="H255" s="499"/>
      <c r="I255" s="499"/>
      <c r="J255" s="499"/>
      <c r="K255" s="499"/>
      <c r="L255" s="499"/>
      <c r="M255" s="499"/>
      <c r="N255" s="499"/>
      <c r="O255" s="499"/>
      <c r="P255" s="499"/>
    </row>
    <row r="256" spans="2:16" s="498" customFormat="1" ht="0.65" hidden="1" customHeight="1">
      <c r="B256" s="499">
        <v>1033</v>
      </c>
      <c r="C256" s="498">
        <v>0.02</v>
      </c>
      <c r="E256" s="499"/>
      <c r="H256" s="499"/>
      <c r="I256" s="499"/>
      <c r="J256" s="499"/>
      <c r="K256" s="499"/>
      <c r="L256" s="499"/>
      <c r="M256" s="499"/>
      <c r="N256" s="499"/>
      <c r="O256" s="499"/>
      <c r="P256" s="499"/>
    </row>
    <row r="257" spans="2:16" s="498" customFormat="1" ht="0.65" hidden="1" customHeight="1">
      <c r="B257" s="499">
        <v>1034</v>
      </c>
      <c r="C257" s="498">
        <v>0.01</v>
      </c>
      <c r="E257" s="499"/>
      <c r="H257" s="499"/>
      <c r="I257" s="499"/>
      <c r="J257" s="499"/>
      <c r="K257" s="499"/>
      <c r="L257" s="499"/>
      <c r="M257" s="499"/>
      <c r="N257" s="499"/>
      <c r="O257" s="499"/>
      <c r="P257" s="499"/>
    </row>
    <row r="258" spans="2:16" s="498" customFormat="1" ht="0.65" hidden="1" customHeight="1">
      <c r="B258" s="499">
        <v>1035</v>
      </c>
      <c r="C258" s="498">
        <v>0.05</v>
      </c>
      <c r="E258" s="499"/>
      <c r="H258" s="499"/>
      <c r="I258" s="499"/>
      <c r="J258" s="499"/>
      <c r="K258" s="499"/>
      <c r="L258" s="499"/>
      <c r="M258" s="499"/>
      <c r="N258" s="499"/>
      <c r="O258" s="499"/>
      <c r="P258" s="499"/>
    </row>
    <row r="259" spans="2:16" s="498" customFormat="1" ht="0.65" hidden="1" customHeight="1">
      <c r="B259" s="499">
        <v>1036</v>
      </c>
      <c r="C259" s="498">
        <v>0.04</v>
      </c>
      <c r="E259" s="499"/>
      <c r="H259" s="499"/>
      <c r="I259" s="499"/>
      <c r="J259" s="499"/>
      <c r="K259" s="499"/>
      <c r="L259" s="499"/>
      <c r="M259" s="499"/>
      <c r="N259" s="499"/>
      <c r="O259" s="499"/>
      <c r="P259" s="499"/>
    </row>
    <row r="260" spans="2:16" s="498" customFormat="1" ht="0.65" hidden="1" customHeight="1">
      <c r="B260" s="499">
        <v>1037</v>
      </c>
      <c r="E260" s="499"/>
    </row>
    <row r="261" spans="2:16" s="498" customFormat="1" ht="0.65" hidden="1" customHeight="1">
      <c r="B261" s="499">
        <v>1038</v>
      </c>
      <c r="E261" s="499"/>
    </row>
    <row r="262" spans="2:16" s="498" customFormat="1" ht="0.65" hidden="1" customHeight="1">
      <c r="B262" s="499">
        <v>1039</v>
      </c>
      <c r="D262" s="507"/>
      <c r="E262" s="499"/>
    </row>
    <row r="263" spans="2:16" s="498" customFormat="1" ht="0.65" hidden="1" customHeight="1">
      <c r="B263" s="499">
        <v>1040</v>
      </c>
      <c r="D263" s="507"/>
      <c r="E263" s="499"/>
      <c r="K263" s="508"/>
    </row>
    <row r="264" spans="2:16" s="498" customFormat="1" ht="0.65" hidden="1" customHeight="1">
      <c r="B264" s="499">
        <v>1041</v>
      </c>
      <c r="K264" s="508"/>
    </row>
    <row r="265" spans="2:16" s="498" customFormat="1" ht="0.65" hidden="1" customHeight="1">
      <c r="B265" s="499">
        <v>1042</v>
      </c>
      <c r="K265" s="508"/>
    </row>
    <row r="266" spans="2:16" s="498" customFormat="1" ht="0.65" hidden="1" customHeight="1">
      <c r="B266" s="499">
        <v>1043</v>
      </c>
    </row>
    <row r="267" spans="2:16" s="498" customFormat="1" ht="0.65" hidden="1" customHeight="1">
      <c r="B267" s="499">
        <v>1044</v>
      </c>
      <c r="C267" s="509">
        <v>2023</v>
      </c>
      <c r="D267" s="509"/>
      <c r="E267" s="499"/>
    </row>
    <row r="268" spans="2:16" s="498" customFormat="1" ht="0.65" hidden="1" customHeight="1">
      <c r="B268" s="499">
        <v>1045</v>
      </c>
      <c r="C268" s="509">
        <v>2024</v>
      </c>
      <c r="E268" s="499"/>
    </row>
    <row r="269" spans="2:16" s="498" customFormat="1" ht="0.65" hidden="1" customHeight="1">
      <c r="B269" s="499">
        <v>1046</v>
      </c>
      <c r="C269" s="509">
        <v>2025</v>
      </c>
      <c r="E269" s="499"/>
    </row>
    <row r="270" spans="2:16" s="498" customFormat="1" ht="0.65" hidden="1" customHeight="1">
      <c r="B270" s="499">
        <v>1047</v>
      </c>
    </row>
    <row r="271" spans="2:16" s="498" customFormat="1" ht="0.65" hidden="1" customHeight="1">
      <c r="B271" s="499">
        <v>1048</v>
      </c>
    </row>
    <row r="272" spans="2:16" s="498" customFormat="1" ht="0.65" hidden="1" customHeight="1">
      <c r="B272" s="499">
        <v>1049</v>
      </c>
    </row>
    <row r="273" spans="2:5" s="498" customFormat="1" ht="0.65" hidden="1" customHeight="1">
      <c r="B273" s="499">
        <v>1050</v>
      </c>
      <c r="C273" s="498">
        <v>2022</v>
      </c>
      <c r="E273" s="499"/>
    </row>
    <row r="274" spans="2:5" s="498" customFormat="1" ht="0.65" hidden="1" customHeight="1">
      <c r="B274" s="499">
        <v>1051</v>
      </c>
      <c r="C274" s="509">
        <v>2023</v>
      </c>
      <c r="E274" s="499"/>
    </row>
    <row r="275" spans="2:5" s="498" customFormat="1" ht="0.65" hidden="1" customHeight="1">
      <c r="B275" s="499">
        <v>1052</v>
      </c>
      <c r="C275" s="509">
        <v>2024</v>
      </c>
      <c r="E275" s="499"/>
    </row>
    <row r="276" spans="2:5" s="498" customFormat="1" ht="0.65" hidden="1" customHeight="1">
      <c r="B276" s="499">
        <v>1053</v>
      </c>
      <c r="C276" s="509">
        <v>2025</v>
      </c>
      <c r="E276" s="499"/>
    </row>
    <row r="277" spans="2:5" s="498" customFormat="1" ht="0.65" hidden="1" customHeight="1">
      <c r="B277" s="499">
        <v>1054</v>
      </c>
    </row>
    <row r="278" spans="2:5" s="498" customFormat="1" ht="0.65" hidden="1" customHeight="1">
      <c r="B278" s="499">
        <v>1055</v>
      </c>
      <c r="C278" s="498">
        <v>2022</v>
      </c>
      <c r="D278" s="509"/>
      <c r="E278" s="499"/>
    </row>
    <row r="279" spans="2:5" s="498" customFormat="1" ht="0.65" hidden="1" customHeight="1">
      <c r="B279" s="499">
        <v>1056</v>
      </c>
      <c r="C279" s="509">
        <v>2023</v>
      </c>
      <c r="E279" s="499"/>
    </row>
    <row r="280" spans="2:5" s="498" customFormat="1" ht="0.65" hidden="1" customHeight="1">
      <c r="B280" s="499">
        <v>1057</v>
      </c>
      <c r="C280" s="509">
        <v>2024</v>
      </c>
      <c r="E280" s="499"/>
    </row>
    <row r="281" spans="2:5" s="498" customFormat="1" ht="0.65" hidden="1" customHeight="1">
      <c r="B281" s="499">
        <v>1058</v>
      </c>
      <c r="C281" s="509">
        <v>2025</v>
      </c>
      <c r="E281" s="499"/>
    </row>
    <row r="282" spans="2:5" s="498" customFormat="1" ht="0.65" hidden="1" customHeight="1"/>
    <row r="283" spans="2:5" s="498" customFormat="1" ht="0.65" hidden="1" customHeight="1"/>
    <row r="284" spans="2:5" s="498" customFormat="1" ht="0.65" hidden="1" customHeight="1"/>
    <row r="285" spans="2:5" s="498" customFormat="1" ht="0.65" hidden="1" customHeight="1"/>
    <row r="286" spans="2:5" s="498" customFormat="1" ht="0.65" hidden="1" customHeight="1"/>
    <row r="287" spans="2:5" s="498" customFormat="1" ht="0.65" hidden="1" customHeight="1"/>
    <row r="288" spans="2:5" s="498" customFormat="1" ht="0.65" hidden="1" customHeight="1"/>
    <row r="289" spans="21:39" s="498" customFormat="1" ht="0.65" hidden="1" customHeight="1"/>
    <row r="290" spans="21:39" s="498" customFormat="1" ht="0.65" hidden="1" customHeight="1"/>
    <row r="291" spans="21:39" s="498" customFormat="1" ht="0.65" hidden="1" customHeight="1"/>
    <row r="292" spans="21:39" s="498" customFormat="1" ht="0.65" hidden="1" customHeight="1"/>
    <row r="293" spans="21:39" s="498" customFormat="1" ht="0.65" hidden="1" customHeight="1"/>
    <row r="294" spans="21:39" s="498" customFormat="1" ht="0.65" hidden="1" customHeight="1"/>
    <row r="295" spans="21:39" s="498" customFormat="1" ht="0.65" hidden="1" customHeight="1"/>
    <row r="296" spans="21:39" s="498" customFormat="1" ht="0.65" hidden="1" customHeight="1"/>
    <row r="297" spans="21:39" s="498" customFormat="1" ht="0.65" hidden="1" customHeight="1"/>
    <row r="298" spans="21:39" s="498" customFormat="1" ht="0.65" hidden="1" customHeight="1"/>
    <row r="299" spans="21:39" s="498" customFormat="1" ht="0.65" hidden="1" customHeight="1"/>
    <row r="300" spans="21:39" s="498" customFormat="1" ht="0.65" hidden="1" customHeight="1"/>
    <row r="301" spans="21:39" s="498" customFormat="1" ht="0.65" hidden="1" customHeight="1"/>
    <row r="302" spans="21:39" s="498" customFormat="1" ht="0.65" hidden="1" customHeight="1"/>
    <row r="303" spans="21:39" s="498" customFormat="1" ht="0.65" hidden="1" customHeight="1">
      <c r="U303" s="499">
        <v>1</v>
      </c>
      <c r="V303" s="499"/>
      <c r="W303" s="499"/>
      <c r="X303" s="499"/>
      <c r="Y303" s="499">
        <v>1</v>
      </c>
      <c r="Z303" s="499"/>
      <c r="AA303" s="499"/>
      <c r="AB303" s="499"/>
      <c r="AC303" s="499"/>
      <c r="AD303" s="499"/>
      <c r="AE303" s="499">
        <v>1</v>
      </c>
      <c r="AF303" s="499">
        <v>2</v>
      </c>
      <c r="AG303" s="499">
        <v>3</v>
      </c>
      <c r="AH303" s="499">
        <v>4</v>
      </c>
      <c r="AI303" s="499">
        <v>5</v>
      </c>
      <c r="AJ303" s="499">
        <v>6</v>
      </c>
      <c r="AK303" s="499">
        <v>7</v>
      </c>
      <c r="AL303" s="499">
        <v>8</v>
      </c>
      <c r="AM303" s="499">
        <v>9</v>
      </c>
    </row>
    <row r="304" spans="21:39" s="498" customFormat="1" ht="0.65" hidden="1" customHeight="1"/>
    <row r="305" spans="21:39" s="498" customFormat="1" ht="0.65" hidden="1" customHeight="1"/>
    <row r="306" spans="21:39" s="498" customFormat="1" ht="0.65" hidden="1" customHeight="1"/>
    <row r="307" spans="21:39" s="498" customFormat="1" ht="0.65" hidden="1" customHeight="1">
      <c r="U307" s="499">
        <v>1001</v>
      </c>
      <c r="Y307" s="500">
        <v>408000</v>
      </c>
      <c r="Z307" s="500"/>
      <c r="AB307" s="500"/>
      <c r="AF307" s="498" t="s">
        <v>2171</v>
      </c>
      <c r="AG307" s="498">
        <v>1</v>
      </c>
      <c r="AH307" s="498" t="s">
        <v>2171</v>
      </c>
      <c r="AI307" s="498" t="s">
        <v>2172</v>
      </c>
      <c r="AJ307" s="500">
        <v>408000</v>
      </c>
      <c r="AL307" s="498" t="s">
        <v>2173</v>
      </c>
      <c r="AM307" s="498" t="s">
        <v>2174</v>
      </c>
    </row>
    <row r="308" spans="21:39" s="498" customFormat="1" ht="0.65" hidden="1" customHeight="1">
      <c r="U308" s="499">
        <v>1002</v>
      </c>
      <c r="Y308" s="500">
        <v>416160</v>
      </c>
      <c r="Z308" s="500"/>
      <c r="AB308" s="500"/>
      <c r="AF308" s="498" t="s">
        <v>2175</v>
      </c>
      <c r="AG308" s="498">
        <v>2</v>
      </c>
      <c r="AH308" s="498" t="s">
        <v>2175</v>
      </c>
      <c r="AI308" s="498" t="s">
        <v>2176</v>
      </c>
      <c r="AJ308" s="500">
        <v>416160</v>
      </c>
      <c r="AL308" s="498" t="s">
        <v>2177</v>
      </c>
      <c r="AM308" s="498" t="s">
        <v>2174</v>
      </c>
    </row>
    <row r="309" spans="21:39" s="498" customFormat="1" ht="0.65" hidden="1" customHeight="1">
      <c r="U309" s="499">
        <v>1003</v>
      </c>
      <c r="Y309" s="500">
        <v>424483.19999999995</v>
      </c>
      <c r="Z309" s="500"/>
      <c r="AB309" s="500"/>
      <c r="AF309" s="498" t="s">
        <v>2178</v>
      </c>
      <c r="AG309" s="498">
        <v>3</v>
      </c>
      <c r="AH309" s="498" t="s">
        <v>2178</v>
      </c>
      <c r="AI309" s="498" t="s">
        <v>2179</v>
      </c>
      <c r="AJ309" s="500">
        <v>424483.19999999995</v>
      </c>
      <c r="AL309" s="498" t="s">
        <v>2180</v>
      </c>
      <c r="AM309" s="498" t="s">
        <v>2174</v>
      </c>
    </row>
    <row r="310" spans="21:39" s="498" customFormat="1" ht="0.65" hidden="1" customHeight="1">
      <c r="U310" s="499">
        <v>1004</v>
      </c>
      <c r="Y310" s="500">
        <v>201600</v>
      </c>
      <c r="Z310" s="500"/>
      <c r="AB310" s="500"/>
      <c r="AF310" s="498" t="s">
        <v>2181</v>
      </c>
      <c r="AG310" s="498">
        <v>4</v>
      </c>
      <c r="AH310" s="498" t="s">
        <v>2181</v>
      </c>
      <c r="AI310" s="498" t="s">
        <v>2182</v>
      </c>
      <c r="AJ310" s="500">
        <v>201600</v>
      </c>
      <c r="AL310" s="498" t="s">
        <v>2183</v>
      </c>
      <c r="AM310" s="498" t="s">
        <v>2184</v>
      </c>
    </row>
    <row r="311" spans="21:39" s="498" customFormat="1" ht="0.65" hidden="1" customHeight="1">
      <c r="U311" s="499">
        <v>1005</v>
      </c>
      <c r="Y311" s="500">
        <v>203616</v>
      </c>
      <c r="Z311" s="500"/>
      <c r="AB311" s="500"/>
      <c r="AF311" s="498" t="s">
        <v>2185</v>
      </c>
      <c r="AG311" s="498">
        <v>5</v>
      </c>
      <c r="AH311" s="498" t="s">
        <v>2185</v>
      </c>
      <c r="AI311" s="498" t="s">
        <v>2186</v>
      </c>
      <c r="AJ311" s="500">
        <v>203616</v>
      </c>
      <c r="AL311" s="498" t="s">
        <v>2187</v>
      </c>
      <c r="AM311" s="498" t="s">
        <v>2184</v>
      </c>
    </row>
    <row r="312" spans="21:39" s="498" customFormat="1" ht="0.65" hidden="1" customHeight="1">
      <c r="U312" s="499">
        <v>1006</v>
      </c>
      <c r="Y312" s="500">
        <v>205652.15999999997</v>
      </c>
      <c r="Z312" s="500"/>
      <c r="AB312" s="500"/>
      <c r="AF312" s="498" t="s">
        <v>2188</v>
      </c>
      <c r="AG312" s="498">
        <v>6</v>
      </c>
      <c r="AH312" s="498" t="s">
        <v>2188</v>
      </c>
      <c r="AI312" s="498" t="s">
        <v>2189</v>
      </c>
      <c r="AJ312" s="500">
        <v>205652.15999999997</v>
      </c>
      <c r="AL312" s="498" t="s">
        <v>2190</v>
      </c>
      <c r="AM312" s="498" t="s">
        <v>2184</v>
      </c>
    </row>
    <row r="313" spans="21:39" s="498" customFormat="1" ht="0.65" hidden="1" customHeight="1">
      <c r="U313" s="499">
        <v>1007</v>
      </c>
      <c r="Y313" s="500">
        <v>120000</v>
      </c>
      <c r="Z313" s="500"/>
      <c r="AB313" s="500"/>
      <c r="AF313" s="498" t="s">
        <v>2191</v>
      </c>
      <c r="AG313" s="498">
        <v>7</v>
      </c>
      <c r="AH313" s="498" t="s">
        <v>2191</v>
      </c>
      <c r="AI313" s="498" t="s">
        <v>2192</v>
      </c>
      <c r="AJ313" s="500">
        <v>120000</v>
      </c>
      <c r="AL313" s="498" t="s">
        <v>2193</v>
      </c>
      <c r="AM313" s="498" t="s">
        <v>2194</v>
      </c>
    </row>
    <row r="314" spans="21:39" s="498" customFormat="1" ht="0.65" hidden="1" customHeight="1">
      <c r="U314" s="499">
        <v>1008</v>
      </c>
      <c r="Y314" s="500">
        <v>120000</v>
      </c>
      <c r="Z314" s="500"/>
      <c r="AB314" s="500"/>
      <c r="AF314" s="498" t="s">
        <v>2195</v>
      </c>
      <c r="AG314" s="498">
        <v>8</v>
      </c>
      <c r="AH314" s="498" t="s">
        <v>2195</v>
      </c>
      <c r="AI314" s="498" t="s">
        <v>2196</v>
      </c>
      <c r="AJ314" s="500">
        <v>120000</v>
      </c>
      <c r="AL314" s="498" t="s">
        <v>2197</v>
      </c>
      <c r="AM314" s="498" t="s">
        <v>2194</v>
      </c>
    </row>
    <row r="315" spans="21:39" s="498" customFormat="1" ht="0.65" hidden="1" customHeight="1">
      <c r="U315" s="499">
        <v>1009</v>
      </c>
      <c r="Y315" s="500">
        <v>120000</v>
      </c>
      <c r="Z315" s="500"/>
      <c r="AB315" s="500"/>
      <c r="AF315" s="498" t="s">
        <v>2198</v>
      </c>
      <c r="AG315" s="498">
        <v>9</v>
      </c>
      <c r="AH315" s="498" t="s">
        <v>2198</v>
      </c>
      <c r="AI315" s="498" t="s">
        <v>2199</v>
      </c>
      <c r="AJ315" s="500">
        <v>120000</v>
      </c>
      <c r="AL315" s="498" t="s">
        <v>2200</v>
      </c>
      <c r="AM315" s="498" t="s">
        <v>2194</v>
      </c>
    </row>
    <row r="316" spans="21:39" s="498" customFormat="1" ht="0.65" hidden="1" customHeight="1">
      <c r="U316" s="499">
        <v>1010</v>
      </c>
      <c r="Y316" s="500">
        <v>86400</v>
      </c>
      <c r="Z316" s="500"/>
      <c r="AB316" s="500"/>
      <c r="AF316" s="498" t="s">
        <v>2201</v>
      </c>
      <c r="AG316" s="498">
        <v>10</v>
      </c>
      <c r="AH316" s="498" t="s">
        <v>2201</v>
      </c>
      <c r="AI316" s="500" t="s">
        <v>2202</v>
      </c>
      <c r="AJ316" s="500">
        <v>86400</v>
      </c>
      <c r="AL316" s="500" t="s">
        <v>2203</v>
      </c>
      <c r="AM316" s="498" t="s">
        <v>2204</v>
      </c>
    </row>
    <row r="317" spans="21:39" s="498" customFormat="1" ht="0.65" hidden="1" customHeight="1">
      <c r="U317" s="499">
        <v>1011</v>
      </c>
      <c r="Y317" s="500">
        <v>92544</v>
      </c>
      <c r="Z317" s="500"/>
      <c r="AB317" s="500"/>
      <c r="AF317" s="498" t="s">
        <v>2205</v>
      </c>
      <c r="AG317" s="498">
        <v>11</v>
      </c>
      <c r="AH317" s="498" t="s">
        <v>2205</v>
      </c>
      <c r="AI317" s="500" t="s">
        <v>2206</v>
      </c>
      <c r="AJ317" s="500">
        <v>92544</v>
      </c>
      <c r="AL317" s="500" t="s">
        <v>2207</v>
      </c>
      <c r="AM317" s="498" t="s">
        <v>2204</v>
      </c>
    </row>
    <row r="318" spans="21:39" s="498" customFormat="1" ht="0.65" hidden="1" customHeight="1">
      <c r="U318" s="499">
        <v>1012</v>
      </c>
      <c r="Y318" s="500">
        <v>98831.039999999979</v>
      </c>
      <c r="Z318" s="500"/>
      <c r="AB318" s="500"/>
      <c r="AF318" s="498" t="s">
        <v>2208</v>
      </c>
      <c r="AG318" s="498">
        <v>12</v>
      </c>
      <c r="AH318" s="498" t="s">
        <v>2208</v>
      </c>
      <c r="AI318" s="500" t="s">
        <v>2209</v>
      </c>
      <c r="AJ318" s="500">
        <v>98831.039999999979</v>
      </c>
      <c r="AL318" s="500" t="s">
        <v>2210</v>
      </c>
      <c r="AM318" s="498" t="s">
        <v>2204</v>
      </c>
    </row>
    <row r="319" spans="21:39" s="498" customFormat="1" ht="0.65" hidden="1" customHeight="1">
      <c r="U319" s="499">
        <v>1013</v>
      </c>
      <c r="Y319" s="500">
        <v>25920</v>
      </c>
      <c r="Z319" s="500"/>
      <c r="AB319" s="500"/>
      <c r="AF319" s="498" t="s">
        <v>2211</v>
      </c>
      <c r="AG319" s="498">
        <v>13</v>
      </c>
      <c r="AH319" s="498" t="s">
        <v>2211</v>
      </c>
      <c r="AI319" s="498" t="s">
        <v>2212</v>
      </c>
      <c r="AJ319" s="500">
        <v>25920</v>
      </c>
      <c r="AL319" s="498" t="s">
        <v>2213</v>
      </c>
      <c r="AM319" s="498" t="s">
        <v>2214</v>
      </c>
    </row>
    <row r="320" spans="21:39" s="498" customFormat="1" ht="0.65" hidden="1" customHeight="1">
      <c r="U320" s="499">
        <v>1014</v>
      </c>
      <c r="Y320" s="500">
        <v>27763.200000000001</v>
      </c>
      <c r="Z320" s="500"/>
      <c r="AB320" s="500"/>
      <c r="AF320" s="498" t="s">
        <v>2215</v>
      </c>
      <c r="AG320" s="498">
        <v>14</v>
      </c>
      <c r="AH320" s="498" t="s">
        <v>2215</v>
      </c>
      <c r="AI320" s="498" t="s">
        <v>2216</v>
      </c>
      <c r="AJ320" s="500">
        <v>27763.200000000001</v>
      </c>
      <c r="AL320" s="498" t="s">
        <v>2217</v>
      </c>
      <c r="AM320" s="498" t="s">
        <v>2214</v>
      </c>
    </row>
    <row r="321" spans="21:39" s="498" customFormat="1" ht="0.65" hidden="1" customHeight="1">
      <c r="U321" s="499">
        <v>1015</v>
      </c>
      <c r="Y321" s="500">
        <v>29649.311999999991</v>
      </c>
      <c r="Z321" s="500"/>
      <c r="AB321" s="500"/>
      <c r="AF321" s="498" t="s">
        <v>2218</v>
      </c>
      <c r="AG321" s="498">
        <v>15</v>
      </c>
      <c r="AH321" s="498" t="s">
        <v>2218</v>
      </c>
      <c r="AI321" s="498" t="s">
        <v>2219</v>
      </c>
      <c r="AJ321" s="500">
        <v>29649.311999999991</v>
      </c>
      <c r="AL321" s="498" t="s">
        <v>2220</v>
      </c>
      <c r="AM321" s="498" t="s">
        <v>2214</v>
      </c>
    </row>
    <row r="322" spans="21:39" s="498" customFormat="1" ht="0.65" hidden="1" customHeight="1">
      <c r="U322" s="499">
        <v>1016</v>
      </c>
      <c r="Y322" s="500">
        <v>60480</v>
      </c>
      <c r="Z322" s="500"/>
      <c r="AB322" s="500"/>
      <c r="AF322" s="498" t="s">
        <v>2221</v>
      </c>
      <c r="AG322" s="498">
        <v>16</v>
      </c>
      <c r="AH322" s="498" t="s">
        <v>2221</v>
      </c>
      <c r="AI322" s="500" t="s">
        <v>2222</v>
      </c>
      <c r="AJ322" s="500">
        <v>60480</v>
      </c>
      <c r="AL322" s="500" t="s">
        <v>2223</v>
      </c>
      <c r="AM322" s="498" t="s">
        <v>2224</v>
      </c>
    </row>
    <row r="323" spans="21:39" s="498" customFormat="1" ht="0.65" hidden="1" customHeight="1">
      <c r="U323" s="499">
        <v>1017</v>
      </c>
      <c r="Y323" s="500">
        <v>64780.800000000003</v>
      </c>
      <c r="Z323" s="500"/>
      <c r="AB323" s="500"/>
      <c r="AF323" s="498" t="s">
        <v>2225</v>
      </c>
      <c r="AG323" s="498">
        <v>17</v>
      </c>
      <c r="AH323" s="498" t="s">
        <v>2225</v>
      </c>
      <c r="AI323" s="500" t="s">
        <v>2226</v>
      </c>
      <c r="AJ323" s="500">
        <v>64780.800000000003</v>
      </c>
      <c r="AL323" s="500" t="s">
        <v>2227</v>
      </c>
      <c r="AM323" s="498" t="s">
        <v>2224</v>
      </c>
    </row>
    <row r="324" spans="21:39" s="498" customFormat="1" ht="0.65" hidden="1" customHeight="1">
      <c r="U324" s="499">
        <v>1018</v>
      </c>
      <c r="Y324" s="500">
        <v>69181.727999999988</v>
      </c>
      <c r="Z324" s="500"/>
      <c r="AB324" s="500"/>
      <c r="AF324" s="498" t="s">
        <v>2228</v>
      </c>
      <c r="AG324" s="498">
        <v>18</v>
      </c>
      <c r="AH324" s="498" t="s">
        <v>2228</v>
      </c>
      <c r="AI324" s="500" t="s">
        <v>2229</v>
      </c>
      <c r="AJ324" s="500">
        <v>69181.727999999988</v>
      </c>
      <c r="AL324" s="500" t="s">
        <v>2230</v>
      </c>
      <c r="AM324" s="498" t="s">
        <v>2224</v>
      </c>
    </row>
    <row r="325" spans="21:39" s="498" customFormat="1" ht="0.65" hidden="1" customHeight="1">
      <c r="U325" s="499">
        <v>1019</v>
      </c>
      <c r="Y325" s="500">
        <v>180480</v>
      </c>
      <c r="Z325" s="500"/>
      <c r="AB325" s="500"/>
      <c r="AF325" s="498" t="s">
        <v>2231</v>
      </c>
      <c r="AG325" s="498">
        <v>19</v>
      </c>
      <c r="AH325" s="498" t="s">
        <v>2231</v>
      </c>
      <c r="AI325" s="500" t="s">
        <v>2232</v>
      </c>
      <c r="AJ325" s="500">
        <v>180480</v>
      </c>
      <c r="AL325" s="500" t="s">
        <v>2233</v>
      </c>
      <c r="AM325" s="498" t="s">
        <v>2234</v>
      </c>
    </row>
    <row r="326" spans="21:39" s="498" customFormat="1" ht="0.65" hidden="1" customHeight="1">
      <c r="U326" s="499">
        <v>1020</v>
      </c>
      <c r="Y326" s="500">
        <v>184780.79999999999</v>
      </c>
      <c r="Z326" s="500"/>
      <c r="AB326" s="500"/>
      <c r="AF326" s="498" t="s">
        <v>2235</v>
      </c>
      <c r="AG326" s="498">
        <v>20</v>
      </c>
      <c r="AH326" s="498" t="s">
        <v>2235</v>
      </c>
      <c r="AI326" s="500" t="s">
        <v>2236</v>
      </c>
      <c r="AJ326" s="500">
        <v>184780.79999999999</v>
      </c>
      <c r="AL326" s="500" t="s">
        <v>2237</v>
      </c>
      <c r="AM326" s="498" t="s">
        <v>2234</v>
      </c>
    </row>
    <row r="327" spans="21:39" s="498" customFormat="1" ht="0.65" hidden="1" customHeight="1">
      <c r="U327" s="499">
        <v>1021</v>
      </c>
      <c r="Y327" s="500">
        <v>189181.728</v>
      </c>
      <c r="Z327" s="500"/>
      <c r="AB327" s="500"/>
      <c r="AF327" s="498" t="s">
        <v>2238</v>
      </c>
      <c r="AG327" s="498">
        <v>21</v>
      </c>
      <c r="AH327" s="498" t="s">
        <v>2238</v>
      </c>
      <c r="AI327" s="500" t="s">
        <v>2239</v>
      </c>
      <c r="AJ327" s="500">
        <v>189181.728</v>
      </c>
      <c r="AL327" s="500" t="s">
        <v>2240</v>
      </c>
      <c r="AM327" s="498" t="s">
        <v>2234</v>
      </c>
    </row>
    <row r="328" spans="21:39" s="498" customFormat="1" ht="0.65" hidden="1" customHeight="1">
      <c r="U328" s="499">
        <v>1022</v>
      </c>
      <c r="Y328" s="500">
        <v>40000</v>
      </c>
      <c r="Z328" s="500"/>
      <c r="AB328" s="500"/>
      <c r="AF328" s="498" t="s">
        <v>2241</v>
      </c>
      <c r="AG328" s="498">
        <v>22</v>
      </c>
      <c r="AH328" s="498" t="s">
        <v>2241</v>
      </c>
      <c r="AI328" s="500" t="s">
        <v>2242</v>
      </c>
      <c r="AJ328" s="500">
        <v>40000</v>
      </c>
      <c r="AL328" s="500" t="s">
        <v>2243</v>
      </c>
      <c r="AM328" s="498" t="s">
        <v>2244</v>
      </c>
    </row>
    <row r="329" spans="21:39" s="498" customFormat="1" ht="0.65" hidden="1" customHeight="1">
      <c r="U329" s="499">
        <v>1023</v>
      </c>
      <c r="Y329" s="500">
        <v>40400</v>
      </c>
      <c r="Z329" s="500"/>
      <c r="AB329" s="500"/>
      <c r="AF329" s="498" t="s">
        <v>2245</v>
      </c>
      <c r="AG329" s="498">
        <v>23</v>
      </c>
      <c r="AH329" s="498" t="s">
        <v>2245</v>
      </c>
      <c r="AI329" s="498" t="s">
        <v>2246</v>
      </c>
      <c r="AJ329" s="500">
        <v>40400</v>
      </c>
      <c r="AL329" s="500" t="s">
        <v>2247</v>
      </c>
      <c r="AM329" s="498" t="s">
        <v>2248</v>
      </c>
    </row>
    <row r="330" spans="21:39" s="498" customFormat="1" ht="0.65" hidden="1" customHeight="1">
      <c r="U330" s="499">
        <v>1024</v>
      </c>
      <c r="Y330" s="500">
        <v>40804</v>
      </c>
      <c r="Z330" s="500"/>
      <c r="AB330" s="500"/>
      <c r="AF330" s="498" t="s">
        <v>2249</v>
      </c>
      <c r="AG330" s="498">
        <v>24</v>
      </c>
      <c r="AH330" s="498" t="s">
        <v>2249</v>
      </c>
      <c r="AI330" s="498" t="s">
        <v>2250</v>
      </c>
      <c r="AJ330" s="500">
        <v>40804</v>
      </c>
      <c r="AL330" s="500" t="s">
        <v>2251</v>
      </c>
      <c r="AM330" s="498" t="s">
        <v>2248</v>
      </c>
    </row>
    <row r="331" spans="21:39" s="498" customFormat="1" ht="0.65" hidden="1" customHeight="1">
      <c r="U331" s="499">
        <v>1025</v>
      </c>
      <c r="Y331" s="500">
        <v>41212.04</v>
      </c>
      <c r="Z331" s="500"/>
      <c r="AB331" s="500"/>
      <c r="AF331" s="498" t="s">
        <v>2252</v>
      </c>
      <c r="AG331" s="498">
        <v>25</v>
      </c>
      <c r="AH331" s="498" t="s">
        <v>2252</v>
      </c>
      <c r="AI331" s="498" t="s">
        <v>2253</v>
      </c>
      <c r="AJ331" s="500">
        <v>41212.04</v>
      </c>
      <c r="AL331" s="500" t="s">
        <v>2254</v>
      </c>
      <c r="AM331" s="498" t="s">
        <v>2248</v>
      </c>
    </row>
    <row r="332" spans="21:39" s="498" customFormat="1" ht="0.65" hidden="1" customHeight="1">
      <c r="U332" s="499">
        <v>1026</v>
      </c>
      <c r="Y332" s="500">
        <v>0</v>
      </c>
      <c r="Z332" s="500"/>
      <c r="AB332" s="500"/>
      <c r="AF332" s="498" t="s">
        <v>2255</v>
      </c>
      <c r="AG332" s="498">
        <v>26</v>
      </c>
      <c r="AH332" s="498" t="s">
        <v>2255</v>
      </c>
      <c r="AI332" s="498" t="s">
        <v>2256</v>
      </c>
      <c r="AJ332" s="500">
        <v>0</v>
      </c>
      <c r="AL332" s="498" t="s">
        <v>2257</v>
      </c>
      <c r="AM332" s="498" t="s">
        <v>2258</v>
      </c>
    </row>
    <row r="333" spans="21:39" s="498" customFormat="1" ht="0.65" hidden="1" customHeight="1">
      <c r="U333" s="499">
        <v>1027</v>
      </c>
      <c r="Y333" s="500">
        <v>123420</v>
      </c>
      <c r="Z333" s="500"/>
      <c r="AB333" s="500"/>
      <c r="AF333" s="498" t="s">
        <v>2259</v>
      </c>
      <c r="AG333" s="498">
        <v>27</v>
      </c>
      <c r="AH333" s="498" t="s">
        <v>2259</v>
      </c>
      <c r="AI333" s="498" t="s">
        <v>2260</v>
      </c>
      <c r="AJ333" s="500">
        <v>123420</v>
      </c>
      <c r="AL333" s="498" t="s">
        <v>2261</v>
      </c>
      <c r="AM333" s="498" t="s">
        <v>2262</v>
      </c>
    </row>
    <row r="334" spans="21:39" s="498" customFormat="1" ht="0.65" hidden="1" customHeight="1">
      <c r="U334" s="499">
        <v>1028</v>
      </c>
      <c r="Y334" s="500">
        <v>125888.4</v>
      </c>
      <c r="Z334" s="500"/>
      <c r="AB334" s="500"/>
      <c r="AF334" s="498" t="s">
        <v>2263</v>
      </c>
      <c r="AG334" s="498">
        <v>28</v>
      </c>
      <c r="AH334" s="498" t="s">
        <v>2263</v>
      </c>
      <c r="AI334" s="498" t="s">
        <v>2264</v>
      </c>
      <c r="AJ334" s="500">
        <v>125888.4</v>
      </c>
      <c r="AL334" s="498" t="s">
        <v>2265</v>
      </c>
      <c r="AM334" s="498" t="s">
        <v>2262</v>
      </c>
    </row>
    <row r="335" spans="21:39" s="498" customFormat="1" ht="0.65" hidden="1" customHeight="1">
      <c r="U335" s="499">
        <v>1029</v>
      </c>
      <c r="Y335" s="500">
        <v>128406.16799999996</v>
      </c>
      <c r="Z335" s="500"/>
      <c r="AB335" s="500"/>
      <c r="AF335" s="498" t="s">
        <v>2266</v>
      </c>
      <c r="AG335" s="498">
        <v>29</v>
      </c>
      <c r="AH335" s="498" t="s">
        <v>2266</v>
      </c>
      <c r="AI335" s="498" t="s">
        <v>2267</v>
      </c>
      <c r="AJ335" s="500">
        <v>128406.16799999996</v>
      </c>
      <c r="AL335" s="498" t="s">
        <v>2268</v>
      </c>
      <c r="AM335" s="498" t="s">
        <v>2262</v>
      </c>
    </row>
    <row r="336" spans="21:39" s="498" customFormat="1" ht="0.65" hidden="1" customHeight="1">
      <c r="U336" s="499">
        <v>1030</v>
      </c>
      <c r="Y336" s="500">
        <v>0</v>
      </c>
      <c r="Z336" s="500"/>
      <c r="AB336" s="500"/>
      <c r="AF336" s="498" t="s">
        <v>2269</v>
      </c>
      <c r="AG336" s="498">
        <v>30</v>
      </c>
      <c r="AH336" s="498" t="s">
        <v>2269</v>
      </c>
      <c r="AI336" s="498" t="s">
        <v>2270</v>
      </c>
      <c r="AJ336" s="500">
        <v>0</v>
      </c>
      <c r="AL336" s="498" t="s">
        <v>2271</v>
      </c>
      <c r="AM336" s="498" t="s">
        <v>2272</v>
      </c>
    </row>
    <row r="337" spans="21:39" s="498" customFormat="1" ht="0.65" hidden="1" customHeight="1">
      <c r="U337" s="499">
        <v>1031</v>
      </c>
      <c r="Y337" s="500">
        <v>40736.666666666664</v>
      </c>
      <c r="Z337" s="500"/>
      <c r="AB337" s="500"/>
      <c r="AF337" s="498" t="s">
        <v>2273</v>
      </c>
      <c r="AG337" s="498">
        <v>31</v>
      </c>
      <c r="AH337" s="498" t="s">
        <v>2273</v>
      </c>
      <c r="AI337" s="498" t="s">
        <v>2274</v>
      </c>
      <c r="AJ337" s="500">
        <v>40736.666666666664</v>
      </c>
      <c r="AL337" s="498" t="s">
        <v>2275</v>
      </c>
      <c r="AM337" s="498" t="s">
        <v>2276</v>
      </c>
    </row>
    <row r="338" spans="21:39" s="498" customFormat="1" ht="0.65" hidden="1" customHeight="1">
      <c r="U338" s="499">
        <v>1032</v>
      </c>
      <c r="Y338" s="500">
        <v>41144.033333333333</v>
      </c>
      <c r="Z338" s="500"/>
      <c r="AB338" s="500"/>
      <c r="AF338" s="498" t="s">
        <v>2277</v>
      </c>
      <c r="AG338" s="498">
        <v>32</v>
      </c>
      <c r="AH338" s="498" t="s">
        <v>2277</v>
      </c>
      <c r="AI338" s="498" t="s">
        <v>2278</v>
      </c>
      <c r="AJ338" s="500">
        <v>41144.033333333333</v>
      </c>
      <c r="AL338" s="498" t="s">
        <v>2279</v>
      </c>
      <c r="AM338" s="498" t="s">
        <v>2276</v>
      </c>
    </row>
    <row r="339" spans="21:39" s="498" customFormat="1" ht="0.65" hidden="1" customHeight="1">
      <c r="U339" s="499">
        <v>1033</v>
      </c>
      <c r="Y339" s="500">
        <v>41555.473666666665</v>
      </c>
      <c r="Z339" s="500"/>
      <c r="AB339" s="500"/>
      <c r="AF339" s="498" t="s">
        <v>2280</v>
      </c>
      <c r="AG339" s="498">
        <v>33</v>
      </c>
      <c r="AH339" s="498" t="s">
        <v>2280</v>
      </c>
      <c r="AI339" s="498" t="s">
        <v>2281</v>
      </c>
      <c r="AJ339" s="500">
        <v>41555.473666666665</v>
      </c>
      <c r="AL339" s="498" t="s">
        <v>2282</v>
      </c>
      <c r="AM339" s="498" t="s">
        <v>2276</v>
      </c>
    </row>
    <row r="340" spans="21:39" s="498" customFormat="1" ht="0.65" hidden="1" customHeight="1">
      <c r="U340" s="499">
        <v>1034</v>
      </c>
      <c r="Y340" s="500">
        <v>40000</v>
      </c>
      <c r="Z340" s="500"/>
      <c r="AB340" s="500"/>
      <c r="AF340" s="498" t="s">
        <v>2283</v>
      </c>
      <c r="AG340" s="498">
        <v>34</v>
      </c>
      <c r="AH340" s="498" t="s">
        <v>2283</v>
      </c>
      <c r="AI340" s="500" t="s">
        <v>2284</v>
      </c>
      <c r="AJ340" s="500">
        <v>40000</v>
      </c>
      <c r="AL340" s="500" t="s">
        <v>2285</v>
      </c>
      <c r="AM340" s="498" t="s">
        <v>2286</v>
      </c>
    </row>
    <row r="341" spans="21:39" s="498" customFormat="1" ht="0.65" hidden="1" customHeight="1">
      <c r="U341" s="499">
        <v>1035</v>
      </c>
      <c r="Y341" s="500">
        <v>123083.33333333334</v>
      </c>
      <c r="Z341" s="500"/>
      <c r="AB341" s="500"/>
      <c r="AF341" s="498" t="s">
        <v>2287</v>
      </c>
      <c r="AG341" s="498">
        <v>35</v>
      </c>
      <c r="AH341" s="498" t="s">
        <v>2287</v>
      </c>
      <c r="AI341" s="500" t="s">
        <v>2288</v>
      </c>
      <c r="AJ341" s="500">
        <v>123083.33333333334</v>
      </c>
      <c r="AL341" s="500" t="s">
        <v>2289</v>
      </c>
      <c r="AM341" s="498" t="s">
        <v>2290</v>
      </c>
    </row>
    <row r="342" spans="21:39" s="498" customFormat="1" ht="0.65" hidden="1" customHeight="1">
      <c r="U342" s="499">
        <v>1036</v>
      </c>
      <c r="Y342" s="500">
        <v>125548.36666666667</v>
      </c>
      <c r="Z342" s="500"/>
      <c r="AB342" s="500"/>
      <c r="AF342" s="498" t="s">
        <v>2291</v>
      </c>
      <c r="AG342" s="498">
        <v>36</v>
      </c>
      <c r="AH342" s="498" t="s">
        <v>2291</v>
      </c>
      <c r="AI342" s="500" t="s">
        <v>2292</v>
      </c>
      <c r="AJ342" s="500">
        <v>125548.36666666667</v>
      </c>
      <c r="AL342" s="500" t="s">
        <v>2293</v>
      </c>
      <c r="AM342" s="498" t="s">
        <v>2290</v>
      </c>
    </row>
    <row r="343" spans="21:39" s="498" customFormat="1" ht="0.65" hidden="1" customHeight="1">
      <c r="U343" s="499">
        <v>1037</v>
      </c>
      <c r="Y343" s="500">
        <v>128062.7343333333</v>
      </c>
      <c r="Z343" s="500"/>
      <c r="AB343" s="500"/>
      <c r="AF343" s="498" t="s">
        <v>2294</v>
      </c>
      <c r="AG343" s="498">
        <v>37</v>
      </c>
      <c r="AH343" s="498" t="s">
        <v>2294</v>
      </c>
      <c r="AI343" s="500" t="s">
        <v>2295</v>
      </c>
      <c r="AJ343" s="500">
        <v>128062.7343333333</v>
      </c>
      <c r="AL343" s="500" t="s">
        <v>2296</v>
      </c>
      <c r="AM343" s="498" t="s">
        <v>2290</v>
      </c>
    </row>
    <row r="344" spans="21:39" s="498" customFormat="1" ht="0.65" hidden="1" customHeight="1">
      <c r="U344" s="499">
        <v>1038</v>
      </c>
      <c r="Y344" s="500">
        <v>40000</v>
      </c>
      <c r="Z344" s="500"/>
      <c r="AB344" s="500"/>
      <c r="AF344" s="498" t="s">
        <v>2297</v>
      </c>
      <c r="AG344" s="498">
        <v>38</v>
      </c>
      <c r="AH344" s="498" t="s">
        <v>2297</v>
      </c>
      <c r="AI344" s="500" t="s">
        <v>2298</v>
      </c>
      <c r="AJ344" s="500">
        <v>40000</v>
      </c>
      <c r="AL344" s="500" t="s">
        <v>2299</v>
      </c>
      <c r="AM344" s="498" t="s">
        <v>2286</v>
      </c>
    </row>
    <row r="345" spans="21:39" s="498" customFormat="1" ht="0.65" hidden="1" customHeight="1">
      <c r="U345" s="499">
        <v>1039</v>
      </c>
      <c r="Y345" s="500">
        <v>83083.333333333343</v>
      </c>
      <c r="Z345" s="500"/>
      <c r="AB345" s="500"/>
      <c r="AF345" s="498" t="s">
        <v>2300</v>
      </c>
      <c r="AG345" s="498">
        <v>39</v>
      </c>
      <c r="AH345" s="498" t="s">
        <v>2300</v>
      </c>
      <c r="AI345" s="500" t="s">
        <v>2301</v>
      </c>
      <c r="AJ345" s="500">
        <v>83083.333333333343</v>
      </c>
      <c r="AL345" s="500" t="s">
        <v>2302</v>
      </c>
      <c r="AM345" s="498" t="s">
        <v>2303</v>
      </c>
    </row>
    <row r="346" spans="21:39" s="498" customFormat="1" ht="0.65" hidden="1" customHeight="1">
      <c r="U346" s="499">
        <v>1040</v>
      </c>
      <c r="Y346" s="500">
        <v>2465.0333333333256</v>
      </c>
      <c r="Z346" s="500"/>
      <c r="AB346" s="500"/>
      <c r="AF346" s="498" t="s">
        <v>2304</v>
      </c>
      <c r="AG346" s="498">
        <v>40</v>
      </c>
      <c r="AH346" s="498" t="s">
        <v>2304</v>
      </c>
      <c r="AI346" s="500" t="s">
        <v>2305</v>
      </c>
      <c r="AJ346" s="500">
        <v>2465.0333333333256</v>
      </c>
      <c r="AL346" s="500" t="s">
        <v>2306</v>
      </c>
      <c r="AM346" s="498" t="s">
        <v>2303</v>
      </c>
    </row>
    <row r="347" spans="21:39" s="498" customFormat="1" ht="0.65" hidden="1" customHeight="1">
      <c r="U347" s="499">
        <v>1041</v>
      </c>
      <c r="Y347" s="500">
        <v>2514.3676666666288</v>
      </c>
      <c r="Z347" s="500"/>
      <c r="AB347" s="500"/>
      <c r="AF347" s="498" t="s">
        <v>2307</v>
      </c>
      <c r="AG347" s="498">
        <v>41</v>
      </c>
      <c r="AH347" s="498" t="s">
        <v>2307</v>
      </c>
      <c r="AI347" s="500" t="s">
        <v>2308</v>
      </c>
      <c r="AJ347" s="500">
        <v>2514.3676666666288</v>
      </c>
      <c r="AL347" s="500" t="s">
        <v>2309</v>
      </c>
      <c r="AM347" s="498" t="s">
        <v>2303</v>
      </c>
    </row>
    <row r="348" spans="21:39" s="498" customFormat="1" ht="0.65" hidden="1" customHeight="1">
      <c r="U348" s="499">
        <v>1042</v>
      </c>
      <c r="Y348" s="500">
        <v>1240000</v>
      </c>
      <c r="Z348" s="500"/>
      <c r="AB348" s="500"/>
      <c r="AF348" s="500" t="s">
        <v>490</v>
      </c>
      <c r="AG348" s="498">
        <v>42</v>
      </c>
      <c r="AH348" s="498" t="s">
        <v>490</v>
      </c>
      <c r="AI348" s="500" t="s">
        <v>2310</v>
      </c>
      <c r="AJ348" s="500">
        <v>1240000</v>
      </c>
      <c r="AL348" s="500" t="s">
        <v>2311</v>
      </c>
      <c r="AM348" s="498" t="s">
        <v>2312</v>
      </c>
    </row>
    <row r="349" spans="21:39" s="498" customFormat="1" ht="0.65" hidden="1" customHeight="1">
      <c r="U349" s="499">
        <v>1043</v>
      </c>
      <c r="Y349" s="500">
        <v>576135</v>
      </c>
      <c r="Z349" s="500"/>
      <c r="AB349" s="500"/>
      <c r="AF349" s="500" t="s">
        <v>2168</v>
      </c>
      <c r="AG349" s="498">
        <v>43</v>
      </c>
      <c r="AH349" s="498" t="s">
        <v>2168</v>
      </c>
      <c r="AI349" s="498" t="s">
        <v>2313</v>
      </c>
      <c r="AJ349" s="500">
        <v>576135</v>
      </c>
      <c r="AL349" s="498" t="s">
        <v>2314</v>
      </c>
      <c r="AM349" s="498" t="s">
        <v>2315</v>
      </c>
    </row>
    <row r="350" spans="21:39" s="498" customFormat="1" ht="0.65" hidden="1" customHeight="1">
      <c r="U350" s="499">
        <v>1044</v>
      </c>
      <c r="Y350" s="500">
        <v>128062.7343333333</v>
      </c>
      <c r="Z350" s="500"/>
      <c r="AB350" s="500"/>
      <c r="AF350" s="500" t="s">
        <v>2169</v>
      </c>
      <c r="AG350" s="498">
        <v>44</v>
      </c>
      <c r="AH350" s="498" t="s">
        <v>2169</v>
      </c>
      <c r="AI350" s="500" t="s">
        <v>2316</v>
      </c>
      <c r="AJ350" s="500">
        <v>128062.7343333333</v>
      </c>
      <c r="AL350" s="500" t="s">
        <v>2317</v>
      </c>
      <c r="AM350" s="498" t="s">
        <v>2318</v>
      </c>
    </row>
    <row r="351" spans="21:39" s="498" customFormat="1" ht="0.65" hidden="1" customHeight="1">
      <c r="U351" s="499">
        <v>1045</v>
      </c>
      <c r="Y351" s="500">
        <v>704197.73433333333</v>
      </c>
      <c r="Z351" s="500"/>
      <c r="AB351" s="500"/>
      <c r="AF351" s="500" t="s">
        <v>2170</v>
      </c>
      <c r="AG351" s="498">
        <v>45</v>
      </c>
      <c r="AH351" s="498" t="s">
        <v>2170</v>
      </c>
      <c r="AI351" s="500" t="s">
        <v>2319</v>
      </c>
      <c r="AJ351" s="500">
        <v>704197.73433333333</v>
      </c>
      <c r="AL351" s="500" t="s">
        <v>2320</v>
      </c>
      <c r="AM351" s="498" t="s">
        <v>2321</v>
      </c>
    </row>
    <row r="352" spans="21:39" s="498" customFormat="1" ht="0.65" hidden="1" customHeight="1">
      <c r="U352" s="499">
        <v>1046</v>
      </c>
      <c r="Y352" s="510">
        <v>3.5000000000000003E-2</v>
      </c>
      <c r="Z352" s="510"/>
      <c r="AB352" s="510"/>
      <c r="AF352" s="500" t="s">
        <v>414</v>
      </c>
      <c r="AG352" s="498">
        <v>46</v>
      </c>
      <c r="AH352" s="498" t="s">
        <v>414</v>
      </c>
      <c r="AI352" s="498" t="s">
        <v>2322</v>
      </c>
      <c r="AJ352" s="510">
        <v>3.5000000000000003E-2</v>
      </c>
      <c r="AL352" s="498" t="s">
        <v>2323</v>
      </c>
      <c r="AM352" s="498" t="s">
        <v>2324</v>
      </c>
    </row>
    <row r="353" spans="21:39" s="498" customFormat="1" ht="0.65" hidden="1" customHeight="1">
      <c r="U353" s="499">
        <v>1047</v>
      </c>
      <c r="Y353" s="510">
        <v>0.09</v>
      </c>
      <c r="Z353" s="510"/>
      <c r="AB353" s="510"/>
      <c r="AF353" s="500" t="s">
        <v>415</v>
      </c>
      <c r="AG353" s="498">
        <v>47</v>
      </c>
      <c r="AH353" s="498" t="s">
        <v>415</v>
      </c>
      <c r="AI353" s="511" t="s">
        <v>2325</v>
      </c>
      <c r="AJ353" s="510">
        <v>0.09</v>
      </c>
      <c r="AL353" s="511" t="s">
        <v>2326</v>
      </c>
      <c r="AM353" s="498" t="s">
        <v>2327</v>
      </c>
    </row>
    <row r="354" spans="21:39" s="498" customFormat="1" ht="0.65" hidden="1" customHeight="1">
      <c r="U354" s="499">
        <v>1048</v>
      </c>
      <c r="Y354" s="510">
        <v>5.3333333333333337E-2</v>
      </c>
      <c r="Z354" s="510"/>
      <c r="AB354" s="510"/>
      <c r="AF354" s="500" t="s">
        <v>416</v>
      </c>
      <c r="AG354" s="498">
        <v>48</v>
      </c>
      <c r="AH354" s="498" t="s">
        <v>416</v>
      </c>
      <c r="AI354" s="498" t="s">
        <v>2328</v>
      </c>
      <c r="AJ354" s="510">
        <v>5.3333333333333337E-2</v>
      </c>
      <c r="AL354" s="498" t="s">
        <v>2329</v>
      </c>
      <c r="AM354" s="498" t="s">
        <v>2330</v>
      </c>
    </row>
    <row r="355" spans="21:39" s="498" customFormat="1" ht="0.65" hidden="1" customHeight="1">
      <c r="U355" s="499">
        <v>1049</v>
      </c>
      <c r="Y355" s="500">
        <v>-1240000</v>
      </c>
      <c r="Z355" s="500"/>
      <c r="AB355" s="500"/>
      <c r="AF355" s="498" t="s">
        <v>2331</v>
      </c>
      <c r="AG355" s="498">
        <v>49</v>
      </c>
      <c r="AH355" s="498" t="s">
        <v>2331</v>
      </c>
      <c r="AI355" s="500" t="s">
        <v>2332</v>
      </c>
      <c r="AJ355" s="500">
        <v>-1240000</v>
      </c>
      <c r="AL355" s="500" t="s">
        <v>2333</v>
      </c>
      <c r="AM355" s="498" t="s">
        <v>3946</v>
      </c>
    </row>
    <row r="356" spans="21:39" s="498" customFormat="1" ht="0.65" hidden="1" customHeight="1">
      <c r="U356" s="499">
        <v>1050</v>
      </c>
      <c r="Y356" s="500">
        <v>97396.666666666657</v>
      </c>
      <c r="Z356" s="500"/>
      <c r="AB356" s="500"/>
      <c r="AF356" s="498" t="s">
        <v>2334</v>
      </c>
      <c r="AG356" s="498">
        <v>50</v>
      </c>
      <c r="AH356" s="498" t="s">
        <v>2334</v>
      </c>
      <c r="AI356" s="500" t="s">
        <v>2335</v>
      </c>
      <c r="AJ356" s="500">
        <v>97396.666666666657</v>
      </c>
      <c r="AL356" s="498" t="s">
        <v>2336</v>
      </c>
      <c r="AM356" s="498" t="s">
        <v>3946</v>
      </c>
    </row>
    <row r="357" spans="21:39" s="498" customFormat="1" ht="0.65" hidden="1" customHeight="1">
      <c r="U357" s="499">
        <v>1051</v>
      </c>
      <c r="Y357" s="500">
        <v>182315.76666666666</v>
      </c>
      <c r="Z357" s="500"/>
      <c r="AB357" s="500"/>
      <c r="AF357" s="498" t="s">
        <v>2337</v>
      </c>
      <c r="AG357" s="498">
        <v>51</v>
      </c>
      <c r="AH357" s="498" t="s">
        <v>2337</v>
      </c>
      <c r="AI357" s="500" t="s">
        <v>2338</v>
      </c>
      <c r="AJ357" s="500">
        <v>182315.76666666666</v>
      </c>
      <c r="AL357" s="498" t="s">
        <v>2339</v>
      </c>
      <c r="AM357" s="498" t="s">
        <v>3946</v>
      </c>
    </row>
    <row r="358" spans="21:39" s="498" customFormat="1" ht="0.65" hidden="1" customHeight="1">
      <c r="U358" s="499">
        <v>1052</v>
      </c>
      <c r="Y358" s="500">
        <v>890865.0946666667</v>
      </c>
      <c r="Z358" s="500"/>
      <c r="AB358" s="500"/>
      <c r="AF358" s="498" t="s">
        <v>2340</v>
      </c>
      <c r="AG358" s="498">
        <v>52</v>
      </c>
      <c r="AH358" s="498" t="s">
        <v>2340</v>
      </c>
      <c r="AI358" s="500" t="s">
        <v>2341</v>
      </c>
      <c r="AJ358" s="500">
        <v>890865.0946666667</v>
      </c>
      <c r="AL358" s="498" t="s">
        <v>2342</v>
      </c>
      <c r="AM358" s="498" t="s">
        <v>3946</v>
      </c>
    </row>
    <row r="359" spans="21:39" s="498" customFormat="1" ht="0.65" hidden="1" customHeight="1">
      <c r="U359" s="499">
        <v>1053</v>
      </c>
      <c r="Y359" s="500">
        <v>-220934.11398489738</v>
      </c>
      <c r="Z359" s="500"/>
      <c r="AB359" s="500"/>
      <c r="AF359" s="500" t="s">
        <v>13</v>
      </c>
      <c r="AG359" s="498">
        <v>53</v>
      </c>
      <c r="AH359" s="498" t="s">
        <v>13</v>
      </c>
      <c r="AI359" s="500" t="s">
        <v>2343</v>
      </c>
      <c r="AJ359" s="500">
        <v>-220934.11398489738</v>
      </c>
      <c r="AL359" s="512" t="s">
        <v>2344</v>
      </c>
      <c r="AM359" s="498" t="s">
        <v>2345</v>
      </c>
    </row>
    <row r="360" spans="21:39" s="498" customFormat="1" ht="0.65" hidden="1" customHeight="1">
      <c r="U360" s="499">
        <v>1054</v>
      </c>
      <c r="Y360" s="510">
        <v>-2.1253125908599624E-2</v>
      </c>
      <c r="Z360" s="510"/>
      <c r="AB360" s="510"/>
      <c r="AF360" s="498" t="s">
        <v>28</v>
      </c>
      <c r="AG360" s="498">
        <v>54</v>
      </c>
      <c r="AH360" s="498" t="s">
        <v>28</v>
      </c>
      <c r="AI360" s="511" t="s">
        <v>2346</v>
      </c>
      <c r="AJ360" s="510">
        <v>-2.1253125908599624E-2</v>
      </c>
      <c r="AL360" s="511" t="s">
        <v>2347</v>
      </c>
      <c r="AM360" s="498" t="s">
        <v>2348</v>
      </c>
    </row>
    <row r="361" spans="21:39" s="498" customFormat="1" ht="0.65" hidden="1" customHeight="1">
      <c r="U361" s="499">
        <v>1055</v>
      </c>
    </row>
    <row r="362" spans="21:39" s="498" customFormat="1" ht="0.65" hidden="1" customHeight="1">
      <c r="U362" s="499">
        <v>1056</v>
      </c>
      <c r="AG362" s="498">
        <v>1</v>
      </c>
      <c r="AH362" s="498" t="s">
        <v>2349</v>
      </c>
      <c r="AI362" s="498" t="s">
        <v>3947</v>
      </c>
    </row>
    <row r="363" spans="21:39" s="498" customFormat="1" ht="0.65" hidden="1" customHeight="1">
      <c r="U363" s="499">
        <v>1057</v>
      </c>
      <c r="AG363" s="498">
        <v>2</v>
      </c>
      <c r="AH363" s="498" t="s">
        <v>2350</v>
      </c>
      <c r="AI363" s="498" t="s">
        <v>3950</v>
      </c>
    </row>
    <row r="364" spans="21:39" s="498" customFormat="1" ht="0.65" hidden="1" customHeight="1">
      <c r="U364" s="499">
        <v>1058</v>
      </c>
      <c r="AG364" s="498">
        <v>3</v>
      </c>
      <c r="AH364" s="498" t="s">
        <v>2351</v>
      </c>
      <c r="AI364" s="498" t="s">
        <v>3948</v>
      </c>
    </row>
    <row r="365" spans="21:39" s="498" customFormat="1" ht="0.65" hidden="1" customHeight="1">
      <c r="U365" s="499">
        <v>1059</v>
      </c>
      <c r="AG365" s="498">
        <v>4</v>
      </c>
      <c r="AH365" s="498" t="s">
        <v>2352</v>
      </c>
      <c r="AI365" s="498" t="s">
        <v>3949</v>
      </c>
    </row>
    <row r="366" spans="21:39" s="498" customFormat="1" ht="0.65" hidden="1" customHeight="1">
      <c r="U366" s="499">
        <v>1060</v>
      </c>
      <c r="AG366" s="498">
        <v>5</v>
      </c>
      <c r="AH366" s="498" t="s">
        <v>4144</v>
      </c>
      <c r="AI366" s="498" t="s">
        <v>2353</v>
      </c>
    </row>
    <row r="367" spans="21:39" s="498" customFormat="1" ht="0.65" hidden="1" customHeight="1">
      <c r="U367" s="499">
        <v>1061</v>
      </c>
      <c r="AG367" s="498">
        <v>6</v>
      </c>
      <c r="AH367" s="498" t="s">
        <v>2354</v>
      </c>
      <c r="AI367" s="498" t="s">
        <v>2355</v>
      </c>
    </row>
    <row r="368" spans="21:39" s="498" customFormat="1" ht="0.65" hidden="1" customHeight="1">
      <c r="U368" s="499">
        <v>1062</v>
      </c>
      <c r="AG368" s="498">
        <v>7</v>
      </c>
      <c r="AH368" s="498" t="s">
        <v>2356</v>
      </c>
      <c r="AI368" s="498" t="s">
        <v>2357</v>
      </c>
    </row>
    <row r="369" spans="2:35" s="498" customFormat="1" ht="0.65" hidden="1" customHeight="1">
      <c r="U369" s="499">
        <v>1063</v>
      </c>
      <c r="AG369" s="498">
        <v>8</v>
      </c>
      <c r="AH369" s="498" t="s">
        <v>2358</v>
      </c>
      <c r="AI369" s="498" t="s">
        <v>2359</v>
      </c>
    </row>
    <row r="370" spans="2:35" s="498" customFormat="1" ht="0.65" hidden="1" customHeight="1">
      <c r="U370" s="499">
        <v>1064</v>
      </c>
      <c r="AG370" s="498">
        <v>8</v>
      </c>
    </row>
    <row r="371" spans="2:35" s="498" customFormat="1" ht="0.65" hidden="1" customHeight="1">
      <c r="U371" s="499">
        <v>1065</v>
      </c>
      <c r="AG371" s="498">
        <v>8</v>
      </c>
    </row>
    <row r="372" spans="2:35" s="498" customFormat="1" ht="0.65" hidden="1" customHeight="1">
      <c r="U372" s="499">
        <v>1066</v>
      </c>
      <c r="AG372" s="498">
        <v>8</v>
      </c>
    </row>
    <row r="373" spans="2:35" s="498" customFormat="1" ht="0.65" hidden="1" customHeight="1">
      <c r="U373" s="499">
        <v>1067</v>
      </c>
      <c r="AG373" s="498">
        <v>8</v>
      </c>
    </row>
    <row r="374" spans="2:35" s="498" customFormat="1" ht="0.65" hidden="1" customHeight="1"/>
    <row r="375" spans="2:35" s="498" customFormat="1" ht="0.65" hidden="1" customHeight="1"/>
    <row r="376" spans="2:35" s="498" customFormat="1" ht="0.65" hidden="1" customHeight="1">
      <c r="G376" s="499">
        <v>1</v>
      </c>
      <c r="H376" s="499">
        <v>2</v>
      </c>
      <c r="I376" s="499">
        <v>3</v>
      </c>
      <c r="J376" s="499">
        <v>4</v>
      </c>
      <c r="K376" s="499">
        <v>5</v>
      </c>
      <c r="L376" s="499">
        <v>6</v>
      </c>
      <c r="M376" s="499">
        <v>7</v>
      </c>
      <c r="N376" s="499">
        <v>8</v>
      </c>
      <c r="O376" s="499">
        <v>9</v>
      </c>
      <c r="P376" s="499">
        <v>10</v>
      </c>
      <c r="Q376" s="500"/>
    </row>
    <row r="377" spans="2:35" s="498" customFormat="1" ht="0.65" hidden="1" customHeight="1">
      <c r="I377" s="499">
        <v>0.01</v>
      </c>
      <c r="Q377" s="500"/>
    </row>
    <row r="378" spans="2:35" s="498" customFormat="1" ht="0.65" hidden="1" customHeight="1">
      <c r="B378" s="499">
        <v>2001</v>
      </c>
      <c r="C378" s="498">
        <v>2022</v>
      </c>
      <c r="E378" s="499"/>
      <c r="G378" s="499">
        <v>2001</v>
      </c>
      <c r="H378" s="501" t="s">
        <v>0</v>
      </c>
      <c r="I378" s="502" t="s">
        <v>2113</v>
      </c>
      <c r="J378" s="502" t="s">
        <v>2114</v>
      </c>
      <c r="K378" s="502" t="s">
        <v>2115</v>
      </c>
      <c r="L378" s="502" t="s">
        <v>2116</v>
      </c>
      <c r="M378" s="502" t="s">
        <v>2117</v>
      </c>
      <c r="N378" s="502" t="s">
        <v>2118</v>
      </c>
      <c r="O378" s="502" t="s">
        <v>2119</v>
      </c>
      <c r="Q378" s="500"/>
    </row>
    <row r="379" spans="2:35" s="498" customFormat="1" ht="0.65" hidden="1" customHeight="1">
      <c r="B379" s="499">
        <v>2002</v>
      </c>
      <c r="E379" s="499"/>
      <c r="G379" s="499">
        <v>2002</v>
      </c>
      <c r="H379" s="503">
        <v>2023</v>
      </c>
      <c r="I379" s="500">
        <v>323200</v>
      </c>
      <c r="J379" s="500">
        <v>182880</v>
      </c>
      <c r="K379" s="500">
        <v>40000</v>
      </c>
      <c r="L379" s="500">
        <v>100320</v>
      </c>
      <c r="M379" s="500">
        <v>25080</v>
      </c>
      <c r="N379" s="500">
        <v>75240</v>
      </c>
      <c r="O379" s="500">
        <v>115240</v>
      </c>
    </row>
    <row r="380" spans="2:35" s="498" customFormat="1" ht="0.65" hidden="1" customHeight="1">
      <c r="B380" s="499">
        <v>2003</v>
      </c>
      <c r="E380" s="499"/>
      <c r="G380" s="499">
        <v>2003</v>
      </c>
      <c r="H380" s="503">
        <v>2024</v>
      </c>
      <c r="I380" s="500">
        <v>326432</v>
      </c>
      <c r="J380" s="500">
        <v>186537.60000000001</v>
      </c>
      <c r="K380" s="500">
        <v>40000</v>
      </c>
      <c r="L380" s="500">
        <v>99894.399999999994</v>
      </c>
      <c r="M380" s="500">
        <v>24973.599999999999</v>
      </c>
      <c r="N380" s="500">
        <v>74920.799999999988</v>
      </c>
      <c r="O380" s="500">
        <v>114920.79999999999</v>
      </c>
    </row>
    <row r="381" spans="2:35" s="498" customFormat="1" ht="0.65" hidden="1" customHeight="1">
      <c r="B381" s="499">
        <v>2004</v>
      </c>
      <c r="E381" s="499"/>
      <c r="G381" s="499">
        <v>2004</v>
      </c>
      <c r="H381" s="503">
        <v>2025</v>
      </c>
      <c r="I381" s="500">
        <v>329696.31999999995</v>
      </c>
      <c r="J381" s="500">
        <v>190268.35199999996</v>
      </c>
      <c r="K381" s="500">
        <v>40000</v>
      </c>
      <c r="L381" s="500">
        <v>99427.967999999993</v>
      </c>
      <c r="M381" s="500">
        <v>24856.991999999998</v>
      </c>
      <c r="N381" s="500">
        <v>74570.975999999995</v>
      </c>
      <c r="O381" s="500">
        <v>114570.976</v>
      </c>
    </row>
    <row r="382" spans="2:35" s="498" customFormat="1" ht="0.65" hidden="1" customHeight="1">
      <c r="B382" s="499">
        <v>2005</v>
      </c>
      <c r="C382" s="498">
        <v>400000</v>
      </c>
      <c r="E382" s="499"/>
      <c r="G382" s="499">
        <v>2005</v>
      </c>
    </row>
    <row r="383" spans="2:35" s="498" customFormat="1" ht="0.65" hidden="1" customHeight="1">
      <c r="B383" s="499">
        <v>2006</v>
      </c>
      <c r="C383" s="498">
        <v>10</v>
      </c>
      <c r="E383" s="499"/>
      <c r="G383" s="499">
        <v>2006</v>
      </c>
    </row>
    <row r="384" spans="2:35" s="498" customFormat="1" ht="0.65" hidden="1" customHeight="1">
      <c r="B384" s="499">
        <v>2007</v>
      </c>
      <c r="C384" s="498">
        <v>100000</v>
      </c>
      <c r="E384" s="499"/>
      <c r="G384" s="499">
        <v>2007</v>
      </c>
      <c r="H384" s="501" t="s">
        <v>0</v>
      </c>
      <c r="I384" s="502" t="s">
        <v>2121</v>
      </c>
      <c r="J384" s="502" t="s">
        <v>2122</v>
      </c>
      <c r="K384" s="502" t="s">
        <v>2123</v>
      </c>
      <c r="L384" s="502" t="s">
        <v>2124</v>
      </c>
      <c r="M384" s="502" t="s">
        <v>2125</v>
      </c>
      <c r="N384" s="500"/>
      <c r="O384" s="501" t="s">
        <v>0</v>
      </c>
      <c r="P384" s="501" t="s">
        <v>1</v>
      </c>
    </row>
    <row r="385" spans="2:16" s="498" customFormat="1" ht="0.65" hidden="1" customHeight="1">
      <c r="B385" s="499">
        <v>2008</v>
      </c>
      <c r="E385" s="499"/>
      <c r="G385" s="499">
        <v>2008</v>
      </c>
      <c r="H385" s="503">
        <v>2022</v>
      </c>
      <c r="I385" s="500">
        <v>36000</v>
      </c>
      <c r="J385" s="500">
        <v>0</v>
      </c>
      <c r="K385" s="500">
        <v>0</v>
      </c>
      <c r="L385" s="500">
        <v>36000</v>
      </c>
      <c r="M385" s="500">
        <v>36000</v>
      </c>
      <c r="N385" s="504"/>
      <c r="O385" s="503">
        <v>2022</v>
      </c>
      <c r="P385" s="500">
        <v>-436000</v>
      </c>
    </row>
    <row r="386" spans="2:16" s="498" customFormat="1" ht="0.65" hidden="1" customHeight="1">
      <c r="B386" s="499">
        <v>2009</v>
      </c>
      <c r="E386" s="499"/>
      <c r="G386" s="499">
        <v>2009</v>
      </c>
      <c r="H386" s="503">
        <v>2023</v>
      </c>
      <c r="I386" s="500">
        <v>36720</v>
      </c>
      <c r="J386" s="500">
        <v>65178.666666666672</v>
      </c>
      <c r="K386" s="500">
        <v>37026</v>
      </c>
      <c r="L386" s="500">
        <v>64872.666666666672</v>
      </c>
      <c r="M386" s="500">
        <v>28872.666666666672</v>
      </c>
      <c r="N386" s="500"/>
      <c r="O386" s="503">
        <v>2023</v>
      </c>
      <c r="P386" s="500">
        <v>86367.333333333328</v>
      </c>
    </row>
    <row r="387" spans="2:16" s="498" customFormat="1" ht="0.65" hidden="1" customHeight="1">
      <c r="B387" s="499">
        <v>2010</v>
      </c>
      <c r="C387" s="498">
        <v>320000</v>
      </c>
      <c r="E387" s="499"/>
      <c r="G387" s="499">
        <v>2010</v>
      </c>
      <c r="H387" s="503">
        <v>2024</v>
      </c>
      <c r="I387" s="500">
        <v>37454.400000000001</v>
      </c>
      <c r="J387" s="500">
        <v>65830.453333333324</v>
      </c>
      <c r="K387" s="500">
        <v>37766.520000000004</v>
      </c>
      <c r="L387" s="500">
        <v>65518.333333333328</v>
      </c>
      <c r="M387" s="500">
        <v>645.66666666665697</v>
      </c>
      <c r="N387" s="500"/>
      <c r="O387" s="503">
        <v>2024</v>
      </c>
      <c r="P387" s="500">
        <v>114275.13333333333</v>
      </c>
    </row>
    <row r="388" spans="2:16" s="498" customFormat="1" ht="0.65" hidden="1" customHeight="1">
      <c r="B388" s="499">
        <v>2011</v>
      </c>
      <c r="C388" s="498">
        <v>180000</v>
      </c>
      <c r="E388" s="499"/>
      <c r="G388" s="499">
        <v>2011</v>
      </c>
      <c r="H388" s="503">
        <v>2025</v>
      </c>
      <c r="I388" s="500">
        <v>38203.488000000005</v>
      </c>
      <c r="J388" s="500">
        <v>66488.757866666652</v>
      </c>
      <c r="K388" s="500">
        <v>38521.850399999996</v>
      </c>
      <c r="L388" s="500">
        <v>66170.395466666669</v>
      </c>
      <c r="M388" s="500">
        <v>652.06213333334017</v>
      </c>
      <c r="N388" s="500"/>
      <c r="O388" s="503">
        <v>2025</v>
      </c>
      <c r="P388" s="500">
        <v>332043.8343333333</v>
      </c>
    </row>
    <row r="389" spans="2:16" s="498" customFormat="1" ht="0.65" hidden="1" customHeight="1">
      <c r="B389" s="499">
        <v>2012</v>
      </c>
      <c r="E389" s="499"/>
      <c r="G389" s="499">
        <v>2012</v>
      </c>
    </row>
    <row r="390" spans="2:16" s="498" customFormat="1" ht="0.65" hidden="1" customHeight="1">
      <c r="B390" s="499">
        <v>2013</v>
      </c>
      <c r="C390" s="498">
        <v>60</v>
      </c>
      <c r="E390" s="499"/>
      <c r="G390" s="499">
        <v>2013</v>
      </c>
      <c r="O390" s="500" t="s">
        <v>13</v>
      </c>
      <c r="P390" s="501">
        <v>16599.83881995338</v>
      </c>
    </row>
    <row r="391" spans="2:16" s="498" customFormat="1" ht="0.65" hidden="1" customHeight="1">
      <c r="B391" s="499">
        <v>2014</v>
      </c>
      <c r="C391" s="498">
        <v>60</v>
      </c>
      <c r="E391" s="499"/>
      <c r="G391" s="499">
        <v>2014</v>
      </c>
      <c r="H391" s="505" t="s">
        <v>490</v>
      </c>
      <c r="I391" s="500">
        <v>436000</v>
      </c>
      <c r="O391" s="498" t="s">
        <v>28</v>
      </c>
      <c r="P391" s="506">
        <v>8.5652209546539737E-2</v>
      </c>
    </row>
    <row r="392" spans="2:16" s="498" customFormat="1" ht="0.65" hidden="1" customHeight="1">
      <c r="B392" s="499">
        <v>2015</v>
      </c>
      <c r="E392" s="499"/>
      <c r="G392" s="499">
        <v>2015</v>
      </c>
      <c r="H392" s="505" t="s">
        <v>2168</v>
      </c>
      <c r="I392" s="500">
        <v>151954.52499999999</v>
      </c>
      <c r="K392" s="505" t="s">
        <v>124</v>
      </c>
      <c r="L392" s="506">
        <v>4.4999999999999998E-2</v>
      </c>
    </row>
    <row r="393" spans="2:16" s="498" customFormat="1" ht="0.65" hidden="1" customHeight="1">
      <c r="B393" s="499">
        <v>2016</v>
      </c>
      <c r="E393" s="499"/>
      <c r="G393" s="499">
        <v>2016</v>
      </c>
      <c r="H393" s="505" t="s">
        <v>2169</v>
      </c>
      <c r="I393" s="500">
        <v>66170.395466666669</v>
      </c>
      <c r="K393" s="505" t="s">
        <v>125</v>
      </c>
      <c r="L393" s="506">
        <v>8.4999999999999992E-2</v>
      </c>
    </row>
    <row r="394" spans="2:16" s="498" customFormat="1" ht="0.65" hidden="1" customHeight="1">
      <c r="B394" s="499">
        <v>2017</v>
      </c>
      <c r="C394" s="498">
        <v>36000</v>
      </c>
      <c r="E394" s="499"/>
      <c r="G394" s="499">
        <v>2017</v>
      </c>
      <c r="H394" s="505" t="s">
        <v>2170</v>
      </c>
      <c r="I394" s="500">
        <v>218124.92046666666</v>
      </c>
      <c r="K394" s="505" t="s">
        <v>126</v>
      </c>
      <c r="L394" s="506">
        <v>6.8999999999999992E-2</v>
      </c>
    </row>
    <row r="395" spans="2:16" s="498" customFormat="1" ht="0.65" hidden="1" customHeight="1">
      <c r="B395" s="499">
        <v>2018</v>
      </c>
      <c r="C395" s="498">
        <v>0.2</v>
      </c>
      <c r="E395" s="499"/>
    </row>
    <row r="396" spans="2:16" s="498" customFormat="1" ht="0.65" hidden="1" customHeight="1">
      <c r="B396" s="499">
        <v>2019</v>
      </c>
      <c r="E396" s="499"/>
    </row>
    <row r="397" spans="2:16" s="498" customFormat="1" ht="0.65" hidden="1" customHeight="1">
      <c r="B397" s="499">
        <v>2020</v>
      </c>
      <c r="E397" s="499"/>
      <c r="H397" s="499"/>
      <c r="I397" s="499"/>
      <c r="J397" s="499"/>
      <c r="K397" s="499"/>
      <c r="L397" s="499"/>
      <c r="M397" s="499"/>
      <c r="N397" s="499"/>
      <c r="O397" s="499"/>
      <c r="P397" s="499"/>
    </row>
    <row r="398" spans="2:16" s="498" customFormat="1" ht="0.65" hidden="1" customHeight="1">
      <c r="B398" s="499">
        <v>2021</v>
      </c>
      <c r="C398" s="498">
        <v>0.21</v>
      </c>
      <c r="E398" s="499"/>
      <c r="H398" s="499"/>
      <c r="I398" s="499"/>
      <c r="J398" s="499"/>
      <c r="K398" s="499"/>
      <c r="L398" s="499"/>
      <c r="M398" s="499"/>
      <c r="N398" s="499"/>
      <c r="O398" s="499"/>
      <c r="P398" s="499"/>
    </row>
    <row r="399" spans="2:16" s="498" customFormat="1" ht="0.65" hidden="1" customHeight="1">
      <c r="B399" s="499">
        <v>2022</v>
      </c>
      <c r="C399" s="498">
        <v>0.25</v>
      </c>
      <c r="E399" s="499"/>
      <c r="H399" s="499"/>
      <c r="I399" s="499"/>
      <c r="J399" s="499"/>
      <c r="K399" s="499"/>
      <c r="L399" s="499"/>
      <c r="M399" s="499"/>
      <c r="N399" s="499"/>
      <c r="O399" s="499"/>
      <c r="P399" s="499"/>
    </row>
    <row r="400" spans="2:16" s="498" customFormat="1" ht="0.65" hidden="1" customHeight="1">
      <c r="B400" s="499">
        <v>2023</v>
      </c>
      <c r="E400" s="499"/>
      <c r="H400" s="499"/>
      <c r="I400" s="499"/>
      <c r="J400" s="499"/>
      <c r="K400" s="499"/>
      <c r="L400" s="499"/>
      <c r="M400" s="499"/>
      <c r="N400" s="499"/>
      <c r="O400" s="499"/>
      <c r="P400" s="499"/>
    </row>
    <row r="401" spans="2:16" s="498" customFormat="1" ht="0.65" hidden="1" customHeight="1">
      <c r="B401" s="499">
        <v>2024</v>
      </c>
      <c r="E401" s="499"/>
      <c r="H401" s="499"/>
      <c r="I401" s="499"/>
      <c r="J401" s="499"/>
      <c r="K401" s="499"/>
      <c r="L401" s="499"/>
      <c r="M401" s="499"/>
      <c r="N401" s="499"/>
      <c r="O401" s="499"/>
      <c r="P401" s="499"/>
    </row>
    <row r="402" spans="2:16" s="498" customFormat="1" ht="0.65" hidden="1" customHeight="1">
      <c r="B402" s="499">
        <v>2025</v>
      </c>
      <c r="E402" s="499"/>
      <c r="H402" s="499"/>
      <c r="I402" s="499"/>
      <c r="J402" s="499"/>
      <c r="K402" s="499"/>
      <c r="L402" s="499"/>
      <c r="M402" s="499"/>
      <c r="N402" s="499"/>
      <c r="O402" s="499"/>
      <c r="P402" s="499"/>
    </row>
    <row r="403" spans="2:16" s="498" customFormat="1" ht="0.65" hidden="1" customHeight="1">
      <c r="B403" s="499">
        <v>2026</v>
      </c>
      <c r="C403" s="498">
        <v>300000</v>
      </c>
      <c r="E403" s="499"/>
      <c r="H403" s="499"/>
      <c r="I403" s="499"/>
      <c r="J403" s="499"/>
      <c r="K403" s="499"/>
      <c r="L403" s="499"/>
      <c r="M403" s="499"/>
      <c r="N403" s="499"/>
      <c r="O403" s="499"/>
      <c r="P403" s="499"/>
    </row>
    <row r="404" spans="2:16" s="498" customFormat="1" ht="0.65" hidden="1" customHeight="1">
      <c r="B404" s="499">
        <v>2027</v>
      </c>
      <c r="C404" s="498">
        <v>450000</v>
      </c>
      <c r="E404" s="499"/>
      <c r="H404" s="499"/>
      <c r="I404" s="499"/>
      <c r="J404" s="499"/>
      <c r="K404" s="499"/>
      <c r="L404" s="499"/>
      <c r="M404" s="499"/>
      <c r="N404" s="499"/>
      <c r="O404" s="499"/>
      <c r="P404" s="499"/>
    </row>
    <row r="405" spans="2:16" s="498" customFormat="1" ht="0.65" hidden="1" customHeight="1">
      <c r="B405" s="499">
        <v>2028</v>
      </c>
      <c r="C405" s="498">
        <v>2.5000000000000001E-2</v>
      </c>
      <c r="E405" s="499"/>
      <c r="H405" s="499"/>
      <c r="I405" s="501"/>
      <c r="J405" s="499"/>
      <c r="K405" s="499"/>
      <c r="L405" s="501"/>
      <c r="M405" s="499"/>
      <c r="N405" s="499"/>
      <c r="O405" s="499"/>
      <c r="P405" s="499"/>
    </row>
    <row r="406" spans="2:16" s="498" customFormat="1" ht="0.65" hidden="1" customHeight="1">
      <c r="B406" s="499">
        <v>2029</v>
      </c>
      <c r="C406" s="498">
        <v>5000000</v>
      </c>
      <c r="E406" s="499"/>
      <c r="H406" s="499"/>
      <c r="I406" s="499"/>
      <c r="J406" s="499"/>
      <c r="K406" s="499"/>
      <c r="L406" s="501"/>
      <c r="M406" s="501"/>
      <c r="N406" s="501"/>
      <c r="O406" s="499"/>
      <c r="P406" s="499"/>
    </row>
    <row r="407" spans="2:16" s="498" customFormat="1" ht="0.65" hidden="1" customHeight="1">
      <c r="B407" s="499">
        <v>2030</v>
      </c>
      <c r="C407" s="498">
        <v>7500000</v>
      </c>
      <c r="E407" s="499"/>
      <c r="H407" s="499"/>
      <c r="I407" s="499"/>
      <c r="J407" s="499"/>
      <c r="K407" s="499"/>
      <c r="L407" s="501"/>
      <c r="M407" s="501"/>
      <c r="N407" s="501"/>
      <c r="O407" s="499"/>
      <c r="P407" s="499"/>
    </row>
    <row r="408" spans="2:16" s="498" customFormat="1" ht="0.65" hidden="1" customHeight="1">
      <c r="B408" s="499">
        <v>2031</v>
      </c>
      <c r="E408" s="499"/>
      <c r="H408" s="499"/>
      <c r="I408" s="499"/>
      <c r="J408" s="499"/>
      <c r="K408" s="499"/>
      <c r="L408" s="501"/>
      <c r="M408" s="499"/>
      <c r="N408" s="499"/>
      <c r="O408" s="499"/>
      <c r="P408" s="499"/>
    </row>
    <row r="409" spans="2:16" s="498" customFormat="1" ht="0.65" hidden="1" customHeight="1">
      <c r="B409" s="499">
        <v>2032</v>
      </c>
      <c r="E409" s="499"/>
      <c r="H409" s="499"/>
      <c r="I409" s="499"/>
      <c r="J409" s="499"/>
      <c r="K409" s="499"/>
      <c r="L409" s="499"/>
      <c r="M409" s="499"/>
      <c r="N409" s="499"/>
      <c r="O409" s="499"/>
      <c r="P409" s="499"/>
    </row>
    <row r="410" spans="2:16" s="498" customFormat="1" ht="0.65" hidden="1" customHeight="1">
      <c r="B410" s="499">
        <v>2033</v>
      </c>
      <c r="C410" s="498">
        <v>0.01</v>
      </c>
      <c r="E410" s="499"/>
      <c r="H410" s="499"/>
      <c r="I410" s="499"/>
      <c r="J410" s="499"/>
      <c r="K410" s="499"/>
      <c r="L410" s="499"/>
      <c r="M410" s="499"/>
      <c r="N410" s="499"/>
      <c r="O410" s="499"/>
      <c r="P410" s="499"/>
    </row>
    <row r="411" spans="2:16" s="498" customFormat="1" ht="0.65" hidden="1" customHeight="1">
      <c r="B411" s="499">
        <v>2034</v>
      </c>
      <c r="C411" s="498">
        <v>0.02</v>
      </c>
      <c r="E411" s="499"/>
      <c r="H411" s="499"/>
      <c r="I411" s="499"/>
      <c r="J411" s="499"/>
      <c r="K411" s="499"/>
      <c r="L411" s="499"/>
      <c r="M411" s="499"/>
      <c r="N411" s="499"/>
      <c r="O411" s="499"/>
      <c r="P411" s="499"/>
    </row>
    <row r="412" spans="2:16" s="498" customFormat="1" ht="0.65" hidden="1" customHeight="1">
      <c r="B412" s="499">
        <v>2035</v>
      </c>
      <c r="C412" s="498">
        <v>0.03</v>
      </c>
      <c r="E412" s="499"/>
      <c r="H412" s="499"/>
      <c r="I412" s="499"/>
      <c r="J412" s="499"/>
      <c r="K412" s="499"/>
      <c r="L412" s="499"/>
      <c r="M412" s="499"/>
      <c r="N412" s="499"/>
      <c r="O412" s="499"/>
      <c r="P412" s="499"/>
    </row>
    <row r="413" spans="2:16" s="498" customFormat="1" ht="0.65" hidden="1" customHeight="1">
      <c r="B413" s="499">
        <v>2036</v>
      </c>
      <c r="C413" s="498">
        <v>0.02</v>
      </c>
      <c r="E413" s="499"/>
      <c r="H413" s="499"/>
      <c r="I413" s="499"/>
      <c r="J413" s="499"/>
      <c r="K413" s="499"/>
      <c r="L413" s="499"/>
      <c r="M413" s="499"/>
      <c r="N413" s="499"/>
      <c r="O413" s="499"/>
      <c r="P413" s="499"/>
    </row>
    <row r="414" spans="2:16" s="498" customFormat="1" ht="0.65" hidden="1" customHeight="1">
      <c r="B414" s="499">
        <v>2037</v>
      </c>
      <c r="E414" s="499"/>
    </row>
    <row r="415" spans="2:16" s="498" customFormat="1" ht="0.65" hidden="1" customHeight="1">
      <c r="B415" s="499">
        <v>2038</v>
      </c>
      <c r="E415" s="499"/>
    </row>
    <row r="416" spans="2:16" s="498" customFormat="1" ht="0.65" hidden="1" customHeight="1">
      <c r="B416" s="499">
        <v>2039</v>
      </c>
      <c r="D416" s="507"/>
      <c r="E416" s="499"/>
    </row>
    <row r="417" spans="2:11" s="498" customFormat="1" ht="0.65" hidden="1" customHeight="1">
      <c r="B417" s="499">
        <v>2040</v>
      </c>
      <c r="D417" s="507"/>
      <c r="E417" s="499"/>
      <c r="K417" s="508"/>
    </row>
    <row r="418" spans="2:11" s="498" customFormat="1" ht="0.65" hidden="1" customHeight="1">
      <c r="B418" s="499">
        <v>2041</v>
      </c>
      <c r="K418" s="508"/>
    </row>
    <row r="419" spans="2:11" s="498" customFormat="1" ht="0.65" hidden="1" customHeight="1">
      <c r="B419" s="499">
        <v>2042</v>
      </c>
      <c r="K419" s="508"/>
    </row>
    <row r="420" spans="2:11" s="498" customFormat="1" ht="0.65" hidden="1" customHeight="1">
      <c r="B420" s="499">
        <v>2043</v>
      </c>
    </row>
    <row r="421" spans="2:11" s="498" customFormat="1" ht="0.65" hidden="1" customHeight="1">
      <c r="B421" s="499">
        <v>2044</v>
      </c>
      <c r="C421" s="509">
        <v>2023</v>
      </c>
      <c r="D421" s="509"/>
      <c r="E421" s="499"/>
    </row>
    <row r="422" spans="2:11" s="498" customFormat="1" ht="0.65" hidden="1" customHeight="1">
      <c r="B422" s="499">
        <v>2045</v>
      </c>
      <c r="C422" s="509">
        <v>2024</v>
      </c>
      <c r="E422" s="499"/>
    </row>
    <row r="423" spans="2:11" s="498" customFormat="1" ht="0.65" hidden="1" customHeight="1">
      <c r="B423" s="499">
        <v>2046</v>
      </c>
      <c r="C423" s="509">
        <v>2025</v>
      </c>
      <c r="E423" s="499"/>
    </row>
    <row r="424" spans="2:11" s="498" customFormat="1" ht="0.65" hidden="1" customHeight="1">
      <c r="B424" s="499">
        <v>2047</v>
      </c>
    </row>
    <row r="425" spans="2:11" s="498" customFormat="1" ht="0.65" hidden="1" customHeight="1">
      <c r="B425" s="499">
        <v>2048</v>
      </c>
    </row>
    <row r="426" spans="2:11" s="498" customFormat="1" ht="0.65" hidden="1" customHeight="1">
      <c r="B426" s="499">
        <v>2049</v>
      </c>
    </row>
    <row r="427" spans="2:11" s="498" customFormat="1" ht="0.65" hidden="1" customHeight="1">
      <c r="B427" s="499">
        <v>2050</v>
      </c>
      <c r="C427" s="498">
        <v>2022</v>
      </c>
      <c r="E427" s="499"/>
    </row>
    <row r="428" spans="2:11" s="498" customFormat="1" ht="0.65" hidden="1" customHeight="1">
      <c r="B428" s="499">
        <v>2051</v>
      </c>
      <c r="C428" s="509">
        <v>2023</v>
      </c>
      <c r="E428" s="499"/>
    </row>
    <row r="429" spans="2:11" s="498" customFormat="1" ht="0.65" hidden="1" customHeight="1">
      <c r="B429" s="499">
        <v>2052</v>
      </c>
      <c r="C429" s="509">
        <v>2024</v>
      </c>
      <c r="E429" s="499"/>
    </row>
    <row r="430" spans="2:11" s="498" customFormat="1" ht="0.65" hidden="1" customHeight="1">
      <c r="B430" s="499">
        <v>2053</v>
      </c>
      <c r="C430" s="509">
        <v>2025</v>
      </c>
      <c r="E430" s="499"/>
    </row>
    <row r="431" spans="2:11" s="498" customFormat="1" ht="0.65" hidden="1" customHeight="1">
      <c r="B431" s="499">
        <v>2054</v>
      </c>
    </row>
    <row r="432" spans="2:11" s="498" customFormat="1" ht="0.65" hidden="1" customHeight="1">
      <c r="B432" s="499">
        <v>2055</v>
      </c>
      <c r="C432" s="498">
        <v>2022</v>
      </c>
      <c r="D432" s="509"/>
      <c r="E432" s="499"/>
    </row>
    <row r="433" spans="2:5" s="498" customFormat="1" ht="0.65" hidden="1" customHeight="1">
      <c r="B433" s="499">
        <v>2056</v>
      </c>
      <c r="C433" s="509">
        <v>2023</v>
      </c>
      <c r="E433" s="499"/>
    </row>
    <row r="434" spans="2:5" s="498" customFormat="1" ht="0.65" hidden="1" customHeight="1">
      <c r="B434" s="499">
        <v>2057</v>
      </c>
      <c r="C434" s="509">
        <v>2024</v>
      </c>
      <c r="E434" s="499"/>
    </row>
    <row r="435" spans="2:5" s="498" customFormat="1" ht="0.65" hidden="1" customHeight="1">
      <c r="B435" s="499">
        <v>2058</v>
      </c>
      <c r="C435" s="509">
        <v>2025</v>
      </c>
      <c r="E435" s="499"/>
    </row>
    <row r="436" spans="2:5" s="498" customFormat="1" ht="0.65" hidden="1" customHeight="1"/>
    <row r="437" spans="2:5" s="498" customFormat="1" ht="0.65" hidden="1" customHeight="1"/>
    <row r="438" spans="2:5" s="498" customFormat="1" ht="0.65" hidden="1" customHeight="1"/>
    <row r="439" spans="2:5" s="498" customFormat="1" ht="0.65" hidden="1" customHeight="1"/>
    <row r="440" spans="2:5" s="498" customFormat="1" ht="0.65" hidden="1" customHeight="1"/>
    <row r="441" spans="2:5" s="498" customFormat="1" ht="0.65" hidden="1" customHeight="1"/>
    <row r="442" spans="2:5" s="498" customFormat="1" ht="0.65" hidden="1" customHeight="1"/>
    <row r="443" spans="2:5" s="498" customFormat="1" ht="0.65" hidden="1" customHeight="1"/>
    <row r="444" spans="2:5" s="498" customFormat="1" ht="0.65" hidden="1" customHeight="1"/>
    <row r="445" spans="2:5" s="498" customFormat="1" ht="0.65" hidden="1" customHeight="1"/>
    <row r="446" spans="2:5" s="498" customFormat="1" ht="0.65" hidden="1" customHeight="1"/>
    <row r="447" spans="2:5" s="498" customFormat="1" ht="0.65" hidden="1" customHeight="1"/>
    <row r="448" spans="2:5" s="498" customFormat="1" ht="0.65" hidden="1" customHeight="1"/>
    <row r="449" spans="21:39" s="498" customFormat="1" ht="0.65" hidden="1" customHeight="1"/>
    <row r="450" spans="21:39" s="498" customFormat="1" ht="0.65" hidden="1" customHeight="1"/>
    <row r="451" spans="21:39" s="498" customFormat="1" ht="0.65" hidden="1" customHeight="1"/>
    <row r="452" spans="21:39" s="498" customFormat="1" ht="0.65" hidden="1" customHeight="1"/>
    <row r="453" spans="21:39" s="498" customFormat="1" ht="0.65" hidden="1" customHeight="1"/>
    <row r="454" spans="21:39" s="498" customFormat="1" ht="0.65" hidden="1" customHeight="1"/>
    <row r="455" spans="21:39" s="498" customFormat="1" ht="0.65" hidden="1" customHeight="1"/>
    <row r="456" spans="21:39" s="498" customFormat="1" ht="0.65" hidden="1" customHeight="1"/>
    <row r="457" spans="21:39" s="498" customFormat="1" ht="0.65" hidden="1" customHeight="1">
      <c r="U457" s="499">
        <v>1</v>
      </c>
      <c r="V457" s="499"/>
      <c r="W457" s="499"/>
      <c r="X457" s="499"/>
      <c r="Y457" s="499">
        <v>1</v>
      </c>
      <c r="Z457" s="499"/>
      <c r="AA457" s="499"/>
      <c r="AB457" s="499"/>
      <c r="AC457" s="499"/>
      <c r="AD457" s="499"/>
      <c r="AE457" s="499">
        <v>1</v>
      </c>
      <c r="AF457" s="499">
        <v>2</v>
      </c>
      <c r="AG457" s="499">
        <v>3</v>
      </c>
      <c r="AH457" s="499">
        <v>4</v>
      </c>
      <c r="AI457" s="499">
        <v>5</v>
      </c>
      <c r="AJ457" s="499">
        <v>6</v>
      </c>
      <c r="AK457" s="499">
        <v>7</v>
      </c>
      <c r="AL457" s="499">
        <v>8</v>
      </c>
      <c r="AM457" s="499">
        <v>9</v>
      </c>
    </row>
    <row r="458" spans="21:39" s="498" customFormat="1" ht="0.65" hidden="1" customHeight="1"/>
    <row r="459" spans="21:39" s="498" customFormat="1" ht="0.65" hidden="1" customHeight="1"/>
    <row r="460" spans="21:39" s="498" customFormat="1" ht="0.65" hidden="1" customHeight="1">
      <c r="Y460" s="498" t="s">
        <v>2158</v>
      </c>
      <c r="AF460" s="498" t="s">
        <v>2162</v>
      </c>
      <c r="AG460" s="498" t="s">
        <v>2157</v>
      </c>
      <c r="AH460" s="498" t="s">
        <v>2163</v>
      </c>
      <c r="AI460" s="498" t="s">
        <v>2164</v>
      </c>
      <c r="AJ460" s="498" t="s">
        <v>2158</v>
      </c>
      <c r="AL460" s="498" t="s">
        <v>2165</v>
      </c>
      <c r="AM460" s="498" t="s">
        <v>2166</v>
      </c>
    </row>
    <row r="461" spans="21:39" s="498" customFormat="1" ht="0.65" hidden="1" customHeight="1">
      <c r="U461" s="499">
        <v>2001</v>
      </c>
      <c r="Y461" s="500">
        <v>323200</v>
      </c>
      <c r="Z461" s="500"/>
      <c r="AB461" s="500"/>
      <c r="AF461" s="498" t="s">
        <v>2171</v>
      </c>
      <c r="AG461" s="498">
        <v>1</v>
      </c>
      <c r="AH461" s="498" t="s">
        <v>2171</v>
      </c>
      <c r="AI461" s="498" t="s">
        <v>2172</v>
      </c>
      <c r="AJ461" s="500">
        <v>323200</v>
      </c>
      <c r="AL461" s="498" t="s">
        <v>2360</v>
      </c>
      <c r="AM461" s="498" t="s">
        <v>2174</v>
      </c>
    </row>
    <row r="462" spans="21:39" s="498" customFormat="1" ht="0.65" hidden="1" customHeight="1">
      <c r="U462" s="499">
        <v>2002</v>
      </c>
      <c r="Y462" s="500">
        <v>326432</v>
      </c>
      <c r="Z462" s="500"/>
      <c r="AB462" s="500"/>
      <c r="AF462" s="498" t="s">
        <v>2175</v>
      </c>
      <c r="AG462" s="498">
        <v>2</v>
      </c>
      <c r="AH462" s="498" t="s">
        <v>2175</v>
      </c>
      <c r="AI462" s="498" t="s">
        <v>2176</v>
      </c>
      <c r="AJ462" s="500">
        <v>326432</v>
      </c>
      <c r="AL462" s="498" t="s">
        <v>2361</v>
      </c>
      <c r="AM462" s="498" t="s">
        <v>2174</v>
      </c>
    </row>
    <row r="463" spans="21:39" s="498" customFormat="1" ht="0.65" hidden="1" customHeight="1">
      <c r="U463" s="499">
        <v>2003</v>
      </c>
      <c r="Y463" s="500">
        <v>329696.31999999995</v>
      </c>
      <c r="Z463" s="500"/>
      <c r="AB463" s="500"/>
      <c r="AF463" s="498" t="s">
        <v>2178</v>
      </c>
      <c r="AG463" s="498">
        <v>3</v>
      </c>
      <c r="AH463" s="498" t="s">
        <v>2178</v>
      </c>
      <c r="AI463" s="498" t="s">
        <v>2179</v>
      </c>
      <c r="AJ463" s="500">
        <v>329696.31999999995</v>
      </c>
      <c r="AL463" s="498" t="s">
        <v>2362</v>
      </c>
      <c r="AM463" s="498" t="s">
        <v>2174</v>
      </c>
    </row>
    <row r="464" spans="21:39" s="498" customFormat="1" ht="0.65" hidden="1" customHeight="1">
      <c r="U464" s="499">
        <v>2004</v>
      </c>
      <c r="Y464" s="500">
        <v>182880</v>
      </c>
      <c r="Z464" s="500"/>
      <c r="AB464" s="500"/>
      <c r="AF464" s="498" t="s">
        <v>2181</v>
      </c>
      <c r="AG464" s="498">
        <v>4</v>
      </c>
      <c r="AH464" s="498" t="s">
        <v>2181</v>
      </c>
      <c r="AI464" s="498" t="s">
        <v>2182</v>
      </c>
      <c r="AJ464" s="500">
        <v>182880</v>
      </c>
      <c r="AL464" s="498" t="s">
        <v>2363</v>
      </c>
      <c r="AM464" s="498" t="s">
        <v>2184</v>
      </c>
    </row>
    <row r="465" spans="21:39" s="498" customFormat="1" ht="0.65" hidden="1" customHeight="1">
      <c r="U465" s="499">
        <v>2005</v>
      </c>
      <c r="Y465" s="500">
        <v>186537.60000000001</v>
      </c>
      <c r="Z465" s="500"/>
      <c r="AB465" s="500"/>
      <c r="AF465" s="498" t="s">
        <v>2185</v>
      </c>
      <c r="AG465" s="498">
        <v>5</v>
      </c>
      <c r="AH465" s="498" t="s">
        <v>2185</v>
      </c>
      <c r="AI465" s="498" t="s">
        <v>2186</v>
      </c>
      <c r="AJ465" s="500">
        <v>186537.60000000001</v>
      </c>
      <c r="AL465" s="498" t="s">
        <v>2364</v>
      </c>
      <c r="AM465" s="498" t="s">
        <v>2184</v>
      </c>
    </row>
    <row r="466" spans="21:39" s="498" customFormat="1" ht="0.65" hidden="1" customHeight="1">
      <c r="U466" s="499">
        <v>2006</v>
      </c>
      <c r="Y466" s="500">
        <v>190268.35199999996</v>
      </c>
      <c r="Z466" s="500"/>
      <c r="AB466" s="500"/>
      <c r="AF466" s="498" t="s">
        <v>2188</v>
      </c>
      <c r="AG466" s="498">
        <v>6</v>
      </c>
      <c r="AH466" s="498" t="s">
        <v>2188</v>
      </c>
      <c r="AI466" s="498" t="s">
        <v>2189</v>
      </c>
      <c r="AJ466" s="500">
        <v>190268.35199999996</v>
      </c>
      <c r="AL466" s="498" t="s">
        <v>2365</v>
      </c>
      <c r="AM466" s="498" t="s">
        <v>2184</v>
      </c>
    </row>
    <row r="467" spans="21:39" s="498" customFormat="1" ht="0.65" hidden="1" customHeight="1">
      <c r="U467" s="499">
        <v>2007</v>
      </c>
      <c r="Y467" s="500">
        <v>40000</v>
      </c>
      <c r="Z467" s="500"/>
      <c r="AB467" s="500"/>
      <c r="AF467" s="498" t="s">
        <v>2191</v>
      </c>
      <c r="AG467" s="498">
        <v>7</v>
      </c>
      <c r="AH467" s="498" t="s">
        <v>2191</v>
      </c>
      <c r="AI467" s="498" t="s">
        <v>2192</v>
      </c>
      <c r="AJ467" s="500">
        <v>40000</v>
      </c>
      <c r="AL467" s="498" t="s">
        <v>2366</v>
      </c>
      <c r="AM467" s="498" t="s">
        <v>2194</v>
      </c>
    </row>
    <row r="468" spans="21:39" s="498" customFormat="1" ht="0.65" hidden="1" customHeight="1">
      <c r="U468" s="499">
        <v>2008</v>
      </c>
      <c r="Y468" s="500">
        <v>40000</v>
      </c>
      <c r="Z468" s="500"/>
      <c r="AB468" s="500"/>
      <c r="AF468" s="498" t="s">
        <v>2195</v>
      </c>
      <c r="AG468" s="498">
        <v>8</v>
      </c>
      <c r="AH468" s="498" t="s">
        <v>2195</v>
      </c>
      <c r="AI468" s="498" t="s">
        <v>2196</v>
      </c>
      <c r="AJ468" s="500">
        <v>40000</v>
      </c>
      <c r="AL468" s="498" t="s">
        <v>2367</v>
      </c>
      <c r="AM468" s="498" t="s">
        <v>2194</v>
      </c>
    </row>
    <row r="469" spans="21:39" s="498" customFormat="1" ht="0.65" hidden="1" customHeight="1">
      <c r="U469" s="499">
        <v>2009</v>
      </c>
      <c r="Y469" s="500">
        <v>40000</v>
      </c>
      <c r="Z469" s="500"/>
      <c r="AB469" s="500"/>
      <c r="AF469" s="498" t="s">
        <v>2198</v>
      </c>
      <c r="AG469" s="498">
        <v>9</v>
      </c>
      <c r="AH469" s="498" t="s">
        <v>2198</v>
      </c>
      <c r="AI469" s="498" t="s">
        <v>2199</v>
      </c>
      <c r="AJ469" s="500">
        <v>40000</v>
      </c>
      <c r="AL469" s="498" t="s">
        <v>2368</v>
      </c>
      <c r="AM469" s="498" t="s">
        <v>2194</v>
      </c>
    </row>
    <row r="470" spans="21:39" s="498" customFormat="1" ht="0.65" hidden="1" customHeight="1">
      <c r="U470" s="499">
        <v>2010</v>
      </c>
      <c r="Y470" s="500">
        <v>100320</v>
      </c>
      <c r="Z470" s="500"/>
      <c r="AB470" s="500"/>
      <c r="AF470" s="498" t="s">
        <v>2201</v>
      </c>
      <c r="AG470" s="498">
        <v>10</v>
      </c>
      <c r="AH470" s="498" t="s">
        <v>2201</v>
      </c>
      <c r="AI470" s="500" t="s">
        <v>2202</v>
      </c>
      <c r="AJ470" s="500">
        <v>100320</v>
      </c>
      <c r="AL470" s="500" t="s">
        <v>2369</v>
      </c>
      <c r="AM470" s="498" t="s">
        <v>2204</v>
      </c>
    </row>
    <row r="471" spans="21:39" s="498" customFormat="1" ht="0.65" hidden="1" customHeight="1">
      <c r="U471" s="499">
        <v>2011</v>
      </c>
      <c r="Y471" s="500">
        <v>99894.399999999994</v>
      </c>
      <c r="Z471" s="500"/>
      <c r="AB471" s="500"/>
      <c r="AF471" s="498" t="s">
        <v>2205</v>
      </c>
      <c r="AG471" s="498">
        <v>11</v>
      </c>
      <c r="AH471" s="498" t="s">
        <v>2205</v>
      </c>
      <c r="AI471" s="500" t="s">
        <v>2206</v>
      </c>
      <c r="AJ471" s="500">
        <v>99894.399999999994</v>
      </c>
      <c r="AL471" s="500" t="s">
        <v>2370</v>
      </c>
      <c r="AM471" s="498" t="s">
        <v>2204</v>
      </c>
    </row>
    <row r="472" spans="21:39" s="498" customFormat="1" ht="0.65" hidden="1" customHeight="1">
      <c r="U472" s="499">
        <v>2012</v>
      </c>
      <c r="Y472" s="500">
        <v>99427.967999999993</v>
      </c>
      <c r="Z472" s="500"/>
      <c r="AB472" s="500"/>
      <c r="AF472" s="498" t="s">
        <v>2208</v>
      </c>
      <c r="AG472" s="498">
        <v>12</v>
      </c>
      <c r="AH472" s="498" t="s">
        <v>2208</v>
      </c>
      <c r="AI472" s="500" t="s">
        <v>2209</v>
      </c>
      <c r="AJ472" s="500">
        <v>99427.967999999993</v>
      </c>
      <c r="AL472" s="500" t="s">
        <v>2371</v>
      </c>
      <c r="AM472" s="498" t="s">
        <v>2204</v>
      </c>
    </row>
    <row r="473" spans="21:39" s="498" customFormat="1" ht="0.65" hidden="1" customHeight="1">
      <c r="U473" s="499">
        <v>2013</v>
      </c>
      <c r="Y473" s="500">
        <v>25080</v>
      </c>
      <c r="Z473" s="500"/>
      <c r="AB473" s="500"/>
      <c r="AF473" s="498" t="s">
        <v>2211</v>
      </c>
      <c r="AG473" s="498">
        <v>13</v>
      </c>
      <c r="AH473" s="498" t="s">
        <v>2211</v>
      </c>
      <c r="AI473" s="498" t="s">
        <v>2212</v>
      </c>
      <c r="AJ473" s="500">
        <v>25080</v>
      </c>
      <c r="AL473" s="498" t="s">
        <v>2372</v>
      </c>
      <c r="AM473" s="498" t="s">
        <v>2214</v>
      </c>
    </row>
    <row r="474" spans="21:39" s="498" customFormat="1" ht="0.65" hidden="1" customHeight="1">
      <c r="U474" s="499">
        <v>2014</v>
      </c>
      <c r="Y474" s="500">
        <v>24973.599999999999</v>
      </c>
      <c r="Z474" s="500"/>
      <c r="AB474" s="500"/>
      <c r="AF474" s="498" t="s">
        <v>2215</v>
      </c>
      <c r="AG474" s="498">
        <v>14</v>
      </c>
      <c r="AH474" s="498" t="s">
        <v>2215</v>
      </c>
      <c r="AI474" s="498" t="s">
        <v>2216</v>
      </c>
      <c r="AJ474" s="500">
        <v>24973.599999999999</v>
      </c>
      <c r="AL474" s="498" t="s">
        <v>2373</v>
      </c>
      <c r="AM474" s="498" t="s">
        <v>2214</v>
      </c>
    </row>
    <row r="475" spans="21:39" s="498" customFormat="1" ht="0.65" hidden="1" customHeight="1">
      <c r="U475" s="499">
        <v>2015</v>
      </c>
      <c r="Y475" s="500">
        <v>24856.991999999998</v>
      </c>
      <c r="Z475" s="500"/>
      <c r="AB475" s="500"/>
      <c r="AF475" s="498" t="s">
        <v>2218</v>
      </c>
      <c r="AG475" s="498">
        <v>15</v>
      </c>
      <c r="AH475" s="498" t="s">
        <v>2218</v>
      </c>
      <c r="AI475" s="498" t="s">
        <v>2219</v>
      </c>
      <c r="AJ475" s="500">
        <v>24856.991999999998</v>
      </c>
      <c r="AL475" s="498" t="s">
        <v>2374</v>
      </c>
      <c r="AM475" s="498" t="s">
        <v>2214</v>
      </c>
    </row>
    <row r="476" spans="21:39" s="498" customFormat="1" ht="0.65" hidden="1" customHeight="1">
      <c r="U476" s="499">
        <v>2016</v>
      </c>
      <c r="Y476" s="500">
        <v>75240</v>
      </c>
      <c r="Z476" s="500"/>
      <c r="AB476" s="500"/>
      <c r="AF476" s="498" t="s">
        <v>2221</v>
      </c>
      <c r="AG476" s="498">
        <v>16</v>
      </c>
      <c r="AH476" s="498" t="s">
        <v>2221</v>
      </c>
      <c r="AI476" s="500" t="s">
        <v>2222</v>
      </c>
      <c r="AJ476" s="500">
        <v>75240</v>
      </c>
      <c r="AL476" s="500" t="s">
        <v>2375</v>
      </c>
      <c r="AM476" s="498" t="s">
        <v>2224</v>
      </c>
    </row>
    <row r="477" spans="21:39" s="498" customFormat="1" ht="0.65" hidden="1" customHeight="1">
      <c r="U477" s="499">
        <v>2017</v>
      </c>
      <c r="Y477" s="500">
        <v>74920.799999999988</v>
      </c>
      <c r="Z477" s="500"/>
      <c r="AB477" s="500"/>
      <c r="AF477" s="498" t="s">
        <v>2225</v>
      </c>
      <c r="AG477" s="498">
        <v>17</v>
      </c>
      <c r="AH477" s="498" t="s">
        <v>2225</v>
      </c>
      <c r="AI477" s="500" t="s">
        <v>2226</v>
      </c>
      <c r="AJ477" s="500">
        <v>74920.799999999988</v>
      </c>
      <c r="AL477" s="500" t="s">
        <v>2376</v>
      </c>
      <c r="AM477" s="498" t="s">
        <v>2224</v>
      </c>
    </row>
    <row r="478" spans="21:39" s="498" customFormat="1" ht="0.65" hidden="1" customHeight="1">
      <c r="U478" s="499">
        <v>2018</v>
      </c>
      <c r="Y478" s="500">
        <v>74570.975999999995</v>
      </c>
      <c r="Z478" s="500"/>
      <c r="AB478" s="500"/>
      <c r="AF478" s="498" t="s">
        <v>2228</v>
      </c>
      <c r="AG478" s="498">
        <v>18</v>
      </c>
      <c r="AH478" s="498" t="s">
        <v>2228</v>
      </c>
      <c r="AI478" s="500" t="s">
        <v>2229</v>
      </c>
      <c r="AJ478" s="500">
        <v>74570.975999999995</v>
      </c>
      <c r="AL478" s="500" t="s">
        <v>2377</v>
      </c>
      <c r="AM478" s="498" t="s">
        <v>2224</v>
      </c>
    </row>
    <row r="479" spans="21:39" s="498" customFormat="1" ht="0.65" hidden="1" customHeight="1">
      <c r="U479" s="499">
        <v>2019</v>
      </c>
      <c r="Y479" s="500">
        <v>115240</v>
      </c>
      <c r="Z479" s="500"/>
      <c r="AB479" s="500"/>
      <c r="AF479" s="498" t="s">
        <v>2231</v>
      </c>
      <c r="AG479" s="498">
        <v>19</v>
      </c>
      <c r="AH479" s="498" t="s">
        <v>2231</v>
      </c>
      <c r="AI479" s="500" t="s">
        <v>2232</v>
      </c>
      <c r="AJ479" s="500">
        <v>115240</v>
      </c>
      <c r="AL479" s="500" t="s">
        <v>2378</v>
      </c>
      <c r="AM479" s="498" t="s">
        <v>2234</v>
      </c>
    </row>
    <row r="480" spans="21:39" s="498" customFormat="1" ht="0.65" hidden="1" customHeight="1">
      <c r="U480" s="499">
        <v>2020</v>
      </c>
      <c r="Y480" s="500">
        <v>114920.79999999999</v>
      </c>
      <c r="Z480" s="500"/>
      <c r="AB480" s="500"/>
      <c r="AF480" s="498" t="s">
        <v>2235</v>
      </c>
      <c r="AG480" s="498">
        <v>20</v>
      </c>
      <c r="AH480" s="498" t="s">
        <v>2235</v>
      </c>
      <c r="AI480" s="500" t="s">
        <v>2236</v>
      </c>
      <c r="AJ480" s="500">
        <v>114920.79999999999</v>
      </c>
      <c r="AL480" s="500" t="s">
        <v>2379</v>
      </c>
      <c r="AM480" s="498" t="s">
        <v>2234</v>
      </c>
    </row>
    <row r="481" spans="21:39" s="498" customFormat="1" ht="0.65" hidden="1" customHeight="1">
      <c r="U481" s="499">
        <v>2021</v>
      </c>
      <c r="Y481" s="500">
        <v>114570.976</v>
      </c>
      <c r="Z481" s="500"/>
      <c r="AB481" s="500"/>
      <c r="AF481" s="498" t="s">
        <v>2238</v>
      </c>
      <c r="AG481" s="498">
        <v>21</v>
      </c>
      <c r="AH481" s="498" t="s">
        <v>2238</v>
      </c>
      <c r="AI481" s="500" t="s">
        <v>2239</v>
      </c>
      <c r="AJ481" s="500">
        <v>114570.976</v>
      </c>
      <c r="AL481" s="500" t="s">
        <v>2380</v>
      </c>
      <c r="AM481" s="498" t="s">
        <v>2234</v>
      </c>
    </row>
    <row r="482" spans="21:39" s="498" customFormat="1" ht="0.65" hidden="1" customHeight="1">
      <c r="U482" s="499">
        <v>2022</v>
      </c>
      <c r="Y482" s="500">
        <v>36000</v>
      </c>
      <c r="Z482" s="500"/>
      <c r="AB482" s="500"/>
      <c r="AF482" s="498" t="s">
        <v>2241</v>
      </c>
      <c r="AG482" s="498">
        <v>22</v>
      </c>
      <c r="AH482" s="498" t="s">
        <v>2241</v>
      </c>
      <c r="AI482" s="500" t="s">
        <v>2242</v>
      </c>
      <c r="AJ482" s="500">
        <v>36000</v>
      </c>
      <c r="AL482" s="500" t="s">
        <v>2381</v>
      </c>
      <c r="AM482" s="498" t="s">
        <v>2244</v>
      </c>
    </row>
    <row r="483" spans="21:39" s="498" customFormat="1" ht="0.65" hidden="1" customHeight="1">
      <c r="U483" s="499">
        <v>2023</v>
      </c>
      <c r="Y483" s="500">
        <v>36720</v>
      </c>
      <c r="Z483" s="500"/>
      <c r="AB483" s="500"/>
      <c r="AF483" s="498" t="s">
        <v>2245</v>
      </c>
      <c r="AG483" s="498">
        <v>23</v>
      </c>
      <c r="AH483" s="498" t="s">
        <v>2245</v>
      </c>
      <c r="AI483" s="498" t="s">
        <v>2246</v>
      </c>
      <c r="AJ483" s="500">
        <v>36720</v>
      </c>
      <c r="AL483" s="500" t="s">
        <v>2382</v>
      </c>
      <c r="AM483" s="498" t="s">
        <v>2248</v>
      </c>
    </row>
    <row r="484" spans="21:39" s="498" customFormat="1" ht="0.65" hidden="1" customHeight="1">
      <c r="U484" s="499">
        <v>2024</v>
      </c>
      <c r="Y484" s="500">
        <v>37454.400000000001</v>
      </c>
      <c r="Z484" s="500"/>
      <c r="AB484" s="500"/>
      <c r="AF484" s="498" t="s">
        <v>2249</v>
      </c>
      <c r="AG484" s="498">
        <v>24</v>
      </c>
      <c r="AH484" s="498" t="s">
        <v>2249</v>
      </c>
      <c r="AI484" s="498" t="s">
        <v>2250</v>
      </c>
      <c r="AJ484" s="500">
        <v>37454.400000000001</v>
      </c>
      <c r="AL484" s="500" t="s">
        <v>2383</v>
      </c>
      <c r="AM484" s="498" t="s">
        <v>2248</v>
      </c>
    </row>
    <row r="485" spans="21:39" s="498" customFormat="1" ht="0.65" hidden="1" customHeight="1">
      <c r="U485" s="499">
        <v>2025</v>
      </c>
      <c r="Y485" s="500">
        <v>38203.488000000005</v>
      </c>
      <c r="Z485" s="500"/>
      <c r="AB485" s="500"/>
      <c r="AF485" s="498" t="s">
        <v>2252</v>
      </c>
      <c r="AG485" s="498">
        <v>25</v>
      </c>
      <c r="AH485" s="498" t="s">
        <v>2252</v>
      </c>
      <c r="AI485" s="498" t="s">
        <v>2253</v>
      </c>
      <c r="AJ485" s="500">
        <v>38203.488000000005</v>
      </c>
      <c r="AL485" s="500" t="s">
        <v>2384</v>
      </c>
      <c r="AM485" s="498" t="s">
        <v>2248</v>
      </c>
    </row>
    <row r="486" spans="21:39" s="498" customFormat="1" ht="0.65" hidden="1" customHeight="1">
      <c r="U486" s="499">
        <v>2026</v>
      </c>
      <c r="Y486" s="500">
        <v>0</v>
      </c>
      <c r="Z486" s="500"/>
      <c r="AB486" s="500"/>
      <c r="AF486" s="498" t="s">
        <v>2255</v>
      </c>
      <c r="AG486" s="498">
        <v>26</v>
      </c>
      <c r="AH486" s="498" t="s">
        <v>2255</v>
      </c>
      <c r="AI486" s="498" t="s">
        <v>2256</v>
      </c>
      <c r="AJ486" s="500">
        <v>0</v>
      </c>
      <c r="AL486" s="498" t="s">
        <v>2257</v>
      </c>
      <c r="AM486" s="498" t="s">
        <v>2258</v>
      </c>
    </row>
    <row r="487" spans="21:39" s="498" customFormat="1" ht="0.65" hidden="1" customHeight="1">
      <c r="U487" s="499">
        <v>2027</v>
      </c>
      <c r="Y487" s="500">
        <v>65178.666666666672</v>
      </c>
      <c r="Z487" s="500"/>
      <c r="AB487" s="500"/>
      <c r="AF487" s="498" t="s">
        <v>2259</v>
      </c>
      <c r="AG487" s="498">
        <v>27</v>
      </c>
      <c r="AH487" s="498" t="s">
        <v>2259</v>
      </c>
      <c r="AI487" s="498" t="s">
        <v>2260</v>
      </c>
      <c r="AJ487" s="500">
        <v>65178.666666666672</v>
      </c>
      <c r="AL487" s="498" t="s">
        <v>2385</v>
      </c>
      <c r="AM487" s="498" t="s">
        <v>2262</v>
      </c>
    </row>
    <row r="488" spans="21:39" s="498" customFormat="1" ht="0.65" hidden="1" customHeight="1">
      <c r="U488" s="499">
        <v>2028</v>
      </c>
      <c r="Y488" s="500">
        <v>65830.453333333324</v>
      </c>
      <c r="Z488" s="500"/>
      <c r="AB488" s="500"/>
      <c r="AF488" s="498" t="s">
        <v>2263</v>
      </c>
      <c r="AG488" s="498">
        <v>28</v>
      </c>
      <c r="AH488" s="498" t="s">
        <v>2263</v>
      </c>
      <c r="AI488" s="498" t="s">
        <v>2264</v>
      </c>
      <c r="AJ488" s="500">
        <v>65830.453333333324</v>
      </c>
      <c r="AL488" s="498" t="s">
        <v>2386</v>
      </c>
      <c r="AM488" s="498" t="s">
        <v>2262</v>
      </c>
    </row>
    <row r="489" spans="21:39" s="498" customFormat="1" ht="0.65" hidden="1" customHeight="1">
      <c r="U489" s="499">
        <v>2029</v>
      </c>
      <c r="Y489" s="500">
        <v>66488.757866666652</v>
      </c>
      <c r="Z489" s="500"/>
      <c r="AB489" s="500"/>
      <c r="AF489" s="498" t="s">
        <v>2266</v>
      </c>
      <c r="AG489" s="498">
        <v>29</v>
      </c>
      <c r="AH489" s="498" t="s">
        <v>2266</v>
      </c>
      <c r="AI489" s="498" t="s">
        <v>2267</v>
      </c>
      <c r="AJ489" s="500">
        <v>66488.757866666652</v>
      </c>
      <c r="AL489" s="498" t="s">
        <v>2387</v>
      </c>
      <c r="AM489" s="498" t="s">
        <v>2262</v>
      </c>
    </row>
    <row r="490" spans="21:39" s="498" customFormat="1" ht="0.65" hidden="1" customHeight="1">
      <c r="U490" s="499">
        <v>2030</v>
      </c>
      <c r="Y490" s="500">
        <v>0</v>
      </c>
      <c r="Z490" s="500"/>
      <c r="AB490" s="500"/>
      <c r="AF490" s="498" t="s">
        <v>2269</v>
      </c>
      <c r="AG490" s="498">
        <v>30</v>
      </c>
      <c r="AH490" s="498" t="s">
        <v>2269</v>
      </c>
      <c r="AI490" s="498" t="s">
        <v>2270</v>
      </c>
      <c r="AJ490" s="500">
        <v>0</v>
      </c>
      <c r="AL490" s="498" t="s">
        <v>2271</v>
      </c>
      <c r="AM490" s="498" t="s">
        <v>2272</v>
      </c>
    </row>
    <row r="491" spans="21:39" s="498" customFormat="1" ht="0.65" hidden="1" customHeight="1">
      <c r="U491" s="499">
        <v>2031</v>
      </c>
      <c r="Y491" s="500">
        <v>37026</v>
      </c>
      <c r="Z491" s="500"/>
      <c r="AB491" s="500"/>
      <c r="AF491" s="498" t="s">
        <v>2273</v>
      </c>
      <c r="AG491" s="498">
        <v>31</v>
      </c>
      <c r="AH491" s="498" t="s">
        <v>2273</v>
      </c>
      <c r="AI491" s="498" t="s">
        <v>2274</v>
      </c>
      <c r="AJ491" s="500">
        <v>37026</v>
      </c>
      <c r="AL491" s="498" t="s">
        <v>2388</v>
      </c>
      <c r="AM491" s="498" t="s">
        <v>2276</v>
      </c>
    </row>
    <row r="492" spans="21:39" s="498" customFormat="1" ht="0.65" hidden="1" customHeight="1">
      <c r="U492" s="499">
        <v>2032</v>
      </c>
      <c r="Y492" s="500">
        <v>37766.520000000004</v>
      </c>
      <c r="Z492" s="500"/>
      <c r="AB492" s="500"/>
      <c r="AF492" s="498" t="s">
        <v>2277</v>
      </c>
      <c r="AG492" s="498">
        <v>32</v>
      </c>
      <c r="AH492" s="498" t="s">
        <v>2277</v>
      </c>
      <c r="AI492" s="498" t="s">
        <v>2278</v>
      </c>
      <c r="AJ492" s="500">
        <v>37766.520000000004</v>
      </c>
      <c r="AL492" s="498" t="s">
        <v>2389</v>
      </c>
      <c r="AM492" s="498" t="s">
        <v>2276</v>
      </c>
    </row>
    <row r="493" spans="21:39" s="498" customFormat="1" ht="0.65" hidden="1" customHeight="1">
      <c r="U493" s="499">
        <v>2033</v>
      </c>
      <c r="Y493" s="500">
        <v>38521.850399999996</v>
      </c>
      <c r="Z493" s="500"/>
      <c r="AB493" s="500"/>
      <c r="AF493" s="498" t="s">
        <v>2280</v>
      </c>
      <c r="AG493" s="498">
        <v>33</v>
      </c>
      <c r="AH493" s="498" t="s">
        <v>2280</v>
      </c>
      <c r="AI493" s="498" t="s">
        <v>2281</v>
      </c>
      <c r="AJ493" s="500">
        <v>38521.850399999996</v>
      </c>
      <c r="AL493" s="498" t="s">
        <v>2390</v>
      </c>
      <c r="AM493" s="498" t="s">
        <v>2276</v>
      </c>
    </row>
    <row r="494" spans="21:39" s="498" customFormat="1" ht="0.65" hidden="1" customHeight="1">
      <c r="U494" s="499">
        <v>2034</v>
      </c>
      <c r="Y494" s="500">
        <v>36000</v>
      </c>
      <c r="Z494" s="500"/>
      <c r="AB494" s="500"/>
      <c r="AF494" s="498" t="s">
        <v>2283</v>
      </c>
      <c r="AG494" s="498">
        <v>34</v>
      </c>
      <c r="AH494" s="498" t="s">
        <v>2283</v>
      </c>
      <c r="AI494" s="500" t="s">
        <v>2284</v>
      </c>
      <c r="AJ494" s="500">
        <v>36000</v>
      </c>
      <c r="AL494" s="500" t="s">
        <v>2391</v>
      </c>
      <c r="AM494" s="498" t="s">
        <v>2286</v>
      </c>
    </row>
    <row r="495" spans="21:39" s="498" customFormat="1" ht="0.65" hidden="1" customHeight="1">
      <c r="U495" s="499">
        <v>2035</v>
      </c>
      <c r="Y495" s="500">
        <v>64872.666666666672</v>
      </c>
      <c r="Z495" s="500"/>
      <c r="AB495" s="500"/>
      <c r="AF495" s="498" t="s">
        <v>2287</v>
      </c>
      <c r="AG495" s="498">
        <v>35</v>
      </c>
      <c r="AH495" s="498" t="s">
        <v>2287</v>
      </c>
      <c r="AI495" s="500" t="s">
        <v>2288</v>
      </c>
      <c r="AJ495" s="500">
        <v>64872.666666666672</v>
      </c>
      <c r="AL495" s="500" t="s">
        <v>2392</v>
      </c>
      <c r="AM495" s="498" t="s">
        <v>2290</v>
      </c>
    </row>
    <row r="496" spans="21:39" s="498" customFormat="1" ht="0.65" hidden="1" customHeight="1">
      <c r="U496" s="499">
        <v>2036</v>
      </c>
      <c r="Y496" s="500">
        <v>65518.333333333328</v>
      </c>
      <c r="Z496" s="500"/>
      <c r="AB496" s="500"/>
      <c r="AF496" s="498" t="s">
        <v>2291</v>
      </c>
      <c r="AG496" s="498">
        <v>36</v>
      </c>
      <c r="AH496" s="498" t="s">
        <v>2291</v>
      </c>
      <c r="AI496" s="500" t="s">
        <v>2292</v>
      </c>
      <c r="AJ496" s="500">
        <v>65518.333333333328</v>
      </c>
      <c r="AL496" s="500" t="s">
        <v>2393</v>
      </c>
      <c r="AM496" s="498" t="s">
        <v>2290</v>
      </c>
    </row>
    <row r="497" spans="21:39" s="498" customFormat="1" ht="0.65" hidden="1" customHeight="1">
      <c r="U497" s="499">
        <v>2037</v>
      </c>
      <c r="Y497" s="500">
        <v>66170.395466666669</v>
      </c>
      <c r="Z497" s="500"/>
      <c r="AB497" s="500"/>
      <c r="AF497" s="498" t="s">
        <v>2294</v>
      </c>
      <c r="AG497" s="498">
        <v>37</v>
      </c>
      <c r="AH497" s="498" t="s">
        <v>2294</v>
      </c>
      <c r="AI497" s="500" t="s">
        <v>2295</v>
      </c>
      <c r="AJ497" s="500">
        <v>66170.395466666669</v>
      </c>
      <c r="AL497" s="500" t="s">
        <v>2394</v>
      </c>
      <c r="AM497" s="498" t="s">
        <v>2290</v>
      </c>
    </row>
    <row r="498" spans="21:39" s="498" customFormat="1" ht="0.65" hidden="1" customHeight="1">
      <c r="U498" s="499">
        <v>2038</v>
      </c>
      <c r="Y498" s="500">
        <v>36000</v>
      </c>
      <c r="Z498" s="500"/>
      <c r="AB498" s="500"/>
      <c r="AF498" s="498" t="s">
        <v>2297</v>
      </c>
      <c r="AG498" s="498">
        <v>38</v>
      </c>
      <c r="AH498" s="498" t="s">
        <v>2297</v>
      </c>
      <c r="AI498" s="500" t="s">
        <v>2298</v>
      </c>
      <c r="AJ498" s="500">
        <v>36000</v>
      </c>
      <c r="AL498" s="500" t="s">
        <v>2395</v>
      </c>
      <c r="AM498" s="498" t="s">
        <v>2286</v>
      </c>
    </row>
    <row r="499" spans="21:39" s="498" customFormat="1" ht="0.65" hidden="1" customHeight="1">
      <c r="U499" s="499">
        <v>2039</v>
      </c>
      <c r="Y499" s="500">
        <v>28872.666666666672</v>
      </c>
      <c r="Z499" s="500"/>
      <c r="AB499" s="500"/>
      <c r="AF499" s="498" t="s">
        <v>2300</v>
      </c>
      <c r="AG499" s="498">
        <v>39</v>
      </c>
      <c r="AH499" s="498" t="s">
        <v>2300</v>
      </c>
      <c r="AI499" s="500" t="s">
        <v>2301</v>
      </c>
      <c r="AJ499" s="500">
        <v>28872.666666666672</v>
      </c>
      <c r="AL499" s="500" t="s">
        <v>2396</v>
      </c>
      <c r="AM499" s="498" t="s">
        <v>2303</v>
      </c>
    </row>
    <row r="500" spans="21:39" s="498" customFormat="1" ht="0.65" hidden="1" customHeight="1">
      <c r="U500" s="499">
        <v>2040</v>
      </c>
      <c r="Y500" s="500">
        <v>645.66666666665697</v>
      </c>
      <c r="Z500" s="500"/>
      <c r="AB500" s="500"/>
      <c r="AF500" s="498" t="s">
        <v>2304</v>
      </c>
      <c r="AG500" s="498">
        <v>40</v>
      </c>
      <c r="AH500" s="498" t="s">
        <v>2304</v>
      </c>
      <c r="AI500" s="500" t="s">
        <v>2305</v>
      </c>
      <c r="AJ500" s="500">
        <v>645.66666666665697</v>
      </c>
      <c r="AL500" s="500" t="s">
        <v>2397</v>
      </c>
      <c r="AM500" s="498" t="s">
        <v>2303</v>
      </c>
    </row>
    <row r="501" spans="21:39" s="498" customFormat="1" ht="0.65" hidden="1" customHeight="1">
      <c r="U501" s="499">
        <v>2041</v>
      </c>
      <c r="Y501" s="500">
        <v>652.06213333334017</v>
      </c>
      <c r="Z501" s="500"/>
      <c r="AB501" s="500"/>
      <c r="AF501" s="498" t="s">
        <v>2307</v>
      </c>
      <c r="AG501" s="498">
        <v>41</v>
      </c>
      <c r="AH501" s="498" t="s">
        <v>2307</v>
      </c>
      <c r="AI501" s="500" t="s">
        <v>2308</v>
      </c>
      <c r="AJ501" s="500">
        <v>652.06213333334017</v>
      </c>
      <c r="AL501" s="500" t="s">
        <v>2398</v>
      </c>
      <c r="AM501" s="498" t="s">
        <v>2303</v>
      </c>
    </row>
    <row r="502" spans="21:39" s="498" customFormat="1" ht="0.65" hidden="1" customHeight="1">
      <c r="U502" s="499">
        <v>2042</v>
      </c>
      <c r="Y502" s="500">
        <v>436000</v>
      </c>
      <c r="Z502" s="500"/>
      <c r="AB502" s="500"/>
      <c r="AF502" s="500" t="s">
        <v>490</v>
      </c>
      <c r="AG502" s="498">
        <v>42</v>
      </c>
      <c r="AH502" s="498" t="s">
        <v>490</v>
      </c>
      <c r="AI502" s="500" t="s">
        <v>2310</v>
      </c>
      <c r="AJ502" s="500">
        <v>436000</v>
      </c>
      <c r="AL502" s="500" t="s">
        <v>2399</v>
      </c>
      <c r="AM502" s="498" t="s">
        <v>2312</v>
      </c>
    </row>
    <row r="503" spans="21:39" s="498" customFormat="1" ht="0.65" hidden="1" customHeight="1">
      <c r="U503" s="499">
        <v>2043</v>
      </c>
      <c r="Y503" s="500">
        <v>151954.52499999999</v>
      </c>
      <c r="Z503" s="500"/>
      <c r="AB503" s="500"/>
      <c r="AF503" s="500" t="s">
        <v>2168</v>
      </c>
      <c r="AG503" s="498">
        <v>43</v>
      </c>
      <c r="AH503" s="498" t="s">
        <v>2168</v>
      </c>
      <c r="AI503" s="498" t="s">
        <v>2313</v>
      </c>
      <c r="AJ503" s="500">
        <v>151954.52499999999</v>
      </c>
      <c r="AL503" s="498" t="s">
        <v>2400</v>
      </c>
      <c r="AM503" s="498" t="s">
        <v>2315</v>
      </c>
    </row>
    <row r="504" spans="21:39" s="498" customFormat="1" ht="0.65" hidden="1" customHeight="1">
      <c r="U504" s="499">
        <v>2044</v>
      </c>
      <c r="Y504" s="500">
        <v>66170.395466666669</v>
      </c>
      <c r="Z504" s="500"/>
      <c r="AB504" s="500"/>
      <c r="AF504" s="500" t="s">
        <v>2169</v>
      </c>
      <c r="AG504" s="498">
        <v>44</v>
      </c>
      <c r="AH504" s="498" t="s">
        <v>2169</v>
      </c>
      <c r="AI504" s="500" t="s">
        <v>2316</v>
      </c>
      <c r="AJ504" s="500">
        <v>66170.395466666669</v>
      </c>
      <c r="AL504" s="500" t="s">
        <v>2401</v>
      </c>
      <c r="AM504" s="498" t="s">
        <v>2318</v>
      </c>
    </row>
    <row r="505" spans="21:39" s="498" customFormat="1" ht="0.65" hidden="1" customHeight="1">
      <c r="U505" s="499">
        <v>2045</v>
      </c>
      <c r="Y505" s="500">
        <v>218124.92046666666</v>
      </c>
      <c r="Z505" s="500"/>
      <c r="AB505" s="500"/>
      <c r="AF505" s="500" t="s">
        <v>2170</v>
      </c>
      <c r="AG505" s="498">
        <v>45</v>
      </c>
      <c r="AH505" s="498" t="s">
        <v>2170</v>
      </c>
      <c r="AI505" s="500" t="s">
        <v>2319</v>
      </c>
      <c r="AJ505" s="500">
        <v>218124.92046666666</v>
      </c>
      <c r="AL505" s="500" t="s">
        <v>2402</v>
      </c>
      <c r="AM505" s="498" t="s">
        <v>2321</v>
      </c>
    </row>
    <row r="506" spans="21:39" s="498" customFormat="1" ht="0.65" hidden="1" customHeight="1">
      <c r="U506" s="499">
        <v>2046</v>
      </c>
      <c r="Y506" s="510">
        <v>4.4999999999999998E-2</v>
      </c>
      <c r="Z506" s="510"/>
      <c r="AB506" s="510"/>
      <c r="AF506" s="500" t="s">
        <v>414</v>
      </c>
      <c r="AG506" s="498">
        <v>46</v>
      </c>
      <c r="AH506" s="498" t="s">
        <v>414</v>
      </c>
      <c r="AI506" s="498" t="s">
        <v>2322</v>
      </c>
      <c r="AJ506" s="510">
        <v>4.4999999999999998E-2</v>
      </c>
      <c r="AL506" s="498" t="s">
        <v>2403</v>
      </c>
      <c r="AM506" s="498" t="s">
        <v>2324</v>
      </c>
    </row>
    <row r="507" spans="21:39" s="498" customFormat="1" ht="0.65" hidden="1" customHeight="1">
      <c r="U507" s="499">
        <v>2047</v>
      </c>
      <c r="Y507" s="510">
        <v>8.4999999999999992E-2</v>
      </c>
      <c r="Z507" s="510"/>
      <c r="AB507" s="510"/>
      <c r="AF507" s="500" t="s">
        <v>415</v>
      </c>
      <c r="AG507" s="498">
        <v>47</v>
      </c>
      <c r="AH507" s="498" t="s">
        <v>415</v>
      </c>
      <c r="AI507" s="511" t="s">
        <v>2325</v>
      </c>
      <c r="AJ507" s="510">
        <v>8.4999999999999992E-2</v>
      </c>
      <c r="AL507" s="511" t="s">
        <v>2404</v>
      </c>
      <c r="AM507" s="498" t="s">
        <v>2327</v>
      </c>
    </row>
    <row r="508" spans="21:39" s="498" customFormat="1" ht="0.65" hidden="1" customHeight="1">
      <c r="U508" s="499">
        <v>2048</v>
      </c>
      <c r="Y508" s="510">
        <v>6.8999999999999992E-2</v>
      </c>
      <c r="Z508" s="510"/>
      <c r="AB508" s="510"/>
      <c r="AF508" s="500" t="s">
        <v>416</v>
      </c>
      <c r="AG508" s="498">
        <v>48</v>
      </c>
      <c r="AH508" s="498" t="s">
        <v>416</v>
      </c>
      <c r="AI508" s="498" t="s">
        <v>2328</v>
      </c>
      <c r="AJ508" s="510">
        <v>6.8999999999999992E-2</v>
      </c>
      <c r="AL508" s="498" t="s">
        <v>2405</v>
      </c>
      <c r="AM508" s="498" t="s">
        <v>2330</v>
      </c>
    </row>
    <row r="509" spans="21:39" s="498" customFormat="1" ht="0.65" hidden="1" customHeight="1">
      <c r="U509" s="499">
        <v>2049</v>
      </c>
      <c r="Y509" s="500">
        <v>-436000</v>
      </c>
      <c r="Z509" s="500"/>
      <c r="AB509" s="500"/>
      <c r="AF509" s="498" t="s">
        <v>2331</v>
      </c>
      <c r="AG509" s="498">
        <v>49</v>
      </c>
      <c r="AH509" s="498" t="s">
        <v>2331</v>
      </c>
      <c r="AI509" s="500" t="s">
        <v>2332</v>
      </c>
      <c r="AJ509" s="500">
        <v>-436000</v>
      </c>
      <c r="AL509" s="500" t="s">
        <v>2406</v>
      </c>
      <c r="AM509" s="498" t="s">
        <v>3946</v>
      </c>
    </row>
    <row r="510" spans="21:39" s="498" customFormat="1" ht="0.65" hidden="1" customHeight="1">
      <c r="U510" s="499">
        <v>2050</v>
      </c>
      <c r="Y510" s="500">
        <v>86367.333333333328</v>
      </c>
      <c r="Z510" s="500"/>
      <c r="AB510" s="500"/>
      <c r="AF510" s="498" t="s">
        <v>2334</v>
      </c>
      <c r="AG510" s="498">
        <v>50</v>
      </c>
      <c r="AH510" s="498" t="s">
        <v>2334</v>
      </c>
      <c r="AI510" s="500" t="s">
        <v>2335</v>
      </c>
      <c r="AJ510" s="500">
        <v>86367.333333333328</v>
      </c>
      <c r="AL510" s="498" t="s">
        <v>2407</v>
      </c>
      <c r="AM510" s="498" t="s">
        <v>3946</v>
      </c>
    </row>
    <row r="511" spans="21:39" s="498" customFormat="1" ht="0.65" hidden="1" customHeight="1">
      <c r="U511" s="499">
        <v>2051</v>
      </c>
      <c r="Y511" s="500">
        <v>114275.13333333333</v>
      </c>
      <c r="Z511" s="500"/>
      <c r="AB511" s="500"/>
      <c r="AF511" s="498" t="s">
        <v>2337</v>
      </c>
      <c r="AG511" s="498">
        <v>51</v>
      </c>
      <c r="AH511" s="498" t="s">
        <v>2337</v>
      </c>
      <c r="AI511" s="500" t="s">
        <v>2338</v>
      </c>
      <c r="AJ511" s="500">
        <v>114275.13333333333</v>
      </c>
      <c r="AL511" s="498" t="s">
        <v>2408</v>
      </c>
      <c r="AM511" s="498" t="s">
        <v>3946</v>
      </c>
    </row>
    <row r="512" spans="21:39" s="498" customFormat="1" ht="0.65" hidden="1" customHeight="1">
      <c r="U512" s="499">
        <v>2052</v>
      </c>
      <c r="Y512" s="500">
        <v>332043.8343333333</v>
      </c>
      <c r="Z512" s="500"/>
      <c r="AB512" s="500"/>
      <c r="AF512" s="498" t="s">
        <v>2340</v>
      </c>
      <c r="AG512" s="498">
        <v>52</v>
      </c>
      <c r="AH512" s="498" t="s">
        <v>2340</v>
      </c>
      <c r="AI512" s="500" t="s">
        <v>2341</v>
      </c>
      <c r="AJ512" s="500">
        <v>332043.8343333333</v>
      </c>
      <c r="AL512" s="498" t="s">
        <v>2409</v>
      </c>
      <c r="AM512" s="498" t="s">
        <v>3946</v>
      </c>
    </row>
    <row r="513" spans="21:39" s="498" customFormat="1" ht="0.65" hidden="1" customHeight="1">
      <c r="U513" s="499">
        <v>2053</v>
      </c>
      <c r="Y513" s="500">
        <v>16599.83881995338</v>
      </c>
      <c r="Z513" s="500"/>
      <c r="AB513" s="500"/>
      <c r="AF513" s="500" t="s">
        <v>13</v>
      </c>
      <c r="AG513" s="498">
        <v>53</v>
      </c>
      <c r="AH513" s="498" t="s">
        <v>13</v>
      </c>
      <c r="AI513" s="500" t="s">
        <v>2343</v>
      </c>
      <c r="AJ513" s="500">
        <v>16599.83881995338</v>
      </c>
      <c r="AL513" s="512" t="s">
        <v>2410</v>
      </c>
      <c r="AM513" s="498" t="s">
        <v>2345</v>
      </c>
    </row>
    <row r="514" spans="21:39" s="498" customFormat="1" ht="0.65" hidden="1" customHeight="1">
      <c r="U514" s="499">
        <v>2054</v>
      </c>
      <c r="Y514" s="510">
        <v>8.5652209546539737E-2</v>
      </c>
      <c r="Z514" s="510"/>
      <c r="AB514" s="510"/>
      <c r="AF514" s="498" t="s">
        <v>28</v>
      </c>
      <c r="AG514" s="498">
        <v>54</v>
      </c>
      <c r="AH514" s="498" t="s">
        <v>28</v>
      </c>
      <c r="AI514" s="511" t="s">
        <v>2346</v>
      </c>
      <c r="AJ514" s="510">
        <v>8.5652209546539737E-2</v>
      </c>
      <c r="AL514" s="511" t="s">
        <v>2411</v>
      </c>
      <c r="AM514" s="498" t="s">
        <v>2348</v>
      </c>
    </row>
    <row r="515" spans="21:39" s="498" customFormat="1" ht="0.65" hidden="1" customHeight="1">
      <c r="U515" s="499">
        <v>2055</v>
      </c>
    </row>
    <row r="516" spans="21:39" s="498" customFormat="1" ht="0.65" hidden="1" customHeight="1">
      <c r="U516" s="499">
        <v>2056</v>
      </c>
      <c r="AG516" s="498">
        <v>1</v>
      </c>
      <c r="AH516" s="498" t="s">
        <v>2349</v>
      </c>
      <c r="AI516" s="498" t="s">
        <v>3947</v>
      </c>
    </row>
    <row r="517" spans="21:39" s="498" customFormat="1" ht="0.65" hidden="1" customHeight="1">
      <c r="U517" s="499">
        <v>2057</v>
      </c>
      <c r="AG517" s="498">
        <v>2</v>
      </c>
      <c r="AH517" s="498" t="s">
        <v>2350</v>
      </c>
      <c r="AI517" s="498" t="s">
        <v>3950</v>
      </c>
    </row>
    <row r="518" spans="21:39" s="498" customFormat="1" ht="0.65" hidden="1" customHeight="1">
      <c r="U518" s="499">
        <v>2058</v>
      </c>
      <c r="AG518" s="498">
        <v>3</v>
      </c>
      <c r="AH518" s="498" t="s">
        <v>2351</v>
      </c>
      <c r="AI518" s="498" t="s">
        <v>3948</v>
      </c>
    </row>
    <row r="519" spans="21:39" s="498" customFormat="1" ht="0.65" hidden="1" customHeight="1">
      <c r="U519" s="499">
        <v>2059</v>
      </c>
      <c r="AG519" s="498">
        <v>4</v>
      </c>
      <c r="AH519" s="498" t="s">
        <v>2352</v>
      </c>
      <c r="AI519" s="498" t="s">
        <v>3949</v>
      </c>
    </row>
    <row r="520" spans="21:39" s="498" customFormat="1" ht="0.65" hidden="1" customHeight="1">
      <c r="U520" s="499">
        <v>2060</v>
      </c>
      <c r="AG520" s="498">
        <v>5</v>
      </c>
      <c r="AH520" s="498" t="s">
        <v>4144</v>
      </c>
      <c r="AI520" s="498" t="s">
        <v>2353</v>
      </c>
    </row>
    <row r="521" spans="21:39" s="498" customFormat="1" ht="0.65" hidden="1" customHeight="1">
      <c r="U521" s="499">
        <v>2061</v>
      </c>
      <c r="AG521" s="498">
        <v>6</v>
      </c>
      <c r="AH521" s="498" t="s">
        <v>2354</v>
      </c>
      <c r="AI521" s="498" t="s">
        <v>2355</v>
      </c>
    </row>
    <row r="522" spans="21:39" s="498" customFormat="1" ht="0.65" hidden="1" customHeight="1">
      <c r="U522" s="499">
        <v>2062</v>
      </c>
      <c r="AG522" s="498">
        <v>7</v>
      </c>
      <c r="AH522" s="498" t="s">
        <v>2356</v>
      </c>
      <c r="AI522" s="498" t="s">
        <v>2357</v>
      </c>
    </row>
    <row r="523" spans="21:39" s="498" customFormat="1" ht="0.65" hidden="1" customHeight="1">
      <c r="U523" s="499">
        <v>2063</v>
      </c>
      <c r="AG523" s="498">
        <v>8</v>
      </c>
      <c r="AH523" s="498" t="s">
        <v>2358</v>
      </c>
      <c r="AI523" s="498" t="s">
        <v>2359</v>
      </c>
    </row>
    <row r="524" spans="21:39" s="498" customFormat="1" ht="0.65" hidden="1" customHeight="1">
      <c r="U524" s="499">
        <v>2064</v>
      </c>
      <c r="AG524" s="498">
        <v>8</v>
      </c>
    </row>
    <row r="525" spans="21:39" s="498" customFormat="1" ht="0.65" hidden="1" customHeight="1">
      <c r="U525" s="499">
        <v>2065</v>
      </c>
      <c r="AG525" s="498">
        <v>8</v>
      </c>
    </row>
    <row r="526" spans="21:39" s="498" customFormat="1" ht="0.65" hidden="1" customHeight="1">
      <c r="U526" s="499">
        <v>2066</v>
      </c>
      <c r="AG526" s="498">
        <v>8</v>
      </c>
    </row>
    <row r="527" spans="21:39" s="498" customFormat="1" ht="0.65" hidden="1" customHeight="1">
      <c r="U527" s="499">
        <v>2067</v>
      </c>
      <c r="AG527" s="498">
        <v>8</v>
      </c>
    </row>
    <row r="528" spans="21:39" s="498" customFormat="1" ht="0.65" hidden="1" customHeight="1"/>
    <row r="529" spans="2:17" s="498" customFormat="1" ht="0.65" hidden="1" customHeight="1"/>
    <row r="530" spans="2:17" s="498" customFormat="1" ht="0.65" hidden="1" customHeight="1">
      <c r="G530" s="499">
        <v>1</v>
      </c>
      <c r="H530" s="499">
        <v>2</v>
      </c>
      <c r="I530" s="499">
        <v>3</v>
      </c>
      <c r="J530" s="499">
        <v>4</v>
      </c>
      <c r="K530" s="499">
        <v>5</v>
      </c>
      <c r="L530" s="499">
        <v>6</v>
      </c>
      <c r="M530" s="499">
        <v>7</v>
      </c>
      <c r="N530" s="499">
        <v>8</v>
      </c>
      <c r="O530" s="499">
        <v>9</v>
      </c>
      <c r="P530" s="499">
        <v>10</v>
      </c>
      <c r="Q530" s="500"/>
    </row>
    <row r="531" spans="2:17" s="498" customFormat="1" ht="0.65" hidden="1" customHeight="1">
      <c r="I531" s="499">
        <v>0.01</v>
      </c>
      <c r="Q531" s="500"/>
    </row>
    <row r="532" spans="2:17" s="498" customFormat="1" ht="0.65" hidden="1" customHeight="1">
      <c r="B532" s="499">
        <v>3001</v>
      </c>
      <c r="C532" s="498">
        <v>2022</v>
      </c>
      <c r="E532" s="499"/>
      <c r="G532" s="499">
        <v>3001</v>
      </c>
      <c r="H532" s="501" t="s">
        <v>0</v>
      </c>
      <c r="I532" s="502" t="s">
        <v>2113</v>
      </c>
      <c r="J532" s="502" t="s">
        <v>2114</v>
      </c>
      <c r="K532" s="502" t="s">
        <v>2115</v>
      </c>
      <c r="L532" s="502" t="s">
        <v>2116</v>
      </c>
      <c r="M532" s="502" t="s">
        <v>2117</v>
      </c>
      <c r="N532" s="502" t="s">
        <v>2118</v>
      </c>
      <c r="O532" s="502" t="s">
        <v>2119</v>
      </c>
      <c r="Q532" s="500"/>
    </row>
    <row r="533" spans="2:17" s="498" customFormat="1" ht="0.65" hidden="1" customHeight="1">
      <c r="B533" s="499">
        <v>3002</v>
      </c>
      <c r="E533" s="499"/>
      <c r="G533" s="499">
        <v>3002</v>
      </c>
      <c r="H533" s="503">
        <v>2023</v>
      </c>
      <c r="I533" s="500">
        <v>154500</v>
      </c>
      <c r="J533" s="500">
        <v>122160</v>
      </c>
      <c r="K533" s="500">
        <v>37500</v>
      </c>
      <c r="L533" s="500">
        <v>-5160</v>
      </c>
      <c r="M533" s="500">
        <v>-1548</v>
      </c>
      <c r="N533" s="500">
        <v>-3612</v>
      </c>
      <c r="O533" s="500">
        <v>33888</v>
      </c>
    </row>
    <row r="534" spans="2:17" s="498" customFormat="1" ht="0.65" hidden="1" customHeight="1">
      <c r="B534" s="499">
        <v>3003</v>
      </c>
      <c r="E534" s="499"/>
      <c r="G534" s="499">
        <v>3003</v>
      </c>
      <c r="H534" s="503">
        <v>2024</v>
      </c>
      <c r="I534" s="500">
        <v>159135</v>
      </c>
      <c r="J534" s="500">
        <v>124603.2</v>
      </c>
      <c r="K534" s="500">
        <v>37500</v>
      </c>
      <c r="L534" s="500">
        <v>-2968.1999999999971</v>
      </c>
      <c r="M534" s="500">
        <v>-890.45999999999913</v>
      </c>
      <c r="N534" s="500">
        <v>-2077.739999999998</v>
      </c>
      <c r="O534" s="500">
        <v>35422.26</v>
      </c>
    </row>
    <row r="535" spans="2:17" s="498" customFormat="1" ht="0.65" hidden="1" customHeight="1">
      <c r="B535" s="499">
        <v>3004</v>
      </c>
      <c r="E535" s="499"/>
      <c r="G535" s="499">
        <v>3004</v>
      </c>
      <c r="H535" s="503">
        <v>2025</v>
      </c>
      <c r="I535" s="500">
        <v>163909.04999999999</v>
      </c>
      <c r="J535" s="500">
        <v>127095.264</v>
      </c>
      <c r="K535" s="500">
        <v>37500</v>
      </c>
      <c r="L535" s="500">
        <v>-686.21400000000722</v>
      </c>
      <c r="M535" s="500">
        <v>-205.86420000000217</v>
      </c>
      <c r="N535" s="500">
        <v>-480.34980000000508</v>
      </c>
      <c r="O535" s="500">
        <v>37019.650199999996</v>
      </c>
    </row>
    <row r="536" spans="2:17" s="498" customFormat="1" ht="0.65" hidden="1" customHeight="1">
      <c r="B536" s="499">
        <v>3005</v>
      </c>
      <c r="C536" s="498">
        <v>300000</v>
      </c>
      <c r="E536" s="499"/>
      <c r="G536" s="499">
        <v>3005</v>
      </c>
    </row>
    <row r="537" spans="2:17" s="498" customFormat="1" ht="0.65" hidden="1" customHeight="1">
      <c r="B537" s="499">
        <v>3006</v>
      </c>
      <c r="C537" s="498">
        <v>8</v>
      </c>
      <c r="E537" s="499"/>
      <c r="G537" s="499">
        <v>3006</v>
      </c>
    </row>
    <row r="538" spans="2:17" s="498" customFormat="1" ht="0.65" hidden="1" customHeight="1">
      <c r="B538" s="499">
        <v>3007</v>
      </c>
      <c r="C538" s="498">
        <v>60000</v>
      </c>
      <c r="E538" s="499"/>
      <c r="G538" s="499">
        <v>3007</v>
      </c>
      <c r="H538" s="501" t="s">
        <v>0</v>
      </c>
      <c r="I538" s="502" t="s">
        <v>2121</v>
      </c>
      <c r="J538" s="502" t="s">
        <v>2122</v>
      </c>
      <c r="K538" s="502" t="s">
        <v>2123</v>
      </c>
      <c r="L538" s="502" t="s">
        <v>2124</v>
      </c>
      <c r="M538" s="502" t="s">
        <v>2125</v>
      </c>
      <c r="N538" s="500"/>
      <c r="O538" s="501" t="s">
        <v>0</v>
      </c>
      <c r="P538" s="501" t="s">
        <v>1</v>
      </c>
    </row>
    <row r="539" spans="2:17" s="498" customFormat="1" ht="0.65" hidden="1" customHeight="1">
      <c r="B539" s="499">
        <v>3008</v>
      </c>
      <c r="E539" s="499"/>
      <c r="G539" s="499">
        <v>3008</v>
      </c>
      <c r="H539" s="503">
        <v>2022</v>
      </c>
      <c r="I539" s="500">
        <v>12000</v>
      </c>
      <c r="J539" s="500">
        <v>0</v>
      </c>
      <c r="K539" s="500">
        <v>0</v>
      </c>
      <c r="L539" s="500">
        <v>12000</v>
      </c>
      <c r="M539" s="500">
        <v>12000</v>
      </c>
      <c r="N539" s="504"/>
      <c r="O539" s="503">
        <v>2022</v>
      </c>
      <c r="P539" s="500">
        <v>-312000</v>
      </c>
    </row>
    <row r="540" spans="2:17" s="498" customFormat="1" ht="0.65" hidden="1" customHeight="1">
      <c r="B540" s="499">
        <v>3009</v>
      </c>
      <c r="E540" s="499"/>
      <c r="G540" s="499">
        <v>3009</v>
      </c>
      <c r="H540" s="503">
        <v>2023</v>
      </c>
      <c r="I540" s="500">
        <v>12240</v>
      </c>
      <c r="J540" s="500">
        <v>46736.25</v>
      </c>
      <c r="K540" s="500">
        <v>37026</v>
      </c>
      <c r="L540" s="500">
        <v>21950.25</v>
      </c>
      <c r="M540" s="500">
        <v>9950.25</v>
      </c>
      <c r="N540" s="500"/>
      <c r="O540" s="503">
        <v>2023</v>
      </c>
      <c r="P540" s="500">
        <v>23937.75</v>
      </c>
    </row>
    <row r="541" spans="2:17" s="498" customFormat="1" ht="0.65" hidden="1" customHeight="1">
      <c r="B541" s="499">
        <v>3010</v>
      </c>
      <c r="C541" s="498">
        <v>150000</v>
      </c>
      <c r="E541" s="499"/>
      <c r="G541" s="499">
        <v>3010</v>
      </c>
      <c r="H541" s="503">
        <v>2024</v>
      </c>
      <c r="I541" s="500">
        <v>12484.800000000001</v>
      </c>
      <c r="J541" s="500">
        <v>48138.337499999994</v>
      </c>
      <c r="K541" s="500">
        <v>37766.519999999997</v>
      </c>
      <c r="L541" s="500">
        <v>22856.6175</v>
      </c>
      <c r="M541" s="500">
        <v>906.36750000000029</v>
      </c>
      <c r="N541" s="500"/>
      <c r="O541" s="503">
        <v>2024</v>
      </c>
      <c r="P541" s="500">
        <v>34515.892500000002</v>
      </c>
    </row>
    <row r="542" spans="2:17" s="498" customFormat="1" ht="0.65" hidden="1" customHeight="1">
      <c r="B542" s="499">
        <v>3011</v>
      </c>
      <c r="C542" s="498">
        <v>120000</v>
      </c>
      <c r="E542" s="499"/>
      <c r="G542" s="499">
        <v>3011</v>
      </c>
      <c r="H542" s="503">
        <v>2025</v>
      </c>
      <c r="I542" s="500">
        <v>12734.496000000001</v>
      </c>
      <c r="J542" s="500">
        <v>49582.487624999994</v>
      </c>
      <c r="K542" s="500">
        <v>38521.850399999996</v>
      </c>
      <c r="L542" s="500">
        <v>23795.133224999998</v>
      </c>
      <c r="M542" s="500">
        <v>938.51572499999747</v>
      </c>
      <c r="N542" s="500"/>
      <c r="O542" s="503">
        <v>2025</v>
      </c>
      <c r="P542" s="500">
        <v>163370.5557</v>
      </c>
    </row>
    <row r="543" spans="2:17" s="498" customFormat="1" ht="0.65" hidden="1" customHeight="1">
      <c r="B543" s="499">
        <v>3012</v>
      </c>
      <c r="E543" s="499"/>
      <c r="G543" s="499">
        <v>3012</v>
      </c>
    </row>
    <row r="544" spans="2:17" s="498" customFormat="1" ht="0.65" hidden="1" customHeight="1">
      <c r="B544" s="499">
        <v>3013</v>
      </c>
      <c r="C544" s="498">
        <v>90</v>
      </c>
      <c r="E544" s="499"/>
      <c r="G544" s="499">
        <v>3013</v>
      </c>
      <c r="O544" s="500" t="s">
        <v>13</v>
      </c>
      <c r="P544" s="501">
        <v>-133991.13553802474</v>
      </c>
    </row>
    <row r="545" spans="2:16" s="498" customFormat="1" ht="0.65" hidden="1" customHeight="1">
      <c r="B545" s="499">
        <v>3014</v>
      </c>
      <c r="C545" s="498">
        <v>90</v>
      </c>
      <c r="E545" s="499"/>
      <c r="G545" s="499">
        <v>3014</v>
      </c>
      <c r="H545" s="505" t="s">
        <v>490</v>
      </c>
      <c r="I545" s="500">
        <v>312000</v>
      </c>
      <c r="O545" s="498" t="s">
        <v>28</v>
      </c>
      <c r="P545" s="506">
        <v>-0.12052075017199104</v>
      </c>
    </row>
    <row r="546" spans="2:16" s="498" customFormat="1" ht="0.65" hidden="1" customHeight="1">
      <c r="B546" s="499">
        <v>3015</v>
      </c>
      <c r="E546" s="499"/>
      <c r="G546" s="499">
        <v>3015</v>
      </c>
      <c r="H546" s="505" t="s">
        <v>2168</v>
      </c>
      <c r="I546" s="500">
        <v>103494.288</v>
      </c>
      <c r="K546" s="505" t="s">
        <v>124</v>
      </c>
      <c r="L546" s="506">
        <v>5.6000000000000001E-2</v>
      </c>
    </row>
    <row r="547" spans="2:16" s="498" customFormat="1" ht="0.65" hidden="1" customHeight="1">
      <c r="B547" s="499">
        <v>3016</v>
      </c>
      <c r="E547" s="499"/>
      <c r="G547" s="499">
        <v>3016</v>
      </c>
      <c r="H547" s="505" t="s">
        <v>2169</v>
      </c>
      <c r="I547" s="500">
        <v>23795.133224999998</v>
      </c>
      <c r="K547" s="505" t="s">
        <v>125</v>
      </c>
      <c r="L547" s="506">
        <v>0.12000000000000001</v>
      </c>
    </row>
    <row r="548" spans="2:16" s="498" customFormat="1" ht="0.65" hidden="1" customHeight="1">
      <c r="B548" s="499">
        <v>3017</v>
      </c>
      <c r="C548" s="498">
        <v>12000</v>
      </c>
      <c r="E548" s="499"/>
      <c r="G548" s="499">
        <v>3017</v>
      </c>
      <c r="H548" s="505" t="s">
        <v>2170</v>
      </c>
      <c r="I548" s="500">
        <v>127289.421225</v>
      </c>
      <c r="K548" s="505" t="s">
        <v>126</v>
      </c>
      <c r="L548" s="506">
        <v>8.7999999999999995E-2</v>
      </c>
    </row>
    <row r="549" spans="2:16" s="498" customFormat="1" ht="0.65" hidden="1" customHeight="1">
      <c r="B549" s="499">
        <v>3018</v>
      </c>
      <c r="C549" s="498">
        <v>0.1</v>
      </c>
      <c r="E549" s="499"/>
    </row>
    <row r="550" spans="2:16" s="498" customFormat="1" ht="0.65" hidden="1" customHeight="1">
      <c r="B550" s="499">
        <v>3019</v>
      </c>
      <c r="E550" s="499"/>
    </row>
    <row r="551" spans="2:16" s="498" customFormat="1" ht="0.65" hidden="1" customHeight="1">
      <c r="B551" s="499">
        <v>3020</v>
      </c>
      <c r="E551" s="499"/>
      <c r="H551" s="499"/>
      <c r="I551" s="499"/>
      <c r="J551" s="499"/>
      <c r="K551" s="499"/>
      <c r="L551" s="499"/>
      <c r="M551" s="499"/>
      <c r="N551" s="499"/>
      <c r="O551" s="499"/>
      <c r="P551" s="499"/>
    </row>
    <row r="552" spans="2:16" s="498" customFormat="1" ht="0.65" hidden="1" customHeight="1">
      <c r="B552" s="499">
        <v>3021</v>
      </c>
      <c r="C552" s="498">
        <v>0.21</v>
      </c>
      <c r="E552" s="499"/>
      <c r="H552" s="499"/>
      <c r="I552" s="499"/>
      <c r="J552" s="499"/>
      <c r="K552" s="499"/>
      <c r="L552" s="499"/>
      <c r="M552" s="499"/>
      <c r="N552" s="499"/>
      <c r="O552" s="499"/>
      <c r="P552" s="499"/>
    </row>
    <row r="553" spans="2:16" s="498" customFormat="1" ht="0.65" hidden="1" customHeight="1">
      <c r="B553" s="499">
        <v>3022</v>
      </c>
      <c r="C553" s="498">
        <v>0.3</v>
      </c>
      <c r="E553" s="499"/>
      <c r="H553" s="499"/>
      <c r="I553" s="499"/>
      <c r="J553" s="499"/>
      <c r="K553" s="499"/>
      <c r="L553" s="499"/>
      <c r="M553" s="499"/>
      <c r="N553" s="499"/>
      <c r="O553" s="499"/>
      <c r="P553" s="499"/>
    </row>
    <row r="554" spans="2:16" s="498" customFormat="1" ht="0.65" hidden="1" customHeight="1">
      <c r="B554" s="499">
        <v>3023</v>
      </c>
      <c r="E554" s="499"/>
      <c r="H554" s="499"/>
      <c r="I554" s="499"/>
      <c r="J554" s="499"/>
      <c r="K554" s="499"/>
      <c r="L554" s="499"/>
      <c r="M554" s="499"/>
      <c r="N554" s="499"/>
      <c r="O554" s="499"/>
      <c r="P554" s="499"/>
    </row>
    <row r="555" spans="2:16" s="498" customFormat="1" ht="0.65" hidden="1" customHeight="1">
      <c r="B555" s="499">
        <v>3024</v>
      </c>
      <c r="E555" s="499"/>
      <c r="H555" s="499"/>
      <c r="I555" s="499"/>
      <c r="J555" s="499"/>
      <c r="K555" s="499"/>
      <c r="L555" s="499"/>
      <c r="M555" s="499"/>
      <c r="N555" s="499"/>
      <c r="O555" s="499"/>
      <c r="P555" s="499"/>
    </row>
    <row r="556" spans="2:16" s="498" customFormat="1" ht="0.65" hidden="1" customHeight="1">
      <c r="B556" s="499">
        <v>3025</v>
      </c>
      <c r="E556" s="499"/>
      <c r="H556" s="499"/>
      <c r="I556" s="499"/>
      <c r="J556" s="499"/>
      <c r="K556" s="499"/>
      <c r="L556" s="499"/>
      <c r="M556" s="499"/>
      <c r="N556" s="499"/>
      <c r="O556" s="499"/>
      <c r="P556" s="499"/>
    </row>
    <row r="557" spans="2:16" s="498" customFormat="1" ht="0.65" hidden="1" customHeight="1">
      <c r="B557" s="499">
        <v>3026</v>
      </c>
      <c r="C557" s="498">
        <v>480000</v>
      </c>
      <c r="E557" s="499"/>
      <c r="H557" s="499"/>
      <c r="I557" s="499"/>
      <c r="J557" s="499"/>
      <c r="K557" s="499"/>
      <c r="L557" s="499"/>
      <c r="M557" s="499"/>
      <c r="N557" s="499"/>
      <c r="O557" s="499"/>
      <c r="P557" s="499"/>
    </row>
    <row r="558" spans="2:16" s="498" customFormat="1" ht="0.65" hidden="1" customHeight="1">
      <c r="B558" s="499">
        <v>3027</v>
      </c>
      <c r="C558" s="498">
        <v>600000</v>
      </c>
      <c r="E558" s="499"/>
      <c r="H558" s="499"/>
      <c r="I558" s="499"/>
      <c r="J558" s="499"/>
      <c r="K558" s="499"/>
      <c r="L558" s="499"/>
      <c r="M558" s="499"/>
      <c r="N558" s="499"/>
      <c r="O558" s="499"/>
      <c r="P558" s="499"/>
    </row>
    <row r="559" spans="2:16" s="498" customFormat="1" ht="0.65" hidden="1" customHeight="1">
      <c r="B559" s="499">
        <v>3028</v>
      </c>
      <c r="C559" s="498">
        <v>0.02</v>
      </c>
      <c r="E559" s="499"/>
      <c r="H559" s="499"/>
      <c r="I559" s="501"/>
      <c r="J559" s="499"/>
      <c r="K559" s="499"/>
      <c r="L559" s="501"/>
      <c r="M559" s="499"/>
      <c r="N559" s="499"/>
      <c r="O559" s="499"/>
      <c r="P559" s="499"/>
    </row>
    <row r="560" spans="2:16" s="498" customFormat="1" ht="0.65" hidden="1" customHeight="1">
      <c r="B560" s="499">
        <v>3029</v>
      </c>
      <c r="C560" s="498">
        <v>6000000</v>
      </c>
      <c r="E560" s="499"/>
      <c r="H560" s="499"/>
      <c r="I560" s="499"/>
      <c r="J560" s="499"/>
      <c r="K560" s="499"/>
      <c r="L560" s="501"/>
      <c r="M560" s="501"/>
      <c r="N560" s="501"/>
      <c r="O560" s="499"/>
      <c r="P560" s="499"/>
    </row>
    <row r="561" spans="2:16" s="498" customFormat="1" ht="0.65" hidden="1" customHeight="1">
      <c r="B561" s="499">
        <v>3030</v>
      </c>
      <c r="C561" s="498">
        <v>6000000</v>
      </c>
      <c r="E561" s="499"/>
      <c r="H561" s="499"/>
      <c r="I561" s="499"/>
      <c r="J561" s="499"/>
      <c r="K561" s="499"/>
      <c r="L561" s="501"/>
      <c r="M561" s="501"/>
      <c r="N561" s="501"/>
      <c r="O561" s="499"/>
      <c r="P561" s="499"/>
    </row>
    <row r="562" spans="2:16" s="498" customFormat="1" ht="0.65" hidden="1" customHeight="1">
      <c r="B562" s="499">
        <v>3031</v>
      </c>
      <c r="E562" s="499"/>
      <c r="H562" s="499"/>
      <c r="I562" s="499"/>
      <c r="J562" s="499"/>
      <c r="K562" s="499"/>
      <c r="L562" s="501"/>
      <c r="M562" s="499"/>
      <c r="N562" s="499"/>
      <c r="O562" s="499"/>
      <c r="P562" s="499"/>
    </row>
    <row r="563" spans="2:16" s="498" customFormat="1" ht="0.65" hidden="1" customHeight="1">
      <c r="B563" s="499">
        <v>3032</v>
      </c>
      <c r="E563" s="499"/>
      <c r="H563" s="499"/>
      <c r="I563" s="499"/>
      <c r="J563" s="499"/>
      <c r="K563" s="499"/>
      <c r="L563" s="499"/>
      <c r="M563" s="499"/>
      <c r="N563" s="499"/>
      <c r="O563" s="499"/>
      <c r="P563" s="499"/>
    </row>
    <row r="564" spans="2:16" s="498" customFormat="1" ht="0.65" hidden="1" customHeight="1">
      <c r="B564" s="499">
        <v>3033</v>
      </c>
      <c r="C564" s="498">
        <v>0.03</v>
      </c>
      <c r="E564" s="499"/>
      <c r="H564" s="499"/>
      <c r="I564" s="499"/>
      <c r="J564" s="499"/>
      <c r="K564" s="499"/>
      <c r="L564" s="499"/>
      <c r="M564" s="499"/>
      <c r="N564" s="499"/>
      <c r="O564" s="499"/>
      <c r="P564" s="499"/>
    </row>
    <row r="565" spans="2:16" s="498" customFormat="1" ht="0.65" hidden="1" customHeight="1">
      <c r="B565" s="499">
        <v>3034</v>
      </c>
      <c r="C565" s="498">
        <v>0.02</v>
      </c>
      <c r="E565" s="499"/>
      <c r="H565" s="499"/>
      <c r="I565" s="499"/>
      <c r="J565" s="499"/>
      <c r="K565" s="499"/>
      <c r="L565" s="499"/>
      <c r="M565" s="499"/>
      <c r="N565" s="499"/>
      <c r="O565" s="499"/>
      <c r="P565" s="499"/>
    </row>
    <row r="566" spans="2:16" s="498" customFormat="1" ht="0.65" hidden="1" customHeight="1">
      <c r="B566" s="499">
        <v>3035</v>
      </c>
      <c r="C566" s="498">
        <v>0.04</v>
      </c>
      <c r="E566" s="499"/>
      <c r="H566" s="499"/>
      <c r="I566" s="499"/>
      <c r="J566" s="499"/>
      <c r="K566" s="499"/>
      <c r="L566" s="499"/>
      <c r="M566" s="499"/>
      <c r="N566" s="499"/>
      <c r="O566" s="499"/>
      <c r="P566" s="499"/>
    </row>
    <row r="567" spans="2:16" s="498" customFormat="1" ht="0.65" hidden="1" customHeight="1">
      <c r="B567" s="499">
        <v>3036</v>
      </c>
      <c r="C567" s="498">
        <v>0.04</v>
      </c>
      <c r="E567" s="499"/>
      <c r="H567" s="499"/>
      <c r="I567" s="499"/>
      <c r="J567" s="499"/>
      <c r="K567" s="499"/>
      <c r="L567" s="499"/>
      <c r="M567" s="499"/>
      <c r="N567" s="499"/>
      <c r="O567" s="499"/>
      <c r="P567" s="499"/>
    </row>
    <row r="568" spans="2:16" s="498" customFormat="1" ht="0.65" hidden="1" customHeight="1">
      <c r="B568" s="499">
        <v>3037</v>
      </c>
      <c r="E568" s="499"/>
    </row>
    <row r="569" spans="2:16" s="498" customFormat="1" ht="0.65" hidden="1" customHeight="1">
      <c r="B569" s="499">
        <v>3038</v>
      </c>
      <c r="E569" s="499"/>
    </row>
    <row r="570" spans="2:16" s="498" customFormat="1" ht="0.65" hidden="1" customHeight="1">
      <c r="B570" s="499">
        <v>3039</v>
      </c>
      <c r="D570" s="507"/>
      <c r="E570" s="499"/>
    </row>
    <row r="571" spans="2:16" s="498" customFormat="1" ht="0.65" hidden="1" customHeight="1">
      <c r="B571" s="499">
        <v>3040</v>
      </c>
      <c r="D571" s="507"/>
      <c r="E571" s="499"/>
      <c r="K571" s="508"/>
    </row>
    <row r="572" spans="2:16" s="498" customFormat="1" ht="0.65" hidden="1" customHeight="1">
      <c r="B572" s="499">
        <v>3041</v>
      </c>
      <c r="K572" s="508"/>
    </row>
    <row r="573" spans="2:16" s="498" customFormat="1" ht="0.65" hidden="1" customHeight="1">
      <c r="B573" s="499">
        <v>3042</v>
      </c>
      <c r="K573" s="508"/>
    </row>
    <row r="574" spans="2:16" s="498" customFormat="1" ht="0.65" hidden="1" customHeight="1">
      <c r="B574" s="499">
        <v>3043</v>
      </c>
    </row>
    <row r="575" spans="2:16" s="498" customFormat="1" ht="0.65" hidden="1" customHeight="1">
      <c r="B575" s="499">
        <v>3044</v>
      </c>
      <c r="C575" s="509">
        <v>2023</v>
      </c>
      <c r="D575" s="509"/>
      <c r="E575" s="499"/>
    </row>
    <row r="576" spans="2:16" s="498" customFormat="1" ht="0.65" hidden="1" customHeight="1">
      <c r="B576" s="499">
        <v>3045</v>
      </c>
      <c r="C576" s="509">
        <v>2024</v>
      </c>
      <c r="E576" s="499"/>
    </row>
    <row r="577" spans="2:5" s="498" customFormat="1" ht="0.65" hidden="1" customHeight="1">
      <c r="B577" s="499">
        <v>3046</v>
      </c>
      <c r="C577" s="509">
        <v>2025</v>
      </c>
      <c r="E577" s="499"/>
    </row>
    <row r="578" spans="2:5" s="498" customFormat="1" ht="0.65" hidden="1" customHeight="1">
      <c r="B578" s="499">
        <v>3047</v>
      </c>
    </row>
    <row r="579" spans="2:5" s="498" customFormat="1" ht="0.65" hidden="1" customHeight="1">
      <c r="B579" s="499">
        <v>3048</v>
      </c>
    </row>
    <row r="580" spans="2:5" s="498" customFormat="1" ht="0.65" hidden="1" customHeight="1">
      <c r="B580" s="499">
        <v>3049</v>
      </c>
    </row>
    <row r="581" spans="2:5" s="498" customFormat="1" ht="0.65" hidden="1" customHeight="1">
      <c r="B581" s="499">
        <v>3050</v>
      </c>
      <c r="C581" s="498">
        <v>2022</v>
      </c>
      <c r="E581" s="499"/>
    </row>
    <row r="582" spans="2:5" s="498" customFormat="1" ht="0.65" hidden="1" customHeight="1">
      <c r="B582" s="499">
        <v>3051</v>
      </c>
      <c r="C582" s="509">
        <v>2023</v>
      </c>
      <c r="E582" s="499"/>
    </row>
    <row r="583" spans="2:5" s="498" customFormat="1" ht="0.65" hidden="1" customHeight="1">
      <c r="B583" s="499">
        <v>3052</v>
      </c>
      <c r="C583" s="509">
        <v>2024</v>
      </c>
      <c r="E583" s="499"/>
    </row>
    <row r="584" spans="2:5" s="498" customFormat="1" ht="0.65" hidden="1" customHeight="1">
      <c r="B584" s="499">
        <v>3053</v>
      </c>
      <c r="C584" s="509">
        <v>2025</v>
      </c>
      <c r="E584" s="499"/>
    </row>
    <row r="585" spans="2:5" s="498" customFormat="1" ht="0.65" hidden="1" customHeight="1">
      <c r="B585" s="499">
        <v>3054</v>
      </c>
    </row>
    <row r="586" spans="2:5" s="498" customFormat="1" ht="0.65" hidden="1" customHeight="1">
      <c r="B586" s="499">
        <v>3055</v>
      </c>
      <c r="C586" s="498">
        <v>2022</v>
      </c>
      <c r="D586" s="509"/>
      <c r="E586" s="499"/>
    </row>
    <row r="587" spans="2:5" s="498" customFormat="1" ht="0.65" hidden="1" customHeight="1">
      <c r="B587" s="499">
        <v>3056</v>
      </c>
      <c r="C587" s="509">
        <v>2023</v>
      </c>
      <c r="E587" s="499"/>
    </row>
    <row r="588" spans="2:5" s="498" customFormat="1" ht="0.65" hidden="1" customHeight="1">
      <c r="B588" s="499">
        <v>3057</v>
      </c>
      <c r="C588" s="509">
        <v>2024</v>
      </c>
      <c r="E588" s="499"/>
    </row>
    <row r="589" spans="2:5" s="498" customFormat="1" ht="0.65" hidden="1" customHeight="1">
      <c r="B589" s="499">
        <v>3058</v>
      </c>
      <c r="C589" s="509">
        <v>2025</v>
      </c>
      <c r="E589" s="499"/>
    </row>
    <row r="590" spans="2:5" s="498" customFormat="1" ht="0.65" hidden="1" customHeight="1"/>
    <row r="591" spans="2:5" s="498" customFormat="1" ht="0.65" hidden="1" customHeight="1"/>
    <row r="592" spans="2:5" s="498" customFormat="1" ht="0.65" hidden="1" customHeight="1"/>
    <row r="593" s="498" customFormat="1" ht="0.65" hidden="1" customHeight="1"/>
    <row r="594" s="498" customFormat="1" ht="0.65" hidden="1" customHeight="1"/>
    <row r="595" s="498" customFormat="1" ht="0.65" hidden="1" customHeight="1"/>
    <row r="596" s="498" customFormat="1" ht="0.65" hidden="1" customHeight="1"/>
    <row r="597" s="498" customFormat="1" ht="0.65" hidden="1" customHeight="1"/>
    <row r="598" s="498" customFormat="1" ht="0.65" hidden="1" customHeight="1"/>
    <row r="599" s="498" customFormat="1" ht="0.65" hidden="1" customHeight="1"/>
    <row r="600" s="498" customFormat="1" ht="0.65" hidden="1" customHeight="1"/>
    <row r="601" s="498" customFormat="1" ht="0.65" hidden="1" customHeight="1"/>
    <row r="602" s="498" customFormat="1" ht="0.65" hidden="1" customHeight="1"/>
    <row r="603" s="498" customFormat="1" ht="0.65" hidden="1" customHeight="1"/>
    <row r="604" s="498" customFormat="1" ht="0.65" hidden="1" customHeight="1"/>
    <row r="605" s="498" customFormat="1" ht="0.65" hidden="1" customHeight="1"/>
    <row r="606" s="498" customFormat="1" ht="0.65" hidden="1" customHeight="1"/>
    <row r="607" s="498" customFormat="1" ht="0.65" hidden="1" customHeight="1"/>
    <row r="608" s="498" customFormat="1" ht="0.65" hidden="1" customHeight="1"/>
    <row r="609" spans="21:39" s="498" customFormat="1" ht="0.65" hidden="1" customHeight="1"/>
    <row r="610" spans="21:39" s="498" customFormat="1" ht="0.65" hidden="1" customHeight="1"/>
    <row r="611" spans="21:39" s="498" customFormat="1" ht="0.65" hidden="1" customHeight="1">
      <c r="U611" s="499">
        <v>1</v>
      </c>
      <c r="V611" s="499"/>
      <c r="W611" s="499"/>
      <c r="X611" s="499"/>
      <c r="Y611" s="499">
        <v>1</v>
      </c>
      <c r="Z611" s="499"/>
      <c r="AA611" s="499"/>
      <c r="AB611" s="499"/>
      <c r="AC611" s="499"/>
      <c r="AD611" s="499"/>
      <c r="AE611" s="499">
        <v>1</v>
      </c>
      <c r="AF611" s="499">
        <v>2</v>
      </c>
      <c r="AG611" s="499">
        <v>3</v>
      </c>
      <c r="AH611" s="499">
        <v>4</v>
      </c>
      <c r="AI611" s="499">
        <v>5</v>
      </c>
      <c r="AJ611" s="499">
        <v>6</v>
      </c>
      <c r="AK611" s="499">
        <v>7</v>
      </c>
      <c r="AL611" s="499">
        <v>8</v>
      </c>
      <c r="AM611" s="499">
        <v>9</v>
      </c>
    </row>
    <row r="612" spans="21:39" s="498" customFormat="1" ht="0.65" hidden="1" customHeight="1"/>
    <row r="613" spans="21:39" s="498" customFormat="1" ht="0.65" hidden="1" customHeight="1"/>
    <row r="614" spans="21:39" s="498" customFormat="1" ht="0.65" hidden="1" customHeight="1"/>
    <row r="615" spans="21:39" s="498" customFormat="1" ht="0.65" hidden="1" customHeight="1">
      <c r="U615" s="499">
        <v>3001</v>
      </c>
      <c r="Y615" s="500">
        <v>154500</v>
      </c>
      <c r="Z615" s="500"/>
      <c r="AB615" s="500"/>
      <c r="AF615" s="498" t="s">
        <v>2171</v>
      </c>
      <c r="AG615" s="498">
        <v>1</v>
      </c>
      <c r="AH615" s="498" t="s">
        <v>2171</v>
      </c>
      <c r="AI615" s="498" t="s">
        <v>2172</v>
      </c>
      <c r="AJ615" s="500">
        <v>154500</v>
      </c>
      <c r="AL615" s="498" t="s">
        <v>2412</v>
      </c>
      <c r="AM615" s="498" t="s">
        <v>2174</v>
      </c>
    </row>
    <row r="616" spans="21:39" s="498" customFormat="1" ht="0.65" hidden="1" customHeight="1">
      <c r="U616" s="499">
        <v>3002</v>
      </c>
      <c r="Y616" s="500">
        <v>159135</v>
      </c>
      <c r="Z616" s="500"/>
      <c r="AB616" s="500"/>
      <c r="AF616" s="498" t="s">
        <v>2175</v>
      </c>
      <c r="AG616" s="498">
        <v>2</v>
      </c>
      <c r="AH616" s="498" t="s">
        <v>2175</v>
      </c>
      <c r="AI616" s="498" t="s">
        <v>2176</v>
      </c>
      <c r="AJ616" s="500">
        <v>159135</v>
      </c>
      <c r="AL616" s="498" t="s">
        <v>2413</v>
      </c>
      <c r="AM616" s="498" t="s">
        <v>2174</v>
      </c>
    </row>
    <row r="617" spans="21:39" s="498" customFormat="1" ht="0.65" hidden="1" customHeight="1">
      <c r="U617" s="499">
        <v>3003</v>
      </c>
      <c r="Y617" s="500">
        <v>163909.04999999999</v>
      </c>
      <c r="Z617" s="500"/>
      <c r="AB617" s="500"/>
      <c r="AF617" s="498" t="s">
        <v>2178</v>
      </c>
      <c r="AG617" s="498">
        <v>3</v>
      </c>
      <c r="AH617" s="498" t="s">
        <v>2178</v>
      </c>
      <c r="AI617" s="498" t="s">
        <v>2179</v>
      </c>
      <c r="AJ617" s="500">
        <v>163909.04999999999</v>
      </c>
      <c r="AL617" s="498" t="s">
        <v>2414</v>
      </c>
      <c r="AM617" s="498" t="s">
        <v>2174</v>
      </c>
    </row>
    <row r="618" spans="21:39" s="498" customFormat="1" ht="0.65" hidden="1" customHeight="1">
      <c r="U618" s="499">
        <v>3004</v>
      </c>
      <c r="Y618" s="500">
        <v>122160</v>
      </c>
      <c r="Z618" s="500"/>
      <c r="AB618" s="500"/>
      <c r="AF618" s="498" t="s">
        <v>2181</v>
      </c>
      <c r="AG618" s="498">
        <v>4</v>
      </c>
      <c r="AH618" s="498" t="s">
        <v>2181</v>
      </c>
      <c r="AI618" s="498" t="s">
        <v>2182</v>
      </c>
      <c r="AJ618" s="500">
        <v>122160</v>
      </c>
      <c r="AL618" s="498" t="s">
        <v>2415</v>
      </c>
      <c r="AM618" s="498" t="s">
        <v>2184</v>
      </c>
    </row>
    <row r="619" spans="21:39" s="498" customFormat="1" ht="0.65" hidden="1" customHeight="1">
      <c r="U619" s="499">
        <v>3005</v>
      </c>
      <c r="Y619" s="500">
        <v>124603.2</v>
      </c>
      <c r="Z619" s="500"/>
      <c r="AB619" s="500"/>
      <c r="AF619" s="498" t="s">
        <v>2185</v>
      </c>
      <c r="AG619" s="498">
        <v>5</v>
      </c>
      <c r="AH619" s="498" t="s">
        <v>2185</v>
      </c>
      <c r="AI619" s="498" t="s">
        <v>2186</v>
      </c>
      <c r="AJ619" s="500">
        <v>124603.2</v>
      </c>
      <c r="AL619" s="498" t="s">
        <v>2416</v>
      </c>
      <c r="AM619" s="498" t="s">
        <v>2184</v>
      </c>
    </row>
    <row r="620" spans="21:39" s="498" customFormat="1" ht="0.65" hidden="1" customHeight="1">
      <c r="U620" s="499">
        <v>3006</v>
      </c>
      <c r="Y620" s="500">
        <v>127095.264</v>
      </c>
      <c r="Z620" s="500"/>
      <c r="AB620" s="500"/>
      <c r="AF620" s="498" t="s">
        <v>2188</v>
      </c>
      <c r="AG620" s="498">
        <v>6</v>
      </c>
      <c r="AH620" s="498" t="s">
        <v>2188</v>
      </c>
      <c r="AI620" s="498" t="s">
        <v>2189</v>
      </c>
      <c r="AJ620" s="500">
        <v>127095.264</v>
      </c>
      <c r="AL620" s="498" t="s">
        <v>2417</v>
      </c>
      <c r="AM620" s="498" t="s">
        <v>2184</v>
      </c>
    </row>
    <row r="621" spans="21:39" s="498" customFormat="1" ht="0.65" hidden="1" customHeight="1">
      <c r="U621" s="499">
        <v>3007</v>
      </c>
      <c r="Y621" s="500">
        <v>37500</v>
      </c>
      <c r="Z621" s="500"/>
      <c r="AB621" s="500"/>
      <c r="AF621" s="498" t="s">
        <v>2191</v>
      </c>
      <c r="AG621" s="498">
        <v>7</v>
      </c>
      <c r="AH621" s="498" t="s">
        <v>2191</v>
      </c>
      <c r="AI621" s="498" t="s">
        <v>2192</v>
      </c>
      <c r="AJ621" s="500">
        <v>37500</v>
      </c>
      <c r="AL621" s="498" t="s">
        <v>2418</v>
      </c>
      <c r="AM621" s="498" t="s">
        <v>2194</v>
      </c>
    </row>
    <row r="622" spans="21:39" s="498" customFormat="1" ht="0.65" hidden="1" customHeight="1">
      <c r="U622" s="499">
        <v>3008</v>
      </c>
      <c r="Y622" s="500">
        <v>37500</v>
      </c>
      <c r="Z622" s="500"/>
      <c r="AB622" s="500"/>
      <c r="AF622" s="498" t="s">
        <v>2195</v>
      </c>
      <c r="AG622" s="498">
        <v>8</v>
      </c>
      <c r="AH622" s="498" t="s">
        <v>2195</v>
      </c>
      <c r="AI622" s="498" t="s">
        <v>2196</v>
      </c>
      <c r="AJ622" s="500">
        <v>37500</v>
      </c>
      <c r="AL622" s="498" t="s">
        <v>2419</v>
      </c>
      <c r="AM622" s="498" t="s">
        <v>2194</v>
      </c>
    </row>
    <row r="623" spans="21:39" s="498" customFormat="1" ht="0.65" hidden="1" customHeight="1">
      <c r="U623" s="499">
        <v>3009</v>
      </c>
      <c r="Y623" s="500">
        <v>37500</v>
      </c>
      <c r="Z623" s="500"/>
      <c r="AB623" s="500"/>
      <c r="AF623" s="498" t="s">
        <v>2198</v>
      </c>
      <c r="AG623" s="498">
        <v>9</v>
      </c>
      <c r="AH623" s="498" t="s">
        <v>2198</v>
      </c>
      <c r="AI623" s="498" t="s">
        <v>2199</v>
      </c>
      <c r="AJ623" s="500">
        <v>37500</v>
      </c>
      <c r="AL623" s="498" t="s">
        <v>2420</v>
      </c>
      <c r="AM623" s="498" t="s">
        <v>2194</v>
      </c>
    </row>
    <row r="624" spans="21:39" s="498" customFormat="1" ht="0.65" hidden="1" customHeight="1">
      <c r="U624" s="499">
        <v>3010</v>
      </c>
      <c r="Y624" s="500">
        <v>-5160</v>
      </c>
      <c r="Z624" s="500"/>
      <c r="AB624" s="500"/>
      <c r="AF624" s="498" t="s">
        <v>2201</v>
      </c>
      <c r="AG624" s="498">
        <v>10</v>
      </c>
      <c r="AH624" s="498" t="s">
        <v>2201</v>
      </c>
      <c r="AI624" s="500" t="s">
        <v>2202</v>
      </c>
      <c r="AJ624" s="500">
        <v>-5160</v>
      </c>
      <c r="AL624" s="500" t="s">
        <v>2421</v>
      </c>
      <c r="AM624" s="498" t="s">
        <v>2204</v>
      </c>
    </row>
    <row r="625" spans="21:39" s="498" customFormat="1" ht="0.65" hidden="1" customHeight="1">
      <c r="U625" s="499">
        <v>3011</v>
      </c>
      <c r="Y625" s="500">
        <v>-2968.1999999999971</v>
      </c>
      <c r="Z625" s="500"/>
      <c r="AB625" s="500"/>
      <c r="AF625" s="498" t="s">
        <v>2205</v>
      </c>
      <c r="AG625" s="498">
        <v>11</v>
      </c>
      <c r="AH625" s="498" t="s">
        <v>2205</v>
      </c>
      <c r="AI625" s="500" t="s">
        <v>2206</v>
      </c>
      <c r="AJ625" s="500">
        <v>-2968.1999999999971</v>
      </c>
      <c r="AL625" s="500" t="s">
        <v>2422</v>
      </c>
      <c r="AM625" s="498" t="s">
        <v>2204</v>
      </c>
    </row>
    <row r="626" spans="21:39" s="498" customFormat="1" ht="0.65" hidden="1" customHeight="1">
      <c r="U626" s="499">
        <v>3012</v>
      </c>
      <c r="Y626" s="500">
        <v>-686.21400000000722</v>
      </c>
      <c r="Z626" s="500"/>
      <c r="AB626" s="500"/>
      <c r="AF626" s="498" t="s">
        <v>2208</v>
      </c>
      <c r="AG626" s="498">
        <v>12</v>
      </c>
      <c r="AH626" s="498" t="s">
        <v>2208</v>
      </c>
      <c r="AI626" s="500" t="s">
        <v>2209</v>
      </c>
      <c r="AJ626" s="500">
        <v>-686.21400000000722</v>
      </c>
      <c r="AL626" s="500" t="s">
        <v>2423</v>
      </c>
      <c r="AM626" s="498" t="s">
        <v>2204</v>
      </c>
    </row>
    <row r="627" spans="21:39" s="498" customFormat="1" ht="0.65" hidden="1" customHeight="1">
      <c r="U627" s="499">
        <v>3013</v>
      </c>
      <c r="Y627" s="500">
        <v>-1548</v>
      </c>
      <c r="Z627" s="500"/>
      <c r="AB627" s="500"/>
      <c r="AF627" s="498" t="s">
        <v>2211</v>
      </c>
      <c r="AG627" s="498">
        <v>13</v>
      </c>
      <c r="AH627" s="498" t="s">
        <v>2211</v>
      </c>
      <c r="AI627" s="498" t="s">
        <v>2212</v>
      </c>
      <c r="AJ627" s="500">
        <v>-1548</v>
      </c>
      <c r="AL627" s="498" t="s">
        <v>2424</v>
      </c>
      <c r="AM627" s="498" t="s">
        <v>2214</v>
      </c>
    </row>
    <row r="628" spans="21:39" s="498" customFormat="1" ht="0.65" hidden="1" customHeight="1">
      <c r="U628" s="499">
        <v>3014</v>
      </c>
      <c r="Y628" s="500">
        <v>-890.45999999999913</v>
      </c>
      <c r="Z628" s="500"/>
      <c r="AB628" s="500"/>
      <c r="AF628" s="498" t="s">
        <v>2215</v>
      </c>
      <c r="AG628" s="498">
        <v>14</v>
      </c>
      <c r="AH628" s="498" t="s">
        <v>2215</v>
      </c>
      <c r="AI628" s="498" t="s">
        <v>2216</v>
      </c>
      <c r="AJ628" s="500">
        <v>-890.45999999999913</v>
      </c>
      <c r="AL628" s="498" t="s">
        <v>2425</v>
      </c>
      <c r="AM628" s="498" t="s">
        <v>2214</v>
      </c>
    </row>
    <row r="629" spans="21:39" s="498" customFormat="1" ht="0.65" hidden="1" customHeight="1">
      <c r="U629" s="499">
        <v>3015</v>
      </c>
      <c r="Y629" s="500">
        <v>-205.86420000000217</v>
      </c>
      <c r="Z629" s="500"/>
      <c r="AB629" s="500"/>
      <c r="AF629" s="498" t="s">
        <v>2218</v>
      </c>
      <c r="AG629" s="498">
        <v>15</v>
      </c>
      <c r="AH629" s="498" t="s">
        <v>2218</v>
      </c>
      <c r="AI629" s="498" t="s">
        <v>2219</v>
      </c>
      <c r="AJ629" s="500">
        <v>-205.86420000000217</v>
      </c>
      <c r="AL629" s="498" t="s">
        <v>2426</v>
      </c>
      <c r="AM629" s="498" t="s">
        <v>2214</v>
      </c>
    </row>
    <row r="630" spans="21:39" s="498" customFormat="1" ht="0.65" hidden="1" customHeight="1">
      <c r="U630" s="499">
        <v>3016</v>
      </c>
      <c r="Y630" s="500">
        <v>-3612</v>
      </c>
      <c r="Z630" s="500"/>
      <c r="AB630" s="500"/>
      <c r="AF630" s="498" t="s">
        <v>2221</v>
      </c>
      <c r="AG630" s="498">
        <v>16</v>
      </c>
      <c r="AH630" s="498" t="s">
        <v>2221</v>
      </c>
      <c r="AI630" s="500" t="s">
        <v>2222</v>
      </c>
      <c r="AJ630" s="500">
        <v>-3612</v>
      </c>
      <c r="AL630" s="500" t="s">
        <v>2427</v>
      </c>
      <c r="AM630" s="498" t="s">
        <v>2224</v>
      </c>
    </row>
    <row r="631" spans="21:39" s="498" customFormat="1" ht="0.65" hidden="1" customHeight="1">
      <c r="U631" s="499">
        <v>3017</v>
      </c>
      <c r="Y631" s="500">
        <v>-2077.739999999998</v>
      </c>
      <c r="Z631" s="500"/>
      <c r="AB631" s="500"/>
      <c r="AF631" s="498" t="s">
        <v>2225</v>
      </c>
      <c r="AG631" s="498">
        <v>17</v>
      </c>
      <c r="AH631" s="498" t="s">
        <v>2225</v>
      </c>
      <c r="AI631" s="500" t="s">
        <v>2226</v>
      </c>
      <c r="AJ631" s="500">
        <v>-2077.739999999998</v>
      </c>
      <c r="AL631" s="500" t="s">
        <v>2428</v>
      </c>
      <c r="AM631" s="498" t="s">
        <v>2224</v>
      </c>
    </row>
    <row r="632" spans="21:39" s="498" customFormat="1" ht="0.65" hidden="1" customHeight="1">
      <c r="U632" s="499">
        <v>3018</v>
      </c>
      <c r="Y632" s="500">
        <v>-480.34980000000508</v>
      </c>
      <c r="Z632" s="500"/>
      <c r="AB632" s="500"/>
      <c r="AF632" s="498" t="s">
        <v>2228</v>
      </c>
      <c r="AG632" s="498">
        <v>18</v>
      </c>
      <c r="AH632" s="498" t="s">
        <v>2228</v>
      </c>
      <c r="AI632" s="500" t="s">
        <v>2229</v>
      </c>
      <c r="AJ632" s="500">
        <v>-480.34980000000508</v>
      </c>
      <c r="AL632" s="500" t="s">
        <v>2429</v>
      </c>
      <c r="AM632" s="498" t="s">
        <v>2224</v>
      </c>
    </row>
    <row r="633" spans="21:39" s="498" customFormat="1" ht="0.65" hidden="1" customHeight="1">
      <c r="U633" s="499">
        <v>3019</v>
      </c>
      <c r="Y633" s="500">
        <v>33888</v>
      </c>
      <c r="Z633" s="500"/>
      <c r="AB633" s="500"/>
      <c r="AF633" s="498" t="s">
        <v>2231</v>
      </c>
      <c r="AG633" s="498">
        <v>19</v>
      </c>
      <c r="AH633" s="498" t="s">
        <v>2231</v>
      </c>
      <c r="AI633" s="500" t="s">
        <v>2232</v>
      </c>
      <c r="AJ633" s="500">
        <v>33888</v>
      </c>
      <c r="AL633" s="500" t="s">
        <v>2430</v>
      </c>
      <c r="AM633" s="498" t="s">
        <v>2234</v>
      </c>
    </row>
    <row r="634" spans="21:39" s="498" customFormat="1" ht="0.65" hidden="1" customHeight="1">
      <c r="U634" s="499">
        <v>3020</v>
      </c>
      <c r="Y634" s="500">
        <v>35422.26</v>
      </c>
      <c r="Z634" s="500"/>
      <c r="AB634" s="500"/>
      <c r="AF634" s="498" t="s">
        <v>2235</v>
      </c>
      <c r="AG634" s="498">
        <v>20</v>
      </c>
      <c r="AH634" s="498" t="s">
        <v>2235</v>
      </c>
      <c r="AI634" s="500" t="s">
        <v>2236</v>
      </c>
      <c r="AJ634" s="500">
        <v>35422.26</v>
      </c>
      <c r="AL634" s="500" t="s">
        <v>2431</v>
      </c>
      <c r="AM634" s="498" t="s">
        <v>2234</v>
      </c>
    </row>
    <row r="635" spans="21:39" s="498" customFormat="1" ht="0.65" hidden="1" customHeight="1">
      <c r="U635" s="499">
        <v>3021</v>
      </c>
      <c r="Y635" s="500">
        <v>37019.650199999996</v>
      </c>
      <c r="Z635" s="500"/>
      <c r="AB635" s="500"/>
      <c r="AF635" s="498" t="s">
        <v>2238</v>
      </c>
      <c r="AG635" s="498">
        <v>21</v>
      </c>
      <c r="AH635" s="498" t="s">
        <v>2238</v>
      </c>
      <c r="AI635" s="500" t="s">
        <v>2239</v>
      </c>
      <c r="AJ635" s="500">
        <v>37019.650199999996</v>
      </c>
      <c r="AL635" s="500" t="s">
        <v>2432</v>
      </c>
      <c r="AM635" s="498" t="s">
        <v>2234</v>
      </c>
    </row>
    <row r="636" spans="21:39" s="498" customFormat="1" ht="0.65" hidden="1" customHeight="1">
      <c r="U636" s="499">
        <v>3022</v>
      </c>
      <c r="Y636" s="500">
        <v>12000</v>
      </c>
      <c r="Z636" s="500"/>
      <c r="AB636" s="500"/>
      <c r="AF636" s="498" t="s">
        <v>2241</v>
      </c>
      <c r="AG636" s="498">
        <v>22</v>
      </c>
      <c r="AH636" s="498" t="s">
        <v>2241</v>
      </c>
      <c r="AI636" s="500" t="s">
        <v>2242</v>
      </c>
      <c r="AJ636" s="500">
        <v>12000</v>
      </c>
      <c r="AL636" s="500" t="s">
        <v>2433</v>
      </c>
      <c r="AM636" s="498" t="s">
        <v>2244</v>
      </c>
    </row>
    <row r="637" spans="21:39" s="498" customFormat="1" ht="0.65" hidden="1" customHeight="1">
      <c r="U637" s="499">
        <v>3023</v>
      </c>
      <c r="Y637" s="500">
        <v>12240</v>
      </c>
      <c r="Z637" s="500"/>
      <c r="AB637" s="500"/>
      <c r="AF637" s="498" t="s">
        <v>2245</v>
      </c>
      <c r="AG637" s="498">
        <v>23</v>
      </c>
      <c r="AH637" s="498" t="s">
        <v>2245</v>
      </c>
      <c r="AI637" s="498" t="s">
        <v>2246</v>
      </c>
      <c r="AJ637" s="500">
        <v>12240</v>
      </c>
      <c r="AL637" s="500" t="s">
        <v>2434</v>
      </c>
      <c r="AM637" s="498" t="s">
        <v>2248</v>
      </c>
    </row>
    <row r="638" spans="21:39" s="498" customFormat="1" ht="0.65" hidden="1" customHeight="1">
      <c r="U638" s="499">
        <v>3024</v>
      </c>
      <c r="Y638" s="500">
        <v>12484.800000000001</v>
      </c>
      <c r="Z638" s="500"/>
      <c r="AB638" s="500"/>
      <c r="AF638" s="498" t="s">
        <v>2249</v>
      </c>
      <c r="AG638" s="498">
        <v>24</v>
      </c>
      <c r="AH638" s="498" t="s">
        <v>2249</v>
      </c>
      <c r="AI638" s="498" t="s">
        <v>2250</v>
      </c>
      <c r="AJ638" s="500">
        <v>12484.800000000001</v>
      </c>
      <c r="AL638" s="500" t="s">
        <v>2435</v>
      </c>
      <c r="AM638" s="498" t="s">
        <v>2248</v>
      </c>
    </row>
    <row r="639" spans="21:39" s="498" customFormat="1" ht="0.65" hidden="1" customHeight="1">
      <c r="U639" s="499">
        <v>3025</v>
      </c>
      <c r="Y639" s="500">
        <v>12734.496000000001</v>
      </c>
      <c r="Z639" s="500"/>
      <c r="AB639" s="500"/>
      <c r="AF639" s="498" t="s">
        <v>2252</v>
      </c>
      <c r="AG639" s="498">
        <v>25</v>
      </c>
      <c r="AH639" s="498" t="s">
        <v>2252</v>
      </c>
      <c r="AI639" s="498" t="s">
        <v>2253</v>
      </c>
      <c r="AJ639" s="500">
        <v>12734.496000000001</v>
      </c>
      <c r="AL639" s="500" t="s">
        <v>2436</v>
      </c>
      <c r="AM639" s="498" t="s">
        <v>2248</v>
      </c>
    </row>
    <row r="640" spans="21:39" s="498" customFormat="1" ht="0.65" hidden="1" customHeight="1">
      <c r="U640" s="499">
        <v>3026</v>
      </c>
      <c r="Y640" s="500">
        <v>0</v>
      </c>
      <c r="Z640" s="500"/>
      <c r="AB640" s="500"/>
      <c r="AF640" s="498" t="s">
        <v>2255</v>
      </c>
      <c r="AG640" s="498">
        <v>26</v>
      </c>
      <c r="AH640" s="498" t="s">
        <v>2255</v>
      </c>
      <c r="AI640" s="498" t="s">
        <v>2256</v>
      </c>
      <c r="AJ640" s="500">
        <v>0</v>
      </c>
      <c r="AL640" s="498" t="s">
        <v>2257</v>
      </c>
      <c r="AM640" s="498" t="s">
        <v>2258</v>
      </c>
    </row>
    <row r="641" spans="21:39" s="498" customFormat="1" ht="0.65" hidden="1" customHeight="1">
      <c r="U641" s="499">
        <v>3027</v>
      </c>
      <c r="Y641" s="500">
        <v>46736.25</v>
      </c>
      <c r="Z641" s="500"/>
      <c r="AB641" s="500"/>
      <c r="AF641" s="498" t="s">
        <v>2259</v>
      </c>
      <c r="AG641" s="498">
        <v>27</v>
      </c>
      <c r="AH641" s="498" t="s">
        <v>2259</v>
      </c>
      <c r="AI641" s="498" t="s">
        <v>2260</v>
      </c>
      <c r="AJ641" s="500">
        <v>46736.25</v>
      </c>
      <c r="AL641" s="498" t="s">
        <v>2437</v>
      </c>
      <c r="AM641" s="498" t="s">
        <v>2262</v>
      </c>
    </row>
    <row r="642" spans="21:39" s="498" customFormat="1" ht="0.65" hidden="1" customHeight="1">
      <c r="U642" s="499">
        <v>3028</v>
      </c>
      <c r="Y642" s="500">
        <v>48138.337499999994</v>
      </c>
      <c r="Z642" s="500"/>
      <c r="AB642" s="500"/>
      <c r="AF642" s="498" t="s">
        <v>2263</v>
      </c>
      <c r="AG642" s="498">
        <v>28</v>
      </c>
      <c r="AH642" s="498" t="s">
        <v>2263</v>
      </c>
      <c r="AI642" s="498" t="s">
        <v>2264</v>
      </c>
      <c r="AJ642" s="500">
        <v>48138.337499999994</v>
      </c>
      <c r="AL642" s="498" t="s">
        <v>2438</v>
      </c>
      <c r="AM642" s="498" t="s">
        <v>2262</v>
      </c>
    </row>
    <row r="643" spans="21:39" s="498" customFormat="1" ht="0.65" hidden="1" customHeight="1">
      <c r="U643" s="499">
        <v>3029</v>
      </c>
      <c r="Y643" s="500">
        <v>49582.487624999994</v>
      </c>
      <c r="Z643" s="500"/>
      <c r="AB643" s="500"/>
      <c r="AF643" s="498" t="s">
        <v>2266</v>
      </c>
      <c r="AG643" s="498">
        <v>29</v>
      </c>
      <c r="AH643" s="498" t="s">
        <v>2266</v>
      </c>
      <c r="AI643" s="498" t="s">
        <v>2267</v>
      </c>
      <c r="AJ643" s="500">
        <v>49582.487624999994</v>
      </c>
      <c r="AL643" s="498" t="s">
        <v>2439</v>
      </c>
      <c r="AM643" s="498" t="s">
        <v>2262</v>
      </c>
    </row>
    <row r="644" spans="21:39" s="498" customFormat="1" ht="0.65" hidden="1" customHeight="1">
      <c r="U644" s="499">
        <v>3030</v>
      </c>
      <c r="Y644" s="500">
        <v>0</v>
      </c>
      <c r="Z644" s="500"/>
      <c r="AB644" s="500"/>
      <c r="AF644" s="498" t="s">
        <v>2269</v>
      </c>
      <c r="AG644" s="498">
        <v>30</v>
      </c>
      <c r="AH644" s="498" t="s">
        <v>2269</v>
      </c>
      <c r="AI644" s="498" t="s">
        <v>2270</v>
      </c>
      <c r="AJ644" s="500">
        <v>0</v>
      </c>
      <c r="AL644" s="498" t="s">
        <v>2271</v>
      </c>
      <c r="AM644" s="498" t="s">
        <v>2272</v>
      </c>
    </row>
    <row r="645" spans="21:39" s="498" customFormat="1" ht="0.65" hidden="1" customHeight="1">
      <c r="U645" s="499">
        <v>3031</v>
      </c>
      <c r="Y645" s="500">
        <v>37026</v>
      </c>
      <c r="Z645" s="500"/>
      <c r="AB645" s="500"/>
      <c r="AF645" s="498" t="s">
        <v>2273</v>
      </c>
      <c r="AG645" s="498">
        <v>31</v>
      </c>
      <c r="AH645" s="498" t="s">
        <v>2273</v>
      </c>
      <c r="AI645" s="498" t="s">
        <v>2274</v>
      </c>
      <c r="AJ645" s="500">
        <v>37026</v>
      </c>
      <c r="AL645" s="498" t="s">
        <v>2440</v>
      </c>
      <c r="AM645" s="498" t="s">
        <v>2276</v>
      </c>
    </row>
    <row r="646" spans="21:39" s="498" customFormat="1" ht="0.65" hidden="1" customHeight="1">
      <c r="U646" s="499">
        <v>3032</v>
      </c>
      <c r="Y646" s="500">
        <v>37766.519999999997</v>
      </c>
      <c r="Z646" s="500"/>
      <c r="AB646" s="500"/>
      <c r="AF646" s="498" t="s">
        <v>2277</v>
      </c>
      <c r="AG646" s="498">
        <v>32</v>
      </c>
      <c r="AH646" s="498" t="s">
        <v>2277</v>
      </c>
      <c r="AI646" s="498" t="s">
        <v>2278</v>
      </c>
      <c r="AJ646" s="500">
        <v>37766.519999999997</v>
      </c>
      <c r="AL646" s="498" t="s">
        <v>2441</v>
      </c>
      <c r="AM646" s="498" t="s">
        <v>2276</v>
      </c>
    </row>
    <row r="647" spans="21:39" s="498" customFormat="1" ht="0.65" hidden="1" customHeight="1">
      <c r="U647" s="499">
        <v>3033</v>
      </c>
      <c r="Y647" s="500">
        <v>38521.850399999996</v>
      </c>
      <c r="Z647" s="500"/>
      <c r="AB647" s="500"/>
      <c r="AF647" s="498" t="s">
        <v>2280</v>
      </c>
      <c r="AG647" s="498">
        <v>33</v>
      </c>
      <c r="AH647" s="498" t="s">
        <v>2280</v>
      </c>
      <c r="AI647" s="498" t="s">
        <v>2281</v>
      </c>
      <c r="AJ647" s="500">
        <v>38521.850399999996</v>
      </c>
      <c r="AL647" s="498" t="s">
        <v>2442</v>
      </c>
      <c r="AM647" s="498" t="s">
        <v>2276</v>
      </c>
    </row>
    <row r="648" spans="21:39" s="498" customFormat="1" ht="0.65" hidden="1" customHeight="1">
      <c r="U648" s="499">
        <v>3034</v>
      </c>
      <c r="Y648" s="500">
        <v>12000</v>
      </c>
      <c r="Z648" s="500"/>
      <c r="AB648" s="500"/>
      <c r="AF648" s="498" t="s">
        <v>2283</v>
      </c>
      <c r="AG648" s="498">
        <v>34</v>
      </c>
      <c r="AH648" s="498" t="s">
        <v>2283</v>
      </c>
      <c r="AI648" s="500" t="s">
        <v>2284</v>
      </c>
      <c r="AJ648" s="500">
        <v>12000</v>
      </c>
      <c r="AL648" s="500" t="s">
        <v>2443</v>
      </c>
      <c r="AM648" s="498" t="s">
        <v>2286</v>
      </c>
    </row>
    <row r="649" spans="21:39" s="498" customFormat="1" ht="0.65" hidden="1" customHeight="1">
      <c r="U649" s="499">
        <v>3035</v>
      </c>
      <c r="Y649" s="500">
        <v>21950.25</v>
      </c>
      <c r="Z649" s="500"/>
      <c r="AB649" s="500"/>
      <c r="AF649" s="498" t="s">
        <v>2287</v>
      </c>
      <c r="AG649" s="498">
        <v>35</v>
      </c>
      <c r="AH649" s="498" t="s">
        <v>2287</v>
      </c>
      <c r="AI649" s="500" t="s">
        <v>2288</v>
      </c>
      <c r="AJ649" s="500">
        <v>21950.25</v>
      </c>
      <c r="AL649" s="500" t="s">
        <v>2444</v>
      </c>
      <c r="AM649" s="498" t="s">
        <v>2290</v>
      </c>
    </row>
    <row r="650" spans="21:39" s="498" customFormat="1" ht="0.65" hidden="1" customHeight="1">
      <c r="U650" s="499">
        <v>3036</v>
      </c>
      <c r="Y650" s="500">
        <v>22856.6175</v>
      </c>
      <c r="Z650" s="500"/>
      <c r="AB650" s="500"/>
      <c r="AF650" s="498" t="s">
        <v>2291</v>
      </c>
      <c r="AG650" s="498">
        <v>36</v>
      </c>
      <c r="AH650" s="498" t="s">
        <v>2291</v>
      </c>
      <c r="AI650" s="500" t="s">
        <v>2292</v>
      </c>
      <c r="AJ650" s="500">
        <v>22856.6175</v>
      </c>
      <c r="AL650" s="500" t="s">
        <v>2445</v>
      </c>
      <c r="AM650" s="498" t="s">
        <v>2290</v>
      </c>
    </row>
    <row r="651" spans="21:39" s="498" customFormat="1" ht="0.65" hidden="1" customHeight="1">
      <c r="U651" s="499">
        <v>3037</v>
      </c>
      <c r="Y651" s="500">
        <v>23795.133224999998</v>
      </c>
      <c r="Z651" s="500"/>
      <c r="AB651" s="500"/>
      <c r="AF651" s="498" t="s">
        <v>2294</v>
      </c>
      <c r="AG651" s="498">
        <v>37</v>
      </c>
      <c r="AH651" s="498" t="s">
        <v>2294</v>
      </c>
      <c r="AI651" s="500" t="s">
        <v>2295</v>
      </c>
      <c r="AJ651" s="500">
        <v>23795.133224999998</v>
      </c>
      <c r="AL651" s="500" t="s">
        <v>2446</v>
      </c>
      <c r="AM651" s="498" t="s">
        <v>2290</v>
      </c>
    </row>
    <row r="652" spans="21:39" s="498" customFormat="1" ht="0.65" hidden="1" customHeight="1">
      <c r="U652" s="499">
        <v>3038</v>
      </c>
      <c r="Y652" s="500">
        <v>12000</v>
      </c>
      <c r="Z652" s="500"/>
      <c r="AB652" s="500"/>
      <c r="AF652" s="498" t="s">
        <v>2297</v>
      </c>
      <c r="AG652" s="498">
        <v>38</v>
      </c>
      <c r="AH652" s="498" t="s">
        <v>2297</v>
      </c>
      <c r="AI652" s="500" t="s">
        <v>2298</v>
      </c>
      <c r="AJ652" s="500">
        <v>12000</v>
      </c>
      <c r="AL652" s="500" t="s">
        <v>2447</v>
      </c>
      <c r="AM652" s="498" t="s">
        <v>2286</v>
      </c>
    </row>
    <row r="653" spans="21:39" s="498" customFormat="1" ht="0.65" hidden="1" customHeight="1">
      <c r="U653" s="499">
        <v>3039</v>
      </c>
      <c r="Y653" s="500">
        <v>9950.25</v>
      </c>
      <c r="Z653" s="500"/>
      <c r="AB653" s="500"/>
      <c r="AF653" s="498" t="s">
        <v>2300</v>
      </c>
      <c r="AG653" s="498">
        <v>39</v>
      </c>
      <c r="AH653" s="498" t="s">
        <v>2300</v>
      </c>
      <c r="AI653" s="500" t="s">
        <v>2301</v>
      </c>
      <c r="AJ653" s="500">
        <v>9950.25</v>
      </c>
      <c r="AL653" s="500" t="s">
        <v>2448</v>
      </c>
      <c r="AM653" s="498" t="s">
        <v>2303</v>
      </c>
    </row>
    <row r="654" spans="21:39" s="498" customFormat="1" ht="0.65" hidden="1" customHeight="1">
      <c r="U654" s="499">
        <v>3040</v>
      </c>
      <c r="Y654" s="500">
        <v>906.36750000000029</v>
      </c>
      <c r="Z654" s="500"/>
      <c r="AB654" s="500"/>
      <c r="AF654" s="498" t="s">
        <v>2304</v>
      </c>
      <c r="AG654" s="498">
        <v>40</v>
      </c>
      <c r="AH654" s="498" t="s">
        <v>2304</v>
      </c>
      <c r="AI654" s="500" t="s">
        <v>2305</v>
      </c>
      <c r="AJ654" s="500">
        <v>906.36750000000029</v>
      </c>
      <c r="AL654" s="500" t="s">
        <v>2449</v>
      </c>
      <c r="AM654" s="498" t="s">
        <v>2303</v>
      </c>
    </row>
    <row r="655" spans="21:39" s="498" customFormat="1" ht="0.65" hidden="1" customHeight="1">
      <c r="U655" s="499">
        <v>3041</v>
      </c>
      <c r="Y655" s="500">
        <v>938.51572499999747</v>
      </c>
      <c r="Z655" s="500"/>
      <c r="AB655" s="500"/>
      <c r="AF655" s="498" t="s">
        <v>2307</v>
      </c>
      <c r="AG655" s="498">
        <v>41</v>
      </c>
      <c r="AH655" s="498" t="s">
        <v>2307</v>
      </c>
      <c r="AI655" s="500" t="s">
        <v>2308</v>
      </c>
      <c r="AJ655" s="500">
        <v>938.51572499999747</v>
      </c>
      <c r="AL655" s="500" t="s">
        <v>2450</v>
      </c>
      <c r="AM655" s="498" t="s">
        <v>2303</v>
      </c>
    </row>
    <row r="656" spans="21:39" s="498" customFormat="1" ht="0.65" hidden="1" customHeight="1">
      <c r="U656" s="499">
        <v>3042</v>
      </c>
      <c r="Y656" s="500">
        <v>312000</v>
      </c>
      <c r="Z656" s="500"/>
      <c r="AB656" s="500"/>
      <c r="AF656" s="500" t="s">
        <v>490</v>
      </c>
      <c r="AG656" s="498">
        <v>42</v>
      </c>
      <c r="AH656" s="498" t="s">
        <v>490</v>
      </c>
      <c r="AI656" s="500" t="s">
        <v>2310</v>
      </c>
      <c r="AJ656" s="500">
        <v>312000</v>
      </c>
      <c r="AL656" s="500" t="s">
        <v>2451</v>
      </c>
      <c r="AM656" s="498" t="s">
        <v>2312</v>
      </c>
    </row>
    <row r="657" spans="21:39" s="498" customFormat="1" ht="0.65" hidden="1" customHeight="1">
      <c r="U657" s="499">
        <v>3043</v>
      </c>
      <c r="Y657" s="500">
        <v>103494.288</v>
      </c>
      <c r="Z657" s="500"/>
      <c r="AB657" s="500"/>
      <c r="AF657" s="500" t="s">
        <v>2168</v>
      </c>
      <c r="AG657" s="498">
        <v>43</v>
      </c>
      <c r="AH657" s="498" t="s">
        <v>2168</v>
      </c>
      <c r="AI657" s="498" t="s">
        <v>2313</v>
      </c>
      <c r="AJ657" s="500">
        <v>103494.288</v>
      </c>
      <c r="AL657" s="498" t="s">
        <v>2452</v>
      </c>
      <c r="AM657" s="498" t="s">
        <v>2315</v>
      </c>
    </row>
    <row r="658" spans="21:39" s="498" customFormat="1" ht="0.65" hidden="1" customHeight="1">
      <c r="U658" s="499">
        <v>3044</v>
      </c>
      <c r="Y658" s="500">
        <v>23795.133224999998</v>
      </c>
      <c r="Z658" s="500"/>
      <c r="AB658" s="500"/>
      <c r="AF658" s="500" t="s">
        <v>2169</v>
      </c>
      <c r="AG658" s="498">
        <v>44</v>
      </c>
      <c r="AH658" s="498" t="s">
        <v>2169</v>
      </c>
      <c r="AI658" s="500" t="s">
        <v>2316</v>
      </c>
      <c r="AJ658" s="500">
        <v>23795.133224999998</v>
      </c>
      <c r="AL658" s="500" t="s">
        <v>2453</v>
      </c>
      <c r="AM658" s="498" t="s">
        <v>2318</v>
      </c>
    </row>
    <row r="659" spans="21:39" s="498" customFormat="1" ht="0.65" hidden="1" customHeight="1">
      <c r="U659" s="499">
        <v>3045</v>
      </c>
      <c r="Y659" s="500">
        <v>127289.421225</v>
      </c>
      <c r="Z659" s="500"/>
      <c r="AB659" s="500"/>
      <c r="AF659" s="500" t="s">
        <v>2170</v>
      </c>
      <c r="AG659" s="498">
        <v>45</v>
      </c>
      <c r="AH659" s="498" t="s">
        <v>2170</v>
      </c>
      <c r="AI659" s="500" t="s">
        <v>2319</v>
      </c>
      <c r="AJ659" s="500">
        <v>127289.421225</v>
      </c>
      <c r="AL659" s="500" t="s">
        <v>2454</v>
      </c>
      <c r="AM659" s="498" t="s">
        <v>2321</v>
      </c>
    </row>
    <row r="660" spans="21:39" s="498" customFormat="1" ht="0.65" hidden="1" customHeight="1">
      <c r="U660" s="499">
        <v>3046</v>
      </c>
      <c r="Y660" s="510">
        <v>5.6000000000000001E-2</v>
      </c>
      <c r="Z660" s="510"/>
      <c r="AB660" s="510"/>
      <c r="AF660" s="500" t="s">
        <v>414</v>
      </c>
      <c r="AG660" s="498">
        <v>46</v>
      </c>
      <c r="AH660" s="498" t="s">
        <v>414</v>
      </c>
      <c r="AI660" s="498" t="s">
        <v>2322</v>
      </c>
      <c r="AJ660" s="510">
        <v>5.6000000000000001E-2</v>
      </c>
      <c r="AL660" s="498" t="s">
        <v>2455</v>
      </c>
      <c r="AM660" s="498" t="s">
        <v>2324</v>
      </c>
    </row>
    <row r="661" spans="21:39" s="498" customFormat="1" ht="0.65" hidden="1" customHeight="1">
      <c r="U661" s="499">
        <v>3047</v>
      </c>
      <c r="Y661" s="510">
        <v>0.12000000000000001</v>
      </c>
      <c r="Z661" s="510"/>
      <c r="AB661" s="510"/>
      <c r="AF661" s="500" t="s">
        <v>415</v>
      </c>
      <c r="AG661" s="498">
        <v>47</v>
      </c>
      <c r="AH661" s="498" t="s">
        <v>415</v>
      </c>
      <c r="AI661" s="511" t="s">
        <v>2325</v>
      </c>
      <c r="AJ661" s="510">
        <v>0.12000000000000001</v>
      </c>
      <c r="AL661" s="511" t="s">
        <v>2456</v>
      </c>
      <c r="AM661" s="498" t="s">
        <v>2327</v>
      </c>
    </row>
    <row r="662" spans="21:39" s="498" customFormat="1" ht="0.65" hidden="1" customHeight="1">
      <c r="U662" s="499">
        <v>3048</v>
      </c>
      <c r="Y662" s="510">
        <v>8.7999999999999995E-2</v>
      </c>
      <c r="Z662" s="510"/>
      <c r="AB662" s="510"/>
      <c r="AF662" s="500" t="s">
        <v>416</v>
      </c>
      <c r="AG662" s="498">
        <v>48</v>
      </c>
      <c r="AH662" s="498" t="s">
        <v>416</v>
      </c>
      <c r="AI662" s="498" t="s">
        <v>2328</v>
      </c>
      <c r="AJ662" s="510">
        <v>8.7999999999999995E-2</v>
      </c>
      <c r="AL662" s="498" t="s">
        <v>2457</v>
      </c>
      <c r="AM662" s="498" t="s">
        <v>2330</v>
      </c>
    </row>
    <row r="663" spans="21:39" s="498" customFormat="1" ht="0.65" hidden="1" customHeight="1">
      <c r="U663" s="499">
        <v>3049</v>
      </c>
      <c r="Y663" s="500">
        <v>-312000</v>
      </c>
      <c r="Z663" s="500"/>
      <c r="AB663" s="500"/>
      <c r="AF663" s="498" t="s">
        <v>2331</v>
      </c>
      <c r="AG663" s="498">
        <v>49</v>
      </c>
      <c r="AH663" s="498" t="s">
        <v>2331</v>
      </c>
      <c r="AI663" s="500" t="s">
        <v>2332</v>
      </c>
      <c r="AJ663" s="500">
        <v>-312000</v>
      </c>
      <c r="AL663" s="500" t="s">
        <v>2458</v>
      </c>
      <c r="AM663" s="498" t="s">
        <v>3946</v>
      </c>
    </row>
    <row r="664" spans="21:39" s="498" customFormat="1" ht="0.65" hidden="1" customHeight="1">
      <c r="U664" s="499">
        <v>3050</v>
      </c>
      <c r="Y664" s="500">
        <v>23937.75</v>
      </c>
      <c r="Z664" s="500"/>
      <c r="AB664" s="500"/>
      <c r="AF664" s="498" t="s">
        <v>2334</v>
      </c>
      <c r="AG664" s="498">
        <v>50</v>
      </c>
      <c r="AH664" s="498" t="s">
        <v>2334</v>
      </c>
      <c r="AI664" s="500" t="s">
        <v>2335</v>
      </c>
      <c r="AJ664" s="500">
        <v>23937.75</v>
      </c>
      <c r="AL664" s="498" t="s">
        <v>2459</v>
      </c>
      <c r="AM664" s="498" t="s">
        <v>3946</v>
      </c>
    </row>
    <row r="665" spans="21:39" s="498" customFormat="1" ht="0.65" hidden="1" customHeight="1">
      <c r="U665" s="499">
        <v>3051</v>
      </c>
      <c r="Y665" s="500">
        <v>34515.892500000002</v>
      </c>
      <c r="Z665" s="500"/>
      <c r="AB665" s="500"/>
      <c r="AF665" s="498" t="s">
        <v>2337</v>
      </c>
      <c r="AG665" s="498">
        <v>51</v>
      </c>
      <c r="AH665" s="498" t="s">
        <v>2337</v>
      </c>
      <c r="AI665" s="500" t="s">
        <v>2338</v>
      </c>
      <c r="AJ665" s="500">
        <v>34515.892500000002</v>
      </c>
      <c r="AL665" s="498" t="s">
        <v>2460</v>
      </c>
      <c r="AM665" s="498" t="s">
        <v>3946</v>
      </c>
    </row>
    <row r="666" spans="21:39" s="498" customFormat="1" ht="0.65" hidden="1" customHeight="1">
      <c r="U666" s="499">
        <v>3052</v>
      </c>
      <c r="Y666" s="500">
        <v>163370.5557</v>
      </c>
      <c r="Z666" s="500"/>
      <c r="AB666" s="500"/>
      <c r="AF666" s="498" t="s">
        <v>2340</v>
      </c>
      <c r="AG666" s="498">
        <v>52</v>
      </c>
      <c r="AH666" s="498" t="s">
        <v>2340</v>
      </c>
      <c r="AI666" s="500" t="s">
        <v>2341</v>
      </c>
      <c r="AJ666" s="500">
        <v>163370.5557</v>
      </c>
      <c r="AL666" s="498" t="s">
        <v>2461</v>
      </c>
      <c r="AM666" s="498" t="s">
        <v>3946</v>
      </c>
    </row>
    <row r="667" spans="21:39" s="498" customFormat="1" ht="0.65" hidden="1" customHeight="1">
      <c r="U667" s="499">
        <v>3053</v>
      </c>
      <c r="Y667" s="500">
        <v>-133991.13553802474</v>
      </c>
      <c r="Z667" s="500"/>
      <c r="AB667" s="500"/>
      <c r="AF667" s="500" t="s">
        <v>13</v>
      </c>
      <c r="AG667" s="498">
        <v>53</v>
      </c>
      <c r="AH667" s="498" t="s">
        <v>13</v>
      </c>
      <c r="AI667" s="500" t="s">
        <v>2343</v>
      </c>
      <c r="AJ667" s="500">
        <v>-133991.13553802474</v>
      </c>
      <c r="AL667" s="512" t="s">
        <v>2462</v>
      </c>
      <c r="AM667" s="498" t="s">
        <v>2345</v>
      </c>
    </row>
    <row r="668" spans="21:39" s="498" customFormat="1" ht="0.65" hidden="1" customHeight="1">
      <c r="U668" s="499">
        <v>3054</v>
      </c>
      <c r="Y668" s="510">
        <v>-0.12052075017199104</v>
      </c>
      <c r="Z668" s="510"/>
      <c r="AB668" s="510"/>
      <c r="AF668" s="498" t="s">
        <v>28</v>
      </c>
      <c r="AG668" s="498">
        <v>54</v>
      </c>
      <c r="AH668" s="498" t="s">
        <v>28</v>
      </c>
      <c r="AI668" s="511" t="s">
        <v>2346</v>
      </c>
      <c r="AJ668" s="510">
        <v>-0.12052075017199104</v>
      </c>
      <c r="AL668" s="511" t="s">
        <v>2463</v>
      </c>
      <c r="AM668" s="498" t="s">
        <v>2348</v>
      </c>
    </row>
    <row r="669" spans="21:39" s="498" customFormat="1" ht="0.65" hidden="1" customHeight="1">
      <c r="U669" s="499">
        <v>3055</v>
      </c>
    </row>
    <row r="670" spans="21:39" s="498" customFormat="1" ht="0.65" hidden="1" customHeight="1">
      <c r="U670" s="499">
        <v>3056</v>
      </c>
      <c r="AG670" s="498">
        <v>1</v>
      </c>
      <c r="AH670" s="498" t="s">
        <v>2349</v>
      </c>
      <c r="AI670" s="498" t="s">
        <v>3947</v>
      </c>
    </row>
    <row r="671" spans="21:39" s="498" customFormat="1" ht="0.65" hidden="1" customHeight="1">
      <c r="U671" s="499">
        <v>3057</v>
      </c>
      <c r="AG671" s="498">
        <v>2</v>
      </c>
      <c r="AH671" s="498" t="s">
        <v>2350</v>
      </c>
      <c r="AI671" s="498" t="s">
        <v>3950</v>
      </c>
    </row>
    <row r="672" spans="21:39" s="498" customFormat="1" ht="0.65" hidden="1" customHeight="1">
      <c r="U672" s="499">
        <v>3058</v>
      </c>
      <c r="AG672" s="498">
        <v>3</v>
      </c>
      <c r="AH672" s="498" t="s">
        <v>2351</v>
      </c>
      <c r="AI672" s="498" t="s">
        <v>3948</v>
      </c>
    </row>
    <row r="673" spans="2:35" s="498" customFormat="1" ht="0.65" hidden="1" customHeight="1">
      <c r="U673" s="499">
        <v>3059</v>
      </c>
      <c r="AG673" s="498">
        <v>4</v>
      </c>
      <c r="AH673" s="498" t="s">
        <v>2352</v>
      </c>
      <c r="AI673" s="498" t="s">
        <v>3949</v>
      </c>
    </row>
    <row r="674" spans="2:35" s="498" customFormat="1" ht="0.65" hidden="1" customHeight="1">
      <c r="U674" s="499">
        <v>3060</v>
      </c>
      <c r="AG674" s="498">
        <v>5</v>
      </c>
      <c r="AH674" s="498" t="s">
        <v>4144</v>
      </c>
      <c r="AI674" s="498" t="s">
        <v>2353</v>
      </c>
    </row>
    <row r="675" spans="2:35" s="498" customFormat="1" ht="0.65" hidden="1" customHeight="1">
      <c r="U675" s="499">
        <v>3061</v>
      </c>
      <c r="AG675" s="498">
        <v>6</v>
      </c>
      <c r="AH675" s="498" t="s">
        <v>2354</v>
      </c>
      <c r="AI675" s="498" t="s">
        <v>2355</v>
      </c>
    </row>
    <row r="676" spans="2:35" s="498" customFormat="1" ht="0.65" hidden="1" customHeight="1">
      <c r="U676" s="499">
        <v>3062</v>
      </c>
      <c r="AG676" s="498">
        <v>7</v>
      </c>
      <c r="AH676" s="498" t="s">
        <v>2356</v>
      </c>
      <c r="AI676" s="498" t="s">
        <v>2357</v>
      </c>
    </row>
    <row r="677" spans="2:35" s="498" customFormat="1" ht="0.65" hidden="1" customHeight="1">
      <c r="U677" s="499">
        <v>3063</v>
      </c>
      <c r="AG677" s="498">
        <v>8</v>
      </c>
      <c r="AH677" s="498" t="s">
        <v>2358</v>
      </c>
      <c r="AI677" s="498" t="s">
        <v>2359</v>
      </c>
    </row>
    <row r="678" spans="2:35" s="498" customFormat="1" ht="0.65" hidden="1" customHeight="1">
      <c r="U678" s="499">
        <v>3064</v>
      </c>
      <c r="AG678" s="498">
        <v>8</v>
      </c>
    </row>
    <row r="679" spans="2:35" s="498" customFormat="1" ht="0.65" hidden="1" customHeight="1">
      <c r="U679" s="499">
        <v>3065</v>
      </c>
      <c r="AG679" s="498">
        <v>8</v>
      </c>
    </row>
    <row r="680" spans="2:35" s="498" customFormat="1" ht="0.65" hidden="1" customHeight="1">
      <c r="U680" s="499">
        <v>3066</v>
      </c>
      <c r="AG680" s="498">
        <v>8</v>
      </c>
    </row>
    <row r="681" spans="2:35" s="498" customFormat="1" ht="0.65" hidden="1" customHeight="1">
      <c r="U681" s="499">
        <v>3067</v>
      </c>
      <c r="AG681" s="498">
        <v>8</v>
      </c>
    </row>
    <row r="682" spans="2:35" s="498" customFormat="1" ht="0.65" hidden="1" customHeight="1"/>
    <row r="683" spans="2:35" s="498" customFormat="1" ht="0.65" hidden="1" customHeight="1"/>
    <row r="684" spans="2:35" s="498" customFormat="1" ht="0.65" hidden="1" customHeight="1">
      <c r="G684" s="499">
        <v>1</v>
      </c>
      <c r="H684" s="499">
        <v>2</v>
      </c>
      <c r="I684" s="499">
        <v>3</v>
      </c>
      <c r="J684" s="499">
        <v>4</v>
      </c>
      <c r="K684" s="499">
        <v>5</v>
      </c>
      <c r="L684" s="499">
        <v>6</v>
      </c>
      <c r="M684" s="499">
        <v>7</v>
      </c>
      <c r="N684" s="499">
        <v>8</v>
      </c>
      <c r="O684" s="499">
        <v>9</v>
      </c>
      <c r="P684" s="499">
        <v>10</v>
      </c>
      <c r="Q684" s="500"/>
    </row>
    <row r="685" spans="2:35" s="498" customFormat="1" ht="0.65" hidden="1" customHeight="1">
      <c r="I685" s="499">
        <v>0.01</v>
      </c>
      <c r="Q685" s="500"/>
    </row>
    <row r="686" spans="2:35" s="498" customFormat="1" ht="0.65" hidden="1" customHeight="1">
      <c r="B686" s="499">
        <v>4001</v>
      </c>
      <c r="C686" s="498">
        <v>2022</v>
      </c>
      <c r="E686" s="499"/>
      <c r="G686" s="499">
        <v>4001</v>
      </c>
      <c r="H686" s="501" t="s">
        <v>0</v>
      </c>
      <c r="I686" s="502" t="s">
        <v>2113</v>
      </c>
      <c r="J686" s="502" t="s">
        <v>2114</v>
      </c>
      <c r="K686" s="502" t="s">
        <v>2115</v>
      </c>
      <c r="L686" s="502" t="s">
        <v>2116</v>
      </c>
      <c r="M686" s="502" t="s">
        <v>2117</v>
      </c>
      <c r="N686" s="502" t="s">
        <v>2118</v>
      </c>
      <c r="O686" s="502" t="s">
        <v>2119</v>
      </c>
      <c r="Q686" s="500"/>
    </row>
    <row r="687" spans="2:35" s="498" customFormat="1" ht="0.65" hidden="1" customHeight="1">
      <c r="B687" s="499">
        <v>4002</v>
      </c>
      <c r="E687" s="499"/>
      <c r="G687" s="499">
        <v>4002</v>
      </c>
      <c r="H687" s="503">
        <v>2023</v>
      </c>
      <c r="I687" s="500">
        <v>178500</v>
      </c>
      <c r="J687" s="500">
        <v>75675</v>
      </c>
      <c r="K687" s="500">
        <v>25000</v>
      </c>
      <c r="L687" s="500">
        <v>77825</v>
      </c>
      <c r="M687" s="500">
        <v>23347.5</v>
      </c>
      <c r="N687" s="500">
        <v>54477.5</v>
      </c>
      <c r="O687" s="500">
        <v>79477.5</v>
      </c>
    </row>
    <row r="688" spans="2:35" s="498" customFormat="1" ht="0.65" hidden="1" customHeight="1">
      <c r="B688" s="499">
        <v>4003</v>
      </c>
      <c r="E688" s="499"/>
      <c r="G688" s="499">
        <v>4003</v>
      </c>
      <c r="H688" s="503">
        <v>2024</v>
      </c>
      <c r="I688" s="500">
        <v>187425</v>
      </c>
      <c r="J688" s="500">
        <v>76431.75</v>
      </c>
      <c r="K688" s="500">
        <v>25000</v>
      </c>
      <c r="L688" s="500">
        <v>85993.25</v>
      </c>
      <c r="M688" s="500">
        <v>25797.974999999999</v>
      </c>
      <c r="N688" s="500">
        <v>60195.275000000001</v>
      </c>
      <c r="O688" s="500">
        <v>85195.274999999994</v>
      </c>
    </row>
    <row r="689" spans="2:16" s="498" customFormat="1" ht="0.65" hidden="1" customHeight="1">
      <c r="B689" s="499">
        <v>4004</v>
      </c>
      <c r="E689" s="499"/>
      <c r="G689" s="499">
        <v>4004</v>
      </c>
      <c r="H689" s="503">
        <v>2025</v>
      </c>
      <c r="I689" s="500">
        <v>196796.25000000003</v>
      </c>
      <c r="J689" s="500">
        <v>77196.067500000005</v>
      </c>
      <c r="K689" s="500">
        <v>25000</v>
      </c>
      <c r="L689" s="500">
        <v>94600.182500000024</v>
      </c>
      <c r="M689" s="500">
        <v>28380.054750000007</v>
      </c>
      <c r="N689" s="500">
        <v>66220.127750000014</v>
      </c>
      <c r="O689" s="500">
        <v>91220.127750000014</v>
      </c>
    </row>
    <row r="690" spans="2:16" s="498" customFormat="1" ht="0.65" hidden="1" customHeight="1">
      <c r="B690" s="499">
        <v>4005</v>
      </c>
      <c r="C690" s="498">
        <v>250000</v>
      </c>
      <c r="E690" s="499"/>
      <c r="G690" s="499">
        <v>4005</v>
      </c>
    </row>
    <row r="691" spans="2:16" s="498" customFormat="1" ht="0.65" hidden="1" customHeight="1">
      <c r="B691" s="499">
        <v>4006</v>
      </c>
      <c r="C691" s="498">
        <v>10</v>
      </c>
      <c r="E691" s="499"/>
      <c r="G691" s="499">
        <v>4006</v>
      </c>
    </row>
    <row r="692" spans="2:16" s="498" customFormat="1" ht="0.65" hidden="1" customHeight="1">
      <c r="B692" s="499">
        <v>4007</v>
      </c>
      <c r="C692" s="498">
        <v>25000</v>
      </c>
      <c r="E692" s="499"/>
      <c r="G692" s="499">
        <v>4007</v>
      </c>
      <c r="H692" s="501" t="s">
        <v>0</v>
      </c>
      <c r="I692" s="502" t="s">
        <v>2121</v>
      </c>
      <c r="J692" s="502" t="s">
        <v>2122</v>
      </c>
      <c r="K692" s="502" t="s">
        <v>2123</v>
      </c>
      <c r="L692" s="502" t="s">
        <v>2124</v>
      </c>
      <c r="M692" s="502" t="s">
        <v>2125</v>
      </c>
      <c r="N692" s="500"/>
      <c r="O692" s="501" t="s">
        <v>0</v>
      </c>
      <c r="P692" s="501" t="s">
        <v>1</v>
      </c>
    </row>
    <row r="693" spans="2:16" s="498" customFormat="1" ht="0.65" hidden="1" customHeight="1">
      <c r="B693" s="499">
        <v>4008</v>
      </c>
      <c r="E693" s="499"/>
      <c r="G693" s="499">
        <v>4008</v>
      </c>
      <c r="H693" s="503">
        <v>2022</v>
      </c>
      <c r="I693" s="500">
        <v>7500</v>
      </c>
      <c r="J693" s="500">
        <v>0</v>
      </c>
      <c r="K693" s="500">
        <v>0</v>
      </c>
      <c r="L693" s="500">
        <v>7500</v>
      </c>
      <c r="M693" s="500">
        <v>7500</v>
      </c>
      <c r="N693" s="504"/>
      <c r="O693" s="503">
        <v>2022</v>
      </c>
      <c r="P693" s="500">
        <v>-257500</v>
      </c>
    </row>
    <row r="694" spans="2:16" s="498" customFormat="1" ht="0.65" hidden="1" customHeight="1">
      <c r="B694" s="499">
        <v>4009</v>
      </c>
      <c r="E694" s="499"/>
      <c r="G694" s="499">
        <v>4009</v>
      </c>
      <c r="H694" s="503">
        <v>2023</v>
      </c>
      <c r="I694" s="500">
        <v>7575</v>
      </c>
      <c r="J694" s="500">
        <v>17998.75</v>
      </c>
      <c r="K694" s="500">
        <v>15276.25</v>
      </c>
      <c r="L694" s="500">
        <v>10297.5</v>
      </c>
      <c r="M694" s="500">
        <v>2797.5</v>
      </c>
      <c r="N694" s="500"/>
      <c r="O694" s="503">
        <v>2023</v>
      </c>
      <c r="P694" s="500">
        <v>76680</v>
      </c>
    </row>
    <row r="695" spans="2:16" s="498" customFormat="1" ht="0.65" hidden="1" customHeight="1">
      <c r="B695" s="499">
        <v>4010</v>
      </c>
      <c r="C695" s="498">
        <v>170000</v>
      </c>
      <c r="E695" s="499"/>
      <c r="G695" s="499">
        <v>4010</v>
      </c>
      <c r="H695" s="503">
        <v>2024</v>
      </c>
      <c r="I695" s="500">
        <v>7650.75</v>
      </c>
      <c r="J695" s="500">
        <v>18898.6875</v>
      </c>
      <c r="K695" s="500">
        <v>15429.012500000001</v>
      </c>
      <c r="L695" s="500">
        <v>11120.424999999999</v>
      </c>
      <c r="M695" s="500">
        <v>822.92499999999927</v>
      </c>
      <c r="N695" s="500"/>
      <c r="O695" s="503">
        <v>2024</v>
      </c>
      <c r="P695" s="500">
        <v>84372.349999999991</v>
      </c>
    </row>
    <row r="696" spans="2:16" s="498" customFormat="1" ht="0.65" hidden="1" customHeight="1">
      <c r="B696" s="499">
        <v>4011</v>
      </c>
      <c r="C696" s="498">
        <v>75000</v>
      </c>
      <c r="E696" s="499"/>
      <c r="G696" s="499">
        <v>4011</v>
      </c>
      <c r="H696" s="503">
        <v>2025</v>
      </c>
      <c r="I696" s="500">
        <v>7727.2574999999997</v>
      </c>
      <c r="J696" s="500">
        <v>19843.621875000001</v>
      </c>
      <c r="K696" s="500">
        <v>15583.302625</v>
      </c>
      <c r="L696" s="500">
        <v>11987.57675</v>
      </c>
      <c r="M696" s="500">
        <v>867.1517500000009</v>
      </c>
      <c r="N696" s="500"/>
      <c r="O696" s="503">
        <v>2025</v>
      </c>
      <c r="P696" s="500">
        <v>175098.99025000003</v>
      </c>
    </row>
    <row r="697" spans="2:16" s="498" customFormat="1" ht="0.65" hidden="1" customHeight="1">
      <c r="B697" s="499">
        <v>4012</v>
      </c>
      <c r="E697" s="499"/>
      <c r="G697" s="499">
        <v>4012</v>
      </c>
    </row>
    <row r="698" spans="2:16" s="498" customFormat="1" ht="0.65" hidden="1" customHeight="1">
      <c r="B698" s="499">
        <v>4013</v>
      </c>
      <c r="C698" s="498">
        <v>30</v>
      </c>
      <c r="E698" s="499"/>
      <c r="G698" s="499">
        <v>4013</v>
      </c>
      <c r="O698" s="500" t="s">
        <v>13</v>
      </c>
      <c r="P698" s="501">
        <v>32310.535585985519</v>
      </c>
    </row>
    <row r="699" spans="2:16" s="498" customFormat="1" ht="0.65" hidden="1" customHeight="1">
      <c r="B699" s="499">
        <v>4014</v>
      </c>
      <c r="C699" s="498">
        <v>60</v>
      </c>
      <c r="E699" s="499"/>
      <c r="G699" s="499">
        <v>4014</v>
      </c>
      <c r="H699" s="505" t="s">
        <v>490</v>
      </c>
      <c r="I699" s="500">
        <v>257500</v>
      </c>
      <c r="O699" s="498" t="s">
        <v>28</v>
      </c>
      <c r="P699" s="506">
        <v>0.12559654408286436</v>
      </c>
    </row>
    <row r="700" spans="2:16" s="498" customFormat="1" ht="0.65" hidden="1" customHeight="1">
      <c r="B700" s="499">
        <v>4015</v>
      </c>
      <c r="E700" s="499"/>
      <c r="G700" s="499">
        <v>4015</v>
      </c>
      <c r="H700" s="505" t="s">
        <v>2168</v>
      </c>
      <c r="I700" s="500">
        <v>72758.4375</v>
      </c>
      <c r="K700" s="505" t="s">
        <v>124</v>
      </c>
      <c r="L700" s="506">
        <v>3.5000000000000003E-2</v>
      </c>
    </row>
    <row r="701" spans="2:16" s="498" customFormat="1" ht="0.65" hidden="1" customHeight="1">
      <c r="B701" s="499">
        <v>4016</v>
      </c>
      <c r="E701" s="499"/>
      <c r="G701" s="499">
        <v>4016</v>
      </c>
      <c r="H701" s="505" t="s">
        <v>2169</v>
      </c>
      <c r="I701" s="500">
        <v>11987.57675</v>
      </c>
      <c r="K701" s="505" t="s">
        <v>125</v>
      </c>
      <c r="L701" s="506">
        <v>0.1</v>
      </c>
    </row>
    <row r="702" spans="2:16" s="498" customFormat="1" ht="0.65" hidden="1" customHeight="1">
      <c r="B702" s="499">
        <v>4017</v>
      </c>
      <c r="C702" s="498">
        <v>7500</v>
      </c>
      <c r="E702" s="499"/>
      <c r="G702" s="499">
        <v>4017</v>
      </c>
      <c r="H702" s="505" t="s">
        <v>2170</v>
      </c>
      <c r="I702" s="500">
        <v>84746.014250000007</v>
      </c>
      <c r="K702" s="505" t="s">
        <v>126</v>
      </c>
      <c r="L702" s="506">
        <v>6.7500000000000004E-2</v>
      </c>
    </row>
    <row r="703" spans="2:16" s="498" customFormat="1" ht="0.65" hidden="1" customHeight="1">
      <c r="B703" s="499">
        <v>4018</v>
      </c>
      <c r="C703" s="498">
        <v>0.1</v>
      </c>
      <c r="E703" s="499"/>
    </row>
    <row r="704" spans="2:16" s="498" customFormat="1" ht="0.65" hidden="1" customHeight="1">
      <c r="B704" s="499">
        <v>4019</v>
      </c>
      <c r="E704" s="499"/>
    </row>
    <row r="705" spans="2:16" s="498" customFormat="1" ht="0.65" hidden="1" customHeight="1">
      <c r="B705" s="499">
        <v>4020</v>
      </c>
      <c r="E705" s="499"/>
      <c r="H705" s="499"/>
      <c r="I705" s="499"/>
      <c r="J705" s="499"/>
      <c r="K705" s="499"/>
      <c r="L705" s="499"/>
      <c r="M705" s="499"/>
      <c r="N705" s="499"/>
      <c r="O705" s="499"/>
      <c r="P705" s="499"/>
    </row>
    <row r="706" spans="2:16" s="498" customFormat="1" ht="0.65" hidden="1" customHeight="1">
      <c r="B706" s="499">
        <v>4021</v>
      </c>
      <c r="C706" s="498">
        <v>0.21</v>
      </c>
      <c r="E706" s="499"/>
      <c r="H706" s="499"/>
      <c r="I706" s="499"/>
      <c r="J706" s="499"/>
      <c r="K706" s="499"/>
      <c r="L706" s="499"/>
      <c r="M706" s="499"/>
      <c r="N706" s="499"/>
      <c r="O706" s="499"/>
      <c r="P706" s="499"/>
    </row>
    <row r="707" spans="2:16" s="498" customFormat="1" ht="0.65" hidden="1" customHeight="1">
      <c r="B707" s="499">
        <v>4022</v>
      </c>
      <c r="C707" s="498">
        <v>0.3</v>
      </c>
      <c r="E707" s="499"/>
      <c r="H707" s="499"/>
      <c r="I707" s="499"/>
      <c r="J707" s="499"/>
      <c r="K707" s="499"/>
      <c r="L707" s="499"/>
      <c r="M707" s="499"/>
      <c r="N707" s="499"/>
      <c r="O707" s="499"/>
      <c r="P707" s="499"/>
    </row>
    <row r="708" spans="2:16" s="498" customFormat="1" ht="0.65" hidden="1" customHeight="1">
      <c r="B708" s="499">
        <v>4023</v>
      </c>
      <c r="E708" s="499"/>
      <c r="H708" s="499"/>
      <c r="I708" s="499"/>
      <c r="J708" s="499"/>
      <c r="K708" s="499"/>
      <c r="L708" s="499"/>
      <c r="M708" s="499"/>
      <c r="N708" s="499"/>
      <c r="O708" s="499"/>
      <c r="P708" s="499"/>
    </row>
    <row r="709" spans="2:16" s="498" customFormat="1" ht="0.65" hidden="1" customHeight="1">
      <c r="B709" s="499">
        <v>4024</v>
      </c>
      <c r="E709" s="499"/>
      <c r="H709" s="499"/>
      <c r="I709" s="499"/>
      <c r="J709" s="499"/>
      <c r="K709" s="499"/>
      <c r="L709" s="499"/>
      <c r="M709" s="499"/>
      <c r="N709" s="499"/>
      <c r="O709" s="499"/>
      <c r="P709" s="499"/>
    </row>
    <row r="710" spans="2:16" s="498" customFormat="1" ht="0.65" hidden="1" customHeight="1">
      <c r="B710" s="499">
        <v>4025</v>
      </c>
      <c r="E710" s="499"/>
      <c r="H710" s="499"/>
      <c r="I710" s="499"/>
      <c r="J710" s="499"/>
      <c r="K710" s="499"/>
      <c r="L710" s="499"/>
      <c r="M710" s="499"/>
      <c r="N710" s="499"/>
      <c r="O710" s="499"/>
      <c r="P710" s="499"/>
    </row>
    <row r="711" spans="2:16" s="498" customFormat="1" ht="0.65" hidden="1" customHeight="1">
      <c r="B711" s="499">
        <v>4026</v>
      </c>
      <c r="C711" s="498">
        <v>250000</v>
      </c>
      <c r="E711" s="499"/>
      <c r="H711" s="499"/>
      <c r="I711" s="499"/>
      <c r="J711" s="499"/>
      <c r="K711" s="499"/>
      <c r="L711" s="499"/>
      <c r="M711" s="499"/>
      <c r="N711" s="499"/>
      <c r="O711" s="499"/>
      <c r="P711" s="499"/>
    </row>
    <row r="712" spans="2:16" s="498" customFormat="1" ht="0.65" hidden="1" customHeight="1">
      <c r="B712" s="499">
        <v>4027</v>
      </c>
      <c r="C712" s="498">
        <v>350000.00000000006</v>
      </c>
      <c r="E712" s="499"/>
      <c r="H712" s="499"/>
      <c r="I712" s="499"/>
      <c r="J712" s="499"/>
      <c r="K712" s="499"/>
      <c r="L712" s="499"/>
      <c r="M712" s="499"/>
      <c r="N712" s="499"/>
      <c r="O712" s="499"/>
      <c r="P712" s="499"/>
    </row>
    <row r="713" spans="2:16" s="498" customFormat="1" ht="0.65" hidden="1" customHeight="1">
      <c r="B713" s="499">
        <v>4028</v>
      </c>
      <c r="C713" s="498">
        <v>0.03</v>
      </c>
      <c r="E713" s="499"/>
      <c r="H713" s="499"/>
      <c r="I713" s="501"/>
      <c r="J713" s="499"/>
      <c r="K713" s="499"/>
      <c r="L713" s="501"/>
      <c r="M713" s="499"/>
      <c r="N713" s="499"/>
      <c r="O713" s="499"/>
      <c r="P713" s="499"/>
    </row>
    <row r="714" spans="2:16" s="498" customFormat="1" ht="0.65" hidden="1" customHeight="1">
      <c r="B714" s="499">
        <v>4029</v>
      </c>
      <c r="C714" s="498">
        <v>5000000</v>
      </c>
      <c r="E714" s="499"/>
      <c r="H714" s="499"/>
      <c r="I714" s="499"/>
      <c r="J714" s="499"/>
      <c r="K714" s="499"/>
      <c r="L714" s="501"/>
      <c r="M714" s="501"/>
      <c r="N714" s="501"/>
      <c r="O714" s="499"/>
      <c r="P714" s="499"/>
    </row>
    <row r="715" spans="2:16" s="498" customFormat="1" ht="0.65" hidden="1" customHeight="1">
      <c r="B715" s="499">
        <v>4030</v>
      </c>
      <c r="C715" s="498">
        <v>5000000</v>
      </c>
      <c r="E715" s="499"/>
      <c r="H715" s="499"/>
      <c r="I715" s="499"/>
      <c r="J715" s="499"/>
      <c r="K715" s="499"/>
      <c r="L715" s="501"/>
      <c r="M715" s="501"/>
      <c r="N715" s="501"/>
      <c r="O715" s="499"/>
      <c r="P715" s="499"/>
    </row>
    <row r="716" spans="2:16" s="498" customFormat="1" ht="0.65" hidden="1" customHeight="1">
      <c r="B716" s="499">
        <v>4031</v>
      </c>
      <c r="E716" s="499"/>
      <c r="H716" s="499"/>
      <c r="I716" s="499"/>
      <c r="J716" s="499"/>
      <c r="K716" s="499"/>
      <c r="L716" s="501"/>
      <c r="M716" s="499"/>
      <c r="N716" s="499"/>
      <c r="O716" s="499"/>
      <c r="P716" s="499"/>
    </row>
    <row r="717" spans="2:16" s="498" customFormat="1" ht="0.65" hidden="1" customHeight="1">
      <c r="B717" s="499">
        <v>4032</v>
      </c>
      <c r="E717" s="499"/>
      <c r="H717" s="499"/>
      <c r="I717" s="499"/>
      <c r="J717" s="499"/>
      <c r="K717" s="499"/>
      <c r="L717" s="499"/>
      <c r="M717" s="499"/>
      <c r="N717" s="499"/>
      <c r="O717" s="499"/>
      <c r="P717" s="499"/>
    </row>
    <row r="718" spans="2:16" s="498" customFormat="1" ht="0.65" hidden="1" customHeight="1">
      <c r="B718" s="499">
        <v>4033</v>
      </c>
      <c r="C718" s="498">
        <v>0.05</v>
      </c>
      <c r="E718" s="499"/>
      <c r="H718" s="499"/>
      <c r="I718" s="499"/>
      <c r="J718" s="499"/>
      <c r="K718" s="499"/>
      <c r="L718" s="499"/>
      <c r="M718" s="499"/>
      <c r="N718" s="499"/>
      <c r="O718" s="499"/>
      <c r="P718" s="499"/>
    </row>
    <row r="719" spans="2:16" s="498" customFormat="1" ht="0.65" hidden="1" customHeight="1">
      <c r="B719" s="499">
        <v>4034</v>
      </c>
      <c r="C719" s="498">
        <v>0.01</v>
      </c>
      <c r="E719" s="499"/>
      <c r="H719" s="499"/>
      <c r="I719" s="499"/>
      <c r="J719" s="499"/>
      <c r="K719" s="499"/>
      <c r="L719" s="499"/>
      <c r="M719" s="499"/>
      <c r="N719" s="499"/>
      <c r="O719" s="499"/>
      <c r="P719" s="499"/>
    </row>
    <row r="720" spans="2:16" s="498" customFormat="1" ht="0.65" hidden="1" customHeight="1">
      <c r="B720" s="499">
        <v>4035</v>
      </c>
      <c r="C720" s="498">
        <v>0.05</v>
      </c>
      <c r="E720" s="499"/>
      <c r="H720" s="499"/>
      <c r="I720" s="499"/>
      <c r="J720" s="499"/>
      <c r="K720" s="499"/>
      <c r="L720" s="499"/>
      <c r="M720" s="499"/>
      <c r="N720" s="499"/>
      <c r="O720" s="499"/>
      <c r="P720" s="499"/>
    </row>
    <row r="721" spans="2:16" s="498" customFormat="1" ht="0.65" hidden="1" customHeight="1">
      <c r="B721" s="499">
        <v>4036</v>
      </c>
      <c r="C721" s="498">
        <v>0.02</v>
      </c>
      <c r="E721" s="499"/>
      <c r="H721" s="499"/>
      <c r="I721" s="499"/>
      <c r="J721" s="499"/>
      <c r="K721" s="499"/>
      <c r="L721" s="499"/>
      <c r="M721" s="499"/>
      <c r="N721" s="499"/>
      <c r="O721" s="499"/>
      <c r="P721" s="499"/>
    </row>
    <row r="722" spans="2:16" s="498" customFormat="1" ht="0.65" hidden="1" customHeight="1">
      <c r="B722" s="499">
        <v>4037</v>
      </c>
      <c r="E722" s="499"/>
    </row>
    <row r="723" spans="2:16" s="498" customFormat="1" ht="0.65" hidden="1" customHeight="1">
      <c r="B723" s="499">
        <v>4038</v>
      </c>
      <c r="E723" s="499"/>
    </row>
    <row r="724" spans="2:16" s="498" customFormat="1" ht="0.65" hidden="1" customHeight="1">
      <c r="B724" s="499">
        <v>4039</v>
      </c>
      <c r="D724" s="507"/>
      <c r="E724" s="499"/>
    </row>
    <row r="725" spans="2:16" s="498" customFormat="1" ht="0.65" hidden="1" customHeight="1">
      <c r="B725" s="499">
        <v>4040</v>
      </c>
      <c r="D725" s="507"/>
      <c r="E725" s="499"/>
      <c r="K725" s="508"/>
    </row>
    <row r="726" spans="2:16" s="498" customFormat="1" ht="0.65" hidden="1" customHeight="1">
      <c r="B726" s="499">
        <v>4041</v>
      </c>
      <c r="K726" s="508"/>
    </row>
    <row r="727" spans="2:16" s="498" customFormat="1" ht="0.65" hidden="1" customHeight="1">
      <c r="B727" s="499">
        <v>4042</v>
      </c>
      <c r="K727" s="508"/>
    </row>
    <row r="728" spans="2:16" s="498" customFormat="1" ht="0.65" hidden="1" customHeight="1">
      <c r="B728" s="499">
        <v>4043</v>
      </c>
    </row>
    <row r="729" spans="2:16" s="498" customFormat="1" ht="0.65" hidden="1" customHeight="1">
      <c r="B729" s="499">
        <v>4044</v>
      </c>
      <c r="C729" s="509">
        <v>2023</v>
      </c>
      <c r="D729" s="509"/>
      <c r="E729" s="499"/>
    </row>
    <row r="730" spans="2:16" s="498" customFormat="1" ht="0.65" hidden="1" customHeight="1">
      <c r="B730" s="499">
        <v>4045</v>
      </c>
      <c r="C730" s="509">
        <v>2024</v>
      </c>
      <c r="E730" s="499"/>
    </row>
    <row r="731" spans="2:16" s="498" customFormat="1" ht="0.65" hidden="1" customHeight="1">
      <c r="B731" s="499">
        <v>4046</v>
      </c>
      <c r="C731" s="509">
        <v>2025</v>
      </c>
      <c r="E731" s="499"/>
    </row>
    <row r="732" spans="2:16" s="498" customFormat="1" ht="0.65" hidden="1" customHeight="1">
      <c r="B732" s="499">
        <v>4047</v>
      </c>
    </row>
    <row r="733" spans="2:16" s="498" customFormat="1" ht="0.65" hidden="1" customHeight="1">
      <c r="B733" s="499">
        <v>4048</v>
      </c>
    </row>
    <row r="734" spans="2:16" s="498" customFormat="1" ht="0.65" hidden="1" customHeight="1">
      <c r="B734" s="499">
        <v>4049</v>
      </c>
    </row>
    <row r="735" spans="2:16" s="498" customFormat="1" ht="0.65" hidden="1" customHeight="1">
      <c r="B735" s="499">
        <v>4050</v>
      </c>
      <c r="C735" s="498">
        <v>2022</v>
      </c>
      <c r="E735" s="499"/>
    </row>
    <row r="736" spans="2:16" s="498" customFormat="1" ht="0.65" hidden="1" customHeight="1">
      <c r="B736" s="499">
        <v>4051</v>
      </c>
      <c r="C736" s="509">
        <v>2023</v>
      </c>
      <c r="E736" s="499"/>
    </row>
    <row r="737" spans="2:5" s="498" customFormat="1" ht="0.65" hidden="1" customHeight="1">
      <c r="B737" s="499">
        <v>4052</v>
      </c>
      <c r="C737" s="509">
        <v>2024</v>
      </c>
      <c r="E737" s="499"/>
    </row>
    <row r="738" spans="2:5" s="498" customFormat="1" ht="0.65" hidden="1" customHeight="1">
      <c r="B738" s="499">
        <v>4053</v>
      </c>
      <c r="C738" s="509">
        <v>2025</v>
      </c>
      <c r="E738" s="499"/>
    </row>
    <row r="739" spans="2:5" s="498" customFormat="1" ht="0.65" hidden="1" customHeight="1">
      <c r="B739" s="499">
        <v>4054</v>
      </c>
    </row>
    <row r="740" spans="2:5" s="498" customFormat="1" ht="0.65" hidden="1" customHeight="1">
      <c r="B740" s="499">
        <v>4055</v>
      </c>
      <c r="C740" s="498">
        <v>2022</v>
      </c>
      <c r="D740" s="509"/>
      <c r="E740" s="499"/>
    </row>
    <row r="741" spans="2:5" s="498" customFormat="1" ht="0.65" hidden="1" customHeight="1">
      <c r="B741" s="499">
        <v>4056</v>
      </c>
      <c r="C741" s="509">
        <v>2023</v>
      </c>
      <c r="E741" s="499"/>
    </row>
    <row r="742" spans="2:5" s="498" customFormat="1" ht="0.65" hidden="1" customHeight="1">
      <c r="B742" s="499">
        <v>4057</v>
      </c>
      <c r="C742" s="509">
        <v>2024</v>
      </c>
      <c r="E742" s="499"/>
    </row>
    <row r="743" spans="2:5" s="498" customFormat="1" ht="0.65" hidden="1" customHeight="1">
      <c r="B743" s="499">
        <v>4058</v>
      </c>
      <c r="C743" s="509">
        <v>2025</v>
      </c>
      <c r="E743" s="499"/>
    </row>
    <row r="744" spans="2:5" s="498" customFormat="1" ht="0.65" hidden="1" customHeight="1"/>
    <row r="745" spans="2:5" s="498" customFormat="1" ht="0.65" hidden="1" customHeight="1"/>
    <row r="746" spans="2:5" s="498" customFormat="1" ht="0.65" hidden="1" customHeight="1"/>
    <row r="747" spans="2:5" s="498" customFormat="1" ht="0.65" hidden="1" customHeight="1"/>
    <row r="748" spans="2:5" s="498" customFormat="1" ht="0.65" hidden="1" customHeight="1"/>
    <row r="749" spans="2:5" s="498" customFormat="1" ht="0.65" hidden="1" customHeight="1"/>
    <row r="750" spans="2:5" s="498" customFormat="1" ht="0.65" hidden="1" customHeight="1"/>
    <row r="751" spans="2:5" s="498" customFormat="1" ht="0.65" hidden="1" customHeight="1"/>
    <row r="752" spans="2:5" s="498" customFormat="1" ht="0.65" hidden="1" customHeight="1"/>
    <row r="753" spans="21:39" s="498" customFormat="1" ht="0.65" hidden="1" customHeight="1"/>
    <row r="754" spans="21:39" s="498" customFormat="1" ht="0.65" hidden="1" customHeight="1"/>
    <row r="755" spans="21:39" s="498" customFormat="1" ht="0.65" hidden="1" customHeight="1"/>
    <row r="756" spans="21:39" s="498" customFormat="1" ht="0.65" hidden="1" customHeight="1"/>
    <row r="757" spans="21:39" s="498" customFormat="1" ht="0.65" hidden="1" customHeight="1"/>
    <row r="758" spans="21:39" s="498" customFormat="1" ht="0.65" hidden="1" customHeight="1"/>
    <row r="759" spans="21:39" s="498" customFormat="1" ht="0.65" hidden="1" customHeight="1"/>
    <row r="760" spans="21:39" s="498" customFormat="1" ht="0.65" hidden="1" customHeight="1"/>
    <row r="761" spans="21:39" s="498" customFormat="1" ht="0.65" hidden="1" customHeight="1"/>
    <row r="762" spans="21:39" s="498" customFormat="1" ht="0.65" hidden="1" customHeight="1"/>
    <row r="763" spans="21:39" s="498" customFormat="1" ht="0.65" hidden="1" customHeight="1"/>
    <row r="764" spans="21:39" s="498" customFormat="1" ht="0.65" hidden="1" customHeight="1"/>
    <row r="765" spans="21:39" s="498" customFormat="1" ht="0.65" hidden="1" customHeight="1">
      <c r="U765" s="499">
        <v>1</v>
      </c>
      <c r="V765" s="499"/>
      <c r="W765" s="499"/>
      <c r="X765" s="499"/>
      <c r="Y765" s="499">
        <v>1</v>
      </c>
      <c r="Z765" s="499"/>
      <c r="AA765" s="499"/>
      <c r="AB765" s="499"/>
      <c r="AC765" s="499"/>
      <c r="AD765" s="499"/>
      <c r="AE765" s="499">
        <v>1</v>
      </c>
      <c r="AF765" s="499">
        <v>2</v>
      </c>
      <c r="AG765" s="499">
        <v>3</v>
      </c>
      <c r="AH765" s="499">
        <v>4</v>
      </c>
      <c r="AI765" s="499">
        <v>5</v>
      </c>
      <c r="AJ765" s="499">
        <v>6</v>
      </c>
      <c r="AK765" s="499">
        <v>7</v>
      </c>
      <c r="AL765" s="499">
        <v>8</v>
      </c>
      <c r="AM765" s="499">
        <v>9</v>
      </c>
    </row>
    <row r="766" spans="21:39" s="498" customFormat="1" ht="0.65" hidden="1" customHeight="1"/>
    <row r="767" spans="21:39" s="498" customFormat="1" ht="0.65" hidden="1" customHeight="1"/>
    <row r="768" spans="21:39" s="498" customFormat="1" ht="0.65" hidden="1" customHeight="1"/>
    <row r="769" spans="21:39" s="498" customFormat="1" ht="0.65" hidden="1" customHeight="1">
      <c r="U769" s="499">
        <v>4001</v>
      </c>
      <c r="Y769" s="500">
        <v>178500</v>
      </c>
      <c r="Z769" s="500"/>
      <c r="AB769" s="500"/>
      <c r="AF769" s="498" t="s">
        <v>2171</v>
      </c>
      <c r="AG769" s="498">
        <v>1</v>
      </c>
      <c r="AH769" s="498" t="s">
        <v>2171</v>
      </c>
      <c r="AI769" s="498" t="s">
        <v>2172</v>
      </c>
      <c r="AJ769" s="500">
        <v>178500</v>
      </c>
      <c r="AL769" s="498" t="s">
        <v>2464</v>
      </c>
      <c r="AM769" s="498" t="s">
        <v>2174</v>
      </c>
    </row>
    <row r="770" spans="21:39" s="498" customFormat="1" ht="0.65" hidden="1" customHeight="1">
      <c r="U770" s="499">
        <v>4002</v>
      </c>
      <c r="Y770" s="500">
        <v>187425</v>
      </c>
      <c r="Z770" s="500"/>
      <c r="AB770" s="500"/>
      <c r="AF770" s="498" t="s">
        <v>2175</v>
      </c>
      <c r="AG770" s="498">
        <v>2</v>
      </c>
      <c r="AH770" s="498" t="s">
        <v>2175</v>
      </c>
      <c r="AI770" s="498" t="s">
        <v>2176</v>
      </c>
      <c r="AJ770" s="500">
        <v>187425</v>
      </c>
      <c r="AL770" s="498" t="s">
        <v>2465</v>
      </c>
      <c r="AM770" s="498" t="s">
        <v>2174</v>
      </c>
    </row>
    <row r="771" spans="21:39" s="498" customFormat="1" ht="0.65" hidden="1" customHeight="1">
      <c r="U771" s="499">
        <v>4003</v>
      </c>
      <c r="Y771" s="500">
        <v>196796.25000000003</v>
      </c>
      <c r="Z771" s="500"/>
      <c r="AB771" s="500"/>
      <c r="AF771" s="498" t="s">
        <v>2178</v>
      </c>
      <c r="AG771" s="498">
        <v>3</v>
      </c>
      <c r="AH771" s="498" t="s">
        <v>2178</v>
      </c>
      <c r="AI771" s="498" t="s">
        <v>2179</v>
      </c>
      <c r="AJ771" s="500">
        <v>196796.25000000003</v>
      </c>
      <c r="AL771" s="498" t="s">
        <v>2466</v>
      </c>
      <c r="AM771" s="498" t="s">
        <v>2174</v>
      </c>
    </row>
    <row r="772" spans="21:39" s="498" customFormat="1" ht="0.65" hidden="1" customHeight="1">
      <c r="U772" s="499">
        <v>4004</v>
      </c>
      <c r="Y772" s="500">
        <v>75675</v>
      </c>
      <c r="Z772" s="500"/>
      <c r="AB772" s="500"/>
      <c r="AF772" s="498" t="s">
        <v>2181</v>
      </c>
      <c r="AG772" s="498">
        <v>4</v>
      </c>
      <c r="AH772" s="498" t="s">
        <v>2181</v>
      </c>
      <c r="AI772" s="498" t="s">
        <v>2182</v>
      </c>
      <c r="AJ772" s="500">
        <v>75675</v>
      </c>
      <c r="AL772" s="498" t="s">
        <v>2467</v>
      </c>
      <c r="AM772" s="498" t="s">
        <v>2184</v>
      </c>
    </row>
    <row r="773" spans="21:39" s="498" customFormat="1" ht="0.65" hidden="1" customHeight="1">
      <c r="U773" s="499">
        <v>4005</v>
      </c>
      <c r="Y773" s="500">
        <v>76431.75</v>
      </c>
      <c r="Z773" s="500"/>
      <c r="AB773" s="500"/>
      <c r="AF773" s="498" t="s">
        <v>2185</v>
      </c>
      <c r="AG773" s="498">
        <v>5</v>
      </c>
      <c r="AH773" s="498" t="s">
        <v>2185</v>
      </c>
      <c r="AI773" s="498" t="s">
        <v>2186</v>
      </c>
      <c r="AJ773" s="500">
        <v>76431.75</v>
      </c>
      <c r="AL773" s="498" t="s">
        <v>2468</v>
      </c>
      <c r="AM773" s="498" t="s">
        <v>2184</v>
      </c>
    </row>
    <row r="774" spans="21:39" s="498" customFormat="1" ht="0.65" hidden="1" customHeight="1">
      <c r="U774" s="499">
        <v>4006</v>
      </c>
      <c r="Y774" s="500">
        <v>77196.067500000005</v>
      </c>
      <c r="Z774" s="500"/>
      <c r="AB774" s="500"/>
      <c r="AF774" s="498" t="s">
        <v>2188</v>
      </c>
      <c r="AG774" s="498">
        <v>6</v>
      </c>
      <c r="AH774" s="498" t="s">
        <v>2188</v>
      </c>
      <c r="AI774" s="498" t="s">
        <v>2189</v>
      </c>
      <c r="AJ774" s="500">
        <v>77196.067500000005</v>
      </c>
      <c r="AL774" s="498" t="s">
        <v>2469</v>
      </c>
      <c r="AM774" s="498" t="s">
        <v>2184</v>
      </c>
    </row>
    <row r="775" spans="21:39" s="498" customFormat="1" ht="0.65" hidden="1" customHeight="1">
      <c r="U775" s="499">
        <v>4007</v>
      </c>
      <c r="Y775" s="500">
        <v>25000</v>
      </c>
      <c r="Z775" s="500"/>
      <c r="AB775" s="500"/>
      <c r="AF775" s="498" t="s">
        <v>2191</v>
      </c>
      <c r="AG775" s="498">
        <v>7</v>
      </c>
      <c r="AH775" s="498" t="s">
        <v>2191</v>
      </c>
      <c r="AI775" s="498" t="s">
        <v>2192</v>
      </c>
      <c r="AJ775" s="500">
        <v>25000</v>
      </c>
      <c r="AL775" s="498" t="s">
        <v>2470</v>
      </c>
      <c r="AM775" s="498" t="s">
        <v>2194</v>
      </c>
    </row>
    <row r="776" spans="21:39" s="498" customFormat="1" ht="0.65" hidden="1" customHeight="1">
      <c r="U776" s="499">
        <v>4008</v>
      </c>
      <c r="Y776" s="500">
        <v>25000</v>
      </c>
      <c r="Z776" s="500"/>
      <c r="AB776" s="500"/>
      <c r="AF776" s="498" t="s">
        <v>2195</v>
      </c>
      <c r="AG776" s="498">
        <v>8</v>
      </c>
      <c r="AH776" s="498" t="s">
        <v>2195</v>
      </c>
      <c r="AI776" s="498" t="s">
        <v>2196</v>
      </c>
      <c r="AJ776" s="500">
        <v>25000</v>
      </c>
      <c r="AL776" s="498" t="s">
        <v>2471</v>
      </c>
      <c r="AM776" s="498" t="s">
        <v>2194</v>
      </c>
    </row>
    <row r="777" spans="21:39" s="498" customFormat="1" ht="0.65" hidden="1" customHeight="1">
      <c r="U777" s="499">
        <v>4009</v>
      </c>
      <c r="Y777" s="500">
        <v>25000</v>
      </c>
      <c r="Z777" s="500"/>
      <c r="AB777" s="500"/>
      <c r="AF777" s="498" t="s">
        <v>2198</v>
      </c>
      <c r="AG777" s="498">
        <v>9</v>
      </c>
      <c r="AH777" s="498" t="s">
        <v>2198</v>
      </c>
      <c r="AI777" s="498" t="s">
        <v>2199</v>
      </c>
      <c r="AJ777" s="500">
        <v>25000</v>
      </c>
      <c r="AL777" s="498" t="s">
        <v>2472</v>
      </c>
      <c r="AM777" s="498" t="s">
        <v>2194</v>
      </c>
    </row>
    <row r="778" spans="21:39" s="498" customFormat="1" ht="0.65" hidden="1" customHeight="1">
      <c r="U778" s="499">
        <v>4010</v>
      </c>
      <c r="Y778" s="500">
        <v>77825</v>
      </c>
      <c r="Z778" s="500"/>
      <c r="AB778" s="500"/>
      <c r="AF778" s="498" t="s">
        <v>2201</v>
      </c>
      <c r="AG778" s="498">
        <v>10</v>
      </c>
      <c r="AH778" s="498" t="s">
        <v>2201</v>
      </c>
      <c r="AI778" s="500" t="s">
        <v>2202</v>
      </c>
      <c r="AJ778" s="500">
        <v>77825</v>
      </c>
      <c r="AL778" s="500" t="s">
        <v>2473</v>
      </c>
      <c r="AM778" s="498" t="s">
        <v>2204</v>
      </c>
    </row>
    <row r="779" spans="21:39" s="498" customFormat="1" ht="0.65" hidden="1" customHeight="1">
      <c r="U779" s="499">
        <v>4011</v>
      </c>
      <c r="Y779" s="500">
        <v>85993.25</v>
      </c>
      <c r="Z779" s="500"/>
      <c r="AB779" s="500"/>
      <c r="AF779" s="498" t="s">
        <v>2205</v>
      </c>
      <c r="AG779" s="498">
        <v>11</v>
      </c>
      <c r="AH779" s="498" t="s">
        <v>2205</v>
      </c>
      <c r="AI779" s="500" t="s">
        <v>2206</v>
      </c>
      <c r="AJ779" s="500">
        <v>85993.25</v>
      </c>
      <c r="AL779" s="500" t="s">
        <v>2474</v>
      </c>
      <c r="AM779" s="498" t="s">
        <v>2204</v>
      </c>
    </row>
    <row r="780" spans="21:39" s="498" customFormat="1" ht="0.65" hidden="1" customHeight="1">
      <c r="U780" s="499">
        <v>4012</v>
      </c>
      <c r="Y780" s="500">
        <v>94600.182500000024</v>
      </c>
      <c r="Z780" s="500"/>
      <c r="AB780" s="500"/>
      <c r="AF780" s="498" t="s">
        <v>2208</v>
      </c>
      <c r="AG780" s="498">
        <v>12</v>
      </c>
      <c r="AH780" s="498" t="s">
        <v>2208</v>
      </c>
      <c r="AI780" s="500" t="s">
        <v>2209</v>
      </c>
      <c r="AJ780" s="500">
        <v>94600.182500000024</v>
      </c>
      <c r="AL780" s="500" t="s">
        <v>2475</v>
      </c>
      <c r="AM780" s="498" t="s">
        <v>2204</v>
      </c>
    </row>
    <row r="781" spans="21:39" s="498" customFormat="1" ht="0.65" hidden="1" customHeight="1">
      <c r="U781" s="499">
        <v>4013</v>
      </c>
      <c r="Y781" s="500">
        <v>23347.5</v>
      </c>
      <c r="Z781" s="500"/>
      <c r="AB781" s="500"/>
      <c r="AF781" s="498" t="s">
        <v>2211</v>
      </c>
      <c r="AG781" s="498">
        <v>13</v>
      </c>
      <c r="AH781" s="498" t="s">
        <v>2211</v>
      </c>
      <c r="AI781" s="498" t="s">
        <v>2212</v>
      </c>
      <c r="AJ781" s="500">
        <v>23347.5</v>
      </c>
      <c r="AL781" s="498" t="s">
        <v>2476</v>
      </c>
      <c r="AM781" s="498" t="s">
        <v>2214</v>
      </c>
    </row>
    <row r="782" spans="21:39" s="498" customFormat="1" ht="0.65" hidden="1" customHeight="1">
      <c r="U782" s="499">
        <v>4014</v>
      </c>
      <c r="Y782" s="500">
        <v>25797.974999999999</v>
      </c>
      <c r="Z782" s="500"/>
      <c r="AB782" s="500"/>
      <c r="AF782" s="498" t="s">
        <v>2215</v>
      </c>
      <c r="AG782" s="498">
        <v>14</v>
      </c>
      <c r="AH782" s="498" t="s">
        <v>2215</v>
      </c>
      <c r="AI782" s="498" t="s">
        <v>2216</v>
      </c>
      <c r="AJ782" s="500">
        <v>25797.974999999999</v>
      </c>
      <c r="AL782" s="498" t="s">
        <v>2477</v>
      </c>
      <c r="AM782" s="498" t="s">
        <v>2214</v>
      </c>
    </row>
    <row r="783" spans="21:39" s="498" customFormat="1" ht="0.65" hidden="1" customHeight="1">
      <c r="U783" s="499">
        <v>4015</v>
      </c>
      <c r="Y783" s="500">
        <v>28380.054750000007</v>
      </c>
      <c r="Z783" s="500"/>
      <c r="AB783" s="500"/>
      <c r="AF783" s="498" t="s">
        <v>2218</v>
      </c>
      <c r="AG783" s="498">
        <v>15</v>
      </c>
      <c r="AH783" s="498" t="s">
        <v>2218</v>
      </c>
      <c r="AI783" s="498" t="s">
        <v>2219</v>
      </c>
      <c r="AJ783" s="500">
        <v>28380.054750000007</v>
      </c>
      <c r="AL783" s="498" t="s">
        <v>2478</v>
      </c>
      <c r="AM783" s="498" t="s">
        <v>2214</v>
      </c>
    </row>
    <row r="784" spans="21:39" s="498" customFormat="1" ht="0.65" hidden="1" customHeight="1">
      <c r="U784" s="499">
        <v>4016</v>
      </c>
      <c r="Y784" s="500">
        <v>54477.5</v>
      </c>
      <c r="Z784" s="500"/>
      <c r="AB784" s="500"/>
      <c r="AF784" s="498" t="s">
        <v>2221</v>
      </c>
      <c r="AG784" s="498">
        <v>16</v>
      </c>
      <c r="AH784" s="498" t="s">
        <v>2221</v>
      </c>
      <c r="AI784" s="500" t="s">
        <v>2222</v>
      </c>
      <c r="AJ784" s="500">
        <v>54477.5</v>
      </c>
      <c r="AL784" s="500" t="s">
        <v>2479</v>
      </c>
      <c r="AM784" s="498" t="s">
        <v>2224</v>
      </c>
    </row>
    <row r="785" spans="21:39" s="498" customFormat="1" ht="0.65" hidden="1" customHeight="1">
      <c r="U785" s="499">
        <v>4017</v>
      </c>
      <c r="Y785" s="500">
        <v>60195.275000000001</v>
      </c>
      <c r="Z785" s="500"/>
      <c r="AB785" s="500"/>
      <c r="AF785" s="498" t="s">
        <v>2225</v>
      </c>
      <c r="AG785" s="498">
        <v>17</v>
      </c>
      <c r="AH785" s="498" t="s">
        <v>2225</v>
      </c>
      <c r="AI785" s="500" t="s">
        <v>2226</v>
      </c>
      <c r="AJ785" s="500">
        <v>60195.275000000001</v>
      </c>
      <c r="AL785" s="500" t="s">
        <v>2480</v>
      </c>
      <c r="AM785" s="498" t="s">
        <v>2224</v>
      </c>
    </row>
    <row r="786" spans="21:39" s="498" customFormat="1" ht="0.65" hidden="1" customHeight="1">
      <c r="U786" s="499">
        <v>4018</v>
      </c>
      <c r="Y786" s="500">
        <v>66220.127750000014</v>
      </c>
      <c r="Z786" s="500"/>
      <c r="AB786" s="500"/>
      <c r="AF786" s="498" t="s">
        <v>2228</v>
      </c>
      <c r="AG786" s="498">
        <v>18</v>
      </c>
      <c r="AH786" s="498" t="s">
        <v>2228</v>
      </c>
      <c r="AI786" s="500" t="s">
        <v>2229</v>
      </c>
      <c r="AJ786" s="500">
        <v>66220.127750000014</v>
      </c>
      <c r="AL786" s="500" t="s">
        <v>2481</v>
      </c>
      <c r="AM786" s="498" t="s">
        <v>2224</v>
      </c>
    </row>
    <row r="787" spans="21:39" s="498" customFormat="1" ht="0.65" hidden="1" customHeight="1">
      <c r="U787" s="499">
        <v>4019</v>
      </c>
      <c r="Y787" s="500">
        <v>79477.5</v>
      </c>
      <c r="Z787" s="500"/>
      <c r="AB787" s="500"/>
      <c r="AF787" s="498" t="s">
        <v>2231</v>
      </c>
      <c r="AG787" s="498">
        <v>19</v>
      </c>
      <c r="AH787" s="498" t="s">
        <v>2231</v>
      </c>
      <c r="AI787" s="500" t="s">
        <v>2232</v>
      </c>
      <c r="AJ787" s="500">
        <v>79477.5</v>
      </c>
      <c r="AL787" s="500" t="s">
        <v>2482</v>
      </c>
      <c r="AM787" s="498" t="s">
        <v>2234</v>
      </c>
    </row>
    <row r="788" spans="21:39" s="498" customFormat="1" ht="0.65" hidden="1" customHeight="1">
      <c r="U788" s="499">
        <v>4020</v>
      </c>
      <c r="Y788" s="500">
        <v>85195.274999999994</v>
      </c>
      <c r="Z788" s="500"/>
      <c r="AB788" s="500"/>
      <c r="AF788" s="498" t="s">
        <v>2235</v>
      </c>
      <c r="AG788" s="498">
        <v>20</v>
      </c>
      <c r="AH788" s="498" t="s">
        <v>2235</v>
      </c>
      <c r="AI788" s="500" t="s">
        <v>2236</v>
      </c>
      <c r="AJ788" s="500">
        <v>85195.274999999994</v>
      </c>
      <c r="AL788" s="500" t="s">
        <v>2483</v>
      </c>
      <c r="AM788" s="498" t="s">
        <v>2234</v>
      </c>
    </row>
    <row r="789" spans="21:39" s="498" customFormat="1" ht="0.65" hidden="1" customHeight="1">
      <c r="U789" s="499">
        <v>4021</v>
      </c>
      <c r="Y789" s="500">
        <v>91220.127750000014</v>
      </c>
      <c r="Z789" s="500"/>
      <c r="AB789" s="500"/>
      <c r="AF789" s="498" t="s">
        <v>2238</v>
      </c>
      <c r="AG789" s="498">
        <v>21</v>
      </c>
      <c r="AH789" s="498" t="s">
        <v>2238</v>
      </c>
      <c r="AI789" s="500" t="s">
        <v>2239</v>
      </c>
      <c r="AJ789" s="500">
        <v>91220.127750000014</v>
      </c>
      <c r="AL789" s="500" t="s">
        <v>2484</v>
      </c>
      <c r="AM789" s="498" t="s">
        <v>2234</v>
      </c>
    </row>
    <row r="790" spans="21:39" s="498" customFormat="1" ht="0.65" hidden="1" customHeight="1">
      <c r="U790" s="499">
        <v>4022</v>
      </c>
      <c r="Y790" s="500">
        <v>7500</v>
      </c>
      <c r="Z790" s="500"/>
      <c r="AB790" s="500"/>
      <c r="AF790" s="498" t="s">
        <v>2241</v>
      </c>
      <c r="AG790" s="498">
        <v>22</v>
      </c>
      <c r="AH790" s="498" t="s">
        <v>2241</v>
      </c>
      <c r="AI790" s="500" t="s">
        <v>2242</v>
      </c>
      <c r="AJ790" s="500">
        <v>7500</v>
      </c>
      <c r="AL790" s="500" t="s">
        <v>2485</v>
      </c>
      <c r="AM790" s="498" t="s">
        <v>2244</v>
      </c>
    </row>
    <row r="791" spans="21:39" s="498" customFormat="1" ht="0.65" hidden="1" customHeight="1">
      <c r="U791" s="499">
        <v>4023</v>
      </c>
      <c r="Y791" s="500">
        <v>7575</v>
      </c>
      <c r="Z791" s="500"/>
      <c r="AB791" s="500"/>
      <c r="AF791" s="498" t="s">
        <v>2245</v>
      </c>
      <c r="AG791" s="498">
        <v>23</v>
      </c>
      <c r="AH791" s="498" t="s">
        <v>2245</v>
      </c>
      <c r="AI791" s="498" t="s">
        <v>2246</v>
      </c>
      <c r="AJ791" s="500">
        <v>7575</v>
      </c>
      <c r="AL791" s="500" t="s">
        <v>2486</v>
      </c>
      <c r="AM791" s="498" t="s">
        <v>2248</v>
      </c>
    </row>
    <row r="792" spans="21:39" s="498" customFormat="1" ht="0.65" hidden="1" customHeight="1">
      <c r="U792" s="499">
        <v>4024</v>
      </c>
      <c r="Y792" s="500">
        <v>7650.75</v>
      </c>
      <c r="Z792" s="500"/>
      <c r="AB792" s="500"/>
      <c r="AF792" s="498" t="s">
        <v>2249</v>
      </c>
      <c r="AG792" s="498">
        <v>24</v>
      </c>
      <c r="AH792" s="498" t="s">
        <v>2249</v>
      </c>
      <c r="AI792" s="498" t="s">
        <v>2250</v>
      </c>
      <c r="AJ792" s="500">
        <v>7650.75</v>
      </c>
      <c r="AL792" s="500" t="s">
        <v>2487</v>
      </c>
      <c r="AM792" s="498" t="s">
        <v>2248</v>
      </c>
    </row>
    <row r="793" spans="21:39" s="498" customFormat="1" ht="0.65" hidden="1" customHeight="1">
      <c r="U793" s="499">
        <v>4025</v>
      </c>
      <c r="Y793" s="500">
        <v>7727.2574999999997</v>
      </c>
      <c r="Z793" s="500"/>
      <c r="AB793" s="500"/>
      <c r="AF793" s="498" t="s">
        <v>2252</v>
      </c>
      <c r="AG793" s="498">
        <v>25</v>
      </c>
      <c r="AH793" s="498" t="s">
        <v>2252</v>
      </c>
      <c r="AI793" s="498" t="s">
        <v>2253</v>
      </c>
      <c r="AJ793" s="500">
        <v>7727.2574999999997</v>
      </c>
      <c r="AL793" s="500" t="s">
        <v>2488</v>
      </c>
      <c r="AM793" s="498" t="s">
        <v>2248</v>
      </c>
    </row>
    <row r="794" spans="21:39" s="498" customFormat="1" ht="0.65" hidden="1" customHeight="1">
      <c r="U794" s="499">
        <v>4026</v>
      </c>
      <c r="Y794" s="500">
        <v>0</v>
      </c>
      <c r="Z794" s="500"/>
      <c r="AB794" s="500"/>
      <c r="AF794" s="498" t="s">
        <v>2255</v>
      </c>
      <c r="AG794" s="498">
        <v>26</v>
      </c>
      <c r="AH794" s="498" t="s">
        <v>2255</v>
      </c>
      <c r="AI794" s="498" t="s">
        <v>2256</v>
      </c>
      <c r="AJ794" s="500">
        <v>0</v>
      </c>
      <c r="AL794" s="498" t="s">
        <v>2257</v>
      </c>
      <c r="AM794" s="498" t="s">
        <v>2258</v>
      </c>
    </row>
    <row r="795" spans="21:39" s="498" customFormat="1" ht="0.65" hidden="1" customHeight="1">
      <c r="U795" s="499">
        <v>4027</v>
      </c>
      <c r="Y795" s="500">
        <v>17998.75</v>
      </c>
      <c r="Z795" s="500"/>
      <c r="AB795" s="500"/>
      <c r="AF795" s="498" t="s">
        <v>2259</v>
      </c>
      <c r="AG795" s="498">
        <v>27</v>
      </c>
      <c r="AH795" s="498" t="s">
        <v>2259</v>
      </c>
      <c r="AI795" s="498" t="s">
        <v>2260</v>
      </c>
      <c r="AJ795" s="500">
        <v>17998.75</v>
      </c>
      <c r="AL795" s="498" t="s">
        <v>2489</v>
      </c>
      <c r="AM795" s="498" t="s">
        <v>2262</v>
      </c>
    </row>
    <row r="796" spans="21:39" s="498" customFormat="1" ht="0.65" hidden="1" customHeight="1">
      <c r="U796" s="499">
        <v>4028</v>
      </c>
      <c r="Y796" s="500">
        <v>18898.6875</v>
      </c>
      <c r="Z796" s="500"/>
      <c r="AB796" s="500"/>
      <c r="AF796" s="498" t="s">
        <v>2263</v>
      </c>
      <c r="AG796" s="498">
        <v>28</v>
      </c>
      <c r="AH796" s="498" t="s">
        <v>2263</v>
      </c>
      <c r="AI796" s="498" t="s">
        <v>2264</v>
      </c>
      <c r="AJ796" s="500">
        <v>18898.6875</v>
      </c>
      <c r="AL796" s="498" t="s">
        <v>2490</v>
      </c>
      <c r="AM796" s="498" t="s">
        <v>2262</v>
      </c>
    </row>
    <row r="797" spans="21:39" s="498" customFormat="1" ht="0.65" hidden="1" customHeight="1">
      <c r="U797" s="499">
        <v>4029</v>
      </c>
      <c r="Y797" s="500">
        <v>19843.621875000001</v>
      </c>
      <c r="Z797" s="500"/>
      <c r="AB797" s="500"/>
      <c r="AF797" s="498" t="s">
        <v>2266</v>
      </c>
      <c r="AG797" s="498">
        <v>29</v>
      </c>
      <c r="AH797" s="498" t="s">
        <v>2266</v>
      </c>
      <c r="AI797" s="498" t="s">
        <v>2267</v>
      </c>
      <c r="AJ797" s="500">
        <v>19843.621875000001</v>
      </c>
      <c r="AL797" s="498" t="s">
        <v>2491</v>
      </c>
      <c r="AM797" s="498" t="s">
        <v>2262</v>
      </c>
    </row>
    <row r="798" spans="21:39" s="498" customFormat="1" ht="0.65" hidden="1" customHeight="1">
      <c r="U798" s="499">
        <v>4030</v>
      </c>
      <c r="Y798" s="500">
        <v>0</v>
      </c>
      <c r="Z798" s="500"/>
      <c r="AB798" s="500"/>
      <c r="AF798" s="498" t="s">
        <v>2269</v>
      </c>
      <c r="AG798" s="498">
        <v>30</v>
      </c>
      <c r="AH798" s="498" t="s">
        <v>2269</v>
      </c>
      <c r="AI798" s="498" t="s">
        <v>2270</v>
      </c>
      <c r="AJ798" s="500">
        <v>0</v>
      </c>
      <c r="AL798" s="498" t="s">
        <v>2271</v>
      </c>
      <c r="AM798" s="498" t="s">
        <v>2272</v>
      </c>
    </row>
    <row r="799" spans="21:39" s="498" customFormat="1" ht="0.65" hidden="1" customHeight="1">
      <c r="U799" s="499">
        <v>4031</v>
      </c>
      <c r="Y799" s="500">
        <v>15276.25</v>
      </c>
      <c r="Z799" s="500"/>
      <c r="AB799" s="500"/>
      <c r="AF799" s="498" t="s">
        <v>2273</v>
      </c>
      <c r="AG799" s="498">
        <v>31</v>
      </c>
      <c r="AH799" s="498" t="s">
        <v>2273</v>
      </c>
      <c r="AI799" s="498" t="s">
        <v>2274</v>
      </c>
      <c r="AJ799" s="500">
        <v>15276.25</v>
      </c>
      <c r="AL799" s="498" t="s">
        <v>2492</v>
      </c>
      <c r="AM799" s="498" t="s">
        <v>2276</v>
      </c>
    </row>
    <row r="800" spans="21:39" s="498" customFormat="1" ht="0.65" hidden="1" customHeight="1">
      <c r="U800" s="499">
        <v>4032</v>
      </c>
      <c r="Y800" s="500">
        <v>15429.012500000001</v>
      </c>
      <c r="Z800" s="500"/>
      <c r="AB800" s="500"/>
      <c r="AF800" s="498" t="s">
        <v>2277</v>
      </c>
      <c r="AG800" s="498">
        <v>32</v>
      </c>
      <c r="AH800" s="498" t="s">
        <v>2277</v>
      </c>
      <c r="AI800" s="498" t="s">
        <v>2278</v>
      </c>
      <c r="AJ800" s="500">
        <v>15429.012500000001</v>
      </c>
      <c r="AL800" s="498" t="s">
        <v>2493</v>
      </c>
      <c r="AM800" s="498" t="s">
        <v>2276</v>
      </c>
    </row>
    <row r="801" spans="21:39" s="498" customFormat="1" ht="0.65" hidden="1" customHeight="1">
      <c r="U801" s="499">
        <v>4033</v>
      </c>
      <c r="Y801" s="500">
        <v>15583.302625</v>
      </c>
      <c r="Z801" s="500"/>
      <c r="AB801" s="500"/>
      <c r="AF801" s="498" t="s">
        <v>2280</v>
      </c>
      <c r="AG801" s="498">
        <v>33</v>
      </c>
      <c r="AH801" s="498" t="s">
        <v>2280</v>
      </c>
      <c r="AI801" s="498" t="s">
        <v>2281</v>
      </c>
      <c r="AJ801" s="500">
        <v>15583.302625</v>
      </c>
      <c r="AL801" s="498" t="s">
        <v>2494</v>
      </c>
      <c r="AM801" s="498" t="s">
        <v>2276</v>
      </c>
    </row>
    <row r="802" spans="21:39" s="498" customFormat="1" ht="0.65" hidden="1" customHeight="1">
      <c r="U802" s="499">
        <v>4034</v>
      </c>
      <c r="Y802" s="500">
        <v>7500</v>
      </c>
      <c r="Z802" s="500"/>
      <c r="AB802" s="500"/>
      <c r="AF802" s="498" t="s">
        <v>2283</v>
      </c>
      <c r="AG802" s="498">
        <v>34</v>
      </c>
      <c r="AH802" s="498" t="s">
        <v>2283</v>
      </c>
      <c r="AI802" s="500" t="s">
        <v>2284</v>
      </c>
      <c r="AJ802" s="500">
        <v>7500</v>
      </c>
      <c r="AL802" s="500" t="s">
        <v>2495</v>
      </c>
      <c r="AM802" s="498" t="s">
        <v>2286</v>
      </c>
    </row>
    <row r="803" spans="21:39" s="498" customFormat="1" ht="0.65" hidden="1" customHeight="1">
      <c r="U803" s="499">
        <v>4035</v>
      </c>
      <c r="Y803" s="500">
        <v>10297.5</v>
      </c>
      <c r="Z803" s="500"/>
      <c r="AB803" s="500"/>
      <c r="AF803" s="498" t="s">
        <v>2287</v>
      </c>
      <c r="AG803" s="498">
        <v>35</v>
      </c>
      <c r="AH803" s="498" t="s">
        <v>2287</v>
      </c>
      <c r="AI803" s="500" t="s">
        <v>2288</v>
      </c>
      <c r="AJ803" s="500">
        <v>10297.5</v>
      </c>
      <c r="AL803" s="500" t="s">
        <v>2496</v>
      </c>
      <c r="AM803" s="498" t="s">
        <v>2290</v>
      </c>
    </row>
    <row r="804" spans="21:39" s="498" customFormat="1" ht="0.65" hidden="1" customHeight="1">
      <c r="U804" s="499">
        <v>4036</v>
      </c>
      <c r="Y804" s="500">
        <v>11120.424999999999</v>
      </c>
      <c r="Z804" s="500"/>
      <c r="AB804" s="500"/>
      <c r="AF804" s="498" t="s">
        <v>2291</v>
      </c>
      <c r="AG804" s="498">
        <v>36</v>
      </c>
      <c r="AH804" s="498" t="s">
        <v>2291</v>
      </c>
      <c r="AI804" s="500" t="s">
        <v>2292</v>
      </c>
      <c r="AJ804" s="500">
        <v>11120.424999999999</v>
      </c>
      <c r="AL804" s="500" t="s">
        <v>2497</v>
      </c>
      <c r="AM804" s="498" t="s">
        <v>2290</v>
      </c>
    </row>
    <row r="805" spans="21:39" s="498" customFormat="1" ht="0.65" hidden="1" customHeight="1">
      <c r="U805" s="499">
        <v>4037</v>
      </c>
      <c r="Y805" s="500">
        <v>11987.57675</v>
      </c>
      <c r="Z805" s="500"/>
      <c r="AB805" s="500"/>
      <c r="AF805" s="498" t="s">
        <v>2294</v>
      </c>
      <c r="AG805" s="498">
        <v>37</v>
      </c>
      <c r="AH805" s="498" t="s">
        <v>2294</v>
      </c>
      <c r="AI805" s="500" t="s">
        <v>2295</v>
      </c>
      <c r="AJ805" s="500">
        <v>11987.57675</v>
      </c>
      <c r="AL805" s="500" t="s">
        <v>2498</v>
      </c>
      <c r="AM805" s="498" t="s">
        <v>2290</v>
      </c>
    </row>
    <row r="806" spans="21:39" s="498" customFormat="1" ht="0.65" hidden="1" customHeight="1">
      <c r="U806" s="499">
        <v>4038</v>
      </c>
      <c r="Y806" s="500">
        <v>7500</v>
      </c>
      <c r="Z806" s="500"/>
      <c r="AB806" s="500"/>
      <c r="AF806" s="498" t="s">
        <v>2297</v>
      </c>
      <c r="AG806" s="498">
        <v>38</v>
      </c>
      <c r="AH806" s="498" t="s">
        <v>2297</v>
      </c>
      <c r="AI806" s="500" t="s">
        <v>2298</v>
      </c>
      <c r="AJ806" s="500">
        <v>7500</v>
      </c>
      <c r="AL806" s="500" t="s">
        <v>2499</v>
      </c>
      <c r="AM806" s="498" t="s">
        <v>2286</v>
      </c>
    </row>
    <row r="807" spans="21:39" s="498" customFormat="1" ht="0.65" hidden="1" customHeight="1">
      <c r="U807" s="499">
        <v>4039</v>
      </c>
      <c r="Y807" s="500">
        <v>2797.5</v>
      </c>
      <c r="Z807" s="500"/>
      <c r="AB807" s="500"/>
      <c r="AF807" s="498" t="s">
        <v>2300</v>
      </c>
      <c r="AG807" s="498">
        <v>39</v>
      </c>
      <c r="AH807" s="498" t="s">
        <v>2300</v>
      </c>
      <c r="AI807" s="500" t="s">
        <v>2301</v>
      </c>
      <c r="AJ807" s="500">
        <v>2797.5</v>
      </c>
      <c r="AL807" s="500" t="s">
        <v>2500</v>
      </c>
      <c r="AM807" s="498" t="s">
        <v>2303</v>
      </c>
    </row>
    <row r="808" spans="21:39" s="498" customFormat="1" ht="0.65" hidden="1" customHeight="1">
      <c r="U808" s="499">
        <v>4040</v>
      </c>
      <c r="Y808" s="500">
        <v>822.92499999999927</v>
      </c>
      <c r="Z808" s="500"/>
      <c r="AB808" s="500"/>
      <c r="AF808" s="498" t="s">
        <v>2304</v>
      </c>
      <c r="AG808" s="498">
        <v>40</v>
      </c>
      <c r="AH808" s="498" t="s">
        <v>2304</v>
      </c>
      <c r="AI808" s="500" t="s">
        <v>2305</v>
      </c>
      <c r="AJ808" s="500">
        <v>822.92499999999927</v>
      </c>
      <c r="AL808" s="500" t="s">
        <v>2501</v>
      </c>
      <c r="AM808" s="498" t="s">
        <v>2303</v>
      </c>
    </row>
    <row r="809" spans="21:39" s="498" customFormat="1" ht="0.65" hidden="1" customHeight="1">
      <c r="U809" s="499">
        <v>4041</v>
      </c>
      <c r="Y809" s="500">
        <v>867.1517500000009</v>
      </c>
      <c r="Z809" s="500"/>
      <c r="AB809" s="500"/>
      <c r="AF809" s="498" t="s">
        <v>2307</v>
      </c>
      <c r="AG809" s="498">
        <v>41</v>
      </c>
      <c r="AH809" s="498" t="s">
        <v>2307</v>
      </c>
      <c r="AI809" s="500" t="s">
        <v>2308</v>
      </c>
      <c r="AJ809" s="500">
        <v>867.1517500000009</v>
      </c>
      <c r="AL809" s="500" t="s">
        <v>2502</v>
      </c>
      <c r="AM809" s="498" t="s">
        <v>2303</v>
      </c>
    </row>
    <row r="810" spans="21:39" s="498" customFormat="1" ht="0.65" hidden="1" customHeight="1">
      <c r="U810" s="499">
        <v>4042</v>
      </c>
      <c r="Y810" s="500">
        <v>257500</v>
      </c>
      <c r="Z810" s="500"/>
      <c r="AB810" s="500"/>
      <c r="AF810" s="500" t="s">
        <v>490</v>
      </c>
      <c r="AG810" s="498">
        <v>42</v>
      </c>
      <c r="AH810" s="498" t="s">
        <v>490</v>
      </c>
      <c r="AI810" s="500" t="s">
        <v>2310</v>
      </c>
      <c r="AJ810" s="500">
        <v>257500</v>
      </c>
      <c r="AL810" s="500" t="s">
        <v>2503</v>
      </c>
      <c r="AM810" s="498" t="s">
        <v>2312</v>
      </c>
    </row>
    <row r="811" spans="21:39" s="498" customFormat="1" ht="0.65" hidden="1" customHeight="1">
      <c r="U811" s="499">
        <v>4043</v>
      </c>
      <c r="Y811" s="500">
        <v>72758.4375</v>
      </c>
      <c r="Z811" s="500"/>
      <c r="AB811" s="500"/>
      <c r="AF811" s="500" t="s">
        <v>2168</v>
      </c>
      <c r="AG811" s="498">
        <v>43</v>
      </c>
      <c r="AH811" s="498" t="s">
        <v>2168</v>
      </c>
      <c r="AI811" s="498" t="s">
        <v>2313</v>
      </c>
      <c r="AJ811" s="500">
        <v>72758.4375</v>
      </c>
      <c r="AL811" s="498" t="s">
        <v>2504</v>
      </c>
      <c r="AM811" s="498" t="s">
        <v>2315</v>
      </c>
    </row>
    <row r="812" spans="21:39" s="498" customFormat="1" ht="0.65" hidden="1" customHeight="1">
      <c r="U812" s="499">
        <v>4044</v>
      </c>
      <c r="Y812" s="500">
        <v>11987.57675</v>
      </c>
      <c r="Z812" s="500"/>
      <c r="AB812" s="500"/>
      <c r="AF812" s="500" t="s">
        <v>2169</v>
      </c>
      <c r="AG812" s="498">
        <v>44</v>
      </c>
      <c r="AH812" s="498" t="s">
        <v>2169</v>
      </c>
      <c r="AI812" s="500" t="s">
        <v>2316</v>
      </c>
      <c r="AJ812" s="500">
        <v>11987.57675</v>
      </c>
      <c r="AL812" s="500" t="s">
        <v>2505</v>
      </c>
      <c r="AM812" s="498" t="s">
        <v>2318</v>
      </c>
    </row>
    <row r="813" spans="21:39" s="498" customFormat="1" ht="0.65" hidden="1" customHeight="1">
      <c r="U813" s="499">
        <v>4045</v>
      </c>
      <c r="Y813" s="500">
        <v>84746.014250000007</v>
      </c>
      <c r="Z813" s="500"/>
      <c r="AB813" s="500"/>
      <c r="AF813" s="500" t="s">
        <v>2170</v>
      </c>
      <c r="AG813" s="498">
        <v>45</v>
      </c>
      <c r="AH813" s="498" t="s">
        <v>2170</v>
      </c>
      <c r="AI813" s="500" t="s">
        <v>2319</v>
      </c>
      <c r="AJ813" s="500">
        <v>84746.014250000007</v>
      </c>
      <c r="AL813" s="500" t="s">
        <v>2506</v>
      </c>
      <c r="AM813" s="498" t="s">
        <v>2321</v>
      </c>
    </row>
    <row r="814" spans="21:39" s="498" customFormat="1" ht="0.65" hidden="1" customHeight="1">
      <c r="U814" s="499">
        <v>4046</v>
      </c>
      <c r="Y814" s="510">
        <v>3.5000000000000003E-2</v>
      </c>
      <c r="Z814" s="510"/>
      <c r="AB814" s="510"/>
      <c r="AF814" s="500" t="s">
        <v>414</v>
      </c>
      <c r="AG814" s="498">
        <v>46</v>
      </c>
      <c r="AH814" s="498" t="s">
        <v>414</v>
      </c>
      <c r="AI814" s="498" t="s">
        <v>2322</v>
      </c>
      <c r="AJ814" s="510">
        <v>3.5000000000000003E-2</v>
      </c>
      <c r="AL814" s="498" t="s">
        <v>2507</v>
      </c>
      <c r="AM814" s="498" t="s">
        <v>2324</v>
      </c>
    </row>
    <row r="815" spans="21:39" s="498" customFormat="1" ht="0.65" hidden="1" customHeight="1">
      <c r="U815" s="499">
        <v>4047</v>
      </c>
      <c r="Y815" s="510">
        <v>0.1</v>
      </c>
      <c r="Z815" s="510"/>
      <c r="AB815" s="510"/>
      <c r="AF815" s="500" t="s">
        <v>415</v>
      </c>
      <c r="AG815" s="498">
        <v>47</v>
      </c>
      <c r="AH815" s="498" t="s">
        <v>415</v>
      </c>
      <c r="AI815" s="511" t="s">
        <v>2325</v>
      </c>
      <c r="AJ815" s="510">
        <v>0.1</v>
      </c>
      <c r="AL815" s="511" t="s">
        <v>2508</v>
      </c>
      <c r="AM815" s="498" t="s">
        <v>2327</v>
      </c>
    </row>
    <row r="816" spans="21:39" s="498" customFormat="1" ht="0.65" hidden="1" customHeight="1">
      <c r="U816" s="499">
        <v>4048</v>
      </c>
      <c r="Y816" s="510">
        <v>6.7500000000000004E-2</v>
      </c>
      <c r="Z816" s="510"/>
      <c r="AB816" s="510"/>
      <c r="AF816" s="500" t="s">
        <v>416</v>
      </c>
      <c r="AG816" s="498">
        <v>48</v>
      </c>
      <c r="AH816" s="498" t="s">
        <v>416</v>
      </c>
      <c r="AI816" s="498" t="s">
        <v>2328</v>
      </c>
      <c r="AJ816" s="510">
        <v>6.7500000000000004E-2</v>
      </c>
      <c r="AL816" s="498" t="s">
        <v>2509</v>
      </c>
      <c r="AM816" s="498" t="s">
        <v>2330</v>
      </c>
    </row>
    <row r="817" spans="21:39" s="498" customFormat="1" ht="0.65" hidden="1" customHeight="1">
      <c r="U817" s="499">
        <v>4049</v>
      </c>
      <c r="Y817" s="500">
        <v>-257500</v>
      </c>
      <c r="Z817" s="500"/>
      <c r="AB817" s="500"/>
      <c r="AF817" s="498" t="s">
        <v>2331</v>
      </c>
      <c r="AG817" s="498">
        <v>49</v>
      </c>
      <c r="AH817" s="498" t="s">
        <v>2331</v>
      </c>
      <c r="AI817" s="500" t="s">
        <v>2332</v>
      </c>
      <c r="AJ817" s="500">
        <v>-257500</v>
      </c>
      <c r="AL817" s="500" t="s">
        <v>2510</v>
      </c>
      <c r="AM817" s="498" t="s">
        <v>3946</v>
      </c>
    </row>
    <row r="818" spans="21:39" s="498" customFormat="1" ht="0.65" hidden="1" customHeight="1">
      <c r="U818" s="499">
        <v>4050</v>
      </c>
      <c r="Y818" s="500">
        <v>76680</v>
      </c>
      <c r="Z818" s="500"/>
      <c r="AB818" s="500"/>
      <c r="AF818" s="498" t="s">
        <v>2334</v>
      </c>
      <c r="AG818" s="498">
        <v>50</v>
      </c>
      <c r="AH818" s="498" t="s">
        <v>2334</v>
      </c>
      <c r="AI818" s="500" t="s">
        <v>2335</v>
      </c>
      <c r="AJ818" s="500">
        <v>76680</v>
      </c>
      <c r="AL818" s="498" t="s">
        <v>2511</v>
      </c>
      <c r="AM818" s="498" t="s">
        <v>3946</v>
      </c>
    </row>
    <row r="819" spans="21:39" s="498" customFormat="1" ht="0.65" hidden="1" customHeight="1">
      <c r="U819" s="499">
        <v>4051</v>
      </c>
      <c r="Y819" s="500">
        <v>84372.349999999991</v>
      </c>
      <c r="Z819" s="500"/>
      <c r="AB819" s="500"/>
      <c r="AF819" s="498" t="s">
        <v>2337</v>
      </c>
      <c r="AG819" s="498">
        <v>51</v>
      </c>
      <c r="AH819" s="498" t="s">
        <v>2337</v>
      </c>
      <c r="AI819" s="500" t="s">
        <v>2338</v>
      </c>
      <c r="AJ819" s="500">
        <v>84372.349999999991</v>
      </c>
      <c r="AL819" s="498" t="s">
        <v>2512</v>
      </c>
      <c r="AM819" s="498" t="s">
        <v>3946</v>
      </c>
    </row>
    <row r="820" spans="21:39" s="498" customFormat="1" ht="0.65" hidden="1" customHeight="1">
      <c r="U820" s="499">
        <v>4052</v>
      </c>
      <c r="Y820" s="500">
        <v>175098.99025000003</v>
      </c>
      <c r="Z820" s="500"/>
      <c r="AB820" s="500"/>
      <c r="AF820" s="498" t="s">
        <v>2340</v>
      </c>
      <c r="AG820" s="498">
        <v>52</v>
      </c>
      <c r="AH820" s="498" t="s">
        <v>2340</v>
      </c>
      <c r="AI820" s="500" t="s">
        <v>2341</v>
      </c>
      <c r="AJ820" s="500">
        <v>175098.99025000003</v>
      </c>
      <c r="AL820" s="498" t="s">
        <v>2513</v>
      </c>
      <c r="AM820" s="498" t="s">
        <v>3946</v>
      </c>
    </row>
    <row r="821" spans="21:39" s="498" customFormat="1" ht="0.65" hidden="1" customHeight="1">
      <c r="U821" s="499">
        <v>4053</v>
      </c>
      <c r="Y821" s="500">
        <v>32310.535585985519</v>
      </c>
      <c r="Z821" s="500"/>
      <c r="AB821" s="500"/>
      <c r="AF821" s="500" t="s">
        <v>13</v>
      </c>
      <c r="AG821" s="498">
        <v>53</v>
      </c>
      <c r="AH821" s="498" t="s">
        <v>13</v>
      </c>
      <c r="AI821" s="500" t="s">
        <v>2343</v>
      </c>
      <c r="AJ821" s="500">
        <v>32310.535585985519</v>
      </c>
      <c r="AL821" s="512" t="s">
        <v>2514</v>
      </c>
      <c r="AM821" s="498" t="s">
        <v>2345</v>
      </c>
    </row>
    <row r="822" spans="21:39" s="498" customFormat="1" ht="0.65" hidden="1" customHeight="1">
      <c r="U822" s="499">
        <v>4054</v>
      </c>
      <c r="Y822" s="510">
        <v>0.12559654408286436</v>
      </c>
      <c r="Z822" s="510"/>
      <c r="AB822" s="510"/>
      <c r="AF822" s="498" t="s">
        <v>28</v>
      </c>
      <c r="AG822" s="498">
        <v>54</v>
      </c>
      <c r="AH822" s="498" t="s">
        <v>28</v>
      </c>
      <c r="AI822" s="511" t="s">
        <v>2346</v>
      </c>
      <c r="AJ822" s="510">
        <v>0.12559654408286436</v>
      </c>
      <c r="AL822" s="511" t="s">
        <v>2515</v>
      </c>
      <c r="AM822" s="498" t="s">
        <v>2348</v>
      </c>
    </row>
    <row r="823" spans="21:39" s="498" customFormat="1" ht="0.65" hidden="1" customHeight="1">
      <c r="U823" s="499">
        <v>4055</v>
      </c>
    </row>
    <row r="824" spans="21:39" s="498" customFormat="1" ht="0.65" hidden="1" customHeight="1">
      <c r="U824" s="499">
        <v>4056</v>
      </c>
      <c r="AG824" s="498">
        <v>1</v>
      </c>
      <c r="AH824" s="498" t="s">
        <v>2349</v>
      </c>
      <c r="AI824" s="498" t="s">
        <v>3947</v>
      </c>
    </row>
    <row r="825" spans="21:39" s="498" customFormat="1" ht="0.65" hidden="1" customHeight="1">
      <c r="U825" s="499">
        <v>4057</v>
      </c>
      <c r="AG825" s="498">
        <v>2</v>
      </c>
      <c r="AH825" s="498" t="s">
        <v>2350</v>
      </c>
      <c r="AI825" s="498" t="s">
        <v>3950</v>
      </c>
    </row>
    <row r="826" spans="21:39" s="498" customFormat="1" ht="0.65" hidden="1" customHeight="1">
      <c r="U826" s="499">
        <v>4058</v>
      </c>
      <c r="AG826" s="498">
        <v>3</v>
      </c>
      <c r="AH826" s="498" t="s">
        <v>2351</v>
      </c>
      <c r="AI826" s="498" t="s">
        <v>3948</v>
      </c>
    </row>
    <row r="827" spans="21:39" s="498" customFormat="1" ht="0.65" hidden="1" customHeight="1">
      <c r="U827" s="499">
        <v>4059</v>
      </c>
      <c r="AG827" s="498">
        <v>4</v>
      </c>
      <c r="AH827" s="498" t="s">
        <v>2352</v>
      </c>
      <c r="AI827" s="498" t="s">
        <v>3949</v>
      </c>
    </row>
    <row r="828" spans="21:39" s="498" customFormat="1" ht="0.65" hidden="1" customHeight="1">
      <c r="U828" s="499">
        <v>4060</v>
      </c>
      <c r="AG828" s="498">
        <v>5</v>
      </c>
      <c r="AH828" s="498" t="s">
        <v>4144</v>
      </c>
      <c r="AI828" s="498" t="s">
        <v>2353</v>
      </c>
    </row>
    <row r="829" spans="21:39" s="498" customFormat="1" ht="0.65" hidden="1" customHeight="1">
      <c r="U829" s="499">
        <v>4061</v>
      </c>
      <c r="AG829" s="498">
        <v>6</v>
      </c>
      <c r="AH829" s="498" t="s">
        <v>2354</v>
      </c>
      <c r="AI829" s="498" t="s">
        <v>2355</v>
      </c>
    </row>
    <row r="830" spans="21:39" s="498" customFormat="1" ht="0.65" hidden="1" customHeight="1">
      <c r="U830" s="499">
        <v>4062</v>
      </c>
      <c r="AG830" s="498">
        <v>7</v>
      </c>
      <c r="AH830" s="498" t="s">
        <v>2356</v>
      </c>
      <c r="AI830" s="498" t="s">
        <v>2357</v>
      </c>
    </row>
    <row r="831" spans="21:39" s="498" customFormat="1" ht="0.65" hidden="1" customHeight="1">
      <c r="U831" s="499">
        <v>4063</v>
      </c>
      <c r="AG831" s="498">
        <v>8</v>
      </c>
      <c r="AH831" s="498" t="s">
        <v>2358</v>
      </c>
      <c r="AI831" s="498" t="s">
        <v>2359</v>
      </c>
    </row>
    <row r="832" spans="21:39" s="498" customFormat="1" ht="0.65" hidden="1" customHeight="1">
      <c r="U832" s="499">
        <v>4064</v>
      </c>
      <c r="AG832" s="498">
        <v>8</v>
      </c>
    </row>
    <row r="833" spans="2:33" s="498" customFormat="1" ht="0.65" hidden="1" customHeight="1">
      <c r="U833" s="499">
        <v>4065</v>
      </c>
      <c r="AG833" s="498">
        <v>8</v>
      </c>
    </row>
    <row r="834" spans="2:33" s="498" customFormat="1" ht="0.65" hidden="1" customHeight="1">
      <c r="U834" s="499">
        <v>4066</v>
      </c>
      <c r="AG834" s="498">
        <v>8</v>
      </c>
    </row>
    <row r="835" spans="2:33" s="498" customFormat="1" ht="0.65" hidden="1" customHeight="1">
      <c r="U835" s="499">
        <v>4067</v>
      </c>
      <c r="AG835" s="498">
        <v>8</v>
      </c>
    </row>
    <row r="836" spans="2:33" s="498" customFormat="1" ht="0.65" hidden="1" customHeight="1"/>
    <row r="837" spans="2:33" s="498" customFormat="1" ht="0.65" hidden="1" customHeight="1"/>
    <row r="838" spans="2:33" s="498" customFormat="1" ht="0.65" hidden="1" customHeight="1">
      <c r="G838" s="499">
        <v>1</v>
      </c>
      <c r="H838" s="499">
        <v>2</v>
      </c>
      <c r="I838" s="499">
        <v>3</v>
      </c>
      <c r="J838" s="499">
        <v>4</v>
      </c>
      <c r="K838" s="499">
        <v>5</v>
      </c>
      <c r="L838" s="499">
        <v>6</v>
      </c>
      <c r="M838" s="499">
        <v>7</v>
      </c>
      <c r="N838" s="499">
        <v>8</v>
      </c>
      <c r="O838" s="499">
        <v>9</v>
      </c>
      <c r="P838" s="499">
        <v>10</v>
      </c>
      <c r="Q838" s="500"/>
    </row>
    <row r="839" spans="2:33" s="498" customFormat="1" ht="0.65" hidden="1" customHeight="1">
      <c r="I839" s="499">
        <v>0.01</v>
      </c>
      <c r="Q839" s="500"/>
    </row>
    <row r="840" spans="2:33" s="498" customFormat="1" ht="0.65" hidden="1" customHeight="1">
      <c r="B840" s="499">
        <v>5001</v>
      </c>
      <c r="C840" s="498">
        <v>2022</v>
      </c>
      <c r="E840" s="499"/>
      <c r="G840" s="499">
        <v>5001</v>
      </c>
      <c r="H840" s="501" t="s">
        <v>0</v>
      </c>
      <c r="I840" s="502" t="s">
        <v>2113</v>
      </c>
      <c r="J840" s="502" t="s">
        <v>2114</v>
      </c>
      <c r="K840" s="502" t="s">
        <v>2115</v>
      </c>
      <c r="L840" s="502" t="s">
        <v>2116</v>
      </c>
      <c r="M840" s="502" t="s">
        <v>2117</v>
      </c>
      <c r="N840" s="502" t="s">
        <v>2118</v>
      </c>
      <c r="O840" s="502" t="s">
        <v>2119</v>
      </c>
      <c r="Q840" s="500"/>
    </row>
    <row r="841" spans="2:33" s="498" customFormat="1" ht="0.65" hidden="1" customHeight="1">
      <c r="B841" s="499">
        <v>5002</v>
      </c>
      <c r="E841" s="499"/>
      <c r="G841" s="499">
        <v>5002</v>
      </c>
      <c r="H841" s="503">
        <v>2023</v>
      </c>
      <c r="I841" s="500">
        <v>72800</v>
      </c>
      <c r="J841" s="500">
        <v>41520</v>
      </c>
      <c r="K841" s="500">
        <v>40000</v>
      </c>
      <c r="L841" s="500">
        <v>-8720</v>
      </c>
      <c r="M841" s="500">
        <v>-2616</v>
      </c>
      <c r="N841" s="500">
        <v>-6104</v>
      </c>
      <c r="O841" s="500">
        <v>33896</v>
      </c>
    </row>
    <row r="842" spans="2:33" s="498" customFormat="1" ht="0.65" hidden="1" customHeight="1">
      <c r="B842" s="499">
        <v>5003</v>
      </c>
      <c r="E842" s="499"/>
      <c r="G842" s="499">
        <v>5003</v>
      </c>
      <c r="H842" s="503">
        <v>2024</v>
      </c>
      <c r="I842" s="500">
        <v>75712.000000000015</v>
      </c>
      <c r="J842" s="500">
        <v>43180.80000000001</v>
      </c>
      <c r="K842" s="500">
        <v>40000</v>
      </c>
      <c r="L842" s="500">
        <v>-7468.7999999999956</v>
      </c>
      <c r="M842" s="500">
        <v>-2240.6399999999985</v>
      </c>
      <c r="N842" s="500">
        <v>-5228.1599999999971</v>
      </c>
      <c r="O842" s="500">
        <v>34771.840000000004</v>
      </c>
    </row>
    <row r="843" spans="2:33" s="498" customFormat="1" ht="0.65" hidden="1" customHeight="1">
      <c r="B843" s="499">
        <v>5004</v>
      </c>
      <c r="E843" s="499"/>
      <c r="G843" s="499">
        <v>5004</v>
      </c>
      <c r="H843" s="503">
        <v>2025</v>
      </c>
      <c r="I843" s="500">
        <v>78740.48000000001</v>
      </c>
      <c r="J843" s="500">
        <v>44908.032000000007</v>
      </c>
      <c r="K843" s="500">
        <v>40000</v>
      </c>
      <c r="L843" s="500">
        <v>-6167.551999999996</v>
      </c>
      <c r="M843" s="500">
        <v>-1850.2655999999988</v>
      </c>
      <c r="N843" s="500">
        <v>-4317.2863999999972</v>
      </c>
      <c r="O843" s="500">
        <v>35682.713600000003</v>
      </c>
    </row>
    <row r="844" spans="2:33" s="498" customFormat="1" ht="0.65" hidden="1" customHeight="1">
      <c r="B844" s="499">
        <v>5005</v>
      </c>
      <c r="C844" s="498">
        <v>200000</v>
      </c>
      <c r="E844" s="499"/>
      <c r="G844" s="499">
        <v>5005</v>
      </c>
    </row>
    <row r="845" spans="2:33" s="498" customFormat="1" ht="0.65" hidden="1" customHeight="1">
      <c r="B845" s="499">
        <v>5006</v>
      </c>
      <c r="C845" s="498">
        <v>5</v>
      </c>
      <c r="E845" s="499"/>
      <c r="G845" s="499">
        <v>5006</v>
      </c>
    </row>
    <row r="846" spans="2:33" s="498" customFormat="1" ht="0.65" hidden="1" customHeight="1">
      <c r="B846" s="499">
        <v>5007</v>
      </c>
      <c r="C846" s="498">
        <v>160000</v>
      </c>
      <c r="E846" s="499"/>
      <c r="G846" s="499">
        <v>5007</v>
      </c>
      <c r="H846" s="501" t="s">
        <v>0</v>
      </c>
      <c r="I846" s="502" t="s">
        <v>2121</v>
      </c>
      <c r="J846" s="502" t="s">
        <v>2122</v>
      </c>
      <c r="K846" s="502" t="s">
        <v>2123</v>
      </c>
      <c r="L846" s="502" t="s">
        <v>2124</v>
      </c>
      <c r="M846" s="502" t="s">
        <v>2125</v>
      </c>
      <c r="N846" s="500"/>
      <c r="O846" s="501" t="s">
        <v>0</v>
      </c>
      <c r="P846" s="501" t="s">
        <v>1</v>
      </c>
    </row>
    <row r="847" spans="2:33" s="498" customFormat="1" ht="0.65" hidden="1" customHeight="1">
      <c r="B847" s="499">
        <v>5008</v>
      </c>
      <c r="E847" s="499"/>
      <c r="G847" s="499">
        <v>5008</v>
      </c>
      <c r="H847" s="503">
        <v>2022</v>
      </c>
      <c r="I847" s="500">
        <v>2000</v>
      </c>
      <c r="J847" s="500">
        <v>0</v>
      </c>
      <c r="K847" s="500">
        <v>0</v>
      </c>
      <c r="L847" s="500">
        <v>2000</v>
      </c>
      <c r="M847" s="500">
        <v>2000</v>
      </c>
      <c r="N847" s="504"/>
      <c r="O847" s="503">
        <v>2022</v>
      </c>
      <c r="P847" s="500">
        <v>-202000</v>
      </c>
    </row>
    <row r="848" spans="2:33" s="498" customFormat="1" ht="0.65" hidden="1" customHeight="1">
      <c r="B848" s="499">
        <v>5009</v>
      </c>
      <c r="E848" s="499"/>
      <c r="G848" s="499">
        <v>5009</v>
      </c>
      <c r="H848" s="503">
        <v>2023</v>
      </c>
      <c r="I848" s="500">
        <v>2080</v>
      </c>
      <c r="J848" s="500">
        <v>7340.666666666667</v>
      </c>
      <c r="K848" s="500">
        <v>12584</v>
      </c>
      <c r="L848" s="500">
        <v>-3163.3333333333321</v>
      </c>
      <c r="M848" s="500">
        <v>-5163.3333333333321</v>
      </c>
      <c r="N848" s="500"/>
      <c r="O848" s="503">
        <v>2023</v>
      </c>
      <c r="P848" s="500">
        <v>39059.333333333328</v>
      </c>
    </row>
    <row r="849" spans="2:16" s="498" customFormat="1" ht="0.65" hidden="1" customHeight="1">
      <c r="B849" s="499">
        <v>5010</v>
      </c>
      <c r="C849" s="498">
        <v>70000</v>
      </c>
      <c r="E849" s="499"/>
      <c r="G849" s="499">
        <v>5010</v>
      </c>
      <c r="H849" s="503">
        <v>2024</v>
      </c>
      <c r="I849" s="500">
        <v>2163.2000000000003</v>
      </c>
      <c r="J849" s="500">
        <v>7634.2933333333349</v>
      </c>
      <c r="K849" s="500">
        <v>13087.360000000002</v>
      </c>
      <c r="L849" s="500">
        <v>-3289.8666666666668</v>
      </c>
      <c r="M849" s="500">
        <v>-126.53333333333467</v>
      </c>
      <c r="N849" s="500"/>
      <c r="O849" s="503">
        <v>2024</v>
      </c>
      <c r="P849" s="500">
        <v>34898.373333333337</v>
      </c>
    </row>
    <row r="850" spans="2:16" s="498" customFormat="1" ht="0.65" hidden="1" customHeight="1">
      <c r="B850" s="499">
        <v>5011</v>
      </c>
      <c r="C850" s="498">
        <v>40000</v>
      </c>
      <c r="E850" s="499"/>
      <c r="G850" s="499">
        <v>5011</v>
      </c>
      <c r="H850" s="503">
        <v>2025</v>
      </c>
      <c r="I850" s="500">
        <v>2249.7280000000005</v>
      </c>
      <c r="J850" s="500">
        <v>7939.6650666666674</v>
      </c>
      <c r="K850" s="500">
        <v>13610.854400000002</v>
      </c>
      <c r="L850" s="500">
        <v>-3421.4613333333346</v>
      </c>
      <c r="M850" s="500">
        <v>-131.59466666666776</v>
      </c>
      <c r="N850" s="500"/>
      <c r="O850" s="503">
        <v>2025</v>
      </c>
      <c r="P850" s="500">
        <v>182377.61493333336</v>
      </c>
    </row>
    <row r="851" spans="2:16" s="498" customFormat="1" ht="0.65" hidden="1" customHeight="1">
      <c r="B851" s="499">
        <v>5012</v>
      </c>
      <c r="E851" s="499"/>
      <c r="G851" s="499">
        <v>5012</v>
      </c>
    </row>
    <row r="852" spans="2:16" s="498" customFormat="1" ht="0.65" hidden="1" customHeight="1">
      <c r="B852" s="499">
        <v>5013</v>
      </c>
      <c r="C852" s="498">
        <v>30</v>
      </c>
      <c r="E852" s="499"/>
      <c r="G852" s="499">
        <v>5013</v>
      </c>
      <c r="O852" s="500" t="s">
        <v>13</v>
      </c>
      <c r="P852" s="501">
        <v>21310.357097202825</v>
      </c>
    </row>
    <row r="853" spans="2:16" s="498" customFormat="1" ht="0.65" hidden="1" customHeight="1">
      <c r="B853" s="499">
        <v>5014</v>
      </c>
      <c r="C853" s="498">
        <v>90</v>
      </c>
      <c r="E853" s="499"/>
      <c r="G853" s="499">
        <v>5014</v>
      </c>
      <c r="H853" s="505" t="s">
        <v>490</v>
      </c>
      <c r="I853" s="500">
        <v>202000</v>
      </c>
      <c r="O853" s="498" t="s">
        <v>28</v>
      </c>
      <c r="P853" s="506">
        <v>9.8635685486631264E-2</v>
      </c>
    </row>
    <row r="854" spans="2:16" s="498" customFormat="1" ht="0.65" hidden="1" customHeight="1">
      <c r="B854" s="499">
        <v>5015</v>
      </c>
      <c r="E854" s="499"/>
      <c r="G854" s="499">
        <v>5015</v>
      </c>
      <c r="H854" s="505" t="s">
        <v>2168</v>
      </c>
      <c r="I854" s="500">
        <v>149984.76800000001</v>
      </c>
      <c r="K854" s="505" t="s">
        <v>124</v>
      </c>
      <c r="L854" s="506">
        <v>4.2000000000000003E-2</v>
      </c>
    </row>
    <row r="855" spans="2:16" s="498" customFormat="1" ht="0.65" hidden="1" customHeight="1">
      <c r="B855" s="499">
        <v>5016</v>
      </c>
      <c r="E855" s="499"/>
      <c r="G855" s="499">
        <v>5016</v>
      </c>
      <c r="H855" s="505" t="s">
        <v>2169</v>
      </c>
      <c r="I855" s="500">
        <v>-3421.4613333333346</v>
      </c>
      <c r="K855" s="505" t="s">
        <v>125</v>
      </c>
      <c r="L855" s="506">
        <v>0.09</v>
      </c>
    </row>
    <row r="856" spans="2:16" s="498" customFormat="1" ht="0.65" hidden="1" customHeight="1">
      <c r="B856" s="499">
        <v>5017</v>
      </c>
      <c r="C856" s="498">
        <v>2000</v>
      </c>
      <c r="E856" s="499"/>
      <c r="G856" s="499">
        <v>5017</v>
      </c>
      <c r="H856" s="505" t="s">
        <v>2170</v>
      </c>
      <c r="I856" s="500">
        <v>146563.30666666667</v>
      </c>
      <c r="K856" s="505" t="s">
        <v>126</v>
      </c>
      <c r="L856" s="506">
        <v>5.5714285714285716E-2</v>
      </c>
    </row>
    <row r="857" spans="2:16" s="498" customFormat="1" ht="0.65" hidden="1" customHeight="1">
      <c r="B857" s="499">
        <v>5018</v>
      </c>
      <c r="C857" s="498">
        <v>0.05</v>
      </c>
      <c r="E857" s="499"/>
    </row>
    <row r="858" spans="2:16" s="498" customFormat="1" ht="0.65" hidden="1" customHeight="1">
      <c r="B858" s="499">
        <v>5019</v>
      </c>
      <c r="E858" s="499"/>
    </row>
    <row r="859" spans="2:16" s="498" customFormat="1" ht="0.65" hidden="1" customHeight="1">
      <c r="B859" s="499">
        <v>5020</v>
      </c>
      <c r="E859" s="499"/>
      <c r="H859" s="499"/>
      <c r="I859" s="499"/>
      <c r="J859" s="499"/>
      <c r="K859" s="499"/>
      <c r="L859" s="499"/>
      <c r="M859" s="499"/>
      <c r="N859" s="499"/>
      <c r="O859" s="499"/>
      <c r="P859" s="499"/>
    </row>
    <row r="860" spans="2:16" s="498" customFormat="1" ht="0.65" hidden="1" customHeight="1">
      <c r="B860" s="499">
        <v>5021</v>
      </c>
      <c r="C860" s="498">
        <v>0.21</v>
      </c>
      <c r="E860" s="499"/>
      <c r="H860" s="499"/>
      <c r="I860" s="499"/>
      <c r="J860" s="499"/>
      <c r="K860" s="499"/>
      <c r="L860" s="499"/>
      <c r="M860" s="499"/>
      <c r="N860" s="499"/>
      <c r="O860" s="499"/>
      <c r="P860" s="499"/>
    </row>
    <row r="861" spans="2:16" s="498" customFormat="1" ht="0.65" hidden="1" customHeight="1">
      <c r="B861" s="499">
        <v>5022</v>
      </c>
      <c r="C861" s="498">
        <v>0.3</v>
      </c>
      <c r="E861" s="499"/>
      <c r="H861" s="499"/>
      <c r="I861" s="499"/>
      <c r="J861" s="499"/>
      <c r="K861" s="499"/>
      <c r="L861" s="499"/>
      <c r="M861" s="499"/>
      <c r="N861" s="499"/>
      <c r="O861" s="499"/>
      <c r="P861" s="499"/>
    </row>
    <row r="862" spans="2:16" s="498" customFormat="1" ht="0.65" hidden="1" customHeight="1">
      <c r="B862" s="499">
        <v>5023</v>
      </c>
      <c r="E862" s="499"/>
      <c r="H862" s="499"/>
      <c r="I862" s="499"/>
      <c r="J862" s="499"/>
      <c r="K862" s="499"/>
      <c r="L862" s="499"/>
      <c r="M862" s="499"/>
      <c r="N862" s="499"/>
      <c r="O862" s="499"/>
      <c r="P862" s="499"/>
    </row>
    <row r="863" spans="2:16" s="498" customFormat="1" ht="0.65" hidden="1" customHeight="1">
      <c r="B863" s="499">
        <v>5024</v>
      </c>
      <c r="E863" s="499"/>
      <c r="H863" s="499"/>
      <c r="I863" s="499"/>
      <c r="J863" s="499"/>
      <c r="K863" s="499"/>
      <c r="L863" s="499"/>
      <c r="M863" s="499"/>
      <c r="N863" s="499"/>
      <c r="O863" s="499"/>
      <c r="P863" s="499"/>
    </row>
    <row r="864" spans="2:16" s="498" customFormat="1" ht="0.65" hidden="1" customHeight="1">
      <c r="B864" s="499">
        <v>5025</v>
      </c>
      <c r="E864" s="499"/>
      <c r="H864" s="499"/>
      <c r="I864" s="499"/>
      <c r="J864" s="499"/>
      <c r="K864" s="499"/>
      <c r="L864" s="499"/>
      <c r="M864" s="499"/>
      <c r="N864" s="499"/>
      <c r="O864" s="499"/>
      <c r="P864" s="499"/>
    </row>
    <row r="865" spans="2:16" s="498" customFormat="1" ht="0.65" hidden="1" customHeight="1">
      <c r="B865" s="499">
        <v>5026</v>
      </c>
      <c r="C865" s="498">
        <v>600000</v>
      </c>
      <c r="E865" s="499"/>
      <c r="H865" s="499"/>
      <c r="I865" s="499"/>
      <c r="J865" s="499"/>
      <c r="K865" s="499"/>
      <c r="L865" s="499"/>
      <c r="M865" s="499"/>
      <c r="N865" s="499"/>
      <c r="O865" s="499"/>
      <c r="P865" s="499"/>
    </row>
    <row r="866" spans="2:16" s="498" customFormat="1" ht="0.65" hidden="1" customHeight="1">
      <c r="B866" s="499">
        <v>5027</v>
      </c>
      <c r="C866" s="498">
        <v>320000</v>
      </c>
      <c r="E866" s="499"/>
      <c r="H866" s="499"/>
      <c r="I866" s="499"/>
      <c r="J866" s="499"/>
      <c r="K866" s="499"/>
      <c r="L866" s="499"/>
      <c r="M866" s="499"/>
      <c r="N866" s="499"/>
      <c r="O866" s="499"/>
      <c r="P866" s="499"/>
    </row>
    <row r="867" spans="2:16" s="498" customFormat="1" ht="0.65" hidden="1" customHeight="1">
      <c r="B867" s="499">
        <v>5028</v>
      </c>
      <c r="C867" s="498">
        <v>0.01</v>
      </c>
      <c r="E867" s="499"/>
      <c r="H867" s="499"/>
      <c r="I867" s="501"/>
      <c r="J867" s="499"/>
      <c r="K867" s="499"/>
      <c r="L867" s="501"/>
      <c r="M867" s="499"/>
      <c r="N867" s="499"/>
      <c r="O867" s="499"/>
      <c r="P867" s="499"/>
    </row>
    <row r="868" spans="2:16" s="498" customFormat="1" ht="0.65" hidden="1" customHeight="1">
      <c r="B868" s="499">
        <v>5029</v>
      </c>
      <c r="C868" s="498">
        <v>10000000</v>
      </c>
      <c r="E868" s="499"/>
      <c r="H868" s="499"/>
      <c r="I868" s="499"/>
      <c r="J868" s="499"/>
      <c r="K868" s="499"/>
      <c r="L868" s="501"/>
      <c r="M868" s="501"/>
      <c r="N868" s="501"/>
      <c r="O868" s="499"/>
      <c r="P868" s="499"/>
    </row>
    <row r="869" spans="2:16" s="498" customFormat="1" ht="0.65" hidden="1" customHeight="1">
      <c r="B869" s="499">
        <v>5030</v>
      </c>
      <c r="C869" s="498">
        <v>4000000</v>
      </c>
      <c r="E869" s="499"/>
      <c r="H869" s="499"/>
      <c r="I869" s="499"/>
      <c r="J869" s="499"/>
      <c r="K869" s="499"/>
      <c r="L869" s="501"/>
      <c r="M869" s="501"/>
      <c r="N869" s="501"/>
      <c r="O869" s="499"/>
      <c r="P869" s="499"/>
    </row>
    <row r="870" spans="2:16" s="498" customFormat="1" ht="0.65" hidden="1" customHeight="1">
      <c r="B870" s="499">
        <v>5031</v>
      </c>
      <c r="E870" s="499"/>
      <c r="H870" s="499"/>
      <c r="I870" s="499"/>
      <c r="J870" s="499"/>
      <c r="K870" s="499"/>
      <c r="L870" s="501"/>
      <c r="M870" s="499"/>
      <c r="N870" s="499"/>
      <c r="O870" s="499"/>
      <c r="P870" s="499"/>
    </row>
    <row r="871" spans="2:16" s="498" customFormat="1" ht="0.65" hidden="1" customHeight="1">
      <c r="B871" s="499">
        <v>5032</v>
      </c>
      <c r="E871" s="499"/>
      <c r="H871" s="499"/>
      <c r="I871" s="499"/>
      <c r="J871" s="499"/>
      <c r="K871" s="499"/>
      <c r="L871" s="499"/>
      <c r="M871" s="499"/>
      <c r="N871" s="499"/>
      <c r="O871" s="499"/>
      <c r="P871" s="499"/>
    </row>
    <row r="872" spans="2:16" s="498" customFormat="1" ht="0.65" hidden="1" customHeight="1">
      <c r="B872" s="499">
        <v>5033</v>
      </c>
      <c r="C872" s="498">
        <v>0.04</v>
      </c>
      <c r="E872" s="499"/>
      <c r="H872" s="499"/>
      <c r="I872" s="499"/>
      <c r="J872" s="499"/>
      <c r="K872" s="499"/>
      <c r="L872" s="499"/>
      <c r="M872" s="499"/>
      <c r="N872" s="499"/>
      <c r="O872" s="499"/>
      <c r="P872" s="499"/>
    </row>
    <row r="873" spans="2:16" s="498" customFormat="1" ht="0.65" hidden="1" customHeight="1">
      <c r="B873" s="499">
        <v>5034</v>
      </c>
      <c r="C873" s="498">
        <v>0.04</v>
      </c>
      <c r="E873" s="499"/>
      <c r="H873" s="499"/>
      <c r="I873" s="499"/>
      <c r="J873" s="499"/>
      <c r="K873" s="499"/>
      <c r="L873" s="499"/>
      <c r="M873" s="499"/>
      <c r="N873" s="499"/>
      <c r="O873" s="499"/>
      <c r="P873" s="499"/>
    </row>
    <row r="874" spans="2:16" s="498" customFormat="1" ht="0.65" hidden="1" customHeight="1">
      <c r="B874" s="499">
        <v>5035</v>
      </c>
      <c r="C874" s="498">
        <v>0.04</v>
      </c>
      <c r="E874" s="499"/>
      <c r="H874" s="499"/>
      <c r="I874" s="499"/>
      <c r="J874" s="499"/>
      <c r="K874" s="499"/>
      <c r="L874" s="499"/>
      <c r="M874" s="499"/>
      <c r="N874" s="499"/>
      <c r="O874" s="499"/>
      <c r="P874" s="499"/>
    </row>
    <row r="875" spans="2:16" s="498" customFormat="1" ht="0.65" hidden="1" customHeight="1">
      <c r="B875" s="499">
        <v>5036</v>
      </c>
      <c r="C875" s="498">
        <v>0.02</v>
      </c>
      <c r="E875" s="499"/>
      <c r="H875" s="499"/>
      <c r="I875" s="499"/>
      <c r="J875" s="499"/>
      <c r="K875" s="499"/>
      <c r="L875" s="499"/>
      <c r="M875" s="499"/>
      <c r="N875" s="499"/>
      <c r="O875" s="499"/>
      <c r="P875" s="499"/>
    </row>
    <row r="876" spans="2:16" s="498" customFormat="1" ht="0.65" hidden="1" customHeight="1">
      <c r="B876" s="499">
        <v>5037</v>
      </c>
      <c r="E876" s="499"/>
    </row>
    <row r="877" spans="2:16" s="498" customFormat="1" ht="0.65" hidden="1" customHeight="1">
      <c r="B877" s="499">
        <v>5038</v>
      </c>
      <c r="E877" s="499"/>
    </row>
    <row r="878" spans="2:16" s="498" customFormat="1" ht="0.65" hidden="1" customHeight="1">
      <c r="B878" s="499">
        <v>5039</v>
      </c>
      <c r="D878" s="507"/>
      <c r="E878" s="499"/>
    </row>
    <row r="879" spans="2:16" s="498" customFormat="1" ht="0.65" hidden="1" customHeight="1">
      <c r="B879" s="499">
        <v>5040</v>
      </c>
      <c r="D879" s="507"/>
      <c r="E879" s="499"/>
      <c r="K879" s="508"/>
    </row>
    <row r="880" spans="2:16" s="498" customFormat="1" ht="0.65" hidden="1" customHeight="1">
      <c r="B880" s="499">
        <v>5041</v>
      </c>
      <c r="K880" s="508"/>
    </row>
    <row r="881" spans="2:11" s="498" customFormat="1" ht="0.65" hidden="1" customHeight="1">
      <c r="B881" s="499">
        <v>5042</v>
      </c>
      <c r="K881" s="508"/>
    </row>
    <row r="882" spans="2:11" s="498" customFormat="1" ht="0.65" hidden="1" customHeight="1">
      <c r="B882" s="499">
        <v>5043</v>
      </c>
    </row>
    <row r="883" spans="2:11" s="498" customFormat="1" ht="0.65" hidden="1" customHeight="1">
      <c r="B883" s="499">
        <v>5044</v>
      </c>
      <c r="C883" s="509">
        <v>2023</v>
      </c>
      <c r="D883" s="509"/>
      <c r="E883" s="499"/>
    </row>
    <row r="884" spans="2:11" s="498" customFormat="1" ht="0.65" hidden="1" customHeight="1">
      <c r="B884" s="499">
        <v>5045</v>
      </c>
      <c r="C884" s="509">
        <v>2024</v>
      </c>
      <c r="E884" s="499"/>
    </row>
    <row r="885" spans="2:11" s="498" customFormat="1" ht="0.65" hidden="1" customHeight="1">
      <c r="B885" s="499">
        <v>5046</v>
      </c>
      <c r="C885" s="509">
        <v>2025</v>
      </c>
      <c r="E885" s="499"/>
    </row>
    <row r="886" spans="2:11" s="498" customFormat="1" ht="0.65" hidden="1" customHeight="1">
      <c r="B886" s="499">
        <v>5047</v>
      </c>
    </row>
    <row r="887" spans="2:11" s="498" customFormat="1" ht="0.65" hidden="1" customHeight="1">
      <c r="B887" s="499">
        <v>5048</v>
      </c>
    </row>
    <row r="888" spans="2:11" s="498" customFormat="1" ht="0.65" hidden="1" customHeight="1">
      <c r="B888" s="499">
        <v>5049</v>
      </c>
    </row>
    <row r="889" spans="2:11" s="498" customFormat="1" ht="0.65" hidden="1" customHeight="1">
      <c r="B889" s="499">
        <v>5050</v>
      </c>
      <c r="C889" s="498">
        <v>2022</v>
      </c>
      <c r="E889" s="499"/>
    </row>
    <row r="890" spans="2:11" s="498" customFormat="1" ht="0.65" hidden="1" customHeight="1">
      <c r="B890" s="499">
        <v>5051</v>
      </c>
      <c r="C890" s="509">
        <v>2023</v>
      </c>
      <c r="E890" s="499"/>
    </row>
    <row r="891" spans="2:11" s="498" customFormat="1" ht="0.65" hidden="1" customHeight="1">
      <c r="B891" s="499">
        <v>5052</v>
      </c>
      <c r="C891" s="509">
        <v>2024</v>
      </c>
      <c r="E891" s="499"/>
    </row>
    <row r="892" spans="2:11" s="498" customFormat="1" ht="0.65" hidden="1" customHeight="1">
      <c r="B892" s="499">
        <v>5053</v>
      </c>
      <c r="C892" s="509">
        <v>2025</v>
      </c>
      <c r="E892" s="499"/>
    </row>
    <row r="893" spans="2:11" s="498" customFormat="1" ht="0.65" hidden="1" customHeight="1">
      <c r="B893" s="499">
        <v>5054</v>
      </c>
    </row>
    <row r="894" spans="2:11" s="498" customFormat="1" ht="0.65" hidden="1" customHeight="1">
      <c r="B894" s="499">
        <v>5055</v>
      </c>
      <c r="C894" s="498">
        <v>2022</v>
      </c>
      <c r="D894" s="509"/>
      <c r="E894" s="499"/>
    </row>
    <row r="895" spans="2:11" s="498" customFormat="1" ht="0.65" hidden="1" customHeight="1">
      <c r="B895" s="499">
        <v>5056</v>
      </c>
      <c r="C895" s="509">
        <v>2023</v>
      </c>
      <c r="E895" s="499"/>
    </row>
    <row r="896" spans="2:11" s="498" customFormat="1" ht="0.65" hidden="1" customHeight="1">
      <c r="B896" s="499">
        <v>5057</v>
      </c>
      <c r="C896" s="509">
        <v>2024</v>
      </c>
      <c r="E896" s="499"/>
    </row>
    <row r="897" spans="2:5" s="498" customFormat="1" ht="0.65" hidden="1" customHeight="1">
      <c r="B897" s="499">
        <v>5058</v>
      </c>
      <c r="C897" s="509">
        <v>2025</v>
      </c>
      <c r="E897" s="499"/>
    </row>
    <row r="898" spans="2:5" s="498" customFormat="1" ht="0.65" hidden="1" customHeight="1"/>
    <row r="899" spans="2:5" s="498" customFormat="1" ht="0.65" hidden="1" customHeight="1"/>
    <row r="900" spans="2:5" s="498" customFormat="1" ht="0.65" hidden="1" customHeight="1"/>
    <row r="901" spans="2:5" s="498" customFormat="1" ht="0.65" hidden="1" customHeight="1"/>
    <row r="902" spans="2:5" s="498" customFormat="1" ht="0.65" hidden="1" customHeight="1"/>
    <row r="903" spans="2:5" s="498" customFormat="1" ht="0.65" hidden="1" customHeight="1"/>
    <row r="904" spans="2:5" s="498" customFormat="1" ht="0.65" hidden="1" customHeight="1"/>
    <row r="905" spans="2:5" s="498" customFormat="1" ht="0.65" hidden="1" customHeight="1"/>
    <row r="906" spans="2:5" s="498" customFormat="1" ht="0.65" hidden="1" customHeight="1"/>
    <row r="907" spans="2:5" s="498" customFormat="1" ht="0.65" hidden="1" customHeight="1"/>
    <row r="908" spans="2:5" s="498" customFormat="1" ht="0.65" hidden="1" customHeight="1"/>
    <row r="909" spans="2:5" s="498" customFormat="1" ht="0.65" hidden="1" customHeight="1"/>
    <row r="910" spans="2:5" s="498" customFormat="1" ht="0.65" hidden="1" customHeight="1"/>
    <row r="911" spans="2:5" s="498" customFormat="1" ht="0.65" hidden="1" customHeight="1"/>
    <row r="912" spans="2:5" s="498" customFormat="1" ht="0.65" hidden="1" customHeight="1"/>
    <row r="913" spans="21:39" s="498" customFormat="1" ht="0.65" hidden="1" customHeight="1"/>
    <row r="914" spans="21:39" s="498" customFormat="1" ht="0.65" hidden="1" customHeight="1"/>
    <row r="915" spans="21:39" s="498" customFormat="1" ht="0.65" hidden="1" customHeight="1"/>
    <row r="916" spans="21:39" s="498" customFormat="1" ht="0.65" hidden="1" customHeight="1"/>
    <row r="917" spans="21:39" s="498" customFormat="1" ht="0.65" hidden="1" customHeight="1"/>
    <row r="918" spans="21:39" s="498" customFormat="1" ht="0.65" hidden="1" customHeight="1"/>
    <row r="919" spans="21:39" s="498" customFormat="1" ht="0.65" hidden="1" customHeight="1">
      <c r="U919" s="499">
        <v>1</v>
      </c>
      <c r="V919" s="499"/>
      <c r="W919" s="499"/>
      <c r="X919" s="499"/>
      <c r="Y919" s="499">
        <v>1</v>
      </c>
      <c r="Z919" s="499"/>
      <c r="AA919" s="499"/>
      <c r="AB919" s="499"/>
      <c r="AC919" s="499"/>
      <c r="AD919" s="499"/>
      <c r="AE919" s="499">
        <v>1</v>
      </c>
      <c r="AF919" s="499">
        <v>2</v>
      </c>
      <c r="AG919" s="499">
        <v>3</v>
      </c>
      <c r="AH919" s="499">
        <v>4</v>
      </c>
      <c r="AI919" s="499">
        <v>5</v>
      </c>
      <c r="AJ919" s="499">
        <v>6</v>
      </c>
      <c r="AK919" s="499">
        <v>7</v>
      </c>
      <c r="AL919" s="499">
        <v>8</v>
      </c>
      <c r="AM919" s="499">
        <v>9</v>
      </c>
    </row>
    <row r="920" spans="21:39" s="498" customFormat="1" ht="0.65" hidden="1" customHeight="1"/>
    <row r="921" spans="21:39" s="498" customFormat="1" ht="0.65" hidden="1" customHeight="1"/>
    <row r="922" spans="21:39" s="498" customFormat="1" ht="0.65" hidden="1" customHeight="1"/>
    <row r="923" spans="21:39" s="498" customFormat="1" ht="0.65" hidden="1" customHeight="1">
      <c r="U923" s="499">
        <v>5001</v>
      </c>
      <c r="Y923" s="500">
        <v>72800</v>
      </c>
      <c r="Z923" s="500"/>
      <c r="AB923" s="500"/>
      <c r="AF923" s="498" t="s">
        <v>2171</v>
      </c>
      <c r="AG923" s="498">
        <v>1</v>
      </c>
      <c r="AH923" s="498" t="s">
        <v>2171</v>
      </c>
      <c r="AI923" s="498" t="s">
        <v>2172</v>
      </c>
      <c r="AJ923" s="500">
        <v>72800</v>
      </c>
      <c r="AL923" s="498" t="s">
        <v>2516</v>
      </c>
      <c r="AM923" s="498" t="s">
        <v>2174</v>
      </c>
    </row>
    <row r="924" spans="21:39" s="498" customFormat="1" ht="0.65" hidden="1" customHeight="1">
      <c r="U924" s="499">
        <v>5002</v>
      </c>
      <c r="Y924" s="500">
        <v>75712.000000000015</v>
      </c>
      <c r="Z924" s="500"/>
      <c r="AB924" s="500"/>
      <c r="AF924" s="498" t="s">
        <v>2175</v>
      </c>
      <c r="AG924" s="498">
        <v>2</v>
      </c>
      <c r="AH924" s="498" t="s">
        <v>2175</v>
      </c>
      <c r="AI924" s="498" t="s">
        <v>2176</v>
      </c>
      <c r="AJ924" s="500">
        <v>75712.000000000015</v>
      </c>
      <c r="AL924" s="498" t="s">
        <v>2517</v>
      </c>
      <c r="AM924" s="498" t="s">
        <v>2174</v>
      </c>
    </row>
    <row r="925" spans="21:39" s="498" customFormat="1" ht="0.65" hidden="1" customHeight="1">
      <c r="U925" s="499">
        <v>5003</v>
      </c>
      <c r="Y925" s="500">
        <v>78740.48000000001</v>
      </c>
      <c r="Z925" s="500"/>
      <c r="AB925" s="500"/>
      <c r="AF925" s="498" t="s">
        <v>2178</v>
      </c>
      <c r="AG925" s="498">
        <v>3</v>
      </c>
      <c r="AH925" s="498" t="s">
        <v>2178</v>
      </c>
      <c r="AI925" s="498" t="s">
        <v>2179</v>
      </c>
      <c r="AJ925" s="500">
        <v>78740.48000000001</v>
      </c>
      <c r="AL925" s="498" t="s">
        <v>2518</v>
      </c>
      <c r="AM925" s="498" t="s">
        <v>2174</v>
      </c>
    </row>
    <row r="926" spans="21:39" s="498" customFormat="1" ht="0.65" hidden="1" customHeight="1">
      <c r="U926" s="499">
        <v>5004</v>
      </c>
      <c r="Y926" s="500">
        <v>41520</v>
      </c>
      <c r="Z926" s="500"/>
      <c r="AB926" s="500"/>
      <c r="AF926" s="498" t="s">
        <v>2181</v>
      </c>
      <c r="AG926" s="498">
        <v>4</v>
      </c>
      <c r="AH926" s="498" t="s">
        <v>2181</v>
      </c>
      <c r="AI926" s="498" t="s">
        <v>2182</v>
      </c>
      <c r="AJ926" s="500">
        <v>41520</v>
      </c>
      <c r="AL926" s="498" t="s">
        <v>2519</v>
      </c>
      <c r="AM926" s="498" t="s">
        <v>2184</v>
      </c>
    </row>
    <row r="927" spans="21:39" s="498" customFormat="1" ht="0.65" hidden="1" customHeight="1">
      <c r="U927" s="499">
        <v>5005</v>
      </c>
      <c r="Y927" s="500">
        <v>43180.80000000001</v>
      </c>
      <c r="Z927" s="500"/>
      <c r="AB927" s="500"/>
      <c r="AF927" s="498" t="s">
        <v>2185</v>
      </c>
      <c r="AG927" s="498">
        <v>5</v>
      </c>
      <c r="AH927" s="498" t="s">
        <v>2185</v>
      </c>
      <c r="AI927" s="498" t="s">
        <v>2186</v>
      </c>
      <c r="AJ927" s="500">
        <v>43180.80000000001</v>
      </c>
      <c r="AL927" s="498" t="s">
        <v>2520</v>
      </c>
      <c r="AM927" s="498" t="s">
        <v>2184</v>
      </c>
    </row>
    <row r="928" spans="21:39" s="498" customFormat="1" ht="0.65" hidden="1" customHeight="1">
      <c r="U928" s="499">
        <v>5006</v>
      </c>
      <c r="Y928" s="500">
        <v>44908.032000000007</v>
      </c>
      <c r="Z928" s="500"/>
      <c r="AB928" s="500"/>
      <c r="AF928" s="498" t="s">
        <v>2188</v>
      </c>
      <c r="AG928" s="498">
        <v>6</v>
      </c>
      <c r="AH928" s="498" t="s">
        <v>2188</v>
      </c>
      <c r="AI928" s="498" t="s">
        <v>2189</v>
      </c>
      <c r="AJ928" s="500">
        <v>44908.032000000007</v>
      </c>
      <c r="AL928" s="498" t="s">
        <v>2521</v>
      </c>
      <c r="AM928" s="498" t="s">
        <v>2184</v>
      </c>
    </row>
    <row r="929" spans="21:39" s="498" customFormat="1" ht="0.65" hidden="1" customHeight="1">
      <c r="U929" s="499">
        <v>5007</v>
      </c>
      <c r="Y929" s="500">
        <v>40000</v>
      </c>
      <c r="Z929" s="500"/>
      <c r="AB929" s="500"/>
      <c r="AF929" s="498" t="s">
        <v>2191</v>
      </c>
      <c r="AG929" s="498">
        <v>7</v>
      </c>
      <c r="AH929" s="498" t="s">
        <v>2191</v>
      </c>
      <c r="AI929" s="498" t="s">
        <v>2192</v>
      </c>
      <c r="AJ929" s="500">
        <v>40000</v>
      </c>
      <c r="AL929" s="498" t="s">
        <v>2522</v>
      </c>
      <c r="AM929" s="498" t="s">
        <v>2194</v>
      </c>
    </row>
    <row r="930" spans="21:39" s="498" customFormat="1" ht="0.65" hidden="1" customHeight="1">
      <c r="U930" s="499">
        <v>5008</v>
      </c>
      <c r="Y930" s="500">
        <v>40000</v>
      </c>
      <c r="Z930" s="500"/>
      <c r="AB930" s="500"/>
      <c r="AF930" s="498" t="s">
        <v>2195</v>
      </c>
      <c r="AG930" s="498">
        <v>8</v>
      </c>
      <c r="AH930" s="498" t="s">
        <v>2195</v>
      </c>
      <c r="AI930" s="498" t="s">
        <v>2196</v>
      </c>
      <c r="AJ930" s="500">
        <v>40000</v>
      </c>
      <c r="AL930" s="498" t="s">
        <v>2523</v>
      </c>
      <c r="AM930" s="498" t="s">
        <v>2194</v>
      </c>
    </row>
    <row r="931" spans="21:39" s="498" customFormat="1" ht="0.65" hidden="1" customHeight="1">
      <c r="U931" s="499">
        <v>5009</v>
      </c>
      <c r="Y931" s="500">
        <v>40000</v>
      </c>
      <c r="Z931" s="500"/>
      <c r="AB931" s="500"/>
      <c r="AF931" s="498" t="s">
        <v>2198</v>
      </c>
      <c r="AG931" s="498">
        <v>9</v>
      </c>
      <c r="AH931" s="498" t="s">
        <v>2198</v>
      </c>
      <c r="AI931" s="498" t="s">
        <v>2199</v>
      </c>
      <c r="AJ931" s="500">
        <v>40000</v>
      </c>
      <c r="AL931" s="498" t="s">
        <v>2524</v>
      </c>
      <c r="AM931" s="498" t="s">
        <v>2194</v>
      </c>
    </row>
    <row r="932" spans="21:39" s="498" customFormat="1" ht="0.65" hidden="1" customHeight="1">
      <c r="U932" s="499">
        <v>5010</v>
      </c>
      <c r="Y932" s="500">
        <v>-8720</v>
      </c>
      <c r="Z932" s="500"/>
      <c r="AB932" s="500"/>
      <c r="AF932" s="498" t="s">
        <v>2201</v>
      </c>
      <c r="AG932" s="498">
        <v>10</v>
      </c>
      <c r="AH932" s="498" t="s">
        <v>2201</v>
      </c>
      <c r="AI932" s="500" t="s">
        <v>2202</v>
      </c>
      <c r="AJ932" s="500">
        <v>-8720</v>
      </c>
      <c r="AL932" s="500" t="s">
        <v>2525</v>
      </c>
      <c r="AM932" s="498" t="s">
        <v>2204</v>
      </c>
    </row>
    <row r="933" spans="21:39" s="498" customFormat="1" ht="0.65" hidden="1" customHeight="1">
      <c r="U933" s="499">
        <v>5011</v>
      </c>
      <c r="Y933" s="500">
        <v>-7468.7999999999956</v>
      </c>
      <c r="Z933" s="500"/>
      <c r="AB933" s="500"/>
      <c r="AF933" s="498" t="s">
        <v>2205</v>
      </c>
      <c r="AG933" s="498">
        <v>11</v>
      </c>
      <c r="AH933" s="498" t="s">
        <v>2205</v>
      </c>
      <c r="AI933" s="500" t="s">
        <v>2206</v>
      </c>
      <c r="AJ933" s="500">
        <v>-7468.7999999999956</v>
      </c>
      <c r="AL933" s="500" t="s">
        <v>2526</v>
      </c>
      <c r="AM933" s="498" t="s">
        <v>2204</v>
      </c>
    </row>
    <row r="934" spans="21:39" s="498" customFormat="1" ht="0.65" hidden="1" customHeight="1">
      <c r="U934" s="499">
        <v>5012</v>
      </c>
      <c r="Y934" s="500">
        <v>-6167.551999999996</v>
      </c>
      <c r="Z934" s="500"/>
      <c r="AB934" s="500"/>
      <c r="AF934" s="498" t="s">
        <v>2208</v>
      </c>
      <c r="AG934" s="498">
        <v>12</v>
      </c>
      <c r="AH934" s="498" t="s">
        <v>2208</v>
      </c>
      <c r="AI934" s="500" t="s">
        <v>2209</v>
      </c>
      <c r="AJ934" s="500">
        <v>-6167.551999999996</v>
      </c>
      <c r="AL934" s="500" t="s">
        <v>2527</v>
      </c>
      <c r="AM934" s="498" t="s">
        <v>2204</v>
      </c>
    </row>
    <row r="935" spans="21:39" s="498" customFormat="1" ht="0.65" hidden="1" customHeight="1">
      <c r="U935" s="499">
        <v>5013</v>
      </c>
      <c r="Y935" s="500">
        <v>-2616</v>
      </c>
      <c r="Z935" s="500"/>
      <c r="AB935" s="500"/>
      <c r="AF935" s="498" t="s">
        <v>2211</v>
      </c>
      <c r="AG935" s="498">
        <v>13</v>
      </c>
      <c r="AH935" s="498" t="s">
        <v>2211</v>
      </c>
      <c r="AI935" s="498" t="s">
        <v>2212</v>
      </c>
      <c r="AJ935" s="500">
        <v>-2616</v>
      </c>
      <c r="AL935" s="498" t="s">
        <v>2528</v>
      </c>
      <c r="AM935" s="498" t="s">
        <v>2214</v>
      </c>
    </row>
    <row r="936" spans="21:39" s="498" customFormat="1" ht="0.65" hidden="1" customHeight="1">
      <c r="U936" s="499">
        <v>5014</v>
      </c>
      <c r="Y936" s="500">
        <v>-2240.6399999999985</v>
      </c>
      <c r="Z936" s="500"/>
      <c r="AB936" s="500"/>
      <c r="AF936" s="498" t="s">
        <v>2215</v>
      </c>
      <c r="AG936" s="498">
        <v>14</v>
      </c>
      <c r="AH936" s="498" t="s">
        <v>2215</v>
      </c>
      <c r="AI936" s="498" t="s">
        <v>2216</v>
      </c>
      <c r="AJ936" s="500">
        <v>-2240.6399999999985</v>
      </c>
      <c r="AL936" s="498" t="s">
        <v>2529</v>
      </c>
      <c r="AM936" s="498" t="s">
        <v>2214</v>
      </c>
    </row>
    <row r="937" spans="21:39" s="498" customFormat="1" ht="0.65" hidden="1" customHeight="1">
      <c r="U937" s="499">
        <v>5015</v>
      </c>
      <c r="Y937" s="500">
        <v>-1850.2655999999988</v>
      </c>
      <c r="Z937" s="500"/>
      <c r="AB937" s="500"/>
      <c r="AF937" s="498" t="s">
        <v>2218</v>
      </c>
      <c r="AG937" s="498">
        <v>15</v>
      </c>
      <c r="AH937" s="498" t="s">
        <v>2218</v>
      </c>
      <c r="AI937" s="498" t="s">
        <v>2219</v>
      </c>
      <c r="AJ937" s="500">
        <v>-1850.2655999999988</v>
      </c>
      <c r="AL937" s="498" t="s">
        <v>2530</v>
      </c>
      <c r="AM937" s="498" t="s">
        <v>2214</v>
      </c>
    </row>
    <row r="938" spans="21:39" s="498" customFormat="1" ht="0.65" hidden="1" customHeight="1">
      <c r="U938" s="499">
        <v>5016</v>
      </c>
      <c r="Y938" s="500">
        <v>-6104</v>
      </c>
      <c r="Z938" s="500"/>
      <c r="AB938" s="500"/>
      <c r="AF938" s="498" t="s">
        <v>2221</v>
      </c>
      <c r="AG938" s="498">
        <v>16</v>
      </c>
      <c r="AH938" s="498" t="s">
        <v>2221</v>
      </c>
      <c r="AI938" s="500" t="s">
        <v>2222</v>
      </c>
      <c r="AJ938" s="500">
        <v>-6104</v>
      </c>
      <c r="AL938" s="500" t="s">
        <v>2531</v>
      </c>
      <c r="AM938" s="498" t="s">
        <v>2224</v>
      </c>
    </row>
    <row r="939" spans="21:39" s="498" customFormat="1" ht="0.65" hidden="1" customHeight="1">
      <c r="U939" s="499">
        <v>5017</v>
      </c>
      <c r="Y939" s="500">
        <v>-5228.1599999999971</v>
      </c>
      <c r="Z939" s="500"/>
      <c r="AB939" s="500"/>
      <c r="AF939" s="498" t="s">
        <v>2225</v>
      </c>
      <c r="AG939" s="498">
        <v>17</v>
      </c>
      <c r="AH939" s="498" t="s">
        <v>2225</v>
      </c>
      <c r="AI939" s="500" t="s">
        <v>2226</v>
      </c>
      <c r="AJ939" s="500">
        <v>-5228.1599999999971</v>
      </c>
      <c r="AL939" s="500" t="s">
        <v>2532</v>
      </c>
      <c r="AM939" s="498" t="s">
        <v>2224</v>
      </c>
    </row>
    <row r="940" spans="21:39" s="498" customFormat="1" ht="0.65" hidden="1" customHeight="1">
      <c r="U940" s="499">
        <v>5018</v>
      </c>
      <c r="Y940" s="500">
        <v>-4317.2863999999972</v>
      </c>
      <c r="Z940" s="500"/>
      <c r="AB940" s="500"/>
      <c r="AF940" s="498" t="s">
        <v>2228</v>
      </c>
      <c r="AG940" s="498">
        <v>18</v>
      </c>
      <c r="AH940" s="498" t="s">
        <v>2228</v>
      </c>
      <c r="AI940" s="500" t="s">
        <v>2229</v>
      </c>
      <c r="AJ940" s="500">
        <v>-4317.2863999999972</v>
      </c>
      <c r="AL940" s="500" t="s">
        <v>2533</v>
      </c>
      <c r="AM940" s="498" t="s">
        <v>2224</v>
      </c>
    </row>
    <row r="941" spans="21:39" s="498" customFormat="1" ht="0.65" hidden="1" customHeight="1">
      <c r="U941" s="499">
        <v>5019</v>
      </c>
      <c r="Y941" s="500">
        <v>33896</v>
      </c>
      <c r="Z941" s="500"/>
      <c r="AB941" s="500"/>
      <c r="AF941" s="498" t="s">
        <v>2231</v>
      </c>
      <c r="AG941" s="498">
        <v>19</v>
      </c>
      <c r="AH941" s="498" t="s">
        <v>2231</v>
      </c>
      <c r="AI941" s="500" t="s">
        <v>2232</v>
      </c>
      <c r="AJ941" s="500">
        <v>33896</v>
      </c>
      <c r="AL941" s="500" t="s">
        <v>2534</v>
      </c>
      <c r="AM941" s="498" t="s">
        <v>2234</v>
      </c>
    </row>
    <row r="942" spans="21:39" s="498" customFormat="1" ht="0.65" hidden="1" customHeight="1">
      <c r="U942" s="499">
        <v>5020</v>
      </c>
      <c r="Y942" s="500">
        <v>34771.840000000004</v>
      </c>
      <c r="Z942" s="500"/>
      <c r="AB942" s="500"/>
      <c r="AF942" s="498" t="s">
        <v>2235</v>
      </c>
      <c r="AG942" s="498">
        <v>20</v>
      </c>
      <c r="AH942" s="498" t="s">
        <v>2235</v>
      </c>
      <c r="AI942" s="500" t="s">
        <v>2236</v>
      </c>
      <c r="AJ942" s="500">
        <v>34771.840000000004</v>
      </c>
      <c r="AL942" s="500" t="s">
        <v>2535</v>
      </c>
      <c r="AM942" s="498" t="s">
        <v>2234</v>
      </c>
    </row>
    <row r="943" spans="21:39" s="498" customFormat="1" ht="0.65" hidden="1" customHeight="1">
      <c r="U943" s="499">
        <v>5021</v>
      </c>
      <c r="Y943" s="500">
        <v>35682.713600000003</v>
      </c>
      <c r="Z943" s="500"/>
      <c r="AB943" s="500"/>
      <c r="AF943" s="498" t="s">
        <v>2238</v>
      </c>
      <c r="AG943" s="498">
        <v>21</v>
      </c>
      <c r="AH943" s="498" t="s">
        <v>2238</v>
      </c>
      <c r="AI943" s="500" t="s">
        <v>2239</v>
      </c>
      <c r="AJ943" s="500">
        <v>35682.713600000003</v>
      </c>
      <c r="AL943" s="500" t="s">
        <v>2536</v>
      </c>
      <c r="AM943" s="498" t="s">
        <v>2234</v>
      </c>
    </row>
    <row r="944" spans="21:39" s="498" customFormat="1" ht="0.65" hidden="1" customHeight="1">
      <c r="U944" s="499">
        <v>5022</v>
      </c>
      <c r="Y944" s="500">
        <v>2000</v>
      </c>
      <c r="Z944" s="500"/>
      <c r="AB944" s="500"/>
      <c r="AF944" s="498" t="s">
        <v>2241</v>
      </c>
      <c r="AG944" s="498">
        <v>22</v>
      </c>
      <c r="AH944" s="498" t="s">
        <v>2241</v>
      </c>
      <c r="AI944" s="500" t="s">
        <v>2242</v>
      </c>
      <c r="AJ944" s="500">
        <v>2000</v>
      </c>
      <c r="AL944" s="500" t="s">
        <v>2537</v>
      </c>
      <c r="AM944" s="498" t="s">
        <v>2244</v>
      </c>
    </row>
    <row r="945" spans="21:39" s="498" customFormat="1" ht="0.65" hidden="1" customHeight="1">
      <c r="U945" s="499">
        <v>5023</v>
      </c>
      <c r="Y945" s="500">
        <v>2080</v>
      </c>
      <c r="Z945" s="500"/>
      <c r="AB945" s="500"/>
      <c r="AF945" s="498" t="s">
        <v>2245</v>
      </c>
      <c r="AG945" s="498">
        <v>23</v>
      </c>
      <c r="AH945" s="498" t="s">
        <v>2245</v>
      </c>
      <c r="AI945" s="498" t="s">
        <v>2246</v>
      </c>
      <c r="AJ945" s="500">
        <v>2080</v>
      </c>
      <c r="AL945" s="500" t="s">
        <v>2538</v>
      </c>
      <c r="AM945" s="498" t="s">
        <v>2248</v>
      </c>
    </row>
    <row r="946" spans="21:39" s="498" customFormat="1" ht="0.65" hidden="1" customHeight="1">
      <c r="U946" s="499">
        <v>5024</v>
      </c>
      <c r="Y946" s="500">
        <v>2163.2000000000003</v>
      </c>
      <c r="Z946" s="500"/>
      <c r="AB946" s="500"/>
      <c r="AF946" s="498" t="s">
        <v>2249</v>
      </c>
      <c r="AG946" s="498">
        <v>24</v>
      </c>
      <c r="AH946" s="498" t="s">
        <v>2249</v>
      </c>
      <c r="AI946" s="498" t="s">
        <v>2250</v>
      </c>
      <c r="AJ946" s="500">
        <v>2163.2000000000003</v>
      </c>
      <c r="AL946" s="500" t="s">
        <v>2539</v>
      </c>
      <c r="AM946" s="498" t="s">
        <v>2248</v>
      </c>
    </row>
    <row r="947" spans="21:39" s="498" customFormat="1" ht="0.65" hidden="1" customHeight="1">
      <c r="U947" s="499">
        <v>5025</v>
      </c>
      <c r="Y947" s="500">
        <v>2249.7280000000005</v>
      </c>
      <c r="Z947" s="500"/>
      <c r="AB947" s="500"/>
      <c r="AF947" s="498" t="s">
        <v>2252</v>
      </c>
      <c r="AG947" s="498">
        <v>25</v>
      </c>
      <c r="AH947" s="498" t="s">
        <v>2252</v>
      </c>
      <c r="AI947" s="498" t="s">
        <v>2253</v>
      </c>
      <c r="AJ947" s="500">
        <v>2249.7280000000005</v>
      </c>
      <c r="AL947" s="500" t="s">
        <v>2540</v>
      </c>
      <c r="AM947" s="498" t="s">
        <v>2248</v>
      </c>
    </row>
    <row r="948" spans="21:39" s="498" customFormat="1" ht="0.65" hidden="1" customHeight="1">
      <c r="U948" s="499">
        <v>5026</v>
      </c>
      <c r="Y948" s="500">
        <v>0</v>
      </c>
      <c r="Z948" s="500"/>
      <c r="AB948" s="500"/>
      <c r="AF948" s="498" t="s">
        <v>2255</v>
      </c>
      <c r="AG948" s="498">
        <v>26</v>
      </c>
      <c r="AH948" s="498" t="s">
        <v>2255</v>
      </c>
      <c r="AI948" s="498" t="s">
        <v>2256</v>
      </c>
      <c r="AJ948" s="500">
        <v>0</v>
      </c>
      <c r="AL948" s="498" t="s">
        <v>2257</v>
      </c>
      <c r="AM948" s="498" t="s">
        <v>2258</v>
      </c>
    </row>
    <row r="949" spans="21:39" s="498" customFormat="1" ht="0.65" hidden="1" customHeight="1">
      <c r="U949" s="499">
        <v>5027</v>
      </c>
      <c r="Y949" s="500">
        <v>7340.666666666667</v>
      </c>
      <c r="Z949" s="500"/>
      <c r="AB949" s="500"/>
      <c r="AF949" s="498" t="s">
        <v>2259</v>
      </c>
      <c r="AG949" s="498">
        <v>27</v>
      </c>
      <c r="AH949" s="498" t="s">
        <v>2259</v>
      </c>
      <c r="AI949" s="498" t="s">
        <v>2260</v>
      </c>
      <c r="AJ949" s="500">
        <v>7340.666666666667</v>
      </c>
      <c r="AL949" s="498" t="s">
        <v>2541</v>
      </c>
      <c r="AM949" s="498" t="s">
        <v>2262</v>
      </c>
    </row>
    <row r="950" spans="21:39" s="498" customFormat="1" ht="0.65" hidden="1" customHeight="1">
      <c r="U950" s="499">
        <v>5028</v>
      </c>
      <c r="Y950" s="500">
        <v>7634.2933333333349</v>
      </c>
      <c r="Z950" s="500"/>
      <c r="AB950" s="500"/>
      <c r="AF950" s="498" t="s">
        <v>2263</v>
      </c>
      <c r="AG950" s="498">
        <v>28</v>
      </c>
      <c r="AH950" s="498" t="s">
        <v>2263</v>
      </c>
      <c r="AI950" s="498" t="s">
        <v>2264</v>
      </c>
      <c r="AJ950" s="500">
        <v>7634.2933333333349</v>
      </c>
      <c r="AL950" s="498" t="s">
        <v>2542</v>
      </c>
      <c r="AM950" s="498" t="s">
        <v>2262</v>
      </c>
    </row>
    <row r="951" spans="21:39" s="498" customFormat="1" ht="0.65" hidden="1" customHeight="1">
      <c r="U951" s="499">
        <v>5029</v>
      </c>
      <c r="Y951" s="500">
        <v>7939.6650666666674</v>
      </c>
      <c r="Z951" s="500"/>
      <c r="AB951" s="500"/>
      <c r="AF951" s="498" t="s">
        <v>2266</v>
      </c>
      <c r="AG951" s="498">
        <v>29</v>
      </c>
      <c r="AH951" s="498" t="s">
        <v>2266</v>
      </c>
      <c r="AI951" s="498" t="s">
        <v>2267</v>
      </c>
      <c r="AJ951" s="500">
        <v>7939.6650666666674</v>
      </c>
      <c r="AL951" s="498" t="s">
        <v>2543</v>
      </c>
      <c r="AM951" s="498" t="s">
        <v>2262</v>
      </c>
    </row>
    <row r="952" spans="21:39" s="498" customFormat="1" ht="0.65" hidden="1" customHeight="1">
      <c r="U952" s="499">
        <v>5030</v>
      </c>
      <c r="Y952" s="500">
        <v>0</v>
      </c>
      <c r="Z952" s="500"/>
      <c r="AB952" s="500"/>
      <c r="AF952" s="498" t="s">
        <v>2269</v>
      </c>
      <c r="AG952" s="498">
        <v>30</v>
      </c>
      <c r="AH952" s="498" t="s">
        <v>2269</v>
      </c>
      <c r="AI952" s="498" t="s">
        <v>2270</v>
      </c>
      <c r="AJ952" s="500">
        <v>0</v>
      </c>
      <c r="AL952" s="498" t="s">
        <v>2271</v>
      </c>
      <c r="AM952" s="498" t="s">
        <v>2272</v>
      </c>
    </row>
    <row r="953" spans="21:39" s="498" customFormat="1" ht="0.65" hidden="1" customHeight="1">
      <c r="U953" s="499">
        <v>5031</v>
      </c>
      <c r="Y953" s="500">
        <v>12584</v>
      </c>
      <c r="Z953" s="500"/>
      <c r="AB953" s="500"/>
      <c r="AF953" s="498" t="s">
        <v>2273</v>
      </c>
      <c r="AG953" s="498">
        <v>31</v>
      </c>
      <c r="AH953" s="498" t="s">
        <v>2273</v>
      </c>
      <c r="AI953" s="498" t="s">
        <v>2274</v>
      </c>
      <c r="AJ953" s="500">
        <v>12584</v>
      </c>
      <c r="AL953" s="498" t="s">
        <v>2544</v>
      </c>
      <c r="AM953" s="498" t="s">
        <v>2276</v>
      </c>
    </row>
    <row r="954" spans="21:39" s="498" customFormat="1" ht="0.65" hidden="1" customHeight="1">
      <c r="U954" s="499">
        <v>5032</v>
      </c>
      <c r="Y954" s="500">
        <v>13087.360000000002</v>
      </c>
      <c r="Z954" s="500"/>
      <c r="AB954" s="500"/>
      <c r="AF954" s="498" t="s">
        <v>2277</v>
      </c>
      <c r="AG954" s="498">
        <v>32</v>
      </c>
      <c r="AH954" s="498" t="s">
        <v>2277</v>
      </c>
      <c r="AI954" s="498" t="s">
        <v>2278</v>
      </c>
      <c r="AJ954" s="500">
        <v>13087.360000000002</v>
      </c>
      <c r="AL954" s="498" t="s">
        <v>2545</v>
      </c>
      <c r="AM954" s="498" t="s">
        <v>2276</v>
      </c>
    </row>
    <row r="955" spans="21:39" s="498" customFormat="1" ht="0.65" hidden="1" customHeight="1">
      <c r="U955" s="499">
        <v>5033</v>
      </c>
      <c r="Y955" s="500">
        <v>13610.854400000002</v>
      </c>
      <c r="Z955" s="500"/>
      <c r="AB955" s="500"/>
      <c r="AF955" s="498" t="s">
        <v>2280</v>
      </c>
      <c r="AG955" s="498">
        <v>33</v>
      </c>
      <c r="AH955" s="498" t="s">
        <v>2280</v>
      </c>
      <c r="AI955" s="498" t="s">
        <v>2281</v>
      </c>
      <c r="AJ955" s="500">
        <v>13610.854400000002</v>
      </c>
      <c r="AL955" s="498" t="s">
        <v>2546</v>
      </c>
      <c r="AM955" s="498" t="s">
        <v>2276</v>
      </c>
    </row>
    <row r="956" spans="21:39" s="498" customFormat="1" ht="0.65" hidden="1" customHeight="1">
      <c r="U956" s="499">
        <v>5034</v>
      </c>
      <c r="Y956" s="500">
        <v>2000</v>
      </c>
      <c r="Z956" s="500"/>
      <c r="AB956" s="500"/>
      <c r="AF956" s="498" t="s">
        <v>2283</v>
      </c>
      <c r="AG956" s="498">
        <v>34</v>
      </c>
      <c r="AH956" s="498" t="s">
        <v>2283</v>
      </c>
      <c r="AI956" s="500" t="s">
        <v>2284</v>
      </c>
      <c r="AJ956" s="500">
        <v>2000</v>
      </c>
      <c r="AL956" s="500" t="s">
        <v>2547</v>
      </c>
      <c r="AM956" s="498" t="s">
        <v>2286</v>
      </c>
    </row>
    <row r="957" spans="21:39" s="498" customFormat="1" ht="0.65" hidden="1" customHeight="1">
      <c r="U957" s="499">
        <v>5035</v>
      </c>
      <c r="Y957" s="500">
        <v>-3163.3333333333321</v>
      </c>
      <c r="Z957" s="500"/>
      <c r="AB957" s="500"/>
      <c r="AF957" s="498" t="s">
        <v>2287</v>
      </c>
      <c r="AG957" s="498">
        <v>35</v>
      </c>
      <c r="AH957" s="498" t="s">
        <v>2287</v>
      </c>
      <c r="AI957" s="500" t="s">
        <v>2288</v>
      </c>
      <c r="AJ957" s="500">
        <v>-3163.3333333333321</v>
      </c>
      <c r="AL957" s="500" t="s">
        <v>2548</v>
      </c>
      <c r="AM957" s="498" t="s">
        <v>2290</v>
      </c>
    </row>
    <row r="958" spans="21:39" s="498" customFormat="1" ht="0.65" hidden="1" customHeight="1">
      <c r="U958" s="499">
        <v>5036</v>
      </c>
      <c r="Y958" s="500">
        <v>-3289.8666666666668</v>
      </c>
      <c r="Z958" s="500"/>
      <c r="AB958" s="500"/>
      <c r="AF958" s="498" t="s">
        <v>2291</v>
      </c>
      <c r="AG958" s="498">
        <v>36</v>
      </c>
      <c r="AH958" s="498" t="s">
        <v>2291</v>
      </c>
      <c r="AI958" s="500" t="s">
        <v>2292</v>
      </c>
      <c r="AJ958" s="500">
        <v>-3289.8666666666668</v>
      </c>
      <c r="AL958" s="500" t="s">
        <v>2549</v>
      </c>
      <c r="AM958" s="498" t="s">
        <v>2290</v>
      </c>
    </row>
    <row r="959" spans="21:39" s="498" customFormat="1" ht="0.65" hidden="1" customHeight="1">
      <c r="U959" s="499">
        <v>5037</v>
      </c>
      <c r="Y959" s="500">
        <v>-3421.4613333333346</v>
      </c>
      <c r="Z959" s="500"/>
      <c r="AB959" s="500"/>
      <c r="AF959" s="498" t="s">
        <v>2294</v>
      </c>
      <c r="AG959" s="498">
        <v>37</v>
      </c>
      <c r="AH959" s="498" t="s">
        <v>2294</v>
      </c>
      <c r="AI959" s="500" t="s">
        <v>2295</v>
      </c>
      <c r="AJ959" s="500">
        <v>-3421.4613333333346</v>
      </c>
      <c r="AL959" s="500" t="s">
        <v>2550</v>
      </c>
      <c r="AM959" s="498" t="s">
        <v>2290</v>
      </c>
    </row>
    <row r="960" spans="21:39" s="498" customFormat="1" ht="0.65" hidden="1" customHeight="1">
      <c r="U960" s="499">
        <v>5038</v>
      </c>
      <c r="Y960" s="500">
        <v>2000</v>
      </c>
      <c r="Z960" s="500"/>
      <c r="AB960" s="500"/>
      <c r="AF960" s="498" t="s">
        <v>2297</v>
      </c>
      <c r="AG960" s="498">
        <v>38</v>
      </c>
      <c r="AH960" s="498" t="s">
        <v>2297</v>
      </c>
      <c r="AI960" s="500" t="s">
        <v>2298</v>
      </c>
      <c r="AJ960" s="500">
        <v>2000</v>
      </c>
      <c r="AL960" s="500" t="s">
        <v>2551</v>
      </c>
      <c r="AM960" s="498" t="s">
        <v>2286</v>
      </c>
    </row>
    <row r="961" spans="21:39" s="498" customFormat="1" ht="0.65" hidden="1" customHeight="1">
      <c r="U961" s="499">
        <v>5039</v>
      </c>
      <c r="Y961" s="500">
        <v>-5163.3333333333321</v>
      </c>
      <c r="Z961" s="500"/>
      <c r="AB961" s="500"/>
      <c r="AF961" s="498" t="s">
        <v>2300</v>
      </c>
      <c r="AG961" s="498">
        <v>39</v>
      </c>
      <c r="AH961" s="498" t="s">
        <v>2300</v>
      </c>
      <c r="AI961" s="500" t="s">
        <v>2301</v>
      </c>
      <c r="AJ961" s="500">
        <v>-5163.3333333333321</v>
      </c>
      <c r="AL961" s="500" t="s">
        <v>2552</v>
      </c>
      <c r="AM961" s="498" t="s">
        <v>2303</v>
      </c>
    </row>
    <row r="962" spans="21:39" s="498" customFormat="1" ht="0.65" hidden="1" customHeight="1">
      <c r="U962" s="499">
        <v>5040</v>
      </c>
      <c r="Y962" s="500">
        <v>-126.53333333333467</v>
      </c>
      <c r="Z962" s="500"/>
      <c r="AB962" s="500"/>
      <c r="AF962" s="498" t="s">
        <v>2304</v>
      </c>
      <c r="AG962" s="498">
        <v>40</v>
      </c>
      <c r="AH962" s="498" t="s">
        <v>2304</v>
      </c>
      <c r="AI962" s="500" t="s">
        <v>2305</v>
      </c>
      <c r="AJ962" s="500">
        <v>-126.53333333333467</v>
      </c>
      <c r="AL962" s="500" t="s">
        <v>2553</v>
      </c>
      <c r="AM962" s="498" t="s">
        <v>2303</v>
      </c>
    </row>
    <row r="963" spans="21:39" s="498" customFormat="1" ht="0.65" hidden="1" customHeight="1">
      <c r="U963" s="499">
        <v>5041</v>
      </c>
      <c r="Y963" s="500">
        <v>-131.59466666666776</v>
      </c>
      <c r="Z963" s="500"/>
      <c r="AB963" s="500"/>
      <c r="AF963" s="498" t="s">
        <v>2307</v>
      </c>
      <c r="AG963" s="498">
        <v>41</v>
      </c>
      <c r="AH963" s="498" t="s">
        <v>2307</v>
      </c>
      <c r="AI963" s="500" t="s">
        <v>2308</v>
      </c>
      <c r="AJ963" s="500">
        <v>-131.59466666666776</v>
      </c>
      <c r="AL963" s="500" t="s">
        <v>2554</v>
      </c>
      <c r="AM963" s="498" t="s">
        <v>2303</v>
      </c>
    </row>
    <row r="964" spans="21:39" s="498" customFormat="1" ht="0.65" hidden="1" customHeight="1">
      <c r="U964" s="499">
        <v>5042</v>
      </c>
      <c r="Y964" s="500">
        <v>202000</v>
      </c>
      <c r="Z964" s="500"/>
      <c r="AB964" s="500"/>
      <c r="AF964" s="500" t="s">
        <v>490</v>
      </c>
      <c r="AG964" s="498">
        <v>42</v>
      </c>
      <c r="AH964" s="498" t="s">
        <v>490</v>
      </c>
      <c r="AI964" s="500" t="s">
        <v>2310</v>
      </c>
      <c r="AJ964" s="500">
        <v>202000</v>
      </c>
      <c r="AL964" s="500" t="s">
        <v>2555</v>
      </c>
      <c r="AM964" s="498" t="s">
        <v>2312</v>
      </c>
    </row>
    <row r="965" spans="21:39" s="498" customFormat="1" ht="0.65" hidden="1" customHeight="1">
      <c r="U965" s="499">
        <v>5043</v>
      </c>
      <c r="Y965" s="500">
        <v>149984.76800000001</v>
      </c>
      <c r="Z965" s="500"/>
      <c r="AB965" s="500"/>
      <c r="AF965" s="500" t="s">
        <v>2168</v>
      </c>
      <c r="AG965" s="498">
        <v>43</v>
      </c>
      <c r="AH965" s="498" t="s">
        <v>2168</v>
      </c>
      <c r="AI965" s="498" t="s">
        <v>2313</v>
      </c>
      <c r="AJ965" s="500">
        <v>149984.76800000001</v>
      </c>
      <c r="AL965" s="498" t="s">
        <v>2556</v>
      </c>
      <c r="AM965" s="498" t="s">
        <v>2315</v>
      </c>
    </row>
    <row r="966" spans="21:39" s="498" customFormat="1" ht="0.65" hidden="1" customHeight="1">
      <c r="U966" s="499">
        <v>5044</v>
      </c>
      <c r="Y966" s="500">
        <v>-3421.4613333333346</v>
      </c>
      <c r="Z966" s="500"/>
      <c r="AB966" s="500"/>
      <c r="AF966" s="500" t="s">
        <v>2169</v>
      </c>
      <c r="AG966" s="498">
        <v>44</v>
      </c>
      <c r="AH966" s="498" t="s">
        <v>2169</v>
      </c>
      <c r="AI966" s="500" t="s">
        <v>2316</v>
      </c>
      <c r="AJ966" s="500">
        <v>-3421.4613333333346</v>
      </c>
      <c r="AL966" s="500" t="s">
        <v>2557</v>
      </c>
      <c r="AM966" s="498" t="s">
        <v>2318</v>
      </c>
    </row>
    <row r="967" spans="21:39" s="498" customFormat="1" ht="0.65" hidden="1" customHeight="1">
      <c r="U967" s="499">
        <v>5045</v>
      </c>
      <c r="Y967" s="500">
        <v>146563.30666666667</v>
      </c>
      <c r="Z967" s="500"/>
      <c r="AB967" s="500"/>
      <c r="AF967" s="500" t="s">
        <v>2170</v>
      </c>
      <c r="AG967" s="498">
        <v>45</v>
      </c>
      <c r="AH967" s="498" t="s">
        <v>2170</v>
      </c>
      <c r="AI967" s="500" t="s">
        <v>2319</v>
      </c>
      <c r="AJ967" s="500">
        <v>146563.30666666667</v>
      </c>
      <c r="AL967" s="500" t="s">
        <v>2558</v>
      </c>
      <c r="AM967" s="498" t="s">
        <v>2321</v>
      </c>
    </row>
    <row r="968" spans="21:39" s="498" customFormat="1" ht="0.65" hidden="1" customHeight="1">
      <c r="U968" s="499">
        <v>5046</v>
      </c>
      <c r="Y968" s="510">
        <v>4.2000000000000003E-2</v>
      </c>
      <c r="Z968" s="510"/>
      <c r="AB968" s="510"/>
      <c r="AF968" s="500" t="s">
        <v>414</v>
      </c>
      <c r="AG968" s="498">
        <v>46</v>
      </c>
      <c r="AH968" s="498" t="s">
        <v>414</v>
      </c>
      <c r="AI968" s="498" t="s">
        <v>2322</v>
      </c>
      <c r="AJ968" s="510">
        <v>4.2000000000000003E-2</v>
      </c>
      <c r="AL968" s="498" t="s">
        <v>2559</v>
      </c>
      <c r="AM968" s="498" t="s">
        <v>2324</v>
      </c>
    </row>
    <row r="969" spans="21:39" s="498" customFormat="1" ht="0.65" hidden="1" customHeight="1">
      <c r="U969" s="499">
        <v>5047</v>
      </c>
      <c r="Y969" s="510">
        <v>0.09</v>
      </c>
      <c r="Z969" s="510"/>
      <c r="AB969" s="510"/>
      <c r="AF969" s="500" t="s">
        <v>415</v>
      </c>
      <c r="AG969" s="498">
        <v>47</v>
      </c>
      <c r="AH969" s="498" t="s">
        <v>415</v>
      </c>
      <c r="AI969" s="511" t="s">
        <v>2325</v>
      </c>
      <c r="AJ969" s="510">
        <v>0.09</v>
      </c>
      <c r="AL969" s="511" t="s">
        <v>2560</v>
      </c>
      <c r="AM969" s="498" t="s">
        <v>2327</v>
      </c>
    </row>
    <row r="970" spans="21:39" s="498" customFormat="1" ht="0.65" hidden="1" customHeight="1">
      <c r="U970" s="499">
        <v>5048</v>
      </c>
      <c r="Y970" s="510">
        <v>5.5714285714285716E-2</v>
      </c>
      <c r="Z970" s="510"/>
      <c r="AB970" s="510"/>
      <c r="AF970" s="500" t="s">
        <v>416</v>
      </c>
      <c r="AG970" s="498">
        <v>48</v>
      </c>
      <c r="AH970" s="498" t="s">
        <v>416</v>
      </c>
      <c r="AI970" s="498" t="s">
        <v>2328</v>
      </c>
      <c r="AJ970" s="510">
        <v>5.5714285714285716E-2</v>
      </c>
      <c r="AL970" s="498" t="s">
        <v>2561</v>
      </c>
      <c r="AM970" s="498" t="s">
        <v>2330</v>
      </c>
    </row>
    <row r="971" spans="21:39" s="498" customFormat="1" ht="0.65" hidden="1" customHeight="1">
      <c r="U971" s="499">
        <v>5049</v>
      </c>
      <c r="Y971" s="500">
        <v>-202000</v>
      </c>
      <c r="Z971" s="500"/>
      <c r="AB971" s="500"/>
      <c r="AF971" s="498" t="s">
        <v>2331</v>
      </c>
      <c r="AG971" s="498">
        <v>49</v>
      </c>
      <c r="AH971" s="498" t="s">
        <v>2331</v>
      </c>
      <c r="AI971" s="500" t="s">
        <v>2332</v>
      </c>
      <c r="AJ971" s="500">
        <v>-202000</v>
      </c>
      <c r="AL971" s="500" t="s">
        <v>2562</v>
      </c>
      <c r="AM971" s="498" t="s">
        <v>3946</v>
      </c>
    </row>
    <row r="972" spans="21:39" s="498" customFormat="1" ht="0.65" hidden="1" customHeight="1">
      <c r="U972" s="499">
        <v>5050</v>
      </c>
      <c r="Y972" s="500">
        <v>39059.333333333328</v>
      </c>
      <c r="Z972" s="500"/>
      <c r="AB972" s="500"/>
      <c r="AF972" s="498" t="s">
        <v>2334</v>
      </c>
      <c r="AG972" s="498">
        <v>50</v>
      </c>
      <c r="AH972" s="498" t="s">
        <v>2334</v>
      </c>
      <c r="AI972" s="500" t="s">
        <v>2335</v>
      </c>
      <c r="AJ972" s="500">
        <v>39059.333333333328</v>
      </c>
      <c r="AL972" s="498" t="s">
        <v>2563</v>
      </c>
      <c r="AM972" s="498" t="s">
        <v>3946</v>
      </c>
    </row>
    <row r="973" spans="21:39" s="498" customFormat="1" ht="0.65" hidden="1" customHeight="1">
      <c r="U973" s="499">
        <v>5051</v>
      </c>
      <c r="Y973" s="500">
        <v>34898.373333333337</v>
      </c>
      <c r="Z973" s="500"/>
      <c r="AB973" s="500"/>
      <c r="AF973" s="498" t="s">
        <v>2337</v>
      </c>
      <c r="AG973" s="498">
        <v>51</v>
      </c>
      <c r="AH973" s="498" t="s">
        <v>2337</v>
      </c>
      <c r="AI973" s="500" t="s">
        <v>2338</v>
      </c>
      <c r="AJ973" s="500">
        <v>34898.373333333337</v>
      </c>
      <c r="AL973" s="498" t="s">
        <v>2564</v>
      </c>
      <c r="AM973" s="498" t="s">
        <v>3946</v>
      </c>
    </row>
    <row r="974" spans="21:39" s="498" customFormat="1" ht="0.65" hidden="1" customHeight="1">
      <c r="U974" s="499">
        <v>5052</v>
      </c>
      <c r="Y974" s="500">
        <v>182377.61493333336</v>
      </c>
      <c r="Z974" s="500"/>
      <c r="AB974" s="500"/>
      <c r="AF974" s="498" t="s">
        <v>2340</v>
      </c>
      <c r="AG974" s="498">
        <v>52</v>
      </c>
      <c r="AH974" s="498" t="s">
        <v>2340</v>
      </c>
      <c r="AI974" s="500" t="s">
        <v>2341</v>
      </c>
      <c r="AJ974" s="500">
        <v>182377.61493333336</v>
      </c>
      <c r="AL974" s="498" t="s">
        <v>2565</v>
      </c>
      <c r="AM974" s="498" t="s">
        <v>3946</v>
      </c>
    </row>
    <row r="975" spans="21:39" s="498" customFormat="1" ht="0.65" hidden="1" customHeight="1">
      <c r="U975" s="499">
        <v>5053</v>
      </c>
      <c r="Y975" s="500">
        <v>21310.357097202825</v>
      </c>
      <c r="Z975" s="500"/>
      <c r="AB975" s="500"/>
      <c r="AF975" s="500" t="s">
        <v>13</v>
      </c>
      <c r="AG975" s="498">
        <v>53</v>
      </c>
      <c r="AH975" s="498" t="s">
        <v>13</v>
      </c>
      <c r="AI975" s="500" t="s">
        <v>2343</v>
      </c>
      <c r="AJ975" s="500">
        <v>21310.357097202825</v>
      </c>
      <c r="AL975" s="512" t="s">
        <v>2566</v>
      </c>
      <c r="AM975" s="498" t="s">
        <v>2345</v>
      </c>
    </row>
    <row r="976" spans="21:39" s="498" customFormat="1" ht="0.65" hidden="1" customHeight="1">
      <c r="U976" s="499">
        <v>5054</v>
      </c>
      <c r="Y976" s="510">
        <v>9.8635685486631264E-2</v>
      </c>
      <c r="Z976" s="510"/>
      <c r="AB976" s="510"/>
      <c r="AF976" s="498" t="s">
        <v>28</v>
      </c>
      <c r="AG976" s="498">
        <v>54</v>
      </c>
      <c r="AH976" s="498" t="s">
        <v>28</v>
      </c>
      <c r="AI976" s="511" t="s">
        <v>2346</v>
      </c>
      <c r="AJ976" s="510">
        <v>9.8635685486631264E-2</v>
      </c>
      <c r="AL976" s="511" t="s">
        <v>2567</v>
      </c>
      <c r="AM976" s="498" t="s">
        <v>2348</v>
      </c>
    </row>
    <row r="977" spans="7:35" s="498" customFormat="1" ht="0.65" hidden="1" customHeight="1">
      <c r="U977" s="499">
        <v>5055</v>
      </c>
    </row>
    <row r="978" spans="7:35" s="498" customFormat="1" ht="0.65" hidden="1" customHeight="1">
      <c r="U978" s="499">
        <v>5056</v>
      </c>
      <c r="AG978" s="498">
        <v>1</v>
      </c>
      <c r="AH978" s="498" t="s">
        <v>2349</v>
      </c>
      <c r="AI978" s="498" t="s">
        <v>3947</v>
      </c>
    </row>
    <row r="979" spans="7:35" s="498" customFormat="1" ht="0.65" hidden="1" customHeight="1">
      <c r="U979" s="499">
        <v>5057</v>
      </c>
      <c r="AG979" s="498">
        <v>2</v>
      </c>
      <c r="AH979" s="498" t="s">
        <v>2350</v>
      </c>
      <c r="AI979" s="498" t="s">
        <v>3950</v>
      </c>
    </row>
    <row r="980" spans="7:35" s="498" customFormat="1" ht="0.65" hidden="1" customHeight="1">
      <c r="U980" s="499">
        <v>5058</v>
      </c>
      <c r="AG980" s="498">
        <v>3</v>
      </c>
      <c r="AH980" s="498" t="s">
        <v>2351</v>
      </c>
      <c r="AI980" s="498" t="s">
        <v>3948</v>
      </c>
    </row>
    <row r="981" spans="7:35" s="498" customFormat="1" ht="0.65" hidden="1" customHeight="1">
      <c r="U981" s="499">
        <v>5059</v>
      </c>
      <c r="AG981" s="498">
        <v>4</v>
      </c>
      <c r="AH981" s="498" t="s">
        <v>2352</v>
      </c>
      <c r="AI981" s="498" t="s">
        <v>3949</v>
      </c>
    </row>
    <row r="982" spans="7:35" s="498" customFormat="1" ht="0.65" hidden="1" customHeight="1">
      <c r="U982" s="499">
        <v>5060</v>
      </c>
      <c r="AG982" s="498">
        <v>5</v>
      </c>
      <c r="AH982" s="498" t="s">
        <v>4144</v>
      </c>
      <c r="AI982" s="498" t="s">
        <v>2353</v>
      </c>
    </row>
    <row r="983" spans="7:35" s="498" customFormat="1" ht="0.65" hidden="1" customHeight="1">
      <c r="U983" s="499">
        <v>5061</v>
      </c>
      <c r="AG983" s="498">
        <v>6</v>
      </c>
      <c r="AH983" s="498" t="s">
        <v>2354</v>
      </c>
      <c r="AI983" s="498" t="s">
        <v>2355</v>
      </c>
    </row>
    <row r="984" spans="7:35" s="498" customFormat="1" ht="0.65" hidden="1" customHeight="1">
      <c r="U984" s="499">
        <v>5062</v>
      </c>
      <c r="AG984" s="498">
        <v>7</v>
      </c>
      <c r="AH984" s="498" t="s">
        <v>2356</v>
      </c>
      <c r="AI984" s="498" t="s">
        <v>2357</v>
      </c>
    </row>
    <row r="985" spans="7:35" s="498" customFormat="1" ht="0.65" hidden="1" customHeight="1">
      <c r="U985" s="499">
        <v>5063</v>
      </c>
      <c r="AG985" s="498">
        <v>8</v>
      </c>
      <c r="AH985" s="498" t="s">
        <v>2358</v>
      </c>
      <c r="AI985" s="498" t="s">
        <v>2359</v>
      </c>
    </row>
    <row r="986" spans="7:35" s="498" customFormat="1" ht="0.65" hidden="1" customHeight="1">
      <c r="U986" s="499">
        <v>5064</v>
      </c>
      <c r="AG986" s="498">
        <v>8</v>
      </c>
    </row>
    <row r="987" spans="7:35" s="498" customFormat="1" ht="0.65" hidden="1" customHeight="1">
      <c r="U987" s="499">
        <v>5065</v>
      </c>
      <c r="AG987" s="498">
        <v>8</v>
      </c>
    </row>
    <row r="988" spans="7:35" s="498" customFormat="1" ht="0.65" hidden="1" customHeight="1">
      <c r="U988" s="499">
        <v>5066</v>
      </c>
      <c r="AG988" s="498">
        <v>8</v>
      </c>
    </row>
    <row r="989" spans="7:35" s="498" customFormat="1" ht="0.65" hidden="1" customHeight="1">
      <c r="U989" s="499">
        <v>5067</v>
      </c>
      <c r="AG989" s="498">
        <v>8</v>
      </c>
    </row>
    <row r="990" spans="7:35" s="498" customFormat="1" ht="0.65" hidden="1" customHeight="1"/>
    <row r="991" spans="7:35" s="498" customFormat="1" ht="0.65" hidden="1" customHeight="1"/>
    <row r="992" spans="7:35" s="498" customFormat="1" ht="0.65" hidden="1" customHeight="1">
      <c r="G992" s="499">
        <v>1</v>
      </c>
      <c r="H992" s="499">
        <v>2</v>
      </c>
      <c r="I992" s="499">
        <v>3</v>
      </c>
      <c r="J992" s="499">
        <v>4</v>
      </c>
      <c r="K992" s="499">
        <v>5</v>
      </c>
      <c r="L992" s="499">
        <v>6</v>
      </c>
      <c r="M992" s="499">
        <v>7</v>
      </c>
      <c r="N992" s="499">
        <v>8</v>
      </c>
      <c r="O992" s="499">
        <v>9</v>
      </c>
      <c r="P992" s="499">
        <v>10</v>
      </c>
      <c r="Q992" s="500"/>
    </row>
    <row r="993" spans="2:17" s="498" customFormat="1" ht="0.65" hidden="1" customHeight="1">
      <c r="I993" s="499">
        <v>0.01</v>
      </c>
      <c r="Q993" s="500"/>
    </row>
    <row r="994" spans="2:17" s="498" customFormat="1" ht="0.65" hidden="1" customHeight="1">
      <c r="B994" s="499">
        <v>6001</v>
      </c>
      <c r="C994" s="498">
        <v>2022</v>
      </c>
      <c r="E994" s="499"/>
      <c r="G994" s="499">
        <v>6001</v>
      </c>
      <c r="H994" s="501" t="s">
        <v>0</v>
      </c>
      <c r="I994" s="502" t="s">
        <v>2113</v>
      </c>
      <c r="J994" s="502" t="s">
        <v>2114</v>
      </c>
      <c r="K994" s="502" t="s">
        <v>2115</v>
      </c>
      <c r="L994" s="502" t="s">
        <v>2116</v>
      </c>
      <c r="M994" s="502" t="s">
        <v>2117</v>
      </c>
      <c r="N994" s="502" t="s">
        <v>2118</v>
      </c>
      <c r="O994" s="502" t="s">
        <v>2119</v>
      </c>
      <c r="Q994" s="500"/>
    </row>
    <row r="995" spans="2:17" s="498" customFormat="1" ht="0.65" hidden="1" customHeight="1">
      <c r="B995" s="499">
        <v>6002</v>
      </c>
      <c r="E995" s="499"/>
      <c r="G995" s="499">
        <v>6002</v>
      </c>
      <c r="H995" s="503">
        <v>2023</v>
      </c>
      <c r="I995" s="500">
        <v>101000</v>
      </c>
      <c r="J995" s="500">
        <v>83600</v>
      </c>
      <c r="K995" s="500">
        <v>10000</v>
      </c>
      <c r="L995" s="500">
        <v>7400</v>
      </c>
      <c r="M995" s="500">
        <v>2220</v>
      </c>
      <c r="N995" s="500">
        <v>5180</v>
      </c>
      <c r="O995" s="500">
        <v>15180</v>
      </c>
    </row>
    <row r="996" spans="2:17" s="498" customFormat="1" ht="0.65" hidden="1" customHeight="1">
      <c r="B996" s="499">
        <v>6003</v>
      </c>
      <c r="E996" s="499"/>
      <c r="G996" s="499">
        <v>6003</v>
      </c>
      <c r="H996" s="503">
        <v>2024</v>
      </c>
      <c r="I996" s="500">
        <v>102010</v>
      </c>
      <c r="J996" s="500">
        <v>87780</v>
      </c>
      <c r="K996" s="500">
        <v>10000</v>
      </c>
      <c r="L996" s="500">
        <v>4230</v>
      </c>
      <c r="M996" s="500">
        <v>1269</v>
      </c>
      <c r="N996" s="500">
        <v>2961</v>
      </c>
      <c r="O996" s="500">
        <v>12961</v>
      </c>
    </row>
    <row r="997" spans="2:17" s="498" customFormat="1" ht="0.65" hidden="1" customHeight="1">
      <c r="B997" s="499">
        <v>6004</v>
      </c>
      <c r="E997" s="499"/>
      <c r="G997" s="499">
        <v>6004</v>
      </c>
      <c r="H997" s="503">
        <v>2025</v>
      </c>
      <c r="I997" s="500">
        <v>103030.09999999999</v>
      </c>
      <c r="J997" s="500">
        <v>92169.000000000015</v>
      </c>
      <c r="K997" s="500">
        <v>10000</v>
      </c>
      <c r="L997" s="500">
        <v>861.09999999997672</v>
      </c>
      <c r="M997" s="500">
        <v>258.32999999999299</v>
      </c>
      <c r="N997" s="500">
        <v>602.76999999998372</v>
      </c>
      <c r="O997" s="500">
        <v>10602.769999999984</v>
      </c>
    </row>
    <row r="998" spans="2:17" s="498" customFormat="1" ht="0.65" hidden="1" customHeight="1">
      <c r="B998" s="499">
        <v>6005</v>
      </c>
      <c r="C998" s="498">
        <v>100000</v>
      </c>
      <c r="E998" s="499"/>
      <c r="G998" s="499">
        <v>6005</v>
      </c>
    </row>
    <row r="999" spans="2:17" s="498" customFormat="1" ht="0.65" hidden="1" customHeight="1">
      <c r="B999" s="499">
        <v>6006</v>
      </c>
      <c r="C999" s="498">
        <v>10</v>
      </c>
      <c r="E999" s="499"/>
      <c r="G999" s="499">
        <v>6006</v>
      </c>
    </row>
    <row r="1000" spans="2:17" s="498" customFormat="1" ht="0.65" hidden="1" customHeight="1">
      <c r="B1000" s="499">
        <v>6007</v>
      </c>
      <c r="C1000" s="498">
        <v>20000</v>
      </c>
      <c r="E1000" s="499"/>
      <c r="G1000" s="499">
        <v>6007</v>
      </c>
      <c r="H1000" s="501" t="s">
        <v>0</v>
      </c>
      <c r="I1000" s="502" t="s">
        <v>2121</v>
      </c>
      <c r="J1000" s="502" t="s">
        <v>2122</v>
      </c>
      <c r="K1000" s="502" t="s">
        <v>2123</v>
      </c>
      <c r="L1000" s="502" t="s">
        <v>2124</v>
      </c>
      <c r="M1000" s="502" t="s">
        <v>2125</v>
      </c>
      <c r="N1000" s="500"/>
      <c r="O1000" s="501" t="s">
        <v>0</v>
      </c>
      <c r="P1000" s="501" t="s">
        <v>1</v>
      </c>
    </row>
    <row r="1001" spans="2:17" s="498" customFormat="1" ht="0.65" hidden="1" customHeight="1">
      <c r="B1001" s="499">
        <v>6008</v>
      </c>
      <c r="E1001" s="499"/>
      <c r="G1001" s="499">
        <v>6008</v>
      </c>
      <c r="H1001" s="503">
        <v>2022</v>
      </c>
      <c r="I1001" s="500">
        <v>8000</v>
      </c>
      <c r="J1001" s="500">
        <v>0</v>
      </c>
      <c r="K1001" s="500">
        <v>0</v>
      </c>
      <c r="L1001" s="500">
        <v>8000</v>
      </c>
      <c r="M1001" s="500">
        <v>8000</v>
      </c>
      <c r="N1001" s="504"/>
      <c r="O1001" s="503">
        <v>2022</v>
      </c>
      <c r="P1001" s="500">
        <v>-108000</v>
      </c>
    </row>
    <row r="1002" spans="2:17" s="498" customFormat="1" ht="0.65" hidden="1" customHeight="1">
      <c r="B1002" s="499">
        <v>6009</v>
      </c>
      <c r="E1002" s="499"/>
      <c r="G1002" s="499">
        <v>6009</v>
      </c>
      <c r="H1002" s="503">
        <v>2023</v>
      </c>
      <c r="I1002" s="500">
        <v>8400</v>
      </c>
      <c r="J1002" s="500">
        <v>20368.333333333332</v>
      </c>
      <c r="K1002" s="500">
        <v>8470</v>
      </c>
      <c r="L1002" s="500">
        <v>20298.333333333332</v>
      </c>
      <c r="M1002" s="500">
        <v>12298.333333333332</v>
      </c>
      <c r="N1002" s="500"/>
      <c r="O1002" s="503">
        <v>2023</v>
      </c>
      <c r="P1002" s="500">
        <v>2881.6666666666679</v>
      </c>
    </row>
    <row r="1003" spans="2:17" s="498" customFormat="1" ht="0.65" hidden="1" customHeight="1">
      <c r="B1003" s="499">
        <v>6010</v>
      </c>
      <c r="C1003" s="498">
        <v>100000</v>
      </c>
      <c r="E1003" s="499"/>
      <c r="G1003" s="499">
        <v>6010</v>
      </c>
      <c r="H1003" s="503">
        <v>2024</v>
      </c>
      <c r="I1003" s="500">
        <v>8820</v>
      </c>
      <c r="J1003" s="500">
        <v>20572.016666666666</v>
      </c>
      <c r="K1003" s="500">
        <v>8893.5</v>
      </c>
      <c r="L1003" s="500">
        <v>20498.516666666666</v>
      </c>
      <c r="M1003" s="500">
        <v>200.1833333333343</v>
      </c>
      <c r="N1003" s="500"/>
      <c r="O1003" s="503">
        <v>2024</v>
      </c>
      <c r="P1003" s="500">
        <v>12760.816666666666</v>
      </c>
    </row>
    <row r="1004" spans="2:17" s="498" customFormat="1" ht="0.65" hidden="1" customHeight="1">
      <c r="B1004" s="499">
        <v>6011</v>
      </c>
      <c r="C1004" s="498">
        <v>80000</v>
      </c>
      <c r="E1004" s="499"/>
      <c r="G1004" s="499">
        <v>6011</v>
      </c>
      <c r="H1004" s="503">
        <v>2025</v>
      </c>
      <c r="I1004" s="500">
        <v>9261</v>
      </c>
      <c r="J1004" s="500">
        <v>20777.736833333332</v>
      </c>
      <c r="K1004" s="500">
        <v>9338.1750000000011</v>
      </c>
      <c r="L1004" s="500">
        <v>20700.561833333333</v>
      </c>
      <c r="M1004" s="500">
        <v>202.04516666666677</v>
      </c>
      <c r="N1004" s="500"/>
      <c r="O1004" s="503">
        <v>2025</v>
      </c>
      <c r="P1004" s="500">
        <v>67399.464666666652</v>
      </c>
    </row>
    <row r="1005" spans="2:17" s="498" customFormat="1" ht="0.65" hidden="1" customHeight="1">
      <c r="B1005" s="499">
        <v>6012</v>
      </c>
      <c r="E1005" s="499"/>
      <c r="G1005" s="499">
        <v>6012</v>
      </c>
    </row>
    <row r="1006" spans="2:17" s="498" customFormat="1" ht="0.65" hidden="1" customHeight="1">
      <c r="B1006" s="499">
        <v>6013</v>
      </c>
      <c r="C1006" s="498">
        <v>60</v>
      </c>
      <c r="E1006" s="499"/>
      <c r="G1006" s="499">
        <v>6013</v>
      </c>
      <c r="O1006" s="500" t="s">
        <v>13</v>
      </c>
      <c r="P1006" s="501">
        <v>-39848.360642072483</v>
      </c>
    </row>
    <row r="1007" spans="2:17" s="498" customFormat="1" ht="0.65" hidden="1" customHeight="1">
      <c r="B1007" s="499">
        <v>6014</v>
      </c>
      <c r="C1007" s="498">
        <v>30</v>
      </c>
      <c r="E1007" s="499"/>
      <c r="G1007" s="499">
        <v>6014</v>
      </c>
      <c r="H1007" s="505" t="s">
        <v>490</v>
      </c>
      <c r="I1007" s="500">
        <v>108000</v>
      </c>
      <c r="O1007" s="498" t="s">
        <v>28</v>
      </c>
      <c r="P1007" s="506">
        <v>-8.9950270354858364E-2</v>
      </c>
    </row>
    <row r="1008" spans="2:17" s="498" customFormat="1" ht="0.65" hidden="1" customHeight="1">
      <c r="B1008" s="499">
        <v>6015</v>
      </c>
      <c r="E1008" s="499"/>
      <c r="G1008" s="499">
        <v>6015</v>
      </c>
      <c r="H1008" s="505" t="s">
        <v>2168</v>
      </c>
      <c r="I1008" s="500">
        <v>36298.178</v>
      </c>
      <c r="K1008" s="505" t="s">
        <v>124</v>
      </c>
      <c r="L1008" s="506">
        <v>4.2000000000000003E-2</v>
      </c>
    </row>
    <row r="1009" spans="2:16" s="498" customFormat="1" ht="0.65" hidden="1" customHeight="1">
      <c r="B1009" s="499">
        <v>6016</v>
      </c>
      <c r="E1009" s="499"/>
      <c r="G1009" s="499">
        <v>6016</v>
      </c>
      <c r="H1009" s="505" t="s">
        <v>2169</v>
      </c>
      <c r="I1009" s="500">
        <v>20700.561833333333</v>
      </c>
      <c r="K1009" s="505" t="s">
        <v>125</v>
      </c>
      <c r="L1009" s="506">
        <v>0.09</v>
      </c>
    </row>
    <row r="1010" spans="2:16" s="498" customFormat="1" ht="0.65" hidden="1" customHeight="1">
      <c r="B1010" s="499">
        <v>6017</v>
      </c>
      <c r="C1010" s="498">
        <v>8000</v>
      </c>
      <c r="E1010" s="499"/>
      <c r="G1010" s="499">
        <v>6017</v>
      </c>
      <c r="H1010" s="505" t="s">
        <v>2170</v>
      </c>
      <c r="I1010" s="500">
        <v>56998.739833333333</v>
      </c>
      <c r="K1010" s="505" t="s">
        <v>126</v>
      </c>
      <c r="L1010" s="506">
        <v>7.3999999999999996E-2</v>
      </c>
    </row>
    <row r="1011" spans="2:16" s="498" customFormat="1" ht="0.65" hidden="1" customHeight="1">
      <c r="B1011" s="499">
        <v>6018</v>
      </c>
      <c r="C1011" s="498">
        <v>0.1</v>
      </c>
      <c r="E1011" s="499"/>
    </row>
    <row r="1012" spans="2:16" s="498" customFormat="1" ht="0.65" hidden="1" customHeight="1">
      <c r="B1012" s="499">
        <v>6019</v>
      </c>
      <c r="E1012" s="499"/>
    </row>
    <row r="1013" spans="2:16" s="498" customFormat="1" ht="0.65" hidden="1" customHeight="1">
      <c r="B1013" s="499">
        <v>6020</v>
      </c>
      <c r="E1013" s="499"/>
      <c r="H1013" s="499"/>
      <c r="I1013" s="499"/>
      <c r="J1013" s="499"/>
      <c r="K1013" s="499"/>
      <c r="L1013" s="499"/>
      <c r="M1013" s="499"/>
      <c r="N1013" s="499"/>
      <c r="O1013" s="499"/>
      <c r="P1013" s="499"/>
    </row>
    <row r="1014" spans="2:16" s="498" customFormat="1" ht="0.65" hidden="1" customHeight="1">
      <c r="B1014" s="499">
        <v>6021</v>
      </c>
      <c r="C1014" s="498">
        <v>0.21</v>
      </c>
      <c r="E1014" s="499"/>
      <c r="H1014" s="499"/>
      <c r="I1014" s="499"/>
      <c r="J1014" s="499"/>
      <c r="K1014" s="499"/>
      <c r="L1014" s="499"/>
      <c r="M1014" s="499"/>
      <c r="N1014" s="499"/>
      <c r="O1014" s="499"/>
      <c r="P1014" s="499"/>
    </row>
    <row r="1015" spans="2:16" s="498" customFormat="1" ht="0.65" hidden="1" customHeight="1">
      <c r="B1015" s="499">
        <v>6022</v>
      </c>
      <c r="C1015" s="498">
        <v>0.3</v>
      </c>
      <c r="E1015" s="499"/>
      <c r="H1015" s="499"/>
      <c r="I1015" s="499"/>
      <c r="J1015" s="499"/>
      <c r="K1015" s="499"/>
      <c r="L1015" s="499"/>
      <c r="M1015" s="499"/>
      <c r="N1015" s="499"/>
      <c r="O1015" s="499"/>
      <c r="P1015" s="499"/>
    </row>
    <row r="1016" spans="2:16" s="498" customFormat="1" ht="0.65" hidden="1" customHeight="1">
      <c r="B1016" s="499">
        <v>6023</v>
      </c>
      <c r="E1016" s="499"/>
      <c r="H1016" s="499"/>
      <c r="I1016" s="499"/>
      <c r="J1016" s="499"/>
      <c r="K1016" s="499"/>
      <c r="L1016" s="499"/>
      <c r="M1016" s="499"/>
      <c r="N1016" s="499"/>
      <c r="O1016" s="499"/>
      <c r="P1016" s="499"/>
    </row>
    <row r="1017" spans="2:16" s="498" customFormat="1" ht="0.65" hidden="1" customHeight="1">
      <c r="B1017" s="499">
        <v>6024</v>
      </c>
      <c r="E1017" s="499"/>
      <c r="H1017" s="499"/>
      <c r="I1017" s="499"/>
      <c r="J1017" s="499"/>
      <c r="K1017" s="499"/>
      <c r="L1017" s="499"/>
      <c r="M1017" s="499"/>
      <c r="N1017" s="499"/>
      <c r="O1017" s="499"/>
      <c r="P1017" s="499"/>
    </row>
    <row r="1018" spans="2:16" s="498" customFormat="1" ht="0.65" hidden="1" customHeight="1">
      <c r="B1018" s="499">
        <v>6025</v>
      </c>
      <c r="E1018" s="499"/>
      <c r="H1018" s="499"/>
      <c r="I1018" s="499"/>
      <c r="J1018" s="499"/>
      <c r="K1018" s="499"/>
      <c r="L1018" s="499"/>
      <c r="M1018" s="499"/>
      <c r="N1018" s="499"/>
      <c r="O1018" s="499"/>
      <c r="P1018" s="499"/>
    </row>
    <row r="1019" spans="2:16" s="498" customFormat="1" ht="0.65" hidden="1" customHeight="1">
      <c r="B1019" s="499">
        <v>6026</v>
      </c>
      <c r="C1019" s="498">
        <v>120000</v>
      </c>
      <c r="E1019" s="499"/>
      <c r="H1019" s="499"/>
      <c r="I1019" s="499"/>
      <c r="J1019" s="499"/>
      <c r="K1019" s="499"/>
      <c r="L1019" s="499"/>
      <c r="M1019" s="499"/>
      <c r="N1019" s="499"/>
      <c r="O1019" s="499"/>
      <c r="P1019" s="499"/>
    </row>
    <row r="1020" spans="2:16" s="498" customFormat="1" ht="0.65" hidden="1" customHeight="1">
      <c r="B1020" s="499">
        <v>6027</v>
      </c>
      <c r="C1020" s="498">
        <v>240000</v>
      </c>
      <c r="E1020" s="499"/>
      <c r="H1020" s="499"/>
      <c r="I1020" s="499"/>
      <c r="J1020" s="499"/>
      <c r="K1020" s="499"/>
      <c r="L1020" s="499"/>
      <c r="M1020" s="499"/>
      <c r="N1020" s="499"/>
      <c r="O1020" s="499"/>
      <c r="P1020" s="499"/>
    </row>
    <row r="1021" spans="2:16" s="498" customFormat="1" ht="0.65" hidden="1" customHeight="1">
      <c r="B1021" s="499">
        <v>6028</v>
      </c>
      <c r="C1021" s="498">
        <v>0.03</v>
      </c>
      <c r="E1021" s="499"/>
      <c r="H1021" s="499"/>
      <c r="I1021" s="501"/>
      <c r="J1021" s="499"/>
      <c r="K1021" s="499"/>
      <c r="L1021" s="501"/>
      <c r="M1021" s="499"/>
      <c r="N1021" s="499"/>
      <c r="O1021" s="499"/>
      <c r="P1021" s="499"/>
    </row>
    <row r="1022" spans="2:16" s="498" customFormat="1" ht="0.65" hidden="1" customHeight="1">
      <c r="B1022" s="499">
        <v>6029</v>
      </c>
      <c r="C1022" s="498">
        <v>2000000</v>
      </c>
      <c r="E1022" s="499"/>
      <c r="H1022" s="499"/>
      <c r="I1022" s="499"/>
      <c r="J1022" s="499"/>
      <c r="K1022" s="499"/>
      <c r="L1022" s="501"/>
      <c r="M1022" s="501"/>
      <c r="N1022" s="501"/>
      <c r="O1022" s="499"/>
      <c r="P1022" s="499"/>
    </row>
    <row r="1023" spans="2:16" s="498" customFormat="1" ht="0.65" hidden="1" customHeight="1">
      <c r="B1023" s="499">
        <v>6030</v>
      </c>
      <c r="C1023" s="498">
        <v>4000000</v>
      </c>
      <c r="E1023" s="499"/>
      <c r="H1023" s="499"/>
      <c r="I1023" s="499"/>
      <c r="J1023" s="499"/>
      <c r="K1023" s="499"/>
      <c r="L1023" s="501"/>
      <c r="M1023" s="501"/>
      <c r="N1023" s="501"/>
      <c r="O1023" s="499"/>
      <c r="P1023" s="499"/>
    </row>
    <row r="1024" spans="2:16" s="498" customFormat="1" ht="0.65" hidden="1" customHeight="1">
      <c r="B1024" s="499">
        <v>6031</v>
      </c>
      <c r="E1024" s="499"/>
      <c r="H1024" s="499"/>
      <c r="I1024" s="499"/>
      <c r="J1024" s="499"/>
      <c r="K1024" s="499"/>
      <c r="L1024" s="501"/>
      <c r="M1024" s="499"/>
      <c r="N1024" s="499"/>
      <c r="O1024" s="499"/>
      <c r="P1024" s="499"/>
    </row>
    <row r="1025" spans="2:16" s="498" customFormat="1" ht="0.65" hidden="1" customHeight="1">
      <c r="B1025" s="499">
        <v>6032</v>
      </c>
      <c r="E1025" s="499"/>
      <c r="H1025" s="499"/>
      <c r="I1025" s="499"/>
      <c r="J1025" s="499"/>
      <c r="K1025" s="499"/>
      <c r="L1025" s="499"/>
      <c r="M1025" s="499"/>
      <c r="N1025" s="499"/>
      <c r="O1025" s="499"/>
      <c r="P1025" s="499"/>
    </row>
    <row r="1026" spans="2:16" s="498" customFormat="1" ht="0.65" hidden="1" customHeight="1">
      <c r="B1026" s="499">
        <v>6033</v>
      </c>
      <c r="C1026" s="498">
        <v>0.01</v>
      </c>
      <c r="E1026" s="499"/>
      <c r="H1026" s="499"/>
      <c r="I1026" s="499"/>
      <c r="J1026" s="499"/>
      <c r="K1026" s="499"/>
      <c r="L1026" s="499"/>
      <c r="M1026" s="499"/>
      <c r="N1026" s="499"/>
      <c r="O1026" s="499"/>
      <c r="P1026" s="499"/>
    </row>
    <row r="1027" spans="2:16" s="498" customFormat="1" ht="0.65" hidden="1" customHeight="1">
      <c r="B1027" s="499">
        <v>6034</v>
      </c>
      <c r="C1027" s="498">
        <v>0.05</v>
      </c>
      <c r="E1027" s="499"/>
      <c r="H1027" s="499"/>
      <c r="I1027" s="499"/>
      <c r="J1027" s="499"/>
      <c r="K1027" s="499"/>
      <c r="L1027" s="499"/>
      <c r="M1027" s="499"/>
      <c r="N1027" s="499"/>
      <c r="O1027" s="499"/>
      <c r="P1027" s="499"/>
    </row>
    <row r="1028" spans="2:16" s="498" customFormat="1" ht="0.65" hidden="1" customHeight="1">
      <c r="B1028" s="499">
        <v>6035</v>
      </c>
      <c r="C1028" s="498">
        <v>0.03</v>
      </c>
      <c r="E1028" s="499"/>
      <c r="H1028" s="499"/>
      <c r="I1028" s="499"/>
      <c r="J1028" s="499"/>
      <c r="K1028" s="499"/>
      <c r="L1028" s="499"/>
      <c r="M1028" s="499"/>
      <c r="N1028" s="499"/>
      <c r="O1028" s="499"/>
      <c r="P1028" s="499"/>
    </row>
    <row r="1029" spans="2:16" s="498" customFormat="1" ht="0.65" hidden="1" customHeight="1">
      <c r="B1029" s="499">
        <v>6036</v>
      </c>
      <c r="C1029" s="498">
        <v>0.02</v>
      </c>
      <c r="E1029" s="499"/>
      <c r="H1029" s="499"/>
      <c r="I1029" s="499"/>
      <c r="J1029" s="499"/>
      <c r="K1029" s="499"/>
      <c r="L1029" s="499"/>
      <c r="M1029" s="499"/>
      <c r="N1029" s="499"/>
      <c r="O1029" s="499"/>
      <c r="P1029" s="499"/>
    </row>
    <row r="1030" spans="2:16" s="498" customFormat="1" ht="0.65" hidden="1" customHeight="1">
      <c r="B1030" s="499">
        <v>6037</v>
      </c>
      <c r="E1030" s="499"/>
    </row>
    <row r="1031" spans="2:16" s="498" customFormat="1" ht="0.65" hidden="1" customHeight="1">
      <c r="B1031" s="499">
        <v>6038</v>
      </c>
      <c r="E1031" s="499"/>
    </row>
    <row r="1032" spans="2:16" s="498" customFormat="1" ht="0.65" hidden="1" customHeight="1">
      <c r="B1032" s="499">
        <v>6039</v>
      </c>
      <c r="D1032" s="507"/>
      <c r="E1032" s="499"/>
    </row>
    <row r="1033" spans="2:16" s="498" customFormat="1" ht="0.65" hidden="1" customHeight="1">
      <c r="B1033" s="499">
        <v>6040</v>
      </c>
      <c r="D1033" s="507"/>
      <c r="E1033" s="499"/>
      <c r="K1033" s="508"/>
    </row>
    <row r="1034" spans="2:16" s="498" customFormat="1" ht="0.65" hidden="1" customHeight="1">
      <c r="B1034" s="499">
        <v>6041</v>
      </c>
      <c r="K1034" s="508"/>
    </row>
    <row r="1035" spans="2:16" s="498" customFormat="1" ht="0.65" hidden="1" customHeight="1">
      <c r="B1035" s="499">
        <v>6042</v>
      </c>
      <c r="K1035" s="508"/>
    </row>
    <row r="1036" spans="2:16" s="498" customFormat="1" ht="0.65" hidden="1" customHeight="1">
      <c r="B1036" s="499">
        <v>6043</v>
      </c>
    </row>
    <row r="1037" spans="2:16" s="498" customFormat="1" ht="0.65" hidden="1" customHeight="1">
      <c r="B1037" s="499">
        <v>6044</v>
      </c>
      <c r="C1037" s="509">
        <v>2023</v>
      </c>
      <c r="D1037" s="509"/>
      <c r="E1037" s="499"/>
    </row>
    <row r="1038" spans="2:16" s="498" customFormat="1" ht="0.65" hidden="1" customHeight="1">
      <c r="B1038" s="499">
        <v>6045</v>
      </c>
      <c r="C1038" s="509">
        <v>2024</v>
      </c>
      <c r="E1038" s="499"/>
    </row>
    <row r="1039" spans="2:16" s="498" customFormat="1" ht="0.65" hidden="1" customHeight="1">
      <c r="B1039" s="499">
        <v>6046</v>
      </c>
      <c r="C1039" s="509">
        <v>2025</v>
      </c>
      <c r="E1039" s="499"/>
    </row>
    <row r="1040" spans="2:16" s="498" customFormat="1" ht="0.65" hidden="1" customHeight="1">
      <c r="B1040" s="499">
        <v>6047</v>
      </c>
    </row>
    <row r="1041" spans="2:5" s="498" customFormat="1" ht="0.65" hidden="1" customHeight="1">
      <c r="B1041" s="499">
        <v>6048</v>
      </c>
    </row>
    <row r="1042" spans="2:5" s="498" customFormat="1" ht="0.65" hidden="1" customHeight="1">
      <c r="B1042" s="499">
        <v>6049</v>
      </c>
    </row>
    <row r="1043" spans="2:5" s="498" customFormat="1" ht="0.65" hidden="1" customHeight="1">
      <c r="B1043" s="499">
        <v>6050</v>
      </c>
      <c r="C1043" s="498">
        <v>2022</v>
      </c>
      <c r="E1043" s="499"/>
    </row>
    <row r="1044" spans="2:5" s="498" customFormat="1" ht="0.65" hidden="1" customHeight="1">
      <c r="B1044" s="499">
        <v>6051</v>
      </c>
      <c r="C1044" s="509">
        <v>2023</v>
      </c>
      <c r="E1044" s="499"/>
    </row>
    <row r="1045" spans="2:5" s="498" customFormat="1" ht="0.65" hidden="1" customHeight="1">
      <c r="B1045" s="499">
        <v>6052</v>
      </c>
      <c r="C1045" s="509">
        <v>2024</v>
      </c>
      <c r="E1045" s="499"/>
    </row>
    <row r="1046" spans="2:5" s="498" customFormat="1" ht="0.65" hidden="1" customHeight="1">
      <c r="B1046" s="499">
        <v>6053</v>
      </c>
      <c r="C1046" s="509">
        <v>2025</v>
      </c>
      <c r="E1046" s="499"/>
    </row>
    <row r="1047" spans="2:5" s="498" customFormat="1" ht="0.65" hidden="1" customHeight="1">
      <c r="B1047" s="499">
        <v>6054</v>
      </c>
    </row>
    <row r="1048" spans="2:5" s="498" customFormat="1" ht="0.65" hidden="1" customHeight="1">
      <c r="B1048" s="499">
        <v>6055</v>
      </c>
      <c r="C1048" s="498">
        <v>2022</v>
      </c>
      <c r="D1048" s="509"/>
      <c r="E1048" s="499"/>
    </row>
    <row r="1049" spans="2:5" s="498" customFormat="1" ht="0.65" hidden="1" customHeight="1">
      <c r="B1049" s="499">
        <v>6056</v>
      </c>
      <c r="C1049" s="509">
        <v>2023</v>
      </c>
      <c r="E1049" s="499"/>
    </row>
    <row r="1050" spans="2:5" s="498" customFormat="1" ht="0.65" hidden="1" customHeight="1">
      <c r="B1050" s="499">
        <v>6057</v>
      </c>
      <c r="C1050" s="509">
        <v>2024</v>
      </c>
      <c r="E1050" s="499"/>
    </row>
    <row r="1051" spans="2:5" s="498" customFormat="1" ht="0.65" hidden="1" customHeight="1">
      <c r="B1051" s="499">
        <v>6058</v>
      </c>
      <c r="C1051" s="509">
        <v>2025</v>
      </c>
      <c r="E1051" s="499"/>
    </row>
    <row r="1052" spans="2:5" s="498" customFormat="1" ht="0.65" hidden="1" customHeight="1"/>
    <row r="1053" spans="2:5" s="498" customFormat="1" ht="0.65" hidden="1" customHeight="1"/>
    <row r="1054" spans="2:5" s="498" customFormat="1" ht="0.65" hidden="1" customHeight="1"/>
    <row r="1055" spans="2:5" s="498" customFormat="1" ht="0.65" hidden="1" customHeight="1"/>
    <row r="1056" spans="2:5" s="498" customFormat="1" ht="0.65" hidden="1" customHeight="1"/>
    <row r="1057" s="498" customFormat="1" ht="0.65" hidden="1" customHeight="1"/>
    <row r="1058" s="498" customFormat="1" ht="0.65" hidden="1" customHeight="1"/>
    <row r="1059" s="498" customFormat="1" ht="0.65" hidden="1" customHeight="1"/>
    <row r="1060" s="498" customFormat="1" ht="0.65" hidden="1" customHeight="1"/>
    <row r="1061" s="498" customFormat="1" ht="0.65" hidden="1" customHeight="1"/>
    <row r="1062" s="498" customFormat="1" ht="0.65" hidden="1" customHeight="1"/>
    <row r="1063" s="498" customFormat="1" ht="0.65" hidden="1" customHeight="1"/>
    <row r="1064" s="498" customFormat="1" ht="0.65" hidden="1" customHeight="1"/>
    <row r="1065" s="498" customFormat="1" ht="0.65" hidden="1" customHeight="1"/>
    <row r="1066" s="498" customFormat="1" ht="0.65" hidden="1" customHeight="1"/>
    <row r="1067" s="498" customFormat="1" ht="0.65" hidden="1" customHeight="1"/>
    <row r="1068" s="498" customFormat="1" ht="0.65" hidden="1" customHeight="1"/>
    <row r="1069" s="498" customFormat="1" ht="0.65" hidden="1" customHeight="1"/>
    <row r="1070" s="498" customFormat="1" ht="0.65" hidden="1" customHeight="1"/>
    <row r="1071" s="498" customFormat="1" ht="0.65" hidden="1" customHeight="1"/>
    <row r="1072" s="498" customFormat="1" ht="0.65" hidden="1" customHeight="1"/>
    <row r="1073" spans="21:39" s="498" customFormat="1" ht="0.65" hidden="1" customHeight="1">
      <c r="U1073" s="499">
        <v>1</v>
      </c>
      <c r="V1073" s="499"/>
      <c r="W1073" s="499"/>
      <c r="X1073" s="499"/>
      <c r="Y1073" s="499">
        <v>1</v>
      </c>
      <c r="Z1073" s="499"/>
      <c r="AA1073" s="499"/>
      <c r="AB1073" s="499"/>
      <c r="AC1073" s="499"/>
      <c r="AD1073" s="499"/>
      <c r="AE1073" s="499">
        <v>1</v>
      </c>
      <c r="AF1073" s="499">
        <v>2</v>
      </c>
      <c r="AG1073" s="499">
        <v>3</v>
      </c>
      <c r="AH1073" s="499">
        <v>4</v>
      </c>
      <c r="AI1073" s="499">
        <v>5</v>
      </c>
      <c r="AJ1073" s="499">
        <v>6</v>
      </c>
      <c r="AK1073" s="499">
        <v>7</v>
      </c>
      <c r="AL1073" s="499">
        <v>8</v>
      </c>
      <c r="AM1073" s="499">
        <v>9</v>
      </c>
    </row>
    <row r="1074" spans="21:39" s="498" customFormat="1" ht="0.65" hidden="1" customHeight="1"/>
    <row r="1075" spans="21:39" s="498" customFormat="1" ht="0.65" hidden="1" customHeight="1"/>
    <row r="1076" spans="21:39" s="498" customFormat="1" ht="0.65" hidden="1" customHeight="1"/>
    <row r="1077" spans="21:39" s="498" customFormat="1" ht="0.65" hidden="1" customHeight="1">
      <c r="U1077" s="499">
        <v>6001</v>
      </c>
      <c r="Y1077" s="500">
        <v>101000</v>
      </c>
      <c r="Z1077" s="500"/>
      <c r="AB1077" s="500"/>
      <c r="AF1077" s="498" t="s">
        <v>2171</v>
      </c>
      <c r="AG1077" s="498">
        <v>1</v>
      </c>
      <c r="AH1077" s="498" t="s">
        <v>2171</v>
      </c>
      <c r="AI1077" s="498" t="s">
        <v>2172</v>
      </c>
      <c r="AJ1077" s="500">
        <v>101000</v>
      </c>
      <c r="AL1077" s="498" t="s">
        <v>2568</v>
      </c>
      <c r="AM1077" s="498" t="s">
        <v>2174</v>
      </c>
    </row>
    <row r="1078" spans="21:39" s="498" customFormat="1" ht="0.65" hidden="1" customHeight="1">
      <c r="U1078" s="499">
        <v>6002</v>
      </c>
      <c r="Y1078" s="500">
        <v>102010</v>
      </c>
      <c r="Z1078" s="500"/>
      <c r="AB1078" s="500"/>
      <c r="AF1078" s="498" t="s">
        <v>2175</v>
      </c>
      <c r="AG1078" s="498">
        <v>2</v>
      </c>
      <c r="AH1078" s="498" t="s">
        <v>2175</v>
      </c>
      <c r="AI1078" s="498" t="s">
        <v>2176</v>
      </c>
      <c r="AJ1078" s="500">
        <v>102010</v>
      </c>
      <c r="AL1078" s="498" t="s">
        <v>2569</v>
      </c>
      <c r="AM1078" s="498" t="s">
        <v>2174</v>
      </c>
    </row>
    <row r="1079" spans="21:39" s="498" customFormat="1" ht="0.65" hidden="1" customHeight="1">
      <c r="U1079" s="499">
        <v>6003</v>
      </c>
      <c r="Y1079" s="500">
        <v>103030.09999999999</v>
      </c>
      <c r="Z1079" s="500"/>
      <c r="AB1079" s="500"/>
      <c r="AF1079" s="498" t="s">
        <v>2178</v>
      </c>
      <c r="AG1079" s="498">
        <v>3</v>
      </c>
      <c r="AH1079" s="498" t="s">
        <v>2178</v>
      </c>
      <c r="AI1079" s="498" t="s">
        <v>2179</v>
      </c>
      <c r="AJ1079" s="500">
        <v>103030.09999999999</v>
      </c>
      <c r="AL1079" s="498" t="s">
        <v>2570</v>
      </c>
      <c r="AM1079" s="498" t="s">
        <v>2174</v>
      </c>
    </row>
    <row r="1080" spans="21:39" s="498" customFormat="1" ht="0.65" hidden="1" customHeight="1">
      <c r="U1080" s="499">
        <v>6004</v>
      </c>
      <c r="Y1080" s="500">
        <v>83600</v>
      </c>
      <c r="Z1080" s="500"/>
      <c r="AB1080" s="500"/>
      <c r="AF1080" s="498" t="s">
        <v>2181</v>
      </c>
      <c r="AG1080" s="498">
        <v>4</v>
      </c>
      <c r="AH1080" s="498" t="s">
        <v>2181</v>
      </c>
      <c r="AI1080" s="498" t="s">
        <v>2182</v>
      </c>
      <c r="AJ1080" s="500">
        <v>83600</v>
      </c>
      <c r="AL1080" s="498" t="s">
        <v>2571</v>
      </c>
      <c r="AM1080" s="498" t="s">
        <v>2184</v>
      </c>
    </row>
    <row r="1081" spans="21:39" s="498" customFormat="1" ht="0.65" hidden="1" customHeight="1">
      <c r="U1081" s="499">
        <v>6005</v>
      </c>
      <c r="Y1081" s="500">
        <v>87780</v>
      </c>
      <c r="Z1081" s="500"/>
      <c r="AB1081" s="500"/>
      <c r="AF1081" s="498" t="s">
        <v>2185</v>
      </c>
      <c r="AG1081" s="498">
        <v>5</v>
      </c>
      <c r="AH1081" s="498" t="s">
        <v>2185</v>
      </c>
      <c r="AI1081" s="498" t="s">
        <v>2186</v>
      </c>
      <c r="AJ1081" s="500">
        <v>87780</v>
      </c>
      <c r="AL1081" s="498" t="s">
        <v>2572</v>
      </c>
      <c r="AM1081" s="498" t="s">
        <v>2184</v>
      </c>
    </row>
    <row r="1082" spans="21:39" s="498" customFormat="1" ht="0.65" hidden="1" customHeight="1">
      <c r="U1082" s="499">
        <v>6006</v>
      </c>
      <c r="Y1082" s="500">
        <v>92169.000000000015</v>
      </c>
      <c r="Z1082" s="500"/>
      <c r="AB1082" s="500"/>
      <c r="AF1082" s="498" t="s">
        <v>2188</v>
      </c>
      <c r="AG1082" s="498">
        <v>6</v>
      </c>
      <c r="AH1082" s="498" t="s">
        <v>2188</v>
      </c>
      <c r="AI1082" s="498" t="s">
        <v>2189</v>
      </c>
      <c r="AJ1082" s="500">
        <v>92169.000000000015</v>
      </c>
      <c r="AL1082" s="498" t="s">
        <v>2573</v>
      </c>
      <c r="AM1082" s="498" t="s">
        <v>2184</v>
      </c>
    </row>
    <row r="1083" spans="21:39" s="498" customFormat="1" ht="0.65" hidden="1" customHeight="1">
      <c r="U1083" s="499">
        <v>6007</v>
      </c>
      <c r="Y1083" s="500">
        <v>10000</v>
      </c>
      <c r="Z1083" s="500"/>
      <c r="AB1083" s="500"/>
      <c r="AF1083" s="498" t="s">
        <v>2191</v>
      </c>
      <c r="AG1083" s="498">
        <v>7</v>
      </c>
      <c r="AH1083" s="498" t="s">
        <v>2191</v>
      </c>
      <c r="AI1083" s="498" t="s">
        <v>2192</v>
      </c>
      <c r="AJ1083" s="500">
        <v>10000</v>
      </c>
      <c r="AL1083" s="498" t="s">
        <v>2574</v>
      </c>
      <c r="AM1083" s="498" t="s">
        <v>2194</v>
      </c>
    </row>
    <row r="1084" spans="21:39" s="498" customFormat="1" ht="0.65" hidden="1" customHeight="1">
      <c r="U1084" s="499">
        <v>6008</v>
      </c>
      <c r="Y1084" s="500">
        <v>10000</v>
      </c>
      <c r="Z1084" s="500"/>
      <c r="AB1084" s="500"/>
      <c r="AF1084" s="498" t="s">
        <v>2195</v>
      </c>
      <c r="AG1084" s="498">
        <v>8</v>
      </c>
      <c r="AH1084" s="498" t="s">
        <v>2195</v>
      </c>
      <c r="AI1084" s="498" t="s">
        <v>2196</v>
      </c>
      <c r="AJ1084" s="500">
        <v>10000</v>
      </c>
      <c r="AL1084" s="498" t="s">
        <v>2575</v>
      </c>
      <c r="AM1084" s="498" t="s">
        <v>2194</v>
      </c>
    </row>
    <row r="1085" spans="21:39" s="498" customFormat="1" ht="0.65" hidden="1" customHeight="1">
      <c r="U1085" s="499">
        <v>6009</v>
      </c>
      <c r="Y1085" s="500">
        <v>10000</v>
      </c>
      <c r="Z1085" s="500"/>
      <c r="AB1085" s="500"/>
      <c r="AF1085" s="498" t="s">
        <v>2198</v>
      </c>
      <c r="AG1085" s="498">
        <v>9</v>
      </c>
      <c r="AH1085" s="498" t="s">
        <v>2198</v>
      </c>
      <c r="AI1085" s="498" t="s">
        <v>2199</v>
      </c>
      <c r="AJ1085" s="500">
        <v>10000</v>
      </c>
      <c r="AL1085" s="498" t="s">
        <v>2576</v>
      </c>
      <c r="AM1085" s="498" t="s">
        <v>2194</v>
      </c>
    </row>
    <row r="1086" spans="21:39" s="498" customFormat="1" ht="0.65" hidden="1" customHeight="1">
      <c r="U1086" s="499">
        <v>6010</v>
      </c>
      <c r="Y1086" s="500">
        <v>7400</v>
      </c>
      <c r="Z1086" s="500"/>
      <c r="AB1086" s="500"/>
      <c r="AF1086" s="498" t="s">
        <v>2201</v>
      </c>
      <c r="AG1086" s="498">
        <v>10</v>
      </c>
      <c r="AH1086" s="498" t="s">
        <v>2201</v>
      </c>
      <c r="AI1086" s="500" t="s">
        <v>2202</v>
      </c>
      <c r="AJ1086" s="500">
        <v>7400</v>
      </c>
      <c r="AL1086" s="500" t="s">
        <v>2577</v>
      </c>
      <c r="AM1086" s="498" t="s">
        <v>2204</v>
      </c>
    </row>
    <row r="1087" spans="21:39" s="498" customFormat="1" ht="0.65" hidden="1" customHeight="1">
      <c r="U1087" s="499">
        <v>6011</v>
      </c>
      <c r="Y1087" s="500">
        <v>4230</v>
      </c>
      <c r="Z1087" s="500"/>
      <c r="AB1087" s="500"/>
      <c r="AF1087" s="498" t="s">
        <v>2205</v>
      </c>
      <c r="AG1087" s="498">
        <v>11</v>
      </c>
      <c r="AH1087" s="498" t="s">
        <v>2205</v>
      </c>
      <c r="AI1087" s="500" t="s">
        <v>2206</v>
      </c>
      <c r="AJ1087" s="500">
        <v>4230</v>
      </c>
      <c r="AL1087" s="500" t="s">
        <v>2578</v>
      </c>
      <c r="AM1087" s="498" t="s">
        <v>2204</v>
      </c>
    </row>
    <row r="1088" spans="21:39" s="498" customFormat="1" ht="0.65" hidden="1" customHeight="1">
      <c r="U1088" s="499">
        <v>6012</v>
      </c>
      <c r="Y1088" s="500">
        <v>861.09999999997672</v>
      </c>
      <c r="Z1088" s="500"/>
      <c r="AB1088" s="500"/>
      <c r="AF1088" s="498" t="s">
        <v>2208</v>
      </c>
      <c r="AG1088" s="498">
        <v>12</v>
      </c>
      <c r="AH1088" s="498" t="s">
        <v>2208</v>
      </c>
      <c r="AI1088" s="500" t="s">
        <v>2209</v>
      </c>
      <c r="AJ1088" s="500">
        <v>861.09999999997672</v>
      </c>
      <c r="AL1088" s="500" t="s">
        <v>2579</v>
      </c>
      <c r="AM1088" s="498" t="s">
        <v>2204</v>
      </c>
    </row>
    <row r="1089" spans="21:39" s="498" customFormat="1" ht="0.65" hidden="1" customHeight="1">
      <c r="U1089" s="499">
        <v>6013</v>
      </c>
      <c r="Y1089" s="500">
        <v>2220</v>
      </c>
      <c r="Z1089" s="500"/>
      <c r="AB1089" s="500"/>
      <c r="AF1089" s="498" t="s">
        <v>2211</v>
      </c>
      <c r="AG1089" s="498">
        <v>13</v>
      </c>
      <c r="AH1089" s="498" t="s">
        <v>2211</v>
      </c>
      <c r="AI1089" s="498" t="s">
        <v>2212</v>
      </c>
      <c r="AJ1089" s="500">
        <v>2220</v>
      </c>
      <c r="AL1089" s="498" t="s">
        <v>2580</v>
      </c>
      <c r="AM1089" s="498" t="s">
        <v>2214</v>
      </c>
    </row>
    <row r="1090" spans="21:39" s="498" customFormat="1" ht="0.65" hidden="1" customHeight="1">
      <c r="U1090" s="499">
        <v>6014</v>
      </c>
      <c r="Y1090" s="500">
        <v>1269</v>
      </c>
      <c r="Z1090" s="500"/>
      <c r="AB1090" s="500"/>
      <c r="AF1090" s="498" t="s">
        <v>2215</v>
      </c>
      <c r="AG1090" s="498">
        <v>14</v>
      </c>
      <c r="AH1090" s="498" t="s">
        <v>2215</v>
      </c>
      <c r="AI1090" s="498" t="s">
        <v>2216</v>
      </c>
      <c r="AJ1090" s="500">
        <v>1269</v>
      </c>
      <c r="AL1090" s="498" t="s">
        <v>2581</v>
      </c>
      <c r="AM1090" s="498" t="s">
        <v>2214</v>
      </c>
    </row>
    <row r="1091" spans="21:39" s="498" customFormat="1" ht="0.65" hidden="1" customHeight="1">
      <c r="U1091" s="499">
        <v>6015</v>
      </c>
      <c r="Y1091" s="500">
        <v>258.32999999999299</v>
      </c>
      <c r="Z1091" s="500"/>
      <c r="AB1091" s="500"/>
      <c r="AF1091" s="498" t="s">
        <v>2218</v>
      </c>
      <c r="AG1091" s="498">
        <v>15</v>
      </c>
      <c r="AH1091" s="498" t="s">
        <v>2218</v>
      </c>
      <c r="AI1091" s="498" t="s">
        <v>2219</v>
      </c>
      <c r="AJ1091" s="500">
        <v>258.32999999999299</v>
      </c>
      <c r="AL1091" s="498" t="s">
        <v>2582</v>
      </c>
      <c r="AM1091" s="498" t="s">
        <v>2214</v>
      </c>
    </row>
    <row r="1092" spans="21:39" s="498" customFormat="1" ht="0.65" hidden="1" customHeight="1">
      <c r="U1092" s="499">
        <v>6016</v>
      </c>
      <c r="Y1092" s="500">
        <v>5180</v>
      </c>
      <c r="Z1092" s="500"/>
      <c r="AB1092" s="500"/>
      <c r="AF1092" s="498" t="s">
        <v>2221</v>
      </c>
      <c r="AG1092" s="498">
        <v>16</v>
      </c>
      <c r="AH1092" s="498" t="s">
        <v>2221</v>
      </c>
      <c r="AI1092" s="500" t="s">
        <v>2222</v>
      </c>
      <c r="AJ1092" s="500">
        <v>5180</v>
      </c>
      <c r="AL1092" s="500" t="s">
        <v>2583</v>
      </c>
      <c r="AM1092" s="498" t="s">
        <v>2224</v>
      </c>
    </row>
    <row r="1093" spans="21:39" s="498" customFormat="1" ht="0.65" hidden="1" customHeight="1">
      <c r="U1093" s="499">
        <v>6017</v>
      </c>
      <c r="Y1093" s="500">
        <v>2961</v>
      </c>
      <c r="Z1093" s="500"/>
      <c r="AB1093" s="500"/>
      <c r="AF1093" s="498" t="s">
        <v>2225</v>
      </c>
      <c r="AG1093" s="498">
        <v>17</v>
      </c>
      <c r="AH1093" s="498" t="s">
        <v>2225</v>
      </c>
      <c r="AI1093" s="500" t="s">
        <v>2226</v>
      </c>
      <c r="AJ1093" s="500">
        <v>2961</v>
      </c>
      <c r="AL1093" s="500" t="s">
        <v>2584</v>
      </c>
      <c r="AM1093" s="498" t="s">
        <v>2224</v>
      </c>
    </row>
    <row r="1094" spans="21:39" s="498" customFormat="1" ht="0.65" hidden="1" customHeight="1">
      <c r="U1094" s="499">
        <v>6018</v>
      </c>
      <c r="Y1094" s="500">
        <v>602.76999999998372</v>
      </c>
      <c r="Z1094" s="500"/>
      <c r="AB1094" s="500"/>
      <c r="AF1094" s="498" t="s">
        <v>2228</v>
      </c>
      <c r="AG1094" s="498">
        <v>18</v>
      </c>
      <c r="AH1094" s="498" t="s">
        <v>2228</v>
      </c>
      <c r="AI1094" s="500" t="s">
        <v>2229</v>
      </c>
      <c r="AJ1094" s="500">
        <v>602.76999999998372</v>
      </c>
      <c r="AL1094" s="500" t="s">
        <v>2585</v>
      </c>
      <c r="AM1094" s="498" t="s">
        <v>2224</v>
      </c>
    </row>
    <row r="1095" spans="21:39" s="498" customFormat="1" ht="0.65" hidden="1" customHeight="1">
      <c r="U1095" s="499">
        <v>6019</v>
      </c>
      <c r="Y1095" s="500">
        <v>15180</v>
      </c>
      <c r="Z1095" s="500"/>
      <c r="AB1095" s="500"/>
      <c r="AF1095" s="498" t="s">
        <v>2231</v>
      </c>
      <c r="AG1095" s="498">
        <v>19</v>
      </c>
      <c r="AH1095" s="498" t="s">
        <v>2231</v>
      </c>
      <c r="AI1095" s="500" t="s">
        <v>2232</v>
      </c>
      <c r="AJ1095" s="500">
        <v>15180</v>
      </c>
      <c r="AL1095" s="500" t="s">
        <v>2586</v>
      </c>
      <c r="AM1095" s="498" t="s">
        <v>2234</v>
      </c>
    </row>
    <row r="1096" spans="21:39" s="498" customFormat="1" ht="0.65" hidden="1" customHeight="1">
      <c r="U1096" s="499">
        <v>6020</v>
      </c>
      <c r="Y1096" s="500">
        <v>12961</v>
      </c>
      <c r="Z1096" s="500"/>
      <c r="AB1096" s="500"/>
      <c r="AF1096" s="498" t="s">
        <v>2235</v>
      </c>
      <c r="AG1096" s="498">
        <v>20</v>
      </c>
      <c r="AH1096" s="498" t="s">
        <v>2235</v>
      </c>
      <c r="AI1096" s="500" t="s">
        <v>2236</v>
      </c>
      <c r="AJ1096" s="500">
        <v>12961</v>
      </c>
      <c r="AL1096" s="500" t="s">
        <v>2587</v>
      </c>
      <c r="AM1096" s="498" t="s">
        <v>2234</v>
      </c>
    </row>
    <row r="1097" spans="21:39" s="498" customFormat="1" ht="0.65" hidden="1" customHeight="1">
      <c r="U1097" s="499">
        <v>6021</v>
      </c>
      <c r="Y1097" s="500">
        <v>10602.769999999984</v>
      </c>
      <c r="Z1097" s="500"/>
      <c r="AB1097" s="500"/>
      <c r="AF1097" s="498" t="s">
        <v>2238</v>
      </c>
      <c r="AG1097" s="498">
        <v>21</v>
      </c>
      <c r="AH1097" s="498" t="s">
        <v>2238</v>
      </c>
      <c r="AI1097" s="500" t="s">
        <v>2239</v>
      </c>
      <c r="AJ1097" s="500">
        <v>10602.769999999984</v>
      </c>
      <c r="AL1097" s="500" t="s">
        <v>2588</v>
      </c>
      <c r="AM1097" s="498" t="s">
        <v>2234</v>
      </c>
    </row>
    <row r="1098" spans="21:39" s="498" customFormat="1" ht="0.65" hidden="1" customHeight="1">
      <c r="U1098" s="499">
        <v>6022</v>
      </c>
      <c r="Y1098" s="500">
        <v>8000</v>
      </c>
      <c r="Z1098" s="500"/>
      <c r="AB1098" s="500"/>
      <c r="AF1098" s="498" t="s">
        <v>2241</v>
      </c>
      <c r="AG1098" s="498">
        <v>22</v>
      </c>
      <c r="AH1098" s="498" t="s">
        <v>2241</v>
      </c>
      <c r="AI1098" s="500" t="s">
        <v>2242</v>
      </c>
      <c r="AJ1098" s="500">
        <v>8000</v>
      </c>
      <c r="AL1098" s="500" t="s">
        <v>2589</v>
      </c>
      <c r="AM1098" s="498" t="s">
        <v>2244</v>
      </c>
    </row>
    <row r="1099" spans="21:39" s="498" customFormat="1" ht="0.65" hidden="1" customHeight="1">
      <c r="U1099" s="499">
        <v>6023</v>
      </c>
      <c r="Y1099" s="500">
        <v>8400</v>
      </c>
      <c r="Z1099" s="500"/>
      <c r="AB1099" s="500"/>
      <c r="AF1099" s="498" t="s">
        <v>2245</v>
      </c>
      <c r="AG1099" s="498">
        <v>23</v>
      </c>
      <c r="AH1099" s="498" t="s">
        <v>2245</v>
      </c>
      <c r="AI1099" s="498" t="s">
        <v>2246</v>
      </c>
      <c r="AJ1099" s="500">
        <v>8400</v>
      </c>
      <c r="AL1099" s="500" t="s">
        <v>2590</v>
      </c>
      <c r="AM1099" s="498" t="s">
        <v>2248</v>
      </c>
    </row>
    <row r="1100" spans="21:39" s="498" customFormat="1" ht="0.65" hidden="1" customHeight="1">
      <c r="U1100" s="499">
        <v>6024</v>
      </c>
      <c r="Y1100" s="500">
        <v>8820</v>
      </c>
      <c r="Z1100" s="500"/>
      <c r="AB1100" s="500"/>
      <c r="AF1100" s="498" t="s">
        <v>2249</v>
      </c>
      <c r="AG1100" s="498">
        <v>24</v>
      </c>
      <c r="AH1100" s="498" t="s">
        <v>2249</v>
      </c>
      <c r="AI1100" s="498" t="s">
        <v>2250</v>
      </c>
      <c r="AJ1100" s="500">
        <v>8820</v>
      </c>
      <c r="AL1100" s="500" t="s">
        <v>2591</v>
      </c>
      <c r="AM1100" s="498" t="s">
        <v>2248</v>
      </c>
    </row>
    <row r="1101" spans="21:39" s="498" customFormat="1" ht="0.65" hidden="1" customHeight="1">
      <c r="U1101" s="499">
        <v>6025</v>
      </c>
      <c r="Y1101" s="500">
        <v>9261</v>
      </c>
      <c r="Z1101" s="500"/>
      <c r="AB1101" s="500"/>
      <c r="AF1101" s="498" t="s">
        <v>2252</v>
      </c>
      <c r="AG1101" s="498">
        <v>25</v>
      </c>
      <c r="AH1101" s="498" t="s">
        <v>2252</v>
      </c>
      <c r="AI1101" s="498" t="s">
        <v>2253</v>
      </c>
      <c r="AJ1101" s="500">
        <v>9261</v>
      </c>
      <c r="AL1101" s="500" t="s">
        <v>2592</v>
      </c>
      <c r="AM1101" s="498" t="s">
        <v>2248</v>
      </c>
    </row>
    <row r="1102" spans="21:39" s="498" customFormat="1" ht="0.65" hidden="1" customHeight="1">
      <c r="U1102" s="499">
        <v>6026</v>
      </c>
      <c r="Y1102" s="500">
        <v>0</v>
      </c>
      <c r="Z1102" s="500"/>
      <c r="AB1102" s="500"/>
      <c r="AF1102" s="498" t="s">
        <v>2255</v>
      </c>
      <c r="AG1102" s="498">
        <v>26</v>
      </c>
      <c r="AH1102" s="498" t="s">
        <v>2255</v>
      </c>
      <c r="AI1102" s="498" t="s">
        <v>2256</v>
      </c>
      <c r="AJ1102" s="500">
        <v>0</v>
      </c>
      <c r="AL1102" s="498" t="s">
        <v>2257</v>
      </c>
      <c r="AM1102" s="498" t="s">
        <v>2258</v>
      </c>
    </row>
    <row r="1103" spans="21:39" s="498" customFormat="1" ht="0.65" hidden="1" customHeight="1">
      <c r="U1103" s="499">
        <v>6027</v>
      </c>
      <c r="Y1103" s="500">
        <v>20368.333333333332</v>
      </c>
      <c r="Z1103" s="500"/>
      <c r="AB1103" s="500"/>
      <c r="AF1103" s="498" t="s">
        <v>2259</v>
      </c>
      <c r="AG1103" s="498">
        <v>27</v>
      </c>
      <c r="AH1103" s="498" t="s">
        <v>2259</v>
      </c>
      <c r="AI1103" s="498" t="s">
        <v>2260</v>
      </c>
      <c r="AJ1103" s="500">
        <v>20368.333333333332</v>
      </c>
      <c r="AL1103" s="498" t="s">
        <v>2593</v>
      </c>
      <c r="AM1103" s="498" t="s">
        <v>2262</v>
      </c>
    </row>
    <row r="1104" spans="21:39" s="498" customFormat="1" ht="0.65" hidden="1" customHeight="1">
      <c r="U1104" s="499">
        <v>6028</v>
      </c>
      <c r="Y1104" s="500">
        <v>20572.016666666666</v>
      </c>
      <c r="Z1104" s="500"/>
      <c r="AB1104" s="500"/>
      <c r="AF1104" s="498" t="s">
        <v>2263</v>
      </c>
      <c r="AG1104" s="498">
        <v>28</v>
      </c>
      <c r="AH1104" s="498" t="s">
        <v>2263</v>
      </c>
      <c r="AI1104" s="498" t="s">
        <v>2264</v>
      </c>
      <c r="AJ1104" s="500">
        <v>20572.016666666666</v>
      </c>
      <c r="AL1104" s="498" t="s">
        <v>2594</v>
      </c>
      <c r="AM1104" s="498" t="s">
        <v>2262</v>
      </c>
    </row>
    <row r="1105" spans="21:39" s="498" customFormat="1" ht="0.65" hidden="1" customHeight="1">
      <c r="U1105" s="499">
        <v>6029</v>
      </c>
      <c r="Y1105" s="500">
        <v>20777.736833333332</v>
      </c>
      <c r="Z1105" s="500"/>
      <c r="AB1105" s="500"/>
      <c r="AF1105" s="498" t="s">
        <v>2266</v>
      </c>
      <c r="AG1105" s="498">
        <v>29</v>
      </c>
      <c r="AH1105" s="498" t="s">
        <v>2266</v>
      </c>
      <c r="AI1105" s="498" t="s">
        <v>2267</v>
      </c>
      <c r="AJ1105" s="500">
        <v>20777.736833333332</v>
      </c>
      <c r="AL1105" s="498" t="s">
        <v>2595</v>
      </c>
      <c r="AM1105" s="498" t="s">
        <v>2262</v>
      </c>
    </row>
    <row r="1106" spans="21:39" s="498" customFormat="1" ht="0.65" hidden="1" customHeight="1">
      <c r="U1106" s="499">
        <v>6030</v>
      </c>
      <c r="Y1106" s="500">
        <v>0</v>
      </c>
      <c r="Z1106" s="500"/>
      <c r="AB1106" s="500"/>
      <c r="AF1106" s="498" t="s">
        <v>2269</v>
      </c>
      <c r="AG1106" s="498">
        <v>30</v>
      </c>
      <c r="AH1106" s="498" t="s">
        <v>2269</v>
      </c>
      <c r="AI1106" s="498" t="s">
        <v>2270</v>
      </c>
      <c r="AJ1106" s="500">
        <v>0</v>
      </c>
      <c r="AL1106" s="498" t="s">
        <v>2271</v>
      </c>
      <c r="AM1106" s="498" t="s">
        <v>2272</v>
      </c>
    </row>
    <row r="1107" spans="21:39" s="498" customFormat="1" ht="0.65" hidden="1" customHeight="1">
      <c r="U1107" s="499">
        <v>6031</v>
      </c>
      <c r="Y1107" s="500">
        <v>8470</v>
      </c>
      <c r="Z1107" s="500"/>
      <c r="AB1107" s="500"/>
      <c r="AF1107" s="498" t="s">
        <v>2273</v>
      </c>
      <c r="AG1107" s="498">
        <v>31</v>
      </c>
      <c r="AH1107" s="498" t="s">
        <v>2273</v>
      </c>
      <c r="AI1107" s="498" t="s">
        <v>2274</v>
      </c>
      <c r="AJ1107" s="500">
        <v>8470</v>
      </c>
      <c r="AL1107" s="498" t="s">
        <v>2596</v>
      </c>
      <c r="AM1107" s="498" t="s">
        <v>2276</v>
      </c>
    </row>
    <row r="1108" spans="21:39" s="498" customFormat="1" ht="0.65" hidden="1" customHeight="1">
      <c r="U1108" s="499">
        <v>6032</v>
      </c>
      <c r="Y1108" s="500">
        <v>8893.5</v>
      </c>
      <c r="Z1108" s="500"/>
      <c r="AB1108" s="500"/>
      <c r="AF1108" s="498" t="s">
        <v>2277</v>
      </c>
      <c r="AG1108" s="498">
        <v>32</v>
      </c>
      <c r="AH1108" s="498" t="s">
        <v>2277</v>
      </c>
      <c r="AI1108" s="498" t="s">
        <v>2278</v>
      </c>
      <c r="AJ1108" s="500">
        <v>8893.5</v>
      </c>
      <c r="AL1108" s="498" t="s">
        <v>2597</v>
      </c>
      <c r="AM1108" s="498" t="s">
        <v>2276</v>
      </c>
    </row>
    <row r="1109" spans="21:39" s="498" customFormat="1" ht="0.65" hidden="1" customHeight="1">
      <c r="U1109" s="499">
        <v>6033</v>
      </c>
      <c r="Y1109" s="500">
        <v>9338.1750000000011</v>
      </c>
      <c r="Z1109" s="500"/>
      <c r="AB1109" s="500"/>
      <c r="AF1109" s="498" t="s">
        <v>2280</v>
      </c>
      <c r="AG1109" s="498">
        <v>33</v>
      </c>
      <c r="AH1109" s="498" t="s">
        <v>2280</v>
      </c>
      <c r="AI1109" s="498" t="s">
        <v>2281</v>
      </c>
      <c r="AJ1109" s="500">
        <v>9338.1750000000011</v>
      </c>
      <c r="AL1109" s="498" t="s">
        <v>2598</v>
      </c>
      <c r="AM1109" s="498" t="s">
        <v>2276</v>
      </c>
    </row>
    <row r="1110" spans="21:39" s="498" customFormat="1" ht="0.65" hidden="1" customHeight="1">
      <c r="U1110" s="499">
        <v>6034</v>
      </c>
      <c r="Y1110" s="500">
        <v>8000</v>
      </c>
      <c r="Z1110" s="500"/>
      <c r="AB1110" s="500"/>
      <c r="AF1110" s="498" t="s">
        <v>2283</v>
      </c>
      <c r="AG1110" s="498">
        <v>34</v>
      </c>
      <c r="AH1110" s="498" t="s">
        <v>2283</v>
      </c>
      <c r="AI1110" s="500" t="s">
        <v>2284</v>
      </c>
      <c r="AJ1110" s="500">
        <v>8000</v>
      </c>
      <c r="AL1110" s="500" t="s">
        <v>2599</v>
      </c>
      <c r="AM1110" s="498" t="s">
        <v>2286</v>
      </c>
    </row>
    <row r="1111" spans="21:39" s="498" customFormat="1" ht="0.65" hidden="1" customHeight="1">
      <c r="U1111" s="499">
        <v>6035</v>
      </c>
      <c r="Y1111" s="500">
        <v>20298.333333333332</v>
      </c>
      <c r="Z1111" s="500"/>
      <c r="AB1111" s="500"/>
      <c r="AF1111" s="498" t="s">
        <v>2287</v>
      </c>
      <c r="AG1111" s="498">
        <v>35</v>
      </c>
      <c r="AH1111" s="498" t="s">
        <v>2287</v>
      </c>
      <c r="AI1111" s="500" t="s">
        <v>2288</v>
      </c>
      <c r="AJ1111" s="500">
        <v>20298.333333333332</v>
      </c>
      <c r="AL1111" s="500" t="s">
        <v>2600</v>
      </c>
      <c r="AM1111" s="498" t="s">
        <v>2290</v>
      </c>
    </row>
    <row r="1112" spans="21:39" s="498" customFormat="1" ht="0.65" hidden="1" customHeight="1">
      <c r="U1112" s="499">
        <v>6036</v>
      </c>
      <c r="Y1112" s="500">
        <v>20498.516666666666</v>
      </c>
      <c r="Z1112" s="500"/>
      <c r="AB1112" s="500"/>
      <c r="AF1112" s="498" t="s">
        <v>2291</v>
      </c>
      <c r="AG1112" s="498">
        <v>36</v>
      </c>
      <c r="AH1112" s="498" t="s">
        <v>2291</v>
      </c>
      <c r="AI1112" s="500" t="s">
        <v>2292</v>
      </c>
      <c r="AJ1112" s="500">
        <v>20498.516666666666</v>
      </c>
      <c r="AL1112" s="500" t="s">
        <v>2601</v>
      </c>
      <c r="AM1112" s="498" t="s">
        <v>2290</v>
      </c>
    </row>
    <row r="1113" spans="21:39" s="498" customFormat="1" ht="0.65" hidden="1" customHeight="1">
      <c r="U1113" s="499">
        <v>6037</v>
      </c>
      <c r="Y1113" s="500">
        <v>20700.561833333333</v>
      </c>
      <c r="Z1113" s="500"/>
      <c r="AB1113" s="500"/>
      <c r="AF1113" s="498" t="s">
        <v>2294</v>
      </c>
      <c r="AG1113" s="498">
        <v>37</v>
      </c>
      <c r="AH1113" s="498" t="s">
        <v>2294</v>
      </c>
      <c r="AI1113" s="500" t="s">
        <v>2295</v>
      </c>
      <c r="AJ1113" s="500">
        <v>20700.561833333333</v>
      </c>
      <c r="AL1113" s="500" t="s">
        <v>2602</v>
      </c>
      <c r="AM1113" s="498" t="s">
        <v>2290</v>
      </c>
    </row>
    <row r="1114" spans="21:39" s="498" customFormat="1" ht="0.65" hidden="1" customHeight="1">
      <c r="U1114" s="499">
        <v>6038</v>
      </c>
      <c r="Y1114" s="500">
        <v>8000</v>
      </c>
      <c r="Z1114" s="500"/>
      <c r="AB1114" s="500"/>
      <c r="AF1114" s="498" t="s">
        <v>2297</v>
      </c>
      <c r="AG1114" s="498">
        <v>38</v>
      </c>
      <c r="AH1114" s="498" t="s">
        <v>2297</v>
      </c>
      <c r="AI1114" s="500" t="s">
        <v>2298</v>
      </c>
      <c r="AJ1114" s="500">
        <v>8000</v>
      </c>
      <c r="AL1114" s="500" t="s">
        <v>2603</v>
      </c>
      <c r="AM1114" s="498" t="s">
        <v>2286</v>
      </c>
    </row>
    <row r="1115" spans="21:39" s="498" customFormat="1" ht="0.65" hidden="1" customHeight="1">
      <c r="U1115" s="499">
        <v>6039</v>
      </c>
      <c r="Y1115" s="500">
        <v>12298.333333333332</v>
      </c>
      <c r="Z1115" s="500"/>
      <c r="AB1115" s="500"/>
      <c r="AF1115" s="498" t="s">
        <v>2300</v>
      </c>
      <c r="AG1115" s="498">
        <v>39</v>
      </c>
      <c r="AH1115" s="498" t="s">
        <v>2300</v>
      </c>
      <c r="AI1115" s="500" t="s">
        <v>2301</v>
      </c>
      <c r="AJ1115" s="500">
        <v>12298.333333333332</v>
      </c>
      <c r="AL1115" s="500" t="s">
        <v>2604</v>
      </c>
      <c r="AM1115" s="498" t="s">
        <v>2303</v>
      </c>
    </row>
    <row r="1116" spans="21:39" s="498" customFormat="1" ht="0.65" hidden="1" customHeight="1">
      <c r="U1116" s="499">
        <v>6040</v>
      </c>
      <c r="Y1116" s="500">
        <v>200.1833333333343</v>
      </c>
      <c r="Z1116" s="500"/>
      <c r="AB1116" s="500"/>
      <c r="AF1116" s="498" t="s">
        <v>2304</v>
      </c>
      <c r="AG1116" s="498">
        <v>40</v>
      </c>
      <c r="AH1116" s="498" t="s">
        <v>2304</v>
      </c>
      <c r="AI1116" s="500" t="s">
        <v>2305</v>
      </c>
      <c r="AJ1116" s="500">
        <v>200.1833333333343</v>
      </c>
      <c r="AL1116" s="500" t="s">
        <v>2605</v>
      </c>
      <c r="AM1116" s="498" t="s">
        <v>2303</v>
      </c>
    </row>
    <row r="1117" spans="21:39" s="498" customFormat="1" ht="0.65" hidden="1" customHeight="1">
      <c r="U1117" s="499">
        <v>6041</v>
      </c>
      <c r="Y1117" s="500">
        <v>202.04516666666677</v>
      </c>
      <c r="Z1117" s="500"/>
      <c r="AB1117" s="500"/>
      <c r="AF1117" s="498" t="s">
        <v>2307</v>
      </c>
      <c r="AG1117" s="498">
        <v>41</v>
      </c>
      <c r="AH1117" s="498" t="s">
        <v>2307</v>
      </c>
      <c r="AI1117" s="500" t="s">
        <v>2308</v>
      </c>
      <c r="AJ1117" s="500">
        <v>202.04516666666677</v>
      </c>
      <c r="AL1117" s="500" t="s">
        <v>2606</v>
      </c>
      <c r="AM1117" s="498" t="s">
        <v>2303</v>
      </c>
    </row>
    <row r="1118" spans="21:39" s="498" customFormat="1" ht="0.65" hidden="1" customHeight="1">
      <c r="U1118" s="499">
        <v>6042</v>
      </c>
      <c r="Y1118" s="500">
        <v>108000</v>
      </c>
      <c r="Z1118" s="500"/>
      <c r="AB1118" s="500"/>
      <c r="AF1118" s="500" t="s">
        <v>490</v>
      </c>
      <c r="AG1118" s="498">
        <v>42</v>
      </c>
      <c r="AH1118" s="498" t="s">
        <v>490</v>
      </c>
      <c r="AI1118" s="500" t="s">
        <v>2310</v>
      </c>
      <c r="AJ1118" s="500">
        <v>108000</v>
      </c>
      <c r="AL1118" s="500" t="s">
        <v>2607</v>
      </c>
      <c r="AM1118" s="498" t="s">
        <v>2312</v>
      </c>
    </row>
    <row r="1119" spans="21:39" s="498" customFormat="1" ht="0.65" hidden="1" customHeight="1">
      <c r="U1119" s="499">
        <v>6043</v>
      </c>
      <c r="Y1119" s="500">
        <v>36298.178</v>
      </c>
      <c r="Z1119" s="500"/>
      <c r="AB1119" s="500"/>
      <c r="AF1119" s="500" t="s">
        <v>2168</v>
      </c>
      <c r="AG1119" s="498">
        <v>43</v>
      </c>
      <c r="AH1119" s="498" t="s">
        <v>2168</v>
      </c>
      <c r="AI1119" s="498" t="s">
        <v>2313</v>
      </c>
      <c r="AJ1119" s="500">
        <v>36298.178</v>
      </c>
      <c r="AL1119" s="498" t="s">
        <v>2608</v>
      </c>
      <c r="AM1119" s="498" t="s">
        <v>2315</v>
      </c>
    </row>
    <row r="1120" spans="21:39" s="498" customFormat="1" ht="0.65" hidden="1" customHeight="1">
      <c r="U1120" s="499">
        <v>6044</v>
      </c>
      <c r="Y1120" s="500">
        <v>20700.561833333333</v>
      </c>
      <c r="Z1120" s="500"/>
      <c r="AB1120" s="500"/>
      <c r="AF1120" s="500" t="s">
        <v>2169</v>
      </c>
      <c r="AG1120" s="498">
        <v>44</v>
      </c>
      <c r="AH1120" s="498" t="s">
        <v>2169</v>
      </c>
      <c r="AI1120" s="500" t="s">
        <v>2316</v>
      </c>
      <c r="AJ1120" s="500">
        <v>20700.561833333333</v>
      </c>
      <c r="AL1120" s="500" t="s">
        <v>2609</v>
      </c>
      <c r="AM1120" s="498" t="s">
        <v>2318</v>
      </c>
    </row>
    <row r="1121" spans="21:39" s="498" customFormat="1" ht="0.65" hidden="1" customHeight="1">
      <c r="U1121" s="499">
        <v>6045</v>
      </c>
      <c r="Y1121" s="500">
        <v>56998.739833333333</v>
      </c>
      <c r="Z1121" s="500"/>
      <c r="AB1121" s="500"/>
      <c r="AF1121" s="500" t="s">
        <v>2170</v>
      </c>
      <c r="AG1121" s="498">
        <v>45</v>
      </c>
      <c r="AH1121" s="498" t="s">
        <v>2170</v>
      </c>
      <c r="AI1121" s="500" t="s">
        <v>2319</v>
      </c>
      <c r="AJ1121" s="500">
        <v>56998.739833333333</v>
      </c>
      <c r="AL1121" s="500" t="s">
        <v>2610</v>
      </c>
      <c r="AM1121" s="498" t="s">
        <v>2321</v>
      </c>
    </row>
    <row r="1122" spans="21:39" s="498" customFormat="1" ht="0.65" hidden="1" customHeight="1">
      <c r="U1122" s="499">
        <v>6046</v>
      </c>
      <c r="Y1122" s="510">
        <v>4.2000000000000003E-2</v>
      </c>
      <c r="Z1122" s="510"/>
      <c r="AB1122" s="510"/>
      <c r="AF1122" s="500" t="s">
        <v>414</v>
      </c>
      <c r="AG1122" s="498">
        <v>46</v>
      </c>
      <c r="AH1122" s="498" t="s">
        <v>414</v>
      </c>
      <c r="AI1122" s="498" t="s">
        <v>2322</v>
      </c>
      <c r="AJ1122" s="510">
        <v>4.2000000000000003E-2</v>
      </c>
      <c r="AL1122" s="498" t="s">
        <v>2611</v>
      </c>
      <c r="AM1122" s="498" t="s">
        <v>2324</v>
      </c>
    </row>
    <row r="1123" spans="21:39" s="498" customFormat="1" ht="0.65" hidden="1" customHeight="1">
      <c r="U1123" s="499">
        <v>6047</v>
      </c>
      <c r="Y1123" s="510">
        <v>0.09</v>
      </c>
      <c r="Z1123" s="510"/>
      <c r="AB1123" s="510"/>
      <c r="AF1123" s="500" t="s">
        <v>415</v>
      </c>
      <c r="AG1123" s="498">
        <v>47</v>
      </c>
      <c r="AH1123" s="498" t="s">
        <v>415</v>
      </c>
      <c r="AI1123" s="511" t="s">
        <v>2325</v>
      </c>
      <c r="AJ1123" s="510">
        <v>0.09</v>
      </c>
      <c r="AL1123" s="511" t="s">
        <v>2612</v>
      </c>
      <c r="AM1123" s="498" t="s">
        <v>2327</v>
      </c>
    </row>
    <row r="1124" spans="21:39" s="498" customFormat="1" ht="0.65" hidden="1" customHeight="1">
      <c r="U1124" s="499">
        <v>6048</v>
      </c>
      <c r="Y1124" s="510">
        <v>7.3999999999999996E-2</v>
      </c>
      <c r="Z1124" s="510"/>
      <c r="AB1124" s="510"/>
      <c r="AF1124" s="500" t="s">
        <v>416</v>
      </c>
      <c r="AG1124" s="498">
        <v>48</v>
      </c>
      <c r="AH1124" s="498" t="s">
        <v>416</v>
      </c>
      <c r="AI1124" s="498" t="s">
        <v>2328</v>
      </c>
      <c r="AJ1124" s="510">
        <v>7.3999999999999996E-2</v>
      </c>
      <c r="AL1124" s="498" t="s">
        <v>2613</v>
      </c>
      <c r="AM1124" s="498" t="s">
        <v>2330</v>
      </c>
    </row>
    <row r="1125" spans="21:39" s="498" customFormat="1" ht="0.65" hidden="1" customHeight="1">
      <c r="U1125" s="499">
        <v>6049</v>
      </c>
      <c r="Y1125" s="500">
        <v>-108000</v>
      </c>
      <c r="Z1125" s="500"/>
      <c r="AB1125" s="500"/>
      <c r="AF1125" s="498" t="s">
        <v>2331</v>
      </c>
      <c r="AG1125" s="498">
        <v>49</v>
      </c>
      <c r="AH1125" s="498" t="s">
        <v>2331</v>
      </c>
      <c r="AI1125" s="500" t="s">
        <v>2332</v>
      </c>
      <c r="AJ1125" s="500">
        <v>-108000</v>
      </c>
      <c r="AL1125" s="500" t="s">
        <v>2614</v>
      </c>
      <c r="AM1125" s="498" t="s">
        <v>3946</v>
      </c>
    </row>
    <row r="1126" spans="21:39" s="498" customFormat="1" ht="0.65" hidden="1" customHeight="1">
      <c r="U1126" s="499">
        <v>6050</v>
      </c>
      <c r="Y1126" s="500">
        <v>2881.6666666666679</v>
      </c>
      <c r="Z1126" s="500"/>
      <c r="AB1126" s="500"/>
      <c r="AF1126" s="498" t="s">
        <v>2334</v>
      </c>
      <c r="AG1126" s="498">
        <v>50</v>
      </c>
      <c r="AH1126" s="498" t="s">
        <v>2334</v>
      </c>
      <c r="AI1126" s="500" t="s">
        <v>2335</v>
      </c>
      <c r="AJ1126" s="500">
        <v>2881.6666666666679</v>
      </c>
      <c r="AL1126" s="498" t="s">
        <v>2615</v>
      </c>
      <c r="AM1126" s="498" t="s">
        <v>3946</v>
      </c>
    </row>
    <row r="1127" spans="21:39" s="498" customFormat="1" ht="0.65" hidden="1" customHeight="1">
      <c r="U1127" s="499">
        <v>6051</v>
      </c>
      <c r="Y1127" s="500">
        <v>12760.816666666666</v>
      </c>
      <c r="Z1127" s="500"/>
      <c r="AB1127" s="500"/>
      <c r="AF1127" s="498" t="s">
        <v>2337</v>
      </c>
      <c r="AG1127" s="498">
        <v>51</v>
      </c>
      <c r="AH1127" s="498" t="s">
        <v>2337</v>
      </c>
      <c r="AI1127" s="500" t="s">
        <v>2338</v>
      </c>
      <c r="AJ1127" s="500">
        <v>12760.816666666666</v>
      </c>
      <c r="AL1127" s="498" t="s">
        <v>2616</v>
      </c>
      <c r="AM1127" s="498" t="s">
        <v>3946</v>
      </c>
    </row>
    <row r="1128" spans="21:39" s="498" customFormat="1" ht="0.65" hidden="1" customHeight="1">
      <c r="U1128" s="499">
        <v>6052</v>
      </c>
      <c r="Y1128" s="500">
        <v>67399.464666666652</v>
      </c>
      <c r="Z1128" s="500"/>
      <c r="AB1128" s="500"/>
      <c r="AF1128" s="498" t="s">
        <v>2340</v>
      </c>
      <c r="AG1128" s="498">
        <v>52</v>
      </c>
      <c r="AH1128" s="498" t="s">
        <v>2340</v>
      </c>
      <c r="AI1128" s="500" t="s">
        <v>2341</v>
      </c>
      <c r="AJ1128" s="500">
        <v>67399.464666666652</v>
      </c>
      <c r="AL1128" s="498" t="s">
        <v>2617</v>
      </c>
      <c r="AM1128" s="498" t="s">
        <v>3946</v>
      </c>
    </row>
    <row r="1129" spans="21:39" s="498" customFormat="1" ht="0.65" hidden="1" customHeight="1">
      <c r="U1129" s="499">
        <v>6053</v>
      </c>
      <c r="Y1129" s="500">
        <v>-39848.360642072483</v>
      </c>
      <c r="Z1129" s="500"/>
      <c r="AB1129" s="500"/>
      <c r="AF1129" s="500" t="s">
        <v>13</v>
      </c>
      <c r="AG1129" s="498">
        <v>53</v>
      </c>
      <c r="AH1129" s="498" t="s">
        <v>13</v>
      </c>
      <c r="AI1129" s="500" t="s">
        <v>2343</v>
      </c>
      <c r="AJ1129" s="500">
        <v>-39848.360642072483</v>
      </c>
      <c r="AL1129" s="512" t="s">
        <v>2618</v>
      </c>
      <c r="AM1129" s="498" t="s">
        <v>2345</v>
      </c>
    </row>
    <row r="1130" spans="21:39" s="498" customFormat="1" ht="0.65" hidden="1" customHeight="1">
      <c r="U1130" s="499">
        <v>6054</v>
      </c>
      <c r="Y1130" s="510">
        <v>-8.9950270354858364E-2</v>
      </c>
      <c r="Z1130" s="510"/>
      <c r="AB1130" s="510"/>
      <c r="AF1130" s="498" t="s">
        <v>28</v>
      </c>
      <c r="AG1130" s="498">
        <v>54</v>
      </c>
      <c r="AH1130" s="498" t="s">
        <v>28</v>
      </c>
      <c r="AI1130" s="511" t="s">
        <v>2346</v>
      </c>
      <c r="AJ1130" s="510">
        <v>-8.9950270354858364E-2</v>
      </c>
      <c r="AL1130" s="511" t="s">
        <v>2619</v>
      </c>
      <c r="AM1130" s="498" t="s">
        <v>2348</v>
      </c>
    </row>
    <row r="1131" spans="21:39" s="498" customFormat="1" ht="0.65" hidden="1" customHeight="1">
      <c r="U1131" s="499">
        <v>6055</v>
      </c>
    </row>
    <row r="1132" spans="21:39" s="498" customFormat="1" ht="0.65" hidden="1" customHeight="1">
      <c r="U1132" s="499">
        <v>6056</v>
      </c>
      <c r="AG1132" s="498">
        <v>1</v>
      </c>
      <c r="AH1132" s="498" t="s">
        <v>2349</v>
      </c>
      <c r="AI1132" s="498" t="s">
        <v>3947</v>
      </c>
    </row>
    <row r="1133" spans="21:39" s="498" customFormat="1" ht="0.65" hidden="1" customHeight="1">
      <c r="U1133" s="499">
        <v>6057</v>
      </c>
      <c r="AG1133" s="498">
        <v>2</v>
      </c>
      <c r="AH1133" s="498" t="s">
        <v>2350</v>
      </c>
      <c r="AI1133" s="498" t="s">
        <v>3950</v>
      </c>
    </row>
    <row r="1134" spans="21:39" s="498" customFormat="1" ht="0.65" hidden="1" customHeight="1">
      <c r="U1134" s="499">
        <v>6058</v>
      </c>
      <c r="AG1134" s="498">
        <v>3</v>
      </c>
      <c r="AH1134" s="498" t="s">
        <v>2351</v>
      </c>
      <c r="AI1134" s="498" t="s">
        <v>3948</v>
      </c>
    </row>
    <row r="1135" spans="21:39" s="498" customFormat="1" ht="0.65" hidden="1" customHeight="1">
      <c r="U1135" s="499">
        <v>6059</v>
      </c>
      <c r="AG1135" s="498">
        <v>4</v>
      </c>
      <c r="AH1135" s="498" t="s">
        <v>2352</v>
      </c>
      <c r="AI1135" s="498" t="s">
        <v>3949</v>
      </c>
    </row>
    <row r="1136" spans="21:39" s="498" customFormat="1" ht="0.65" hidden="1" customHeight="1">
      <c r="U1136" s="499">
        <v>6060</v>
      </c>
      <c r="AG1136" s="498">
        <v>5</v>
      </c>
      <c r="AH1136" s="498" t="s">
        <v>4144</v>
      </c>
      <c r="AI1136" s="498" t="s">
        <v>2353</v>
      </c>
    </row>
    <row r="1137" spans="21:35" s="498" customFormat="1" ht="0.65" hidden="1" customHeight="1">
      <c r="U1137" s="499">
        <v>6061</v>
      </c>
      <c r="AG1137" s="498">
        <v>6</v>
      </c>
      <c r="AH1137" s="498" t="s">
        <v>2354</v>
      </c>
      <c r="AI1137" s="498" t="s">
        <v>2355</v>
      </c>
    </row>
    <row r="1138" spans="21:35" s="498" customFormat="1" ht="0.65" hidden="1" customHeight="1">
      <c r="U1138" s="499">
        <v>6062</v>
      </c>
      <c r="AG1138" s="498">
        <v>7</v>
      </c>
      <c r="AH1138" s="498" t="s">
        <v>2356</v>
      </c>
      <c r="AI1138" s="498" t="s">
        <v>2357</v>
      </c>
    </row>
    <row r="1139" spans="21:35" s="498" customFormat="1" ht="0.65" hidden="1" customHeight="1">
      <c r="U1139" s="499">
        <v>6063</v>
      </c>
      <c r="AG1139" s="498">
        <v>8</v>
      </c>
      <c r="AH1139" s="498" t="s">
        <v>2358</v>
      </c>
      <c r="AI1139" s="498" t="s">
        <v>2359</v>
      </c>
    </row>
    <row r="1140" spans="21:35" s="498" customFormat="1" ht="0.65" hidden="1" customHeight="1">
      <c r="U1140" s="499">
        <v>6064</v>
      </c>
      <c r="AG1140" s="498">
        <v>8</v>
      </c>
    </row>
    <row r="1141" spans="21:35" s="498" customFormat="1" ht="0.65" hidden="1" customHeight="1">
      <c r="U1141" s="499">
        <v>6065</v>
      </c>
      <c r="AG1141" s="498">
        <v>8</v>
      </c>
    </row>
    <row r="1142" spans="21:35" s="498" customFormat="1" ht="0.65" hidden="1" customHeight="1">
      <c r="U1142" s="499">
        <v>6066</v>
      </c>
      <c r="AG1142" s="498">
        <v>8</v>
      </c>
    </row>
    <row r="1143" spans="21:35" s="498" customFormat="1" ht="0.65" hidden="1" customHeight="1">
      <c r="U1143" s="499">
        <v>6067</v>
      </c>
      <c r="AG1143" s="498">
        <v>8</v>
      </c>
    </row>
    <row r="1144" spans="21:35" s="513" customFormat="1" ht="15" hidden="1" customHeight="1"/>
    <row r="1145" spans="21:35" s="496" customFormat="1" ht="15" customHeight="1"/>
  </sheetData>
  <sheetProtection algorithmName="SHA-512" hashValue="LFmA2Ksx+xqNCqfkQANbTgAYkZm93WfvmeJHxCid9HwgXXUq4GxX+LJ2XflRmZADn8Em99jSarMDfJTUuscQag==" saltValue="BcphGno89jtjrkqwG6StUA==" spinCount="100000" sheet="1" selectLockedCells="1"/>
  <mergeCells count="16">
    <mergeCell ref="B34:E34"/>
    <mergeCell ref="B1:E1"/>
    <mergeCell ref="B6:E6"/>
    <mergeCell ref="B11:E11"/>
    <mergeCell ref="B18:E18"/>
    <mergeCell ref="B22:E22"/>
    <mergeCell ref="B27:E27"/>
    <mergeCell ref="I35:I40"/>
    <mergeCell ref="J35:P40"/>
    <mergeCell ref="J44:P45"/>
    <mergeCell ref="J47:P53"/>
    <mergeCell ref="J29:P29"/>
    <mergeCell ref="I30:I31"/>
    <mergeCell ref="J30:P31"/>
    <mergeCell ref="I32:I33"/>
    <mergeCell ref="J32:P33"/>
  </mergeCells>
  <conditionalFormatting sqref="A1:A54 G29:G40 N26 C2:E2 F1 C10:E10 C26:E26 C40:E40 H21:I21 O18:P18 A67:XFD1200">
    <cfRule type="expression" dxfId="115" priority="16" stopIfTrue="1">
      <formula>NOT($N$22="javi")</formula>
    </cfRule>
  </conditionalFormatting>
  <conditionalFormatting sqref="A374:XFD375 A528:XFD529 A682:XFD683 A836:XFD837 A990:XFD991 A1144:XFD1048576 A1:XFD221">
    <cfRule type="expression" dxfId="114" priority="14" stopIfTrue="1">
      <formula>OR($E$109="SI",NOT($C$2="SI"),$F$1="")</formula>
    </cfRule>
  </conditionalFormatting>
  <conditionalFormatting sqref="C10:E10 C26:E26 C40:E40 H21:I21 O18:P18">
    <cfRule type="expression" dxfId="113" priority="13" stopIfTrue="1">
      <formula>NOT($C$10="")</formula>
    </cfRule>
  </conditionalFormatting>
  <conditionalFormatting sqref="I29:P40">
    <cfRule type="expression" dxfId="112" priority="17" stopIfTrue="1">
      <formula>OR($N$24="",NOT($O$24=""))</formula>
    </cfRule>
  </conditionalFormatting>
  <conditionalFormatting sqref="M21:O21">
    <cfRule type="expression" dxfId="111" priority="18" stopIfTrue="1">
      <formula>NOT($D$2=$E$2)</formula>
    </cfRule>
  </conditionalFormatting>
  <conditionalFormatting sqref="I4:P19">
    <cfRule type="expression" dxfId="110" priority="19" stopIfTrue="1">
      <formula>AND($D$2=$E$2,$N$21="x",$N$26=0,I90="CORRECTO")</formula>
    </cfRule>
    <cfRule type="expression" dxfId="109" priority="20" stopIfTrue="1">
      <formula>AND($D$2=$E$2,$N$21="x",$N$26=0,I90="CONCEPTO")</formula>
    </cfRule>
    <cfRule type="expression" dxfId="108" priority="21" stopIfTrue="1">
      <formula>AND($D$2=$E$2,$N$21="x",$N$26=0,I90="DERIVADO")</formula>
    </cfRule>
  </conditionalFormatting>
  <conditionalFormatting sqref="H24:P40 B42:P54">
    <cfRule type="expression" dxfId="107" priority="15" stopIfTrue="1">
      <formula>OR(NOT($D$2=$E$2),NOT($N$21="x"),NOT($N$26=0))</formula>
    </cfRule>
  </conditionalFormatting>
  <conditionalFormatting sqref="J44:P53">
    <cfRule type="expression" dxfId="106" priority="22" stopIfTrue="1">
      <formula>OR($N$42="",NOT($O$42=""))</formula>
    </cfRule>
  </conditionalFormatting>
  <conditionalFormatting sqref="A222:XFD373">
    <cfRule type="expression" dxfId="105" priority="11" stopIfTrue="1">
      <formula>NOT($N$22="javi")</formula>
    </cfRule>
  </conditionalFormatting>
  <conditionalFormatting sqref="A222:XFD373">
    <cfRule type="expression" dxfId="104" priority="12" stopIfTrue="1">
      <formula>OR($E$263="SI",NOT($C$2="SI"))</formula>
    </cfRule>
  </conditionalFormatting>
  <conditionalFormatting sqref="A376:XFD527">
    <cfRule type="expression" dxfId="103" priority="9" stopIfTrue="1">
      <formula>NOT($N$22="javi")</formula>
    </cfRule>
  </conditionalFormatting>
  <conditionalFormatting sqref="A376:XFD527">
    <cfRule type="expression" dxfId="102" priority="10" stopIfTrue="1">
      <formula>OR($E$417="SI",NOT($C$2="SI"))</formula>
    </cfRule>
  </conditionalFormatting>
  <conditionalFormatting sqref="A530:XFD681">
    <cfRule type="expression" dxfId="101" priority="7" stopIfTrue="1">
      <formula>NOT($N$22="javi")</formula>
    </cfRule>
  </conditionalFormatting>
  <conditionalFormatting sqref="A530:XFD681">
    <cfRule type="expression" dxfId="100" priority="8" stopIfTrue="1">
      <formula>OR($E$571="SI",NOT($C$2="SI"))</formula>
    </cfRule>
  </conditionalFormatting>
  <conditionalFormatting sqref="A684:XFD835">
    <cfRule type="expression" dxfId="99" priority="5" stopIfTrue="1">
      <formula>NOT($N$22="javi")</formula>
    </cfRule>
  </conditionalFormatting>
  <conditionalFormatting sqref="A684:XFD835">
    <cfRule type="expression" dxfId="98" priority="6" stopIfTrue="1">
      <formula>OR($E$725="SI",NOT($C$2="SI"))</formula>
    </cfRule>
  </conditionalFormatting>
  <conditionalFormatting sqref="A838:XFD989">
    <cfRule type="expression" dxfId="97" priority="3" stopIfTrue="1">
      <formula>NOT($N$22="javi")</formula>
    </cfRule>
  </conditionalFormatting>
  <conditionalFormatting sqref="A838:XFD989">
    <cfRule type="expression" dxfId="96" priority="4" stopIfTrue="1">
      <formula>OR($E$879="SI",NOT($C$2="SI"))</formula>
    </cfRule>
  </conditionalFormatting>
  <conditionalFormatting sqref="A992:XFD1143">
    <cfRule type="expression" dxfId="95" priority="1" stopIfTrue="1">
      <formula>NOT($N$22="javi")</formula>
    </cfRule>
  </conditionalFormatting>
  <conditionalFormatting sqref="A992:XFD1143">
    <cfRule type="expression" dxfId="94" priority="2" stopIfTrue="1">
      <formula>OR($E$1033="SI",NOT($C$2="SI"))</formula>
    </cfRule>
  </conditionalFormatting>
  <pageMargins left="0.70866141732283472" right="0.70866141732283472" top="0.74803149606299213" bottom="0.74803149606299213" header="0.31496062992125984" footer="0.31496062992125984"/>
  <pageSetup paperSize="9" scale="60" pageOrder="overThenDown" orientation="landscape" verticalDpi="1200" r:id="rId1"/>
  <headerFooter>
    <oddHeader>&amp;CCaso práctico de inversión en condiciones de certeza (Inflación, con fondo de maniobra y existencias) - Autoevaluación</oddHeader>
    <oddFooter>&amp;CPágina &amp;P de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166E9-A474-4F97-A6DA-8ECC624DD99E}">
  <dimension ref="A1:T161"/>
  <sheetViews>
    <sheetView showGridLines="0" zoomScale="90" zoomScaleNormal="90" workbookViewId="0">
      <selection activeCell="N23" sqref="N23"/>
    </sheetView>
  </sheetViews>
  <sheetFormatPr baseColWidth="10" defaultColWidth="11.453125" defaultRowHeight="14.5"/>
  <cols>
    <col min="1" max="1" width="11.453125" style="411"/>
    <col min="2" max="2" width="21" style="411" customWidth="1"/>
    <col min="3" max="3" width="15.81640625" style="411" customWidth="1"/>
    <col min="4" max="5" width="11.453125" style="411"/>
    <col min="6" max="6" width="3.54296875" style="411" customWidth="1"/>
    <col min="7" max="7" width="8.453125" style="411" customWidth="1"/>
    <col min="8" max="16" width="15.54296875" style="411" customWidth="1"/>
    <col min="17" max="17" width="3.54296875" style="411" customWidth="1"/>
    <col min="18" max="21" width="11.453125" style="411"/>
    <col min="22" max="39" width="11.453125" style="411" customWidth="1"/>
    <col min="40" max="16384" width="11.453125" style="411"/>
  </cols>
  <sheetData>
    <row r="1" spans="1:19">
      <c r="B1" s="1038" t="s">
        <v>19</v>
      </c>
      <c r="C1" s="1038"/>
      <c r="D1" s="1038"/>
      <c r="E1" s="1038"/>
      <c r="F1" s="410" t="str">
        <f>IF(AND(NOT('Enunciado (con infla) básico'!$G$2=""),'Enunciado (con infla) básico'!$H$2=""),'Enunciado (con infla) básico'!$G$2,"")</f>
        <v/>
      </c>
    </row>
    <row r="2" spans="1:19">
      <c r="B2" s="412"/>
      <c r="C2" s="413" t="str">
        <f>IF(AND('Instrucciones de uso'!$J$14="x",'Instrucciones de uso'!$I$33="SI"),"SI","NO")</f>
        <v>NO</v>
      </c>
      <c r="D2" s="414" t="str">
        <f>'Instrucciones de uso'!$H$15</f>
        <v>contraseña</v>
      </c>
      <c r="E2" s="414" t="str">
        <f>'Instrucciones de uso'!$J$15</f>
        <v>contraseña</v>
      </c>
      <c r="H2" s="496"/>
      <c r="I2" s="514"/>
      <c r="J2" s="514"/>
      <c r="K2" s="514"/>
      <c r="L2" s="514"/>
      <c r="M2" s="514"/>
      <c r="N2" s="514"/>
      <c r="O2" s="514"/>
    </row>
    <row r="3" spans="1:19">
      <c r="A3" s="411" t="e">
        <f>$F$1*1000+1</f>
        <v>#VALUE!</v>
      </c>
      <c r="B3" s="416"/>
      <c r="C3" s="417" t="str">
        <f>'Autoeval-sol (con infla) básico'!C3</f>
        <v>Año de partida</v>
      </c>
      <c r="D3" s="515" t="e">
        <f>'Autoeval-sol (con infla) básico'!D3</f>
        <v>#VALUE!</v>
      </c>
      <c r="E3" s="419"/>
      <c r="H3" s="420" t="s">
        <v>0</v>
      </c>
      <c r="I3" s="421" t="s">
        <v>2113</v>
      </c>
      <c r="J3" s="421" t="s">
        <v>2114</v>
      </c>
      <c r="K3" s="421" t="s">
        <v>2115</v>
      </c>
      <c r="L3" s="421" t="s">
        <v>2116</v>
      </c>
      <c r="M3" s="421" t="s">
        <v>2117</v>
      </c>
      <c r="N3" s="421" t="s">
        <v>2118</v>
      </c>
      <c r="O3" s="421" t="s">
        <v>2119</v>
      </c>
      <c r="Q3" s="422"/>
      <c r="R3" s="422"/>
      <c r="S3" s="422"/>
    </row>
    <row r="4" spans="1:19">
      <c r="A4" s="411" t="e">
        <f t="shared" ref="A4:A67" si="0">1+A3</f>
        <v>#VALUE!</v>
      </c>
      <c r="B4" s="416"/>
      <c r="C4" s="419" t="str">
        <f>'Autoeval-sol (con infla) básico'!C4</f>
        <v>Vida útil (n)</v>
      </c>
      <c r="D4" s="423" t="str">
        <f>'Autoeval-sol (con infla) básico'!D4</f>
        <v>3 años</v>
      </c>
      <c r="E4" s="419"/>
      <c r="H4" s="516" t="e">
        <f>'Autoeval-sol (con infla) básico'!H4</f>
        <v>#VALUE!</v>
      </c>
      <c r="I4" s="517" t="e">
        <f>'Autoeval-sol (con infla) básico'!I71</f>
        <v>#VALUE!</v>
      </c>
      <c r="J4" s="517" t="e">
        <f>'Autoeval-sol (con infla) básico'!J71</f>
        <v>#VALUE!</v>
      </c>
      <c r="K4" s="517" t="e">
        <f>'Autoeval-sol (con infla) básico'!K71</f>
        <v>#VALUE!</v>
      </c>
      <c r="L4" s="517" t="e">
        <f>'Autoeval-sol (con infla) básico'!L71</f>
        <v>#VALUE!</v>
      </c>
      <c r="M4" s="517" t="e">
        <f>'Autoeval-sol (con infla) básico'!M71</f>
        <v>#VALUE!</v>
      </c>
      <c r="N4" s="517" t="e">
        <f>'Autoeval-sol (con infla) básico'!N71</f>
        <v>#VALUE!</v>
      </c>
      <c r="O4" s="517" t="e">
        <f>'Autoeval-sol (con infla) básico'!O71</f>
        <v>#VALUE!</v>
      </c>
      <c r="Q4" s="422"/>
      <c r="R4" s="422"/>
      <c r="S4" s="422"/>
    </row>
    <row r="5" spans="1:19">
      <c r="A5" s="411" t="e">
        <f t="shared" si="0"/>
        <v>#VALUE!</v>
      </c>
      <c r="B5" s="412"/>
      <c r="C5" s="426"/>
      <c r="D5" s="427"/>
      <c r="E5" s="428"/>
      <c r="H5" s="516" t="e">
        <f>'Autoeval-sol (con infla) básico'!H5</f>
        <v>#VALUE!</v>
      </c>
      <c r="I5" s="517" t="e">
        <f>'Autoeval-sol (con infla) básico'!I72</f>
        <v>#VALUE!</v>
      </c>
      <c r="J5" s="517" t="e">
        <f>'Autoeval-sol (con infla) básico'!J72</f>
        <v>#VALUE!</v>
      </c>
      <c r="K5" s="517" t="e">
        <f>'Autoeval-sol (con infla) básico'!K72</f>
        <v>#VALUE!</v>
      </c>
      <c r="L5" s="517" t="e">
        <f>'Autoeval-sol (con infla) básico'!L72</f>
        <v>#VALUE!</v>
      </c>
      <c r="M5" s="517" t="e">
        <f>'Autoeval-sol (con infla) básico'!M72</f>
        <v>#VALUE!</v>
      </c>
      <c r="N5" s="517" t="e">
        <f>'Autoeval-sol (con infla) básico'!N72</f>
        <v>#VALUE!</v>
      </c>
      <c r="O5" s="517" t="e">
        <f>'Autoeval-sol (con infla) básico'!O72</f>
        <v>#VALUE!</v>
      </c>
    </row>
    <row r="6" spans="1:19">
      <c r="A6" s="411" t="e">
        <f t="shared" si="0"/>
        <v>#VALUE!</v>
      </c>
      <c r="B6" s="1039" t="str">
        <f>'Autoeval-sol (con infla) básico'!B6</f>
        <v>Inversión en inmovilizado</v>
      </c>
      <c r="C6" s="1039">
        <f>'Autoeval-sol (con infla) básico'!C6</f>
        <v>0</v>
      </c>
      <c r="D6" s="1039">
        <f>'Autoeval-sol (con infla) básico'!D6</f>
        <v>0</v>
      </c>
      <c r="E6" s="1039">
        <f>'Autoeval-sol (con infla) básico'!E6</f>
        <v>0</v>
      </c>
      <c r="H6" s="516" t="e">
        <f>'Autoeval-sol (con infla) básico'!H6</f>
        <v>#VALUE!</v>
      </c>
      <c r="I6" s="517" t="e">
        <f>'Autoeval-sol (con infla) básico'!I73</f>
        <v>#VALUE!</v>
      </c>
      <c r="J6" s="517" t="e">
        <f>'Autoeval-sol (con infla) básico'!J73</f>
        <v>#VALUE!</v>
      </c>
      <c r="K6" s="517" t="e">
        <f>'Autoeval-sol (con infla) básico'!K73</f>
        <v>#VALUE!</v>
      </c>
      <c r="L6" s="517" t="e">
        <f>'Autoeval-sol (con infla) básico'!L73</f>
        <v>#VALUE!</v>
      </c>
      <c r="M6" s="517" t="e">
        <f>'Autoeval-sol (con infla) básico'!M73</f>
        <v>#VALUE!</v>
      </c>
      <c r="N6" s="517" t="e">
        <f>'Autoeval-sol (con infla) básico'!N73</f>
        <v>#VALUE!</v>
      </c>
      <c r="O6" s="517" t="e">
        <f>'Autoeval-sol (con infla) básico'!O73</f>
        <v>#VALUE!</v>
      </c>
      <c r="S6" s="422"/>
    </row>
    <row r="7" spans="1:19">
      <c r="A7" s="411" t="e">
        <f t="shared" si="0"/>
        <v>#VALUE!</v>
      </c>
      <c r="B7" s="416"/>
      <c r="C7" s="429" t="e">
        <f>'Autoeval-sol (con infla) básico'!C7</f>
        <v>#VALUE!</v>
      </c>
      <c r="D7" s="437" t="e">
        <f>'Autoeval-sol (con infla) básico'!D7</f>
        <v>#VALUE!</v>
      </c>
      <c r="E7" s="419"/>
      <c r="S7" s="422"/>
    </row>
    <row r="8" spans="1:19">
      <c r="A8" s="411" t="e">
        <f t="shared" si="0"/>
        <v>#VALUE!</v>
      </c>
      <c r="B8" s="416"/>
      <c r="C8" s="429" t="str">
        <f>'Autoeval-sol (con infla) básico'!C8</f>
        <v>AM (años)</v>
      </c>
      <c r="D8" s="437" t="e">
        <f>'Autoeval-sol (con infla) básico'!D8</f>
        <v>#VALUE!</v>
      </c>
      <c r="E8" s="419"/>
      <c r="H8" s="518"/>
      <c r="I8" s="519"/>
      <c r="J8" s="519"/>
      <c r="K8" s="519"/>
      <c r="L8" s="519"/>
      <c r="M8" s="519"/>
      <c r="P8" s="514"/>
      <c r="S8" s="422"/>
    </row>
    <row r="9" spans="1:19">
      <c r="A9" s="411" t="e">
        <f t="shared" si="0"/>
        <v>#VALUE!</v>
      </c>
      <c r="B9" s="416"/>
      <c r="C9" s="429" t="e">
        <f>'Autoeval-sol (con infla) básico'!C9</f>
        <v>#VALUE!</v>
      </c>
      <c r="D9" s="437" t="e">
        <f>'Autoeval-sol (con infla) básico'!D9</f>
        <v>#VALUE!</v>
      </c>
      <c r="E9" s="419"/>
      <c r="H9" s="420" t="s">
        <v>0</v>
      </c>
      <c r="I9" s="421" t="s">
        <v>2121</v>
      </c>
      <c r="J9" s="421" t="s">
        <v>2122</v>
      </c>
      <c r="K9" s="421" t="s">
        <v>2123</v>
      </c>
      <c r="L9" s="421" t="s">
        <v>2124</v>
      </c>
      <c r="M9" s="421" t="s">
        <v>2125</v>
      </c>
      <c r="N9" s="422"/>
      <c r="O9" s="420" t="s">
        <v>0</v>
      </c>
      <c r="P9" s="432" t="s">
        <v>1</v>
      </c>
      <c r="S9" s="422"/>
    </row>
    <row r="10" spans="1:19">
      <c r="A10" s="411" t="e">
        <f t="shared" si="0"/>
        <v>#VALUE!</v>
      </c>
      <c r="B10" s="412"/>
      <c r="C10" s="520"/>
      <c r="D10" s="521"/>
      <c r="E10" s="522"/>
      <c r="H10" s="516" t="e">
        <f>'Autoeval-sol (con infla) básico'!H10</f>
        <v>#VALUE!</v>
      </c>
      <c r="I10" s="517" t="e">
        <f>'Autoeval-sol (con infla) básico'!I77</f>
        <v>#VALUE!</v>
      </c>
      <c r="J10" s="517" t="e">
        <f>'Autoeval-sol (con infla) básico'!J77</f>
        <v>#VALUE!</v>
      </c>
      <c r="K10" s="517" t="e">
        <f>'Autoeval-sol (con infla) básico'!K77</f>
        <v>#VALUE!</v>
      </c>
      <c r="L10" s="517" t="e">
        <f>'Autoeval-sol (con infla) básico'!L77</f>
        <v>#VALUE!</v>
      </c>
      <c r="M10" s="517" t="e">
        <f>'Autoeval-sol (con infla) básico'!M77</f>
        <v>#VALUE!</v>
      </c>
      <c r="N10" s="436"/>
      <c r="O10" s="516" t="e">
        <f>'Autoeval-sol (con infla) básico'!O10</f>
        <v>#VALUE!</v>
      </c>
      <c r="P10" s="517" t="e">
        <f>'Autoeval-sol (con infla) básico'!P77</f>
        <v>#VALUE!</v>
      </c>
      <c r="S10" s="422"/>
    </row>
    <row r="11" spans="1:19">
      <c r="A11" s="411" t="e">
        <f t="shared" si="0"/>
        <v>#VALUE!</v>
      </c>
      <c r="B11" s="1039" t="str">
        <f>'Autoeval-sol (con infla) básico'!B11</f>
        <v>Impacto en ventas y costes</v>
      </c>
      <c r="C11" s="1039">
        <f>'Autoeval-sol (con infla) básico'!C11</f>
        <v>0</v>
      </c>
      <c r="D11" s="1039">
        <f>'Autoeval-sol (con infla) básico'!D11</f>
        <v>0</v>
      </c>
      <c r="E11" s="1039">
        <f>'Autoeval-sol (con infla) básico'!E11</f>
        <v>0</v>
      </c>
      <c r="H11" s="516" t="e">
        <f>'Autoeval-sol (con infla) básico'!H11</f>
        <v>#VALUE!</v>
      </c>
      <c r="I11" s="517" t="e">
        <f>'Autoeval-sol (con infla) básico'!I78</f>
        <v>#VALUE!</v>
      </c>
      <c r="J11" s="517" t="e">
        <f>'Autoeval-sol (con infla) básico'!J78</f>
        <v>#VALUE!</v>
      </c>
      <c r="K11" s="517" t="e">
        <f>'Autoeval-sol (con infla) básico'!K78</f>
        <v>#VALUE!</v>
      </c>
      <c r="L11" s="517" t="e">
        <f>'Autoeval-sol (con infla) básico'!L78</f>
        <v>#VALUE!</v>
      </c>
      <c r="M11" s="517" t="e">
        <f>'Autoeval-sol (con infla) básico'!M78</f>
        <v>#VALUE!</v>
      </c>
      <c r="N11" s="422"/>
      <c r="O11" s="516" t="e">
        <f>'Autoeval-sol (con infla) básico'!O11</f>
        <v>#VALUE!</v>
      </c>
      <c r="P11" s="517" t="e">
        <f>'Autoeval-sol (con infla) básico'!P78</f>
        <v>#VALUE!</v>
      </c>
      <c r="S11" s="422"/>
    </row>
    <row r="12" spans="1:19">
      <c r="A12" s="411" t="e">
        <f t="shared" si="0"/>
        <v>#VALUE!</v>
      </c>
      <c r="B12" s="416"/>
      <c r="C12" s="429" t="str">
        <f>'Autoeval-sol (con infla) básico'!C12</f>
        <v>∆V (i)</v>
      </c>
      <c r="D12" s="437" t="e">
        <f>'Autoeval-sol (con infla) básico'!D12</f>
        <v>#VALUE!</v>
      </c>
      <c r="E12" s="419"/>
      <c r="H12" s="516" t="e">
        <f>'Autoeval-sol (con infla) básico'!H12</f>
        <v>#VALUE!</v>
      </c>
      <c r="I12" s="517" t="e">
        <f>'Autoeval-sol (con infla) básico'!I79</f>
        <v>#VALUE!</v>
      </c>
      <c r="J12" s="517" t="e">
        <f>'Autoeval-sol (con infla) básico'!J79</f>
        <v>#VALUE!</v>
      </c>
      <c r="K12" s="517" t="e">
        <f>'Autoeval-sol (con infla) básico'!K79</f>
        <v>#VALUE!</v>
      </c>
      <c r="L12" s="517" t="e">
        <f>'Autoeval-sol (con infla) básico'!L79</f>
        <v>#VALUE!</v>
      </c>
      <c r="M12" s="517" t="e">
        <f>'Autoeval-sol (con infla) básico'!M79</f>
        <v>#VALUE!</v>
      </c>
      <c r="N12" s="422"/>
      <c r="O12" s="516" t="e">
        <f>'Autoeval-sol (con infla) básico'!O12</f>
        <v>#VALUE!</v>
      </c>
      <c r="P12" s="517" t="e">
        <f>'Autoeval-sol (con infla) básico'!P79</f>
        <v>#VALUE!</v>
      </c>
      <c r="S12" s="422"/>
    </row>
    <row r="13" spans="1:19">
      <c r="A13" s="411" t="e">
        <f t="shared" si="0"/>
        <v>#VALUE!</v>
      </c>
      <c r="B13" s="416"/>
      <c r="C13" s="429" t="str">
        <f>'Autoeval-sol (con infla) básico'!C13</f>
        <v>∆Compras (i)</v>
      </c>
      <c r="D13" s="437" t="e">
        <f>'Autoeval-sol (con infla) básico'!D13</f>
        <v>#VALUE!</v>
      </c>
      <c r="E13" s="419"/>
      <c r="H13" s="516" t="e">
        <f>'Autoeval-sol (con infla) básico'!H13</f>
        <v>#VALUE!</v>
      </c>
      <c r="I13" s="517" t="e">
        <f>'Autoeval-sol (con infla) básico'!I80</f>
        <v>#VALUE!</v>
      </c>
      <c r="J13" s="517" t="e">
        <f>'Autoeval-sol (con infla) básico'!J80</f>
        <v>#VALUE!</v>
      </c>
      <c r="K13" s="517" t="e">
        <f>'Autoeval-sol (con infla) básico'!K80</f>
        <v>#VALUE!</v>
      </c>
      <c r="L13" s="517" t="e">
        <f>'Autoeval-sol (con infla) básico'!L80</f>
        <v>#VALUE!</v>
      </c>
      <c r="M13" s="517" t="e">
        <f>'Autoeval-sol (con infla) básico'!M80</f>
        <v>#VALUE!</v>
      </c>
      <c r="N13" s="422"/>
      <c r="O13" s="516" t="e">
        <f>'Autoeval-sol (con infla) básico'!O13</f>
        <v>#VALUE!</v>
      </c>
      <c r="P13" s="517" t="e">
        <f>'Autoeval-sol (con infla) básico'!P80</f>
        <v>#VALUE!</v>
      </c>
      <c r="S13" s="422"/>
    </row>
    <row r="14" spans="1:19">
      <c r="A14" s="411" t="e">
        <f t="shared" si="0"/>
        <v>#VALUE!</v>
      </c>
      <c r="B14" s="416"/>
      <c r="C14" s="429"/>
      <c r="D14" s="437"/>
      <c r="E14" s="419"/>
      <c r="S14" s="422"/>
    </row>
    <row r="15" spans="1:19">
      <c r="A15" s="411" t="e">
        <f t="shared" si="0"/>
        <v>#VALUE!</v>
      </c>
      <c r="B15" s="416"/>
      <c r="C15" s="429" t="str">
        <f>'Autoeval-sol (con infla) básico'!C15</f>
        <v>Plazo cobro V</v>
      </c>
      <c r="D15" s="437" t="e">
        <f>'Autoeval-sol (con infla) básico'!D15</f>
        <v>#VALUE!</v>
      </c>
      <c r="E15" s="419"/>
      <c r="H15" s="438"/>
      <c r="I15" s="438"/>
      <c r="O15" s="439" t="str">
        <f>'Autoeval-sol (con infla) básico'!O15</f>
        <v>VAN</v>
      </c>
      <c r="P15" s="523" t="e">
        <f>'Autoeval-sol (con infla) básico'!P82</f>
        <v>#VALUE!</v>
      </c>
      <c r="S15" s="422"/>
    </row>
    <row r="16" spans="1:19">
      <c r="A16" s="411" t="e">
        <f t="shared" si="0"/>
        <v>#VALUE!</v>
      </c>
      <c r="B16" s="416"/>
      <c r="C16" s="429" t="str">
        <f>'Autoeval-sol (con infla) básico'!C16</f>
        <v>Plazo pago C</v>
      </c>
      <c r="D16" s="437" t="e">
        <f>'Autoeval-sol (con infla) básico'!D16</f>
        <v>#VALUE!</v>
      </c>
      <c r="E16" s="419"/>
      <c r="H16" s="441" t="e">
        <f>'Autoeval-sol (con infla) básico'!H16</f>
        <v>#VALUE!</v>
      </c>
      <c r="I16" s="524" t="e">
        <f>'Autoeval-sol (con infla) básico'!I83</f>
        <v>#VALUE!</v>
      </c>
      <c r="J16" s="514"/>
      <c r="O16" s="443" t="str">
        <f>'Autoeval-sol (con infla) básico'!O16</f>
        <v>TRI</v>
      </c>
      <c r="P16" s="525" t="e">
        <f>'Autoeval-sol (con infla) básico'!P83</f>
        <v>#VALUE!</v>
      </c>
      <c r="S16" s="422"/>
    </row>
    <row r="17" spans="1:19">
      <c r="A17" s="411" t="e">
        <f t="shared" si="0"/>
        <v>#VALUE!</v>
      </c>
      <c r="B17" s="412"/>
      <c r="C17" s="426"/>
      <c r="D17" s="427"/>
      <c r="E17" s="428"/>
      <c r="H17" s="441" t="e">
        <f>'Autoeval-sol (con infla) básico'!H17</f>
        <v>#VALUE!</v>
      </c>
      <c r="I17" s="524" t="e">
        <f>'Autoeval-sol (con infla) básico'!I84</f>
        <v>#VALUE!</v>
      </c>
      <c r="J17" s="514"/>
      <c r="K17" s="445" t="str">
        <f>'Autoeval-sol (con infla) básico'!K17</f>
        <v>Ki =</v>
      </c>
      <c r="L17" s="526" t="e">
        <f>'Autoeval-sol (con infla) básico'!L84</f>
        <v>#VALUE!</v>
      </c>
      <c r="M17" s="514"/>
      <c r="S17" s="422"/>
    </row>
    <row r="18" spans="1:19">
      <c r="A18" s="411" t="e">
        <f t="shared" si="0"/>
        <v>#VALUE!</v>
      </c>
      <c r="B18" s="1039" t="str">
        <f>'Autoeval-sol (con infla) básico'!B18</f>
        <v>Existencias</v>
      </c>
      <c r="C18" s="1039">
        <f>'Autoeval-sol (con infla) básico'!C18</f>
        <v>0</v>
      </c>
      <c r="D18" s="1039">
        <f>'Autoeval-sol (con infla) básico'!D18</f>
        <v>0</v>
      </c>
      <c r="E18" s="1039">
        <f>'Autoeval-sol (con infla) básico'!E18</f>
        <v>0</v>
      </c>
      <c r="H18" s="441" t="e">
        <f>'Autoeval-sol (con infla) básico'!H18</f>
        <v>#VALUE!</v>
      </c>
      <c r="I18" s="524" t="e">
        <f>'Autoeval-sol (con infla) básico'!I85</f>
        <v>#VALUE!</v>
      </c>
      <c r="J18" s="514"/>
      <c r="K18" s="445" t="str">
        <f>'Autoeval-sol (con infla) básico'!K18</f>
        <v>Ke =</v>
      </c>
      <c r="L18" s="526" t="e">
        <f>'Autoeval-sol (con infla) básico'!L85</f>
        <v>#VALUE!</v>
      </c>
      <c r="M18" s="514"/>
      <c r="O18" s="438"/>
      <c r="P18" s="438"/>
      <c r="S18" s="422"/>
    </row>
    <row r="19" spans="1:19">
      <c r="A19" s="411" t="e">
        <f t="shared" si="0"/>
        <v>#VALUE!</v>
      </c>
      <c r="B19" s="416"/>
      <c r="C19" s="429" t="e">
        <f>'Autoeval-sol (con infla) básico'!C19</f>
        <v>#VALUE!</v>
      </c>
      <c r="D19" s="437" t="e">
        <f>'Autoeval-sol (con infla) básico'!D19</f>
        <v>#VALUE!</v>
      </c>
      <c r="E19" s="419"/>
      <c r="H19" s="441" t="e">
        <f>'Autoeval-sol (con infla) básico'!H19</f>
        <v>#VALUE!</v>
      </c>
      <c r="I19" s="524" t="e">
        <f>'Autoeval-sol (con infla) básico'!I86</f>
        <v>#VALUE!</v>
      </c>
      <c r="J19" s="514"/>
      <c r="K19" s="445" t="str">
        <f>'Autoeval-sol (con infla) básico'!K19</f>
        <v>K0 =</v>
      </c>
      <c r="L19" s="526" t="e">
        <f>'Autoeval-sol (con infla) básico'!L86</f>
        <v>#VALUE!</v>
      </c>
      <c r="M19" s="514"/>
      <c r="S19" s="422"/>
    </row>
    <row r="20" spans="1:19">
      <c r="A20" s="411" t="e">
        <f t="shared" si="0"/>
        <v>#VALUE!</v>
      </c>
      <c r="B20" s="416"/>
      <c r="C20" s="429" t="str">
        <f>'Autoeval-sol (con infla) básico'!C20</f>
        <v>Valor existencias (i) (% s/ Consumo)</v>
      </c>
      <c r="D20" s="527" t="e">
        <f>'Autoeval-sol (con infla) básico'!D20</f>
        <v>#VALUE!</v>
      </c>
      <c r="E20" s="419" t="str">
        <f>'Autoeval-sol (con infla) básico'!E20</f>
        <v>(FIFO)</v>
      </c>
      <c r="S20" s="422"/>
    </row>
    <row r="21" spans="1:19">
      <c r="A21" s="411" t="e">
        <f t="shared" si="0"/>
        <v>#VALUE!</v>
      </c>
      <c r="B21" s="412"/>
      <c r="C21" s="426"/>
      <c r="D21" s="449"/>
      <c r="E21" s="428"/>
      <c r="H21" s="528"/>
      <c r="I21" s="438"/>
      <c r="M21" s="529"/>
      <c r="N21" s="530"/>
      <c r="O21" s="415" t="str">
        <f>IF(OR(N21="",N21="x"),"","ERROR")</f>
        <v/>
      </c>
      <c r="S21" s="422"/>
    </row>
    <row r="22" spans="1:19">
      <c r="A22" s="411" t="e">
        <f t="shared" si="0"/>
        <v>#VALUE!</v>
      </c>
      <c r="B22" s="1037" t="str">
        <f>'Autoeval-sol (con infla) básico'!B22</f>
        <v>Impuestos</v>
      </c>
      <c r="C22" s="1037">
        <f>'Autoeval-sol (con infla) básico'!C22</f>
        <v>0</v>
      </c>
      <c r="D22" s="1037">
        <f>'Autoeval-sol (con infla) básico'!D22</f>
        <v>0</v>
      </c>
      <c r="E22" s="1037">
        <f>'Autoeval-sol (con infla) básico'!E22</f>
        <v>0</v>
      </c>
    </row>
    <row r="23" spans="1:19">
      <c r="A23" s="411" t="e">
        <f t="shared" si="0"/>
        <v>#VALUE!</v>
      </c>
      <c r="B23" s="416"/>
      <c r="C23" s="417" t="str">
        <f>'Autoeval-sol (con infla) básico'!C23</f>
        <v>Tipo IVA</v>
      </c>
      <c r="D23" s="527" t="e">
        <f>'Autoeval-sol (con infla) básico'!D23</f>
        <v>#VALUE!</v>
      </c>
      <c r="E23" s="419"/>
      <c r="M23" s="456" t="s">
        <v>2137</v>
      </c>
      <c r="N23" s="457"/>
      <c r="O23" s="458" t="str">
        <f>IF(N23="","",IF(ISERROR(VLOOKUP(N23,I82:I135,1,FALSE)),"ERROR",""))</f>
        <v/>
      </c>
    </row>
    <row r="24" spans="1:19">
      <c r="A24" s="411" t="e">
        <f t="shared" si="0"/>
        <v>#VALUE!</v>
      </c>
      <c r="B24" s="416"/>
      <c r="C24" s="417" t="str">
        <f>'Autoeval-sol (con infla) básico'!C24</f>
        <v>t  (Tipo IS)</v>
      </c>
      <c r="D24" s="527" t="e">
        <f>'Autoeval-sol (con infla) básico'!D24</f>
        <v>#VALUE!</v>
      </c>
      <c r="E24" s="419"/>
      <c r="H24" s="531"/>
      <c r="I24" s="532"/>
      <c r="J24" s="455"/>
      <c r="K24" s="455"/>
      <c r="L24" s="455"/>
      <c r="M24" s="463" t="s">
        <v>2139</v>
      </c>
      <c r="N24" s="580"/>
      <c r="P24" s="459"/>
    </row>
    <row r="25" spans="1:19">
      <c r="A25" s="411" t="e">
        <f t="shared" si="0"/>
        <v>#VALUE!</v>
      </c>
      <c r="B25" s="416"/>
      <c r="C25" s="417"/>
      <c r="D25" s="437" t="str">
        <f>'Autoeval-sol (con infla) básico'!D25</f>
        <v>Empresa en beneficios</v>
      </c>
      <c r="E25" s="419"/>
      <c r="H25" s="533"/>
      <c r="I25" s="534"/>
      <c r="J25" s="462"/>
      <c r="K25" s="462"/>
      <c r="L25" s="462"/>
      <c r="M25" s="463" t="s">
        <v>2141</v>
      </c>
      <c r="N25" s="468"/>
      <c r="O25" s="462"/>
      <c r="P25" s="459"/>
    </row>
    <row r="26" spans="1:19">
      <c r="A26" s="411" t="e">
        <f t="shared" si="0"/>
        <v>#VALUE!</v>
      </c>
      <c r="B26" s="412"/>
      <c r="C26" s="520"/>
      <c r="D26" s="535"/>
      <c r="E26" s="522"/>
      <c r="H26" s="533"/>
      <c r="I26" s="534"/>
      <c r="J26" s="462"/>
      <c r="K26" s="462"/>
      <c r="L26" s="462"/>
      <c r="O26" s="462"/>
      <c r="P26" s="459"/>
    </row>
    <row r="27" spans="1:19">
      <c r="A27" s="411" t="e">
        <f t="shared" si="0"/>
        <v>#VALUE!</v>
      </c>
      <c r="B27" s="1039" t="str">
        <f>'Autoeval-sol (con infla) básico'!B27</f>
        <v>Coste de los fondos (nominal)</v>
      </c>
      <c r="C27" s="1039">
        <f>'Autoeval-sol (con infla) básico'!C27</f>
        <v>0</v>
      </c>
      <c r="D27" s="1039">
        <f>'Autoeval-sol (con infla) básico'!D27</f>
        <v>0</v>
      </c>
      <c r="E27" s="1039">
        <f>'Autoeval-sol (con infla) básico'!E27</f>
        <v>0</v>
      </c>
      <c r="H27" s="469"/>
      <c r="I27" s="462"/>
      <c r="J27" s="462"/>
      <c r="K27" s="462"/>
      <c r="L27" s="462"/>
      <c r="M27" s="462"/>
      <c r="N27" s="462"/>
      <c r="O27" s="462"/>
      <c r="P27" s="459"/>
    </row>
    <row r="28" spans="1:19" ht="15" thickBot="1">
      <c r="A28" s="411" t="e">
        <f t="shared" si="0"/>
        <v>#VALUE!</v>
      </c>
      <c r="B28" s="416"/>
      <c r="C28" s="417" t="str">
        <f>'Autoeval-sol (con infla) básico'!C28</f>
        <v>Intereses</v>
      </c>
      <c r="D28" s="437" t="e">
        <f>'Autoeval-sol (con infla) básico'!D28</f>
        <v>#VALUE!</v>
      </c>
      <c r="E28" s="419"/>
      <c r="H28" s="459"/>
      <c r="I28" s="833" t="s">
        <v>3951</v>
      </c>
      <c r="J28" s="459"/>
      <c r="K28" s="459"/>
      <c r="L28" s="459"/>
      <c r="M28" s="459"/>
      <c r="N28" s="459"/>
      <c r="O28" s="459"/>
      <c r="P28" s="459"/>
    </row>
    <row r="29" spans="1:19">
      <c r="A29" s="411" t="e">
        <f t="shared" si="0"/>
        <v>#VALUE!</v>
      </c>
      <c r="B29" s="416"/>
      <c r="C29" s="417" t="str">
        <f>'Autoeval-sol (con infla) básico'!C29</f>
        <v>Dividendo</v>
      </c>
      <c r="D29" s="437" t="e">
        <f>'Autoeval-sol (con infla) básico'!D29</f>
        <v>#VALUE!</v>
      </c>
      <c r="E29" s="419"/>
      <c r="G29" s="470"/>
      <c r="H29" s="459"/>
      <c r="I29" s="471" t="s">
        <v>2143</v>
      </c>
      <c r="J29" s="1026" t="str">
        <f>IF(AND(NOT(N23=""),O23=""),CONCATENATE(VLOOKUP(N23,$M$82:$S$135,2,FALSE)," = ",TEXT(VLOOKUP(N23,$M$82:$S$135,4,FALSE),IF(OR(N23=46,N23=47,N23=48,N23=54),"0,0000","#.##0"))),"")</f>
        <v/>
      </c>
      <c r="K29" s="1026"/>
      <c r="L29" s="1026"/>
      <c r="M29" s="1026"/>
      <c r="N29" s="1026"/>
      <c r="O29" s="1026"/>
      <c r="P29" s="1027"/>
    </row>
    <row r="30" spans="1:19">
      <c r="A30" s="411" t="e">
        <f t="shared" si="0"/>
        <v>#VALUE!</v>
      </c>
      <c r="B30" s="416"/>
      <c r="C30" s="417" t="str">
        <f>'Autoeval-sol (con infla) básico'!C30</f>
        <v>g</v>
      </c>
      <c r="D30" s="527" t="e">
        <f>'Autoeval-sol (con infla) básico'!D30</f>
        <v>#VALUE!</v>
      </c>
      <c r="E30" s="419"/>
      <c r="G30" s="470"/>
      <c r="H30" s="472"/>
      <c r="I30" s="1028" t="s">
        <v>2144</v>
      </c>
      <c r="J30" s="1029" t="str">
        <f>IF(AND(NOT(N23=""),O23=""),VLOOKUP(N23,$M$82:$S$135,3,FALSE),"")</f>
        <v/>
      </c>
      <c r="K30" s="1029"/>
      <c r="L30" s="1029"/>
      <c r="M30" s="1029"/>
      <c r="N30" s="1029"/>
      <c r="O30" s="1029"/>
      <c r="P30" s="1030"/>
    </row>
    <row r="31" spans="1:19">
      <c r="A31" s="411" t="e">
        <f t="shared" si="0"/>
        <v>#VALUE!</v>
      </c>
      <c r="B31" s="416"/>
      <c r="C31" s="419" t="str">
        <f>'Autoeval-sol (con infla) básico'!C31</f>
        <v>FALP (mercado)</v>
      </c>
      <c r="D31" s="437" t="e">
        <f>'Autoeval-sol (con infla) básico'!D31</f>
        <v>#VALUE!</v>
      </c>
      <c r="E31" s="419"/>
      <c r="G31" s="470"/>
      <c r="H31" s="469"/>
      <c r="I31" s="1028"/>
      <c r="J31" s="1029"/>
      <c r="K31" s="1029"/>
      <c r="L31" s="1029"/>
      <c r="M31" s="1029"/>
      <c r="N31" s="1029"/>
      <c r="O31" s="1029"/>
      <c r="P31" s="1030"/>
    </row>
    <row r="32" spans="1:19">
      <c r="A32" s="411" t="e">
        <f t="shared" si="0"/>
        <v>#VALUE!</v>
      </c>
      <c r="B32" s="416"/>
      <c r="C32" s="419" t="str">
        <f>'Autoeval-sol (con infla) básico'!C32</f>
        <v>FP (mercado)</v>
      </c>
      <c r="D32" s="437" t="e">
        <f>'Autoeval-sol (con infla) básico'!D32</f>
        <v>#VALUE!</v>
      </c>
      <c r="E32" s="419"/>
      <c r="G32" s="470"/>
      <c r="H32" s="469"/>
      <c r="I32" s="1031" t="s">
        <v>2145</v>
      </c>
      <c r="J32" s="1033" t="str">
        <f>IF(AND(NOT(N23=""),O23=""),VLOOKUP(N23,$M$82:$S$135,6,FALSE),"")</f>
        <v/>
      </c>
      <c r="K32" s="1033"/>
      <c r="L32" s="1033"/>
      <c r="M32" s="1033"/>
      <c r="N32" s="1033"/>
      <c r="O32" s="1033"/>
      <c r="P32" s="1034"/>
    </row>
    <row r="33" spans="1:16" ht="15" thickBot="1">
      <c r="A33" s="411" t="e">
        <f t="shared" si="0"/>
        <v>#VALUE!</v>
      </c>
      <c r="B33" s="412"/>
      <c r="C33" s="428"/>
      <c r="D33" s="473"/>
      <c r="E33" s="428"/>
      <c r="G33" s="470"/>
      <c r="H33" s="469"/>
      <c r="I33" s="1032"/>
      <c r="J33" s="1035"/>
      <c r="K33" s="1035"/>
      <c r="L33" s="1035"/>
      <c r="M33" s="1035"/>
      <c r="N33" s="1035"/>
      <c r="O33" s="1035"/>
      <c r="P33" s="1036"/>
    </row>
    <row r="34" spans="1:16" ht="15" thickBot="1">
      <c r="A34" s="411" t="e">
        <f t="shared" si="0"/>
        <v>#VALUE!</v>
      </c>
      <c r="B34" s="1037" t="str">
        <f>'Autoeval-sol (con infla) básico'!B34</f>
        <v>Inflación</v>
      </c>
      <c r="C34" s="1037">
        <f>'Autoeval-sol (con infla) básico'!C34</f>
        <v>0</v>
      </c>
      <c r="D34" s="1037">
        <f>'Autoeval-sol (con infla) básico'!D34</f>
        <v>0</v>
      </c>
      <c r="E34" s="1037">
        <f>'Autoeval-sol (con infla) básico'!E34</f>
        <v>0</v>
      </c>
      <c r="G34" s="470"/>
      <c r="H34" s="469"/>
      <c r="I34" s="474"/>
      <c r="J34" s="475"/>
      <c r="K34" s="462"/>
      <c r="L34" s="462"/>
      <c r="M34" s="462"/>
      <c r="N34" s="462"/>
      <c r="O34" s="469"/>
      <c r="P34" s="462"/>
    </row>
    <row r="35" spans="1:16">
      <c r="A35" s="411" t="e">
        <f t="shared" si="0"/>
        <v>#VALUE!</v>
      </c>
      <c r="B35" s="416"/>
      <c r="C35" s="419" t="str">
        <f>'Autoeval-sol (con infla) básico'!C35</f>
        <v>Ventas</v>
      </c>
      <c r="D35" s="527" t="e">
        <f>'Autoeval-sol (con infla) básico'!D35</f>
        <v>#VALUE!</v>
      </c>
      <c r="E35" s="419"/>
      <c r="G35" s="470"/>
      <c r="H35" s="459"/>
      <c r="I35" s="1002" t="s">
        <v>2147</v>
      </c>
      <c r="J35" s="1005" t="str">
        <f>IF(AND(NOT(N23=""),O23=""),VLOOKUP(N23,$M$82:$S$135,7,FALSE),"")</f>
        <v/>
      </c>
      <c r="K35" s="1005"/>
      <c r="L35" s="1005"/>
      <c r="M35" s="1005"/>
      <c r="N35" s="1005"/>
      <c r="O35" s="1005"/>
      <c r="P35" s="1006"/>
    </row>
    <row r="36" spans="1:16">
      <c r="A36" s="411" t="e">
        <f t="shared" si="0"/>
        <v>#VALUE!</v>
      </c>
      <c r="B36" s="416"/>
      <c r="C36" s="419" t="str">
        <f>'Autoeval-sol (con infla) básico'!C36</f>
        <v>Compras</v>
      </c>
      <c r="D36" s="527" t="e">
        <f>'Autoeval-sol (con infla) básico'!D36</f>
        <v>#VALUE!</v>
      </c>
      <c r="E36" s="419"/>
      <c r="G36" s="470"/>
      <c r="H36" s="459"/>
      <c r="I36" s="1003"/>
      <c r="J36" s="1007"/>
      <c r="K36" s="1007"/>
      <c r="L36" s="1007"/>
      <c r="M36" s="1007"/>
      <c r="N36" s="1007"/>
      <c r="O36" s="1007"/>
      <c r="P36" s="1008"/>
    </row>
    <row r="37" spans="1:16">
      <c r="A37" s="411" t="e">
        <f t="shared" si="0"/>
        <v>#VALUE!</v>
      </c>
      <c r="B37" s="416"/>
      <c r="C37" s="419" t="str">
        <f>'Autoeval-sol (con infla) básico'!C37</f>
        <v>Inmovilizados</v>
      </c>
      <c r="D37" s="527" t="e">
        <f>'Autoeval-sol (con infla) básico'!D37</f>
        <v>#VALUE!</v>
      </c>
      <c r="E37" s="419"/>
      <c r="G37" s="470"/>
      <c r="H37" s="476"/>
      <c r="I37" s="1003"/>
      <c r="J37" s="1007"/>
      <c r="K37" s="1007"/>
      <c r="L37" s="1007"/>
      <c r="M37" s="1007"/>
      <c r="N37" s="1007"/>
      <c r="O37" s="1007"/>
      <c r="P37" s="1008"/>
    </row>
    <row r="38" spans="1:16">
      <c r="A38" s="411" t="e">
        <f t="shared" si="0"/>
        <v>#VALUE!</v>
      </c>
      <c r="B38" s="416"/>
      <c r="C38" s="419" t="str">
        <f>'Autoeval-sol (con infla) básico'!C38</f>
        <v>Inflación general</v>
      </c>
      <c r="D38" s="527" t="e">
        <f>'Autoeval-sol (con infla) básico'!D38</f>
        <v>#VALUE!</v>
      </c>
      <c r="E38" s="419"/>
      <c r="G38" s="470"/>
      <c r="H38" s="476"/>
      <c r="I38" s="1003"/>
      <c r="J38" s="1007"/>
      <c r="K38" s="1007"/>
      <c r="L38" s="1007"/>
      <c r="M38" s="1007"/>
      <c r="N38" s="1007"/>
      <c r="O38" s="1007"/>
      <c r="P38" s="1008"/>
    </row>
    <row r="39" spans="1:16">
      <c r="A39" s="411" t="e">
        <f t="shared" si="0"/>
        <v>#VALUE!</v>
      </c>
      <c r="B39" s="412"/>
      <c r="C39" s="412"/>
      <c r="D39" s="412"/>
      <c r="E39" s="412"/>
      <c r="G39" s="470"/>
      <c r="H39" s="476"/>
      <c r="I39" s="1003"/>
      <c r="J39" s="1007"/>
      <c r="K39" s="1007"/>
      <c r="L39" s="1007"/>
      <c r="M39" s="1007"/>
      <c r="N39" s="1007"/>
      <c r="O39" s="1007"/>
      <c r="P39" s="1008"/>
    </row>
    <row r="40" spans="1:16" ht="15" thickBot="1">
      <c r="A40" s="411" t="e">
        <f t="shared" si="0"/>
        <v>#VALUE!</v>
      </c>
      <c r="B40" s="412"/>
      <c r="C40" s="536"/>
      <c r="D40" s="536"/>
      <c r="E40" s="536"/>
      <c r="G40" s="470"/>
      <c r="H40" s="476"/>
      <c r="I40" s="1004"/>
      <c r="J40" s="1009"/>
      <c r="K40" s="1009"/>
      <c r="L40" s="1009"/>
      <c r="M40" s="1009"/>
      <c r="N40" s="1009"/>
      <c r="O40" s="1009"/>
      <c r="P40" s="1010"/>
    </row>
    <row r="41" spans="1:16">
      <c r="A41" s="411" t="e">
        <f t="shared" si="0"/>
        <v>#VALUE!</v>
      </c>
    </row>
    <row r="42" spans="1:16">
      <c r="A42" s="411" t="e">
        <f t="shared" si="0"/>
        <v>#VALUE!</v>
      </c>
      <c r="B42" s="478"/>
      <c r="C42" s="537"/>
      <c r="D42" s="537"/>
      <c r="E42" s="537"/>
      <c r="F42" s="537"/>
      <c r="G42" s="537"/>
      <c r="H42" s="537"/>
      <c r="M42" s="456" t="e">
        <f>CONCATENATE("Indique código de la consulta general (1 a ",$M$148,") ")</f>
        <v>#VALUE!</v>
      </c>
      <c r="N42" s="457"/>
      <c r="O42" s="458" t="str">
        <f>IF(N42="","",IF(ISERROR(VLOOKUP(N42,$M$137:$M$148,1,FALSE)),"ERROR",""))</f>
        <v/>
      </c>
    </row>
    <row r="43" spans="1:16" ht="15" thickBot="1">
      <c r="A43" s="411" t="e">
        <f t="shared" si="0"/>
        <v>#VALUE!</v>
      </c>
      <c r="C43" s="537"/>
      <c r="D43" s="537"/>
      <c r="E43" s="537"/>
      <c r="F43" s="529"/>
      <c r="G43" s="470"/>
      <c r="H43" s="538"/>
      <c r="N43" s="487"/>
    </row>
    <row r="44" spans="1:16" ht="15" customHeight="1">
      <c r="A44" s="411" t="e">
        <f t="shared" si="0"/>
        <v>#VALUE!</v>
      </c>
      <c r="C44" s="537"/>
      <c r="D44" s="537"/>
      <c r="E44" s="537"/>
      <c r="F44" s="529"/>
      <c r="G44" s="470"/>
      <c r="H44" s="538"/>
      <c r="J44" s="1011" t="str">
        <f>IF(AND(NOT(N42=""),O42=""),VLOOKUP(N42,$M$137:$O$148,2,FALSE),"")</f>
        <v/>
      </c>
      <c r="K44" s="1012"/>
      <c r="L44" s="1012"/>
      <c r="M44" s="1012"/>
      <c r="N44" s="1012"/>
      <c r="O44" s="1012"/>
      <c r="P44" s="1013"/>
    </row>
    <row r="45" spans="1:16" ht="15" thickBot="1">
      <c r="A45" s="411" t="e">
        <f t="shared" si="0"/>
        <v>#VALUE!</v>
      </c>
      <c r="C45" s="537"/>
      <c r="D45" s="537"/>
      <c r="E45" s="537"/>
      <c r="F45" s="529"/>
      <c r="G45" s="470"/>
      <c r="H45" s="538"/>
      <c r="J45" s="1014"/>
      <c r="K45" s="1015"/>
      <c r="L45" s="1015"/>
      <c r="M45" s="1015"/>
      <c r="N45" s="1015"/>
      <c r="O45" s="1015"/>
      <c r="P45" s="1016"/>
    </row>
    <row r="46" spans="1:16" ht="15" thickBot="1">
      <c r="A46" s="411" t="e">
        <f t="shared" si="0"/>
        <v>#VALUE!</v>
      </c>
      <c r="C46" s="537"/>
      <c r="D46" s="537"/>
      <c r="E46" s="537"/>
      <c r="F46" s="529"/>
      <c r="G46" s="470"/>
      <c r="H46" s="538"/>
      <c r="J46" s="488"/>
      <c r="K46" s="488"/>
      <c r="L46" s="488"/>
      <c r="M46" s="488"/>
      <c r="N46" s="488"/>
      <c r="O46" s="488"/>
      <c r="P46" s="488"/>
    </row>
    <row r="47" spans="1:16">
      <c r="A47" s="411" t="e">
        <f t="shared" si="0"/>
        <v>#VALUE!</v>
      </c>
      <c r="C47" s="459"/>
      <c r="D47" s="459"/>
      <c r="E47" s="459"/>
      <c r="F47" s="529"/>
      <c r="G47" s="470"/>
      <c r="H47" s="538"/>
      <c r="J47" s="1017" t="str">
        <f>IF(AND(NOT(N42=""),O42=""),VLOOKUP(N42,$M$137:$O$148,3,FALSE),"")</f>
        <v/>
      </c>
      <c r="K47" s="1018"/>
      <c r="L47" s="1018"/>
      <c r="M47" s="1018"/>
      <c r="N47" s="1018"/>
      <c r="O47" s="1018"/>
      <c r="P47" s="1019"/>
    </row>
    <row r="48" spans="1:16">
      <c r="A48" s="411" t="e">
        <f t="shared" si="0"/>
        <v>#VALUE!</v>
      </c>
      <c r="C48" s="537"/>
      <c r="D48" s="537"/>
      <c r="E48" s="537"/>
      <c r="F48" s="529"/>
      <c r="G48" s="470"/>
      <c r="H48" s="538"/>
      <c r="J48" s="1020"/>
      <c r="K48" s="1021"/>
      <c r="L48" s="1021"/>
      <c r="M48" s="1021"/>
      <c r="N48" s="1021"/>
      <c r="O48" s="1021"/>
      <c r="P48" s="1022"/>
    </row>
    <row r="49" spans="1:17">
      <c r="A49" s="411" t="e">
        <f t="shared" si="0"/>
        <v>#VALUE!</v>
      </c>
      <c r="C49" s="537"/>
      <c r="D49" s="537"/>
      <c r="E49" s="537"/>
      <c r="F49" s="529"/>
      <c r="G49" s="470"/>
      <c r="H49" s="538"/>
      <c r="J49" s="1020"/>
      <c r="K49" s="1021"/>
      <c r="L49" s="1021"/>
      <c r="M49" s="1021"/>
      <c r="N49" s="1021"/>
      <c r="O49" s="1021"/>
      <c r="P49" s="1022"/>
    </row>
    <row r="50" spans="1:17">
      <c r="A50" s="411" t="e">
        <f t="shared" si="0"/>
        <v>#VALUE!</v>
      </c>
      <c r="C50" s="537"/>
      <c r="D50" s="537"/>
      <c r="E50" s="537"/>
      <c r="F50" s="529"/>
      <c r="G50" s="470"/>
      <c r="H50" s="538"/>
      <c r="J50" s="1020"/>
      <c r="K50" s="1021"/>
      <c r="L50" s="1021"/>
      <c r="M50" s="1021"/>
      <c r="N50" s="1021"/>
      <c r="O50" s="1021"/>
      <c r="P50" s="1022"/>
    </row>
    <row r="51" spans="1:17">
      <c r="A51" s="411" t="e">
        <f t="shared" si="0"/>
        <v>#VALUE!</v>
      </c>
      <c r="C51" s="537"/>
      <c r="D51" s="537"/>
      <c r="E51" s="537"/>
      <c r="F51" s="529"/>
      <c r="G51" s="470"/>
      <c r="H51" s="538"/>
      <c r="J51" s="1020"/>
      <c r="K51" s="1021"/>
      <c r="L51" s="1021"/>
      <c r="M51" s="1021"/>
      <c r="N51" s="1021"/>
      <c r="O51" s="1021"/>
      <c r="P51" s="1022"/>
    </row>
    <row r="52" spans="1:17">
      <c r="A52" s="411" t="e">
        <f t="shared" si="0"/>
        <v>#VALUE!</v>
      </c>
      <c r="C52" s="537"/>
      <c r="D52" s="537"/>
      <c r="E52" s="537"/>
      <c r="F52" s="529"/>
      <c r="G52" s="470"/>
      <c r="H52" s="538"/>
      <c r="J52" s="1020"/>
      <c r="K52" s="1021"/>
      <c r="L52" s="1021"/>
      <c r="M52" s="1021"/>
      <c r="N52" s="1021"/>
      <c r="O52" s="1021"/>
      <c r="P52" s="1022"/>
    </row>
    <row r="53" spans="1:17" ht="15" thickBot="1">
      <c r="A53" s="411" t="e">
        <f t="shared" si="0"/>
        <v>#VALUE!</v>
      </c>
      <c r="C53" s="537"/>
      <c r="D53" s="537"/>
      <c r="E53" s="537"/>
      <c r="F53" s="529"/>
      <c r="G53" s="470"/>
      <c r="H53" s="538"/>
      <c r="J53" s="1023"/>
      <c r="K53" s="1024"/>
      <c r="L53" s="1024"/>
      <c r="M53" s="1024"/>
      <c r="N53" s="1024"/>
      <c r="O53" s="1024"/>
      <c r="P53" s="1025"/>
    </row>
    <row r="54" spans="1:17" s="496" customFormat="1" ht="15" customHeight="1">
      <c r="A54" s="496" t="e">
        <f t="shared" si="0"/>
        <v>#VALUE!</v>
      </c>
      <c r="C54" s="537"/>
      <c r="D54" s="537"/>
      <c r="E54" s="537"/>
      <c r="F54" s="529"/>
      <c r="G54" s="470"/>
      <c r="H54" s="539"/>
    </row>
    <row r="55" spans="1:17" s="459" customFormat="1" ht="15" customHeight="1">
      <c r="A55" s="459" t="e">
        <f t="shared" si="0"/>
        <v>#VALUE!</v>
      </c>
      <c r="Q55" s="462"/>
    </row>
    <row r="56" spans="1:17" s="459" customFormat="1" ht="15" customHeight="1">
      <c r="A56" s="459" t="e">
        <f t="shared" si="0"/>
        <v>#VALUE!</v>
      </c>
      <c r="Q56" s="462"/>
    </row>
    <row r="57" spans="1:17" s="459" customFormat="1" ht="15" hidden="1" customHeight="1">
      <c r="A57" s="459" t="e">
        <f t="shared" si="0"/>
        <v>#VALUE!</v>
      </c>
      <c r="Q57" s="462"/>
    </row>
    <row r="58" spans="1:17" s="498" customFormat="1" ht="0.65" hidden="1" customHeight="1">
      <c r="A58" s="498" t="e">
        <f t="shared" si="0"/>
        <v>#VALUE!</v>
      </c>
      <c r="Q58" s="500"/>
    </row>
    <row r="59" spans="1:17" s="498" customFormat="1" ht="0.65" hidden="1" customHeight="1">
      <c r="A59" s="498" t="e">
        <f t="shared" si="0"/>
        <v>#VALUE!</v>
      </c>
      <c r="I59" s="499"/>
      <c r="Q59" s="500"/>
    </row>
    <row r="60" spans="1:17" s="498" customFormat="1" ht="0.65" hidden="1" customHeight="1">
      <c r="A60" s="498" t="e">
        <f t="shared" si="0"/>
        <v>#VALUE!</v>
      </c>
      <c r="E60" s="499"/>
      <c r="Q60" s="500"/>
    </row>
    <row r="61" spans="1:17" s="498" customFormat="1" ht="0.65" hidden="1" customHeight="1">
      <c r="A61" s="498" t="e">
        <f t="shared" si="0"/>
        <v>#VALUE!</v>
      </c>
      <c r="E61" s="499"/>
    </row>
    <row r="62" spans="1:17" s="498" customFormat="1" ht="0.65" hidden="1" customHeight="1">
      <c r="A62" s="498" t="e">
        <f t="shared" si="0"/>
        <v>#VALUE!</v>
      </c>
      <c r="E62" s="499"/>
    </row>
    <row r="63" spans="1:17" s="498" customFormat="1" ht="0.65" hidden="1" customHeight="1">
      <c r="A63" s="498" t="e">
        <f t="shared" si="0"/>
        <v>#VALUE!</v>
      </c>
      <c r="E63" s="499"/>
    </row>
    <row r="64" spans="1:17" s="498" customFormat="1" ht="0.65" hidden="1" customHeight="1">
      <c r="A64" s="498" t="e">
        <f t="shared" si="0"/>
        <v>#VALUE!</v>
      </c>
      <c r="E64" s="499"/>
    </row>
    <row r="65" spans="1:20" s="498" customFormat="1" ht="0.65" hidden="1" customHeight="1">
      <c r="A65" s="498" t="e">
        <f t="shared" si="0"/>
        <v>#VALUE!</v>
      </c>
      <c r="E65" s="499"/>
    </row>
    <row r="66" spans="1:20" s="498" customFormat="1" ht="0.65" hidden="1" customHeight="1">
      <c r="A66" s="498" t="e">
        <f t="shared" si="0"/>
        <v>#VALUE!</v>
      </c>
      <c r="E66" s="499"/>
    </row>
    <row r="67" spans="1:20" s="498" customFormat="1" ht="0.65" hidden="1" customHeight="1">
      <c r="A67" s="498" t="e">
        <f t="shared" si="0"/>
        <v>#VALUE!</v>
      </c>
      <c r="E67" s="499"/>
    </row>
    <row r="68" spans="1:20" s="498" customFormat="1" ht="0.65" hidden="1" customHeight="1">
      <c r="A68" s="498" t="e">
        <f t="shared" ref="A68:A131" si="1">1+A67</f>
        <v>#VALUE!</v>
      </c>
      <c r="E68" s="499"/>
    </row>
    <row r="69" spans="1:20" s="498" customFormat="1" ht="0.65" hidden="1" customHeight="1">
      <c r="A69" s="498" t="e">
        <f t="shared" si="1"/>
        <v>#VALUE!</v>
      </c>
      <c r="E69" s="499"/>
    </row>
    <row r="70" spans="1:20" s="498" customFormat="1" ht="0.65" hidden="1" customHeight="1">
      <c r="A70" s="498" t="e">
        <f t="shared" si="1"/>
        <v>#VALUE!</v>
      </c>
      <c r="E70" s="499"/>
    </row>
    <row r="71" spans="1:20" s="498" customFormat="1" ht="0.65" hidden="1" customHeight="1">
      <c r="A71" s="498" t="e">
        <f t="shared" si="1"/>
        <v>#VALUE!</v>
      </c>
      <c r="E71" s="499"/>
    </row>
    <row r="72" spans="1:20" s="498" customFormat="1" ht="0.65" hidden="1" customHeight="1">
      <c r="A72" s="498" t="e">
        <f t="shared" si="1"/>
        <v>#VALUE!</v>
      </c>
      <c r="E72" s="499"/>
    </row>
    <row r="73" spans="1:20" s="498" customFormat="1" ht="0.65" hidden="1" customHeight="1">
      <c r="A73" s="498" t="e">
        <f t="shared" si="1"/>
        <v>#VALUE!</v>
      </c>
      <c r="E73" s="499"/>
    </row>
    <row r="74" spans="1:20" s="498" customFormat="1" ht="0.65" hidden="1" customHeight="1">
      <c r="A74" s="498" t="e">
        <f t="shared" si="1"/>
        <v>#VALUE!</v>
      </c>
      <c r="E74" s="499"/>
    </row>
    <row r="75" spans="1:20" s="498" customFormat="1" ht="0.65" hidden="1" customHeight="1">
      <c r="A75" s="498" t="e">
        <f t="shared" si="1"/>
        <v>#VALUE!</v>
      </c>
      <c r="E75" s="499"/>
    </row>
    <row r="76" spans="1:20" s="498" customFormat="1" ht="0.65" hidden="1" customHeight="1">
      <c r="A76" s="498" t="e">
        <f t="shared" si="1"/>
        <v>#VALUE!</v>
      </c>
      <c r="E76" s="499"/>
    </row>
    <row r="77" spans="1:20" s="498" customFormat="1" ht="0.65" hidden="1" customHeight="1">
      <c r="A77" s="498" t="e">
        <f t="shared" si="1"/>
        <v>#VALUE!</v>
      </c>
      <c r="B77" s="499">
        <v>2</v>
      </c>
      <c r="C77" s="499">
        <v>3</v>
      </c>
      <c r="D77" s="499">
        <v>4</v>
      </c>
      <c r="E77" s="499">
        <v>5</v>
      </c>
      <c r="F77" s="499">
        <v>6</v>
      </c>
      <c r="G77" s="499">
        <v>7</v>
      </c>
      <c r="H77" s="499">
        <v>8</v>
      </c>
      <c r="I77" s="499">
        <v>9</v>
      </c>
      <c r="J77" s="499">
        <v>10</v>
      </c>
      <c r="K77" s="499">
        <v>11</v>
      </c>
      <c r="L77" s="499">
        <v>12</v>
      </c>
      <c r="M77" s="499">
        <v>13</v>
      </c>
      <c r="N77" s="499">
        <v>14</v>
      </c>
      <c r="O77" s="499">
        <v>15</v>
      </c>
      <c r="P77" s="499">
        <v>16</v>
      </c>
      <c r="Q77" s="499">
        <v>17</v>
      </c>
      <c r="R77" s="499">
        <v>18</v>
      </c>
      <c r="S77" s="499">
        <v>19</v>
      </c>
      <c r="T77" s="499">
        <v>20</v>
      </c>
    </row>
    <row r="78" spans="1:20" s="498" customFormat="1" ht="0.65" hidden="1" customHeight="1">
      <c r="A78" s="498" t="e">
        <f t="shared" si="1"/>
        <v>#VALUE!</v>
      </c>
    </row>
    <row r="79" spans="1:20" s="498" customFormat="1" ht="0.65" hidden="1" customHeight="1">
      <c r="A79" s="498" t="e">
        <f t="shared" si="1"/>
        <v>#VALUE!</v>
      </c>
    </row>
    <row r="80" spans="1:20" s="498" customFormat="1" ht="0.65" hidden="1" customHeight="1">
      <c r="A80" s="498" t="e">
        <f t="shared" si="1"/>
        <v>#VALUE!</v>
      </c>
      <c r="N80" s="498" t="s">
        <v>2154</v>
      </c>
    </row>
    <row r="81" spans="1:19" s="498" customFormat="1" ht="0.65" hidden="1" customHeight="1">
      <c r="A81" s="498" t="e">
        <f t="shared" si="1"/>
        <v>#VALUE!</v>
      </c>
      <c r="I81" s="498" t="s">
        <v>2157</v>
      </c>
      <c r="J81" s="498" t="s">
        <v>2158</v>
      </c>
      <c r="L81" s="498" t="s">
        <v>2162</v>
      </c>
      <c r="M81" s="498" t="s">
        <v>2157</v>
      </c>
      <c r="N81" s="498" t="s">
        <v>2163</v>
      </c>
      <c r="O81" s="498" t="s">
        <v>2164</v>
      </c>
      <c r="P81" s="498" t="s">
        <v>2158</v>
      </c>
      <c r="R81" s="498" t="s">
        <v>2165</v>
      </c>
      <c r="S81" s="498" t="s">
        <v>2166</v>
      </c>
    </row>
    <row r="82" spans="1:19" s="498" customFormat="1" ht="0.65" hidden="1" customHeight="1">
      <c r="A82" s="498" t="e">
        <f t="shared" si="1"/>
        <v>#VALUE!</v>
      </c>
      <c r="I82" s="498" t="e">
        <f t="shared" ref="I82:I135" si="2">M82</f>
        <v>#VALUE!</v>
      </c>
      <c r="J82" s="500" t="e">
        <f>'Autoeval-sol (con infla) básico'!Y153</f>
        <v>#VALUE!</v>
      </c>
      <c r="K82" s="500"/>
      <c r="L82" s="498" t="e">
        <f>'Autoeval-sol (con infla) básico'!AF153</f>
        <v>#VALUE!</v>
      </c>
      <c r="M82" s="498" t="e">
        <f>'Autoeval-sol (con infla) básico'!AG153</f>
        <v>#VALUE!</v>
      </c>
      <c r="N82" s="498" t="e">
        <f>'Autoeval-sol (con infla) básico'!AH153</f>
        <v>#VALUE!</v>
      </c>
      <c r="O82" s="498" t="e">
        <f>'Autoeval-sol (con infla) básico'!AI153</f>
        <v>#VALUE!</v>
      </c>
      <c r="P82" s="500" t="e">
        <f>'Autoeval-sol (con infla) básico'!AJ153</f>
        <v>#VALUE!</v>
      </c>
      <c r="R82" s="498" t="e">
        <f>'Autoeval-sol (con infla) básico'!AL153</f>
        <v>#VALUE!</v>
      </c>
      <c r="S82" s="498" t="e">
        <f>'Autoeval-sol (con infla) básico'!AM153</f>
        <v>#VALUE!</v>
      </c>
    </row>
    <row r="83" spans="1:19" s="498" customFormat="1" ht="0.65" hidden="1" customHeight="1">
      <c r="A83" s="498" t="e">
        <f t="shared" si="1"/>
        <v>#VALUE!</v>
      </c>
      <c r="I83" s="498" t="e">
        <f t="shared" si="2"/>
        <v>#VALUE!</v>
      </c>
      <c r="J83" s="500" t="e">
        <f>'Autoeval-sol (con infla) básico'!Y154</f>
        <v>#VALUE!</v>
      </c>
      <c r="K83" s="500"/>
      <c r="L83" s="498" t="e">
        <f>'Autoeval-sol (con infla) básico'!AF154</f>
        <v>#VALUE!</v>
      </c>
      <c r="M83" s="498" t="e">
        <f>'Autoeval-sol (con infla) básico'!AG154</f>
        <v>#VALUE!</v>
      </c>
      <c r="N83" s="498" t="e">
        <f>'Autoeval-sol (con infla) básico'!AH154</f>
        <v>#VALUE!</v>
      </c>
      <c r="O83" s="498" t="e">
        <f>'Autoeval-sol (con infla) básico'!AI154</f>
        <v>#VALUE!</v>
      </c>
      <c r="P83" s="500" t="e">
        <f>'Autoeval-sol (con infla) básico'!AJ154</f>
        <v>#VALUE!</v>
      </c>
      <c r="R83" s="498" t="e">
        <f>'Autoeval-sol (con infla) básico'!AL154</f>
        <v>#VALUE!</v>
      </c>
      <c r="S83" s="498" t="e">
        <f>'Autoeval-sol (con infla) básico'!AM154</f>
        <v>#VALUE!</v>
      </c>
    </row>
    <row r="84" spans="1:19" s="498" customFormat="1" ht="0.65" hidden="1" customHeight="1">
      <c r="A84" s="498" t="e">
        <f t="shared" si="1"/>
        <v>#VALUE!</v>
      </c>
      <c r="I84" s="498" t="e">
        <f t="shared" si="2"/>
        <v>#VALUE!</v>
      </c>
      <c r="J84" s="500" t="e">
        <f>'Autoeval-sol (con infla) básico'!Y155</f>
        <v>#VALUE!</v>
      </c>
      <c r="K84" s="500"/>
      <c r="L84" s="498" t="e">
        <f>'Autoeval-sol (con infla) básico'!AF155</f>
        <v>#VALUE!</v>
      </c>
      <c r="M84" s="498" t="e">
        <f>'Autoeval-sol (con infla) básico'!AG155</f>
        <v>#VALUE!</v>
      </c>
      <c r="N84" s="498" t="e">
        <f>'Autoeval-sol (con infla) básico'!AH155</f>
        <v>#VALUE!</v>
      </c>
      <c r="O84" s="498" t="e">
        <f>'Autoeval-sol (con infla) básico'!AI155</f>
        <v>#VALUE!</v>
      </c>
      <c r="P84" s="500" t="e">
        <f>'Autoeval-sol (con infla) básico'!AJ155</f>
        <v>#VALUE!</v>
      </c>
      <c r="R84" s="498" t="e">
        <f>'Autoeval-sol (con infla) básico'!AL155</f>
        <v>#VALUE!</v>
      </c>
      <c r="S84" s="498" t="e">
        <f>'Autoeval-sol (con infla) básico'!AM155</f>
        <v>#VALUE!</v>
      </c>
    </row>
    <row r="85" spans="1:19" s="498" customFormat="1" ht="0.65" hidden="1" customHeight="1">
      <c r="A85" s="498" t="e">
        <f t="shared" si="1"/>
        <v>#VALUE!</v>
      </c>
      <c r="I85" s="498" t="e">
        <f t="shared" si="2"/>
        <v>#VALUE!</v>
      </c>
      <c r="J85" s="500" t="e">
        <f>'Autoeval-sol (con infla) básico'!Y156</f>
        <v>#VALUE!</v>
      </c>
      <c r="K85" s="500"/>
      <c r="L85" s="498" t="e">
        <f>'Autoeval-sol (con infla) básico'!AF156</f>
        <v>#VALUE!</v>
      </c>
      <c r="M85" s="498" t="e">
        <f>'Autoeval-sol (con infla) básico'!AG156</f>
        <v>#VALUE!</v>
      </c>
      <c r="N85" s="498" t="e">
        <f>'Autoeval-sol (con infla) básico'!AH156</f>
        <v>#VALUE!</v>
      </c>
      <c r="O85" s="498" t="e">
        <f>'Autoeval-sol (con infla) básico'!AI156</f>
        <v>#VALUE!</v>
      </c>
      <c r="P85" s="500" t="e">
        <f>'Autoeval-sol (con infla) básico'!AJ156</f>
        <v>#VALUE!</v>
      </c>
      <c r="R85" s="498" t="e">
        <f>'Autoeval-sol (con infla) básico'!AL156</f>
        <v>#VALUE!</v>
      </c>
      <c r="S85" s="498" t="e">
        <f>'Autoeval-sol (con infla) básico'!AM156</f>
        <v>#VALUE!</v>
      </c>
    </row>
    <row r="86" spans="1:19" s="498" customFormat="1" ht="0.65" hidden="1" customHeight="1">
      <c r="A86" s="498" t="e">
        <f t="shared" si="1"/>
        <v>#VALUE!</v>
      </c>
      <c r="I86" s="498" t="e">
        <f t="shared" si="2"/>
        <v>#VALUE!</v>
      </c>
      <c r="J86" s="500" t="e">
        <f>'Autoeval-sol (con infla) básico'!Y157</f>
        <v>#VALUE!</v>
      </c>
      <c r="K86" s="500"/>
      <c r="L86" s="498" t="e">
        <f>'Autoeval-sol (con infla) básico'!AF157</f>
        <v>#VALUE!</v>
      </c>
      <c r="M86" s="498" t="e">
        <f>'Autoeval-sol (con infla) básico'!AG157</f>
        <v>#VALUE!</v>
      </c>
      <c r="N86" s="498" t="e">
        <f>'Autoeval-sol (con infla) básico'!AH157</f>
        <v>#VALUE!</v>
      </c>
      <c r="O86" s="498" t="e">
        <f>'Autoeval-sol (con infla) básico'!AI157</f>
        <v>#VALUE!</v>
      </c>
      <c r="P86" s="500" t="e">
        <f>'Autoeval-sol (con infla) básico'!AJ157</f>
        <v>#VALUE!</v>
      </c>
      <c r="R86" s="498" t="e">
        <f>'Autoeval-sol (con infla) básico'!AL157</f>
        <v>#VALUE!</v>
      </c>
      <c r="S86" s="498" t="e">
        <f>'Autoeval-sol (con infla) básico'!AM157</f>
        <v>#VALUE!</v>
      </c>
    </row>
    <row r="87" spans="1:19" s="498" customFormat="1" ht="0.65" hidden="1" customHeight="1">
      <c r="A87" s="498" t="e">
        <f t="shared" si="1"/>
        <v>#VALUE!</v>
      </c>
      <c r="I87" s="498" t="e">
        <f t="shared" si="2"/>
        <v>#VALUE!</v>
      </c>
      <c r="J87" s="500" t="e">
        <f>'Autoeval-sol (con infla) básico'!Y158</f>
        <v>#VALUE!</v>
      </c>
      <c r="K87" s="500"/>
      <c r="L87" s="498" t="e">
        <f>'Autoeval-sol (con infla) básico'!AF158</f>
        <v>#VALUE!</v>
      </c>
      <c r="M87" s="498" t="e">
        <f>'Autoeval-sol (con infla) básico'!AG158</f>
        <v>#VALUE!</v>
      </c>
      <c r="N87" s="498" t="e">
        <f>'Autoeval-sol (con infla) básico'!AH158</f>
        <v>#VALUE!</v>
      </c>
      <c r="O87" s="498" t="e">
        <f>'Autoeval-sol (con infla) básico'!AI158</f>
        <v>#VALUE!</v>
      </c>
      <c r="P87" s="500" t="e">
        <f>'Autoeval-sol (con infla) básico'!AJ158</f>
        <v>#VALUE!</v>
      </c>
      <c r="R87" s="498" t="e">
        <f>'Autoeval-sol (con infla) básico'!AL158</f>
        <v>#VALUE!</v>
      </c>
      <c r="S87" s="498" t="e">
        <f>'Autoeval-sol (con infla) básico'!AM158</f>
        <v>#VALUE!</v>
      </c>
    </row>
    <row r="88" spans="1:19" s="498" customFormat="1" ht="0.65" hidden="1" customHeight="1">
      <c r="A88" s="498" t="e">
        <f t="shared" si="1"/>
        <v>#VALUE!</v>
      </c>
      <c r="I88" s="498" t="e">
        <f t="shared" si="2"/>
        <v>#VALUE!</v>
      </c>
      <c r="J88" s="500" t="e">
        <f>'Autoeval-sol (con infla) básico'!Y159</f>
        <v>#VALUE!</v>
      </c>
      <c r="K88" s="500"/>
      <c r="L88" s="498" t="e">
        <f>'Autoeval-sol (con infla) básico'!AF159</f>
        <v>#VALUE!</v>
      </c>
      <c r="M88" s="498" t="e">
        <f>'Autoeval-sol (con infla) básico'!AG159</f>
        <v>#VALUE!</v>
      </c>
      <c r="N88" s="498" t="e">
        <f>'Autoeval-sol (con infla) básico'!AH159</f>
        <v>#VALUE!</v>
      </c>
      <c r="O88" s="498" t="e">
        <f>'Autoeval-sol (con infla) básico'!AI159</f>
        <v>#VALUE!</v>
      </c>
      <c r="P88" s="500" t="e">
        <f>'Autoeval-sol (con infla) básico'!AJ159</f>
        <v>#VALUE!</v>
      </c>
      <c r="R88" s="498" t="e">
        <f>'Autoeval-sol (con infla) básico'!AL159</f>
        <v>#VALUE!</v>
      </c>
      <c r="S88" s="498" t="e">
        <f>'Autoeval-sol (con infla) básico'!AM159</f>
        <v>#VALUE!</v>
      </c>
    </row>
    <row r="89" spans="1:19" s="498" customFormat="1" ht="0.65" hidden="1" customHeight="1">
      <c r="A89" s="498" t="e">
        <f t="shared" si="1"/>
        <v>#VALUE!</v>
      </c>
      <c r="I89" s="498" t="e">
        <f t="shared" si="2"/>
        <v>#VALUE!</v>
      </c>
      <c r="J89" s="500" t="e">
        <f>'Autoeval-sol (con infla) básico'!Y160</f>
        <v>#VALUE!</v>
      </c>
      <c r="K89" s="500"/>
      <c r="L89" s="498" t="e">
        <f>'Autoeval-sol (con infla) básico'!AF160</f>
        <v>#VALUE!</v>
      </c>
      <c r="M89" s="498" t="e">
        <f>'Autoeval-sol (con infla) básico'!AG160</f>
        <v>#VALUE!</v>
      </c>
      <c r="N89" s="498" t="e">
        <f>'Autoeval-sol (con infla) básico'!AH160</f>
        <v>#VALUE!</v>
      </c>
      <c r="O89" s="498" t="e">
        <f>'Autoeval-sol (con infla) básico'!AI160</f>
        <v>#VALUE!</v>
      </c>
      <c r="P89" s="500" t="e">
        <f>'Autoeval-sol (con infla) básico'!AJ160</f>
        <v>#VALUE!</v>
      </c>
      <c r="R89" s="498" t="e">
        <f>'Autoeval-sol (con infla) básico'!AL160</f>
        <v>#VALUE!</v>
      </c>
      <c r="S89" s="498" t="e">
        <f>'Autoeval-sol (con infla) básico'!AM160</f>
        <v>#VALUE!</v>
      </c>
    </row>
    <row r="90" spans="1:19" s="498" customFormat="1" ht="0.65" hidden="1" customHeight="1">
      <c r="A90" s="498" t="e">
        <f t="shared" si="1"/>
        <v>#VALUE!</v>
      </c>
      <c r="I90" s="498" t="e">
        <f t="shared" si="2"/>
        <v>#VALUE!</v>
      </c>
      <c r="J90" s="500" t="e">
        <f>'Autoeval-sol (con infla) básico'!Y161</f>
        <v>#VALUE!</v>
      </c>
      <c r="K90" s="500"/>
      <c r="L90" s="498" t="e">
        <f>'Autoeval-sol (con infla) básico'!AF161</f>
        <v>#VALUE!</v>
      </c>
      <c r="M90" s="498" t="e">
        <f>'Autoeval-sol (con infla) básico'!AG161</f>
        <v>#VALUE!</v>
      </c>
      <c r="N90" s="498" t="e">
        <f>'Autoeval-sol (con infla) básico'!AH161</f>
        <v>#VALUE!</v>
      </c>
      <c r="O90" s="498" t="e">
        <f>'Autoeval-sol (con infla) básico'!AI161</f>
        <v>#VALUE!</v>
      </c>
      <c r="P90" s="500" t="e">
        <f>'Autoeval-sol (con infla) básico'!AJ161</f>
        <v>#VALUE!</v>
      </c>
      <c r="R90" s="498" t="e">
        <f>'Autoeval-sol (con infla) básico'!AL161</f>
        <v>#VALUE!</v>
      </c>
      <c r="S90" s="498" t="e">
        <f>'Autoeval-sol (con infla) básico'!AM161</f>
        <v>#VALUE!</v>
      </c>
    </row>
    <row r="91" spans="1:19" s="498" customFormat="1" ht="0.65" hidden="1" customHeight="1">
      <c r="A91" s="498" t="e">
        <f t="shared" si="1"/>
        <v>#VALUE!</v>
      </c>
      <c r="I91" s="498" t="e">
        <f t="shared" si="2"/>
        <v>#VALUE!</v>
      </c>
      <c r="J91" s="500" t="e">
        <f>'Autoeval-sol (con infla) básico'!Y162</f>
        <v>#VALUE!</v>
      </c>
      <c r="K91" s="500"/>
      <c r="L91" s="498" t="e">
        <f>'Autoeval-sol (con infla) básico'!AF162</f>
        <v>#VALUE!</v>
      </c>
      <c r="M91" s="498" t="e">
        <f>'Autoeval-sol (con infla) básico'!AG162</f>
        <v>#VALUE!</v>
      </c>
      <c r="N91" s="498" t="e">
        <f>'Autoeval-sol (con infla) básico'!AH162</f>
        <v>#VALUE!</v>
      </c>
      <c r="O91" s="498" t="e">
        <f>'Autoeval-sol (con infla) básico'!AI162</f>
        <v>#VALUE!</v>
      </c>
      <c r="P91" s="500" t="e">
        <f>'Autoeval-sol (con infla) básico'!AJ162</f>
        <v>#VALUE!</v>
      </c>
      <c r="R91" s="498" t="e">
        <f>'Autoeval-sol (con infla) básico'!AL162</f>
        <v>#VALUE!</v>
      </c>
      <c r="S91" s="498" t="e">
        <f>'Autoeval-sol (con infla) básico'!AM162</f>
        <v>#VALUE!</v>
      </c>
    </row>
    <row r="92" spans="1:19" s="498" customFormat="1" ht="0.65" hidden="1" customHeight="1">
      <c r="A92" s="498" t="e">
        <f t="shared" si="1"/>
        <v>#VALUE!</v>
      </c>
      <c r="I92" s="498" t="e">
        <f t="shared" si="2"/>
        <v>#VALUE!</v>
      </c>
      <c r="J92" s="500" t="e">
        <f>'Autoeval-sol (con infla) básico'!Y163</f>
        <v>#VALUE!</v>
      </c>
      <c r="K92" s="500"/>
      <c r="L92" s="498" t="e">
        <f>'Autoeval-sol (con infla) básico'!AF163</f>
        <v>#VALUE!</v>
      </c>
      <c r="M92" s="498" t="e">
        <f>'Autoeval-sol (con infla) básico'!AG163</f>
        <v>#VALUE!</v>
      </c>
      <c r="N92" s="498" t="e">
        <f>'Autoeval-sol (con infla) básico'!AH163</f>
        <v>#VALUE!</v>
      </c>
      <c r="O92" s="498" t="e">
        <f>'Autoeval-sol (con infla) básico'!AI163</f>
        <v>#VALUE!</v>
      </c>
      <c r="P92" s="500" t="e">
        <f>'Autoeval-sol (con infla) básico'!AJ163</f>
        <v>#VALUE!</v>
      </c>
      <c r="R92" s="498" t="e">
        <f>'Autoeval-sol (con infla) básico'!AL163</f>
        <v>#VALUE!</v>
      </c>
      <c r="S92" s="498" t="e">
        <f>'Autoeval-sol (con infla) básico'!AM163</f>
        <v>#VALUE!</v>
      </c>
    </row>
    <row r="93" spans="1:19" s="498" customFormat="1" ht="0.65" hidden="1" customHeight="1">
      <c r="A93" s="498" t="e">
        <f t="shared" si="1"/>
        <v>#VALUE!</v>
      </c>
      <c r="I93" s="498" t="e">
        <f t="shared" si="2"/>
        <v>#VALUE!</v>
      </c>
      <c r="J93" s="500" t="e">
        <f>'Autoeval-sol (con infla) básico'!Y164</f>
        <v>#VALUE!</v>
      </c>
      <c r="K93" s="500"/>
      <c r="L93" s="498" t="e">
        <f>'Autoeval-sol (con infla) básico'!AF164</f>
        <v>#VALUE!</v>
      </c>
      <c r="M93" s="498" t="e">
        <f>'Autoeval-sol (con infla) básico'!AG164</f>
        <v>#VALUE!</v>
      </c>
      <c r="N93" s="498" t="e">
        <f>'Autoeval-sol (con infla) básico'!AH164</f>
        <v>#VALUE!</v>
      </c>
      <c r="O93" s="498" t="e">
        <f>'Autoeval-sol (con infla) básico'!AI164</f>
        <v>#VALUE!</v>
      </c>
      <c r="P93" s="500" t="e">
        <f>'Autoeval-sol (con infla) básico'!AJ164</f>
        <v>#VALUE!</v>
      </c>
      <c r="R93" s="498" t="e">
        <f>'Autoeval-sol (con infla) básico'!AL164</f>
        <v>#VALUE!</v>
      </c>
      <c r="S93" s="498" t="e">
        <f>'Autoeval-sol (con infla) básico'!AM164</f>
        <v>#VALUE!</v>
      </c>
    </row>
    <row r="94" spans="1:19" s="498" customFormat="1" ht="0.65" hidden="1" customHeight="1">
      <c r="A94" s="498" t="e">
        <f t="shared" si="1"/>
        <v>#VALUE!</v>
      </c>
      <c r="I94" s="498" t="e">
        <f t="shared" si="2"/>
        <v>#VALUE!</v>
      </c>
      <c r="J94" s="500" t="e">
        <f>'Autoeval-sol (con infla) básico'!Y165</f>
        <v>#VALUE!</v>
      </c>
      <c r="K94" s="500"/>
      <c r="L94" s="498" t="e">
        <f>'Autoeval-sol (con infla) básico'!AF165</f>
        <v>#VALUE!</v>
      </c>
      <c r="M94" s="498" t="e">
        <f>'Autoeval-sol (con infla) básico'!AG165</f>
        <v>#VALUE!</v>
      </c>
      <c r="N94" s="498" t="e">
        <f>'Autoeval-sol (con infla) básico'!AH165</f>
        <v>#VALUE!</v>
      </c>
      <c r="O94" s="498" t="e">
        <f>'Autoeval-sol (con infla) básico'!AI165</f>
        <v>#VALUE!</v>
      </c>
      <c r="P94" s="500" t="e">
        <f>'Autoeval-sol (con infla) básico'!AJ165</f>
        <v>#VALUE!</v>
      </c>
      <c r="R94" s="498" t="e">
        <f>'Autoeval-sol (con infla) básico'!AL165</f>
        <v>#VALUE!</v>
      </c>
      <c r="S94" s="498" t="e">
        <f>'Autoeval-sol (con infla) básico'!AM165</f>
        <v>#VALUE!</v>
      </c>
    </row>
    <row r="95" spans="1:19" s="498" customFormat="1" ht="0.65" hidden="1" customHeight="1">
      <c r="A95" s="498" t="e">
        <f t="shared" si="1"/>
        <v>#VALUE!</v>
      </c>
      <c r="I95" s="498" t="e">
        <f t="shared" si="2"/>
        <v>#VALUE!</v>
      </c>
      <c r="J95" s="500" t="e">
        <f>'Autoeval-sol (con infla) básico'!Y166</f>
        <v>#VALUE!</v>
      </c>
      <c r="K95" s="500"/>
      <c r="L95" s="498" t="e">
        <f>'Autoeval-sol (con infla) básico'!AF166</f>
        <v>#VALUE!</v>
      </c>
      <c r="M95" s="498" t="e">
        <f>'Autoeval-sol (con infla) básico'!AG166</f>
        <v>#VALUE!</v>
      </c>
      <c r="N95" s="498" t="e">
        <f>'Autoeval-sol (con infla) básico'!AH166</f>
        <v>#VALUE!</v>
      </c>
      <c r="O95" s="498" t="e">
        <f>'Autoeval-sol (con infla) básico'!AI166</f>
        <v>#VALUE!</v>
      </c>
      <c r="P95" s="500" t="e">
        <f>'Autoeval-sol (con infla) básico'!AJ166</f>
        <v>#VALUE!</v>
      </c>
      <c r="R95" s="498" t="e">
        <f>'Autoeval-sol (con infla) básico'!AL166</f>
        <v>#VALUE!</v>
      </c>
      <c r="S95" s="498" t="e">
        <f>'Autoeval-sol (con infla) básico'!AM166</f>
        <v>#VALUE!</v>
      </c>
    </row>
    <row r="96" spans="1:19" s="498" customFormat="1" ht="0.65" hidden="1" customHeight="1">
      <c r="A96" s="498" t="e">
        <f t="shared" si="1"/>
        <v>#VALUE!</v>
      </c>
      <c r="I96" s="498" t="e">
        <f t="shared" si="2"/>
        <v>#VALUE!</v>
      </c>
      <c r="J96" s="500" t="e">
        <f>'Autoeval-sol (con infla) básico'!Y167</f>
        <v>#VALUE!</v>
      </c>
      <c r="K96" s="500"/>
      <c r="L96" s="498" t="e">
        <f>'Autoeval-sol (con infla) básico'!AF167</f>
        <v>#VALUE!</v>
      </c>
      <c r="M96" s="498" t="e">
        <f>'Autoeval-sol (con infla) básico'!AG167</f>
        <v>#VALUE!</v>
      </c>
      <c r="N96" s="498" t="e">
        <f>'Autoeval-sol (con infla) básico'!AH167</f>
        <v>#VALUE!</v>
      </c>
      <c r="O96" s="498" t="e">
        <f>'Autoeval-sol (con infla) básico'!AI167</f>
        <v>#VALUE!</v>
      </c>
      <c r="P96" s="500" t="e">
        <f>'Autoeval-sol (con infla) básico'!AJ167</f>
        <v>#VALUE!</v>
      </c>
      <c r="R96" s="498" t="e">
        <f>'Autoeval-sol (con infla) básico'!AL167</f>
        <v>#VALUE!</v>
      </c>
      <c r="S96" s="498" t="e">
        <f>'Autoeval-sol (con infla) básico'!AM167</f>
        <v>#VALUE!</v>
      </c>
    </row>
    <row r="97" spans="1:19" s="498" customFormat="1" ht="0.65" hidden="1" customHeight="1">
      <c r="A97" s="498" t="e">
        <f t="shared" si="1"/>
        <v>#VALUE!</v>
      </c>
      <c r="I97" s="498" t="e">
        <f t="shared" si="2"/>
        <v>#VALUE!</v>
      </c>
      <c r="J97" s="500" t="e">
        <f>'Autoeval-sol (con infla) básico'!Y168</f>
        <v>#VALUE!</v>
      </c>
      <c r="K97" s="500"/>
      <c r="L97" s="498" t="e">
        <f>'Autoeval-sol (con infla) básico'!AF168</f>
        <v>#VALUE!</v>
      </c>
      <c r="M97" s="498" t="e">
        <f>'Autoeval-sol (con infla) básico'!AG168</f>
        <v>#VALUE!</v>
      </c>
      <c r="N97" s="498" t="e">
        <f>'Autoeval-sol (con infla) básico'!AH168</f>
        <v>#VALUE!</v>
      </c>
      <c r="O97" s="498" t="e">
        <f>'Autoeval-sol (con infla) básico'!AI168</f>
        <v>#VALUE!</v>
      </c>
      <c r="P97" s="500" t="e">
        <f>'Autoeval-sol (con infla) básico'!AJ168</f>
        <v>#VALUE!</v>
      </c>
      <c r="R97" s="498" t="e">
        <f>'Autoeval-sol (con infla) básico'!AL168</f>
        <v>#VALUE!</v>
      </c>
      <c r="S97" s="498" t="e">
        <f>'Autoeval-sol (con infla) básico'!AM168</f>
        <v>#VALUE!</v>
      </c>
    </row>
    <row r="98" spans="1:19" s="498" customFormat="1" ht="0.65" hidden="1" customHeight="1">
      <c r="A98" s="498" t="e">
        <f t="shared" si="1"/>
        <v>#VALUE!</v>
      </c>
      <c r="I98" s="498" t="e">
        <f t="shared" si="2"/>
        <v>#VALUE!</v>
      </c>
      <c r="J98" s="500" t="e">
        <f>'Autoeval-sol (con infla) básico'!Y169</f>
        <v>#VALUE!</v>
      </c>
      <c r="K98" s="500"/>
      <c r="L98" s="498" t="e">
        <f>'Autoeval-sol (con infla) básico'!AF169</f>
        <v>#VALUE!</v>
      </c>
      <c r="M98" s="498" t="e">
        <f>'Autoeval-sol (con infla) básico'!AG169</f>
        <v>#VALUE!</v>
      </c>
      <c r="N98" s="498" t="e">
        <f>'Autoeval-sol (con infla) básico'!AH169</f>
        <v>#VALUE!</v>
      </c>
      <c r="O98" s="498" t="e">
        <f>'Autoeval-sol (con infla) básico'!AI169</f>
        <v>#VALUE!</v>
      </c>
      <c r="P98" s="500" t="e">
        <f>'Autoeval-sol (con infla) básico'!AJ169</f>
        <v>#VALUE!</v>
      </c>
      <c r="R98" s="498" t="e">
        <f>'Autoeval-sol (con infla) básico'!AL169</f>
        <v>#VALUE!</v>
      </c>
      <c r="S98" s="498" t="e">
        <f>'Autoeval-sol (con infla) básico'!AM169</f>
        <v>#VALUE!</v>
      </c>
    </row>
    <row r="99" spans="1:19" s="498" customFormat="1" ht="0.65" hidden="1" customHeight="1">
      <c r="A99" s="498" t="e">
        <f t="shared" si="1"/>
        <v>#VALUE!</v>
      </c>
      <c r="I99" s="498" t="e">
        <f t="shared" si="2"/>
        <v>#VALUE!</v>
      </c>
      <c r="J99" s="500" t="e">
        <f>'Autoeval-sol (con infla) básico'!Y170</f>
        <v>#VALUE!</v>
      </c>
      <c r="K99" s="500"/>
      <c r="L99" s="498" t="e">
        <f>'Autoeval-sol (con infla) básico'!AF170</f>
        <v>#VALUE!</v>
      </c>
      <c r="M99" s="498" t="e">
        <f>'Autoeval-sol (con infla) básico'!AG170</f>
        <v>#VALUE!</v>
      </c>
      <c r="N99" s="498" t="e">
        <f>'Autoeval-sol (con infla) básico'!AH170</f>
        <v>#VALUE!</v>
      </c>
      <c r="O99" s="498" t="e">
        <f>'Autoeval-sol (con infla) básico'!AI170</f>
        <v>#VALUE!</v>
      </c>
      <c r="P99" s="500" t="e">
        <f>'Autoeval-sol (con infla) básico'!AJ170</f>
        <v>#VALUE!</v>
      </c>
      <c r="R99" s="498" t="e">
        <f>'Autoeval-sol (con infla) básico'!AL170</f>
        <v>#VALUE!</v>
      </c>
      <c r="S99" s="498" t="e">
        <f>'Autoeval-sol (con infla) básico'!AM170</f>
        <v>#VALUE!</v>
      </c>
    </row>
    <row r="100" spans="1:19" s="498" customFormat="1" ht="0.65" hidden="1" customHeight="1">
      <c r="A100" s="498" t="e">
        <f t="shared" si="1"/>
        <v>#VALUE!</v>
      </c>
      <c r="I100" s="498" t="e">
        <f t="shared" si="2"/>
        <v>#VALUE!</v>
      </c>
      <c r="J100" s="500" t="e">
        <f>'Autoeval-sol (con infla) básico'!Y171</f>
        <v>#VALUE!</v>
      </c>
      <c r="K100" s="500"/>
      <c r="L100" s="498" t="e">
        <f>'Autoeval-sol (con infla) básico'!AF171</f>
        <v>#VALUE!</v>
      </c>
      <c r="M100" s="498" t="e">
        <f>'Autoeval-sol (con infla) básico'!AG171</f>
        <v>#VALUE!</v>
      </c>
      <c r="N100" s="498" t="e">
        <f>'Autoeval-sol (con infla) básico'!AH171</f>
        <v>#VALUE!</v>
      </c>
      <c r="O100" s="498" t="e">
        <f>'Autoeval-sol (con infla) básico'!AI171</f>
        <v>#VALUE!</v>
      </c>
      <c r="P100" s="500" t="e">
        <f>'Autoeval-sol (con infla) básico'!AJ171</f>
        <v>#VALUE!</v>
      </c>
      <c r="R100" s="498" t="e">
        <f>'Autoeval-sol (con infla) básico'!AL171</f>
        <v>#VALUE!</v>
      </c>
      <c r="S100" s="498" t="e">
        <f>'Autoeval-sol (con infla) básico'!AM171</f>
        <v>#VALUE!</v>
      </c>
    </row>
    <row r="101" spans="1:19" s="498" customFormat="1" ht="0.65" hidden="1" customHeight="1">
      <c r="A101" s="498" t="e">
        <f t="shared" si="1"/>
        <v>#VALUE!</v>
      </c>
      <c r="I101" s="498" t="e">
        <f t="shared" si="2"/>
        <v>#VALUE!</v>
      </c>
      <c r="J101" s="500" t="e">
        <f>'Autoeval-sol (con infla) básico'!Y172</f>
        <v>#VALUE!</v>
      </c>
      <c r="K101" s="500"/>
      <c r="L101" s="498" t="e">
        <f>'Autoeval-sol (con infla) básico'!AF172</f>
        <v>#VALUE!</v>
      </c>
      <c r="M101" s="498" t="e">
        <f>'Autoeval-sol (con infla) básico'!AG172</f>
        <v>#VALUE!</v>
      </c>
      <c r="N101" s="498" t="e">
        <f>'Autoeval-sol (con infla) básico'!AH172</f>
        <v>#VALUE!</v>
      </c>
      <c r="O101" s="498" t="e">
        <f>'Autoeval-sol (con infla) básico'!AI172</f>
        <v>#VALUE!</v>
      </c>
      <c r="P101" s="500" t="e">
        <f>'Autoeval-sol (con infla) básico'!AJ172</f>
        <v>#VALUE!</v>
      </c>
      <c r="R101" s="498" t="e">
        <f>'Autoeval-sol (con infla) básico'!AL172</f>
        <v>#VALUE!</v>
      </c>
      <c r="S101" s="498" t="e">
        <f>'Autoeval-sol (con infla) básico'!AM172</f>
        <v>#VALUE!</v>
      </c>
    </row>
    <row r="102" spans="1:19" s="498" customFormat="1" ht="0.65" hidden="1" customHeight="1">
      <c r="A102" s="498" t="e">
        <f t="shared" si="1"/>
        <v>#VALUE!</v>
      </c>
      <c r="I102" s="498" t="e">
        <f t="shared" si="2"/>
        <v>#VALUE!</v>
      </c>
      <c r="J102" s="500" t="e">
        <f>'Autoeval-sol (con infla) básico'!Y173</f>
        <v>#VALUE!</v>
      </c>
      <c r="K102" s="500"/>
      <c r="L102" s="498" t="e">
        <f>'Autoeval-sol (con infla) básico'!AF173</f>
        <v>#VALUE!</v>
      </c>
      <c r="M102" s="498" t="e">
        <f>'Autoeval-sol (con infla) básico'!AG173</f>
        <v>#VALUE!</v>
      </c>
      <c r="N102" s="498" t="e">
        <f>'Autoeval-sol (con infla) básico'!AH173</f>
        <v>#VALUE!</v>
      </c>
      <c r="O102" s="498" t="e">
        <f>'Autoeval-sol (con infla) básico'!AI173</f>
        <v>#VALUE!</v>
      </c>
      <c r="P102" s="500" t="e">
        <f>'Autoeval-sol (con infla) básico'!AJ173</f>
        <v>#VALUE!</v>
      </c>
      <c r="R102" s="498" t="e">
        <f>'Autoeval-sol (con infla) básico'!AL173</f>
        <v>#VALUE!</v>
      </c>
      <c r="S102" s="498" t="e">
        <f>'Autoeval-sol (con infla) básico'!AM173</f>
        <v>#VALUE!</v>
      </c>
    </row>
    <row r="103" spans="1:19" s="498" customFormat="1" ht="0.65" hidden="1" customHeight="1">
      <c r="A103" s="498" t="e">
        <f t="shared" si="1"/>
        <v>#VALUE!</v>
      </c>
      <c r="I103" s="498" t="e">
        <f t="shared" si="2"/>
        <v>#VALUE!</v>
      </c>
      <c r="J103" s="500" t="e">
        <f>'Autoeval-sol (con infla) básico'!Y174</f>
        <v>#VALUE!</v>
      </c>
      <c r="K103" s="500"/>
      <c r="L103" s="498" t="e">
        <f>'Autoeval-sol (con infla) básico'!AF174</f>
        <v>#VALUE!</v>
      </c>
      <c r="M103" s="498" t="e">
        <f>'Autoeval-sol (con infla) básico'!AG174</f>
        <v>#VALUE!</v>
      </c>
      <c r="N103" s="498" t="e">
        <f>'Autoeval-sol (con infla) básico'!AH174</f>
        <v>#VALUE!</v>
      </c>
      <c r="O103" s="498" t="e">
        <f>'Autoeval-sol (con infla) básico'!AI174</f>
        <v>#VALUE!</v>
      </c>
      <c r="P103" s="500" t="e">
        <f>'Autoeval-sol (con infla) básico'!AJ174</f>
        <v>#VALUE!</v>
      </c>
      <c r="R103" s="498" t="e">
        <f>'Autoeval-sol (con infla) básico'!AL174</f>
        <v>#VALUE!</v>
      </c>
      <c r="S103" s="498" t="e">
        <f>'Autoeval-sol (con infla) básico'!AM174</f>
        <v>#VALUE!</v>
      </c>
    </row>
    <row r="104" spans="1:19" s="498" customFormat="1" ht="0.65" hidden="1" customHeight="1">
      <c r="A104" s="498" t="e">
        <f t="shared" si="1"/>
        <v>#VALUE!</v>
      </c>
      <c r="I104" s="498" t="e">
        <f t="shared" si="2"/>
        <v>#VALUE!</v>
      </c>
      <c r="J104" s="500" t="e">
        <f>'Autoeval-sol (con infla) básico'!Y175</f>
        <v>#VALUE!</v>
      </c>
      <c r="K104" s="500"/>
      <c r="L104" s="498" t="e">
        <f>'Autoeval-sol (con infla) básico'!AF175</f>
        <v>#VALUE!</v>
      </c>
      <c r="M104" s="498" t="e">
        <f>'Autoeval-sol (con infla) básico'!AG175</f>
        <v>#VALUE!</v>
      </c>
      <c r="N104" s="498" t="e">
        <f>'Autoeval-sol (con infla) básico'!AH175</f>
        <v>#VALUE!</v>
      </c>
      <c r="O104" s="498" t="e">
        <f>'Autoeval-sol (con infla) básico'!AI175</f>
        <v>#VALUE!</v>
      </c>
      <c r="P104" s="500" t="e">
        <f>'Autoeval-sol (con infla) básico'!AJ175</f>
        <v>#VALUE!</v>
      </c>
      <c r="R104" s="498" t="e">
        <f>'Autoeval-sol (con infla) básico'!AL175</f>
        <v>#VALUE!</v>
      </c>
      <c r="S104" s="498" t="e">
        <f>'Autoeval-sol (con infla) básico'!AM175</f>
        <v>#VALUE!</v>
      </c>
    </row>
    <row r="105" spans="1:19" s="498" customFormat="1" ht="0.65" hidden="1" customHeight="1">
      <c r="A105" s="498" t="e">
        <f t="shared" si="1"/>
        <v>#VALUE!</v>
      </c>
      <c r="I105" s="498" t="e">
        <f t="shared" si="2"/>
        <v>#VALUE!</v>
      </c>
      <c r="J105" s="500" t="e">
        <f>'Autoeval-sol (con infla) básico'!Y176</f>
        <v>#VALUE!</v>
      </c>
      <c r="K105" s="500"/>
      <c r="L105" s="498" t="e">
        <f>'Autoeval-sol (con infla) básico'!AF176</f>
        <v>#VALUE!</v>
      </c>
      <c r="M105" s="498" t="e">
        <f>'Autoeval-sol (con infla) básico'!AG176</f>
        <v>#VALUE!</v>
      </c>
      <c r="N105" s="498" t="e">
        <f>'Autoeval-sol (con infla) básico'!AH176</f>
        <v>#VALUE!</v>
      </c>
      <c r="O105" s="498" t="e">
        <f>'Autoeval-sol (con infla) básico'!AI176</f>
        <v>#VALUE!</v>
      </c>
      <c r="P105" s="500" t="e">
        <f>'Autoeval-sol (con infla) básico'!AJ176</f>
        <v>#VALUE!</v>
      </c>
      <c r="R105" s="498" t="e">
        <f>'Autoeval-sol (con infla) básico'!AL176</f>
        <v>#VALUE!</v>
      </c>
      <c r="S105" s="498" t="e">
        <f>'Autoeval-sol (con infla) básico'!AM176</f>
        <v>#VALUE!</v>
      </c>
    </row>
    <row r="106" spans="1:19" s="498" customFormat="1" ht="0.65" hidden="1" customHeight="1">
      <c r="A106" s="498" t="e">
        <f t="shared" si="1"/>
        <v>#VALUE!</v>
      </c>
      <c r="I106" s="498" t="e">
        <f t="shared" si="2"/>
        <v>#VALUE!</v>
      </c>
      <c r="J106" s="500" t="e">
        <f>'Autoeval-sol (con infla) básico'!Y177</f>
        <v>#VALUE!</v>
      </c>
      <c r="K106" s="500"/>
      <c r="L106" s="498" t="e">
        <f>'Autoeval-sol (con infla) básico'!AF177</f>
        <v>#VALUE!</v>
      </c>
      <c r="M106" s="498" t="e">
        <f>'Autoeval-sol (con infla) básico'!AG177</f>
        <v>#VALUE!</v>
      </c>
      <c r="N106" s="498" t="e">
        <f>'Autoeval-sol (con infla) básico'!AH177</f>
        <v>#VALUE!</v>
      </c>
      <c r="O106" s="498" t="e">
        <f>'Autoeval-sol (con infla) básico'!AI177</f>
        <v>#VALUE!</v>
      </c>
      <c r="P106" s="500" t="e">
        <f>'Autoeval-sol (con infla) básico'!AJ177</f>
        <v>#VALUE!</v>
      </c>
      <c r="R106" s="498" t="e">
        <f>'Autoeval-sol (con infla) básico'!AL177</f>
        <v>#VALUE!</v>
      </c>
      <c r="S106" s="498" t="e">
        <f>'Autoeval-sol (con infla) básico'!AM177</f>
        <v>#VALUE!</v>
      </c>
    </row>
    <row r="107" spans="1:19" s="498" customFormat="1" ht="0.65" hidden="1" customHeight="1">
      <c r="A107" s="498" t="e">
        <f t="shared" si="1"/>
        <v>#VALUE!</v>
      </c>
      <c r="I107" s="498" t="e">
        <f t="shared" si="2"/>
        <v>#VALUE!</v>
      </c>
      <c r="J107" s="500" t="e">
        <f>'Autoeval-sol (con infla) básico'!Y178</f>
        <v>#VALUE!</v>
      </c>
      <c r="K107" s="500"/>
      <c r="L107" s="498" t="e">
        <f>'Autoeval-sol (con infla) básico'!AF178</f>
        <v>#VALUE!</v>
      </c>
      <c r="M107" s="498" t="e">
        <f>'Autoeval-sol (con infla) básico'!AG178</f>
        <v>#VALUE!</v>
      </c>
      <c r="N107" s="498" t="e">
        <f>'Autoeval-sol (con infla) básico'!AH178</f>
        <v>#VALUE!</v>
      </c>
      <c r="O107" s="498" t="e">
        <f>'Autoeval-sol (con infla) básico'!AI178</f>
        <v>#VALUE!</v>
      </c>
      <c r="P107" s="500" t="e">
        <f>'Autoeval-sol (con infla) básico'!AJ178</f>
        <v>#VALUE!</v>
      </c>
      <c r="R107" s="498" t="e">
        <f>'Autoeval-sol (con infla) básico'!AL178</f>
        <v>#VALUE!</v>
      </c>
      <c r="S107" s="498" t="e">
        <f>'Autoeval-sol (con infla) básico'!AM178</f>
        <v>#VALUE!</v>
      </c>
    </row>
    <row r="108" spans="1:19" s="498" customFormat="1" ht="0.65" hidden="1" customHeight="1">
      <c r="A108" s="498" t="e">
        <f t="shared" si="1"/>
        <v>#VALUE!</v>
      </c>
      <c r="I108" s="498" t="e">
        <f t="shared" si="2"/>
        <v>#VALUE!</v>
      </c>
      <c r="J108" s="500" t="e">
        <f>'Autoeval-sol (con infla) básico'!Y179</f>
        <v>#VALUE!</v>
      </c>
      <c r="K108" s="500"/>
      <c r="L108" s="498" t="e">
        <f>'Autoeval-sol (con infla) básico'!AF179</f>
        <v>#VALUE!</v>
      </c>
      <c r="M108" s="498" t="e">
        <f>'Autoeval-sol (con infla) básico'!AG179</f>
        <v>#VALUE!</v>
      </c>
      <c r="N108" s="498" t="e">
        <f>'Autoeval-sol (con infla) básico'!AH179</f>
        <v>#VALUE!</v>
      </c>
      <c r="O108" s="498" t="e">
        <f>'Autoeval-sol (con infla) básico'!AI179</f>
        <v>#VALUE!</v>
      </c>
      <c r="P108" s="500" t="e">
        <f>'Autoeval-sol (con infla) básico'!AJ179</f>
        <v>#VALUE!</v>
      </c>
      <c r="R108" s="498" t="e">
        <f>'Autoeval-sol (con infla) básico'!AL179</f>
        <v>#VALUE!</v>
      </c>
      <c r="S108" s="498" t="e">
        <f>'Autoeval-sol (con infla) básico'!AM179</f>
        <v>#VALUE!</v>
      </c>
    </row>
    <row r="109" spans="1:19" s="498" customFormat="1" ht="0.65" hidden="1" customHeight="1">
      <c r="A109" s="498" t="e">
        <f t="shared" si="1"/>
        <v>#VALUE!</v>
      </c>
      <c r="I109" s="498" t="e">
        <f t="shared" si="2"/>
        <v>#VALUE!</v>
      </c>
      <c r="J109" s="500" t="e">
        <f>'Autoeval-sol (con infla) básico'!Y180</f>
        <v>#VALUE!</v>
      </c>
      <c r="K109" s="500"/>
      <c r="L109" s="498" t="e">
        <f>'Autoeval-sol (con infla) básico'!AF180</f>
        <v>#VALUE!</v>
      </c>
      <c r="M109" s="498" t="e">
        <f>'Autoeval-sol (con infla) básico'!AG180</f>
        <v>#VALUE!</v>
      </c>
      <c r="N109" s="498" t="e">
        <f>'Autoeval-sol (con infla) básico'!AH180</f>
        <v>#VALUE!</v>
      </c>
      <c r="O109" s="498" t="e">
        <f>'Autoeval-sol (con infla) básico'!AI180</f>
        <v>#VALUE!</v>
      </c>
      <c r="P109" s="500" t="e">
        <f>'Autoeval-sol (con infla) básico'!AJ180</f>
        <v>#VALUE!</v>
      </c>
      <c r="R109" s="498" t="e">
        <f>'Autoeval-sol (con infla) básico'!AL180</f>
        <v>#VALUE!</v>
      </c>
      <c r="S109" s="498" t="e">
        <f>'Autoeval-sol (con infla) básico'!AM180</f>
        <v>#VALUE!</v>
      </c>
    </row>
    <row r="110" spans="1:19" s="498" customFormat="1" ht="0.65" hidden="1" customHeight="1">
      <c r="A110" s="498" t="e">
        <f t="shared" si="1"/>
        <v>#VALUE!</v>
      </c>
      <c r="I110" s="498" t="e">
        <f t="shared" si="2"/>
        <v>#VALUE!</v>
      </c>
      <c r="J110" s="500" t="e">
        <f>'Autoeval-sol (con infla) básico'!Y181</f>
        <v>#VALUE!</v>
      </c>
      <c r="K110" s="500"/>
      <c r="L110" s="498" t="e">
        <f>'Autoeval-sol (con infla) básico'!AF181</f>
        <v>#VALUE!</v>
      </c>
      <c r="M110" s="498" t="e">
        <f>'Autoeval-sol (con infla) básico'!AG181</f>
        <v>#VALUE!</v>
      </c>
      <c r="N110" s="498" t="e">
        <f>'Autoeval-sol (con infla) básico'!AH181</f>
        <v>#VALUE!</v>
      </c>
      <c r="O110" s="498" t="e">
        <f>'Autoeval-sol (con infla) básico'!AI181</f>
        <v>#VALUE!</v>
      </c>
      <c r="P110" s="500" t="e">
        <f>'Autoeval-sol (con infla) básico'!AJ181</f>
        <v>#VALUE!</v>
      </c>
      <c r="R110" s="498" t="e">
        <f>'Autoeval-sol (con infla) básico'!AL181</f>
        <v>#VALUE!</v>
      </c>
      <c r="S110" s="498" t="e">
        <f>'Autoeval-sol (con infla) básico'!AM181</f>
        <v>#VALUE!</v>
      </c>
    </row>
    <row r="111" spans="1:19" s="498" customFormat="1" ht="0.65" hidden="1" customHeight="1">
      <c r="A111" s="498" t="e">
        <f t="shared" si="1"/>
        <v>#VALUE!</v>
      </c>
      <c r="I111" s="498" t="e">
        <f t="shared" si="2"/>
        <v>#VALUE!</v>
      </c>
      <c r="J111" s="500" t="e">
        <f>'Autoeval-sol (con infla) básico'!Y182</f>
        <v>#VALUE!</v>
      </c>
      <c r="K111" s="500"/>
      <c r="L111" s="498" t="e">
        <f>'Autoeval-sol (con infla) básico'!AF182</f>
        <v>#VALUE!</v>
      </c>
      <c r="M111" s="498" t="e">
        <f>'Autoeval-sol (con infla) básico'!AG182</f>
        <v>#VALUE!</v>
      </c>
      <c r="N111" s="498" t="e">
        <f>'Autoeval-sol (con infla) básico'!AH182</f>
        <v>#VALUE!</v>
      </c>
      <c r="O111" s="498" t="e">
        <f>'Autoeval-sol (con infla) básico'!AI182</f>
        <v>#VALUE!</v>
      </c>
      <c r="P111" s="500" t="e">
        <f>'Autoeval-sol (con infla) básico'!AJ182</f>
        <v>#VALUE!</v>
      </c>
      <c r="R111" s="498" t="e">
        <f>'Autoeval-sol (con infla) básico'!AL182</f>
        <v>#VALUE!</v>
      </c>
      <c r="S111" s="498" t="e">
        <f>'Autoeval-sol (con infla) básico'!AM182</f>
        <v>#VALUE!</v>
      </c>
    </row>
    <row r="112" spans="1:19" s="498" customFormat="1" ht="0.65" hidden="1" customHeight="1">
      <c r="A112" s="498" t="e">
        <f t="shared" si="1"/>
        <v>#VALUE!</v>
      </c>
      <c r="I112" s="498" t="e">
        <f t="shared" si="2"/>
        <v>#VALUE!</v>
      </c>
      <c r="J112" s="500" t="e">
        <f>'Autoeval-sol (con infla) básico'!Y183</f>
        <v>#VALUE!</v>
      </c>
      <c r="K112" s="500"/>
      <c r="L112" s="498" t="e">
        <f>'Autoeval-sol (con infla) básico'!AF183</f>
        <v>#VALUE!</v>
      </c>
      <c r="M112" s="498" t="e">
        <f>'Autoeval-sol (con infla) básico'!AG183</f>
        <v>#VALUE!</v>
      </c>
      <c r="N112" s="498" t="e">
        <f>'Autoeval-sol (con infla) básico'!AH183</f>
        <v>#VALUE!</v>
      </c>
      <c r="O112" s="498" t="e">
        <f>'Autoeval-sol (con infla) básico'!AI183</f>
        <v>#VALUE!</v>
      </c>
      <c r="P112" s="500" t="e">
        <f>'Autoeval-sol (con infla) básico'!AJ183</f>
        <v>#VALUE!</v>
      </c>
      <c r="R112" s="498" t="e">
        <f>'Autoeval-sol (con infla) básico'!AL183</f>
        <v>#VALUE!</v>
      </c>
      <c r="S112" s="498" t="e">
        <f>'Autoeval-sol (con infla) básico'!AM183</f>
        <v>#VALUE!</v>
      </c>
    </row>
    <row r="113" spans="1:19" s="498" customFormat="1" ht="0.65" hidden="1" customHeight="1">
      <c r="A113" s="498" t="e">
        <f t="shared" si="1"/>
        <v>#VALUE!</v>
      </c>
      <c r="I113" s="498" t="e">
        <f t="shared" si="2"/>
        <v>#VALUE!</v>
      </c>
      <c r="J113" s="500" t="e">
        <f>'Autoeval-sol (con infla) básico'!Y184</f>
        <v>#VALUE!</v>
      </c>
      <c r="K113" s="500"/>
      <c r="L113" s="498" t="e">
        <f>'Autoeval-sol (con infla) básico'!AF184</f>
        <v>#VALUE!</v>
      </c>
      <c r="M113" s="498" t="e">
        <f>'Autoeval-sol (con infla) básico'!AG184</f>
        <v>#VALUE!</v>
      </c>
      <c r="N113" s="498" t="e">
        <f>'Autoeval-sol (con infla) básico'!AH184</f>
        <v>#VALUE!</v>
      </c>
      <c r="O113" s="498" t="e">
        <f>'Autoeval-sol (con infla) básico'!AI184</f>
        <v>#VALUE!</v>
      </c>
      <c r="P113" s="500" t="e">
        <f>'Autoeval-sol (con infla) básico'!AJ184</f>
        <v>#VALUE!</v>
      </c>
      <c r="R113" s="498" t="e">
        <f>'Autoeval-sol (con infla) básico'!AL184</f>
        <v>#VALUE!</v>
      </c>
      <c r="S113" s="498" t="e">
        <f>'Autoeval-sol (con infla) básico'!AM184</f>
        <v>#VALUE!</v>
      </c>
    </row>
    <row r="114" spans="1:19" s="498" customFormat="1" ht="0.65" hidden="1" customHeight="1">
      <c r="A114" s="498" t="e">
        <f t="shared" si="1"/>
        <v>#VALUE!</v>
      </c>
      <c r="I114" s="498" t="e">
        <f t="shared" si="2"/>
        <v>#VALUE!</v>
      </c>
      <c r="J114" s="500" t="e">
        <f>'Autoeval-sol (con infla) básico'!Y185</f>
        <v>#VALUE!</v>
      </c>
      <c r="K114" s="500"/>
      <c r="L114" s="498" t="e">
        <f>'Autoeval-sol (con infla) básico'!AF185</f>
        <v>#VALUE!</v>
      </c>
      <c r="M114" s="498" t="e">
        <f>'Autoeval-sol (con infla) básico'!AG185</f>
        <v>#VALUE!</v>
      </c>
      <c r="N114" s="498" t="e">
        <f>'Autoeval-sol (con infla) básico'!AH185</f>
        <v>#VALUE!</v>
      </c>
      <c r="O114" s="498" t="e">
        <f>'Autoeval-sol (con infla) básico'!AI185</f>
        <v>#VALUE!</v>
      </c>
      <c r="P114" s="500" t="e">
        <f>'Autoeval-sol (con infla) básico'!AJ185</f>
        <v>#VALUE!</v>
      </c>
      <c r="R114" s="498" t="e">
        <f>'Autoeval-sol (con infla) básico'!AL185</f>
        <v>#VALUE!</v>
      </c>
      <c r="S114" s="498" t="e">
        <f>'Autoeval-sol (con infla) básico'!AM185</f>
        <v>#VALUE!</v>
      </c>
    </row>
    <row r="115" spans="1:19" s="498" customFormat="1" ht="0.65" hidden="1" customHeight="1">
      <c r="A115" s="498" t="e">
        <f t="shared" si="1"/>
        <v>#VALUE!</v>
      </c>
      <c r="I115" s="498" t="e">
        <f t="shared" si="2"/>
        <v>#VALUE!</v>
      </c>
      <c r="J115" s="500" t="e">
        <f>'Autoeval-sol (con infla) básico'!Y186</f>
        <v>#VALUE!</v>
      </c>
      <c r="K115" s="500"/>
      <c r="L115" s="498" t="e">
        <f>'Autoeval-sol (con infla) básico'!AF186</f>
        <v>#VALUE!</v>
      </c>
      <c r="M115" s="498" t="e">
        <f>'Autoeval-sol (con infla) básico'!AG186</f>
        <v>#VALUE!</v>
      </c>
      <c r="N115" s="498" t="e">
        <f>'Autoeval-sol (con infla) básico'!AH186</f>
        <v>#VALUE!</v>
      </c>
      <c r="O115" s="498" t="e">
        <f>'Autoeval-sol (con infla) básico'!AI186</f>
        <v>#VALUE!</v>
      </c>
      <c r="P115" s="500" t="e">
        <f>'Autoeval-sol (con infla) básico'!AJ186</f>
        <v>#VALUE!</v>
      </c>
      <c r="R115" s="498" t="e">
        <f>'Autoeval-sol (con infla) básico'!AL186</f>
        <v>#VALUE!</v>
      </c>
      <c r="S115" s="498" t="e">
        <f>'Autoeval-sol (con infla) básico'!AM186</f>
        <v>#VALUE!</v>
      </c>
    </row>
    <row r="116" spans="1:19" s="498" customFormat="1" ht="0.65" hidden="1" customHeight="1">
      <c r="A116" s="498" t="e">
        <f t="shared" si="1"/>
        <v>#VALUE!</v>
      </c>
      <c r="I116" s="498" t="e">
        <f t="shared" si="2"/>
        <v>#VALUE!</v>
      </c>
      <c r="J116" s="500" t="e">
        <f>'Autoeval-sol (con infla) básico'!Y187</f>
        <v>#VALUE!</v>
      </c>
      <c r="K116" s="500"/>
      <c r="L116" s="498" t="e">
        <f>'Autoeval-sol (con infla) básico'!AF187</f>
        <v>#VALUE!</v>
      </c>
      <c r="M116" s="498" t="e">
        <f>'Autoeval-sol (con infla) básico'!AG187</f>
        <v>#VALUE!</v>
      </c>
      <c r="N116" s="498" t="e">
        <f>'Autoeval-sol (con infla) básico'!AH187</f>
        <v>#VALUE!</v>
      </c>
      <c r="O116" s="498" t="e">
        <f>'Autoeval-sol (con infla) básico'!AI187</f>
        <v>#VALUE!</v>
      </c>
      <c r="P116" s="500" t="e">
        <f>'Autoeval-sol (con infla) básico'!AJ187</f>
        <v>#VALUE!</v>
      </c>
      <c r="R116" s="498" t="e">
        <f>'Autoeval-sol (con infla) básico'!AL187</f>
        <v>#VALUE!</v>
      </c>
      <c r="S116" s="498" t="e">
        <f>'Autoeval-sol (con infla) básico'!AM187</f>
        <v>#VALUE!</v>
      </c>
    </row>
    <row r="117" spans="1:19" s="498" customFormat="1" ht="0.65" hidden="1" customHeight="1">
      <c r="A117" s="498" t="e">
        <f t="shared" si="1"/>
        <v>#VALUE!</v>
      </c>
      <c r="I117" s="498" t="e">
        <f t="shared" si="2"/>
        <v>#VALUE!</v>
      </c>
      <c r="J117" s="500" t="e">
        <f>'Autoeval-sol (con infla) básico'!Y188</f>
        <v>#VALUE!</v>
      </c>
      <c r="K117" s="500"/>
      <c r="L117" s="498" t="e">
        <f>'Autoeval-sol (con infla) básico'!AF188</f>
        <v>#VALUE!</v>
      </c>
      <c r="M117" s="498" t="e">
        <f>'Autoeval-sol (con infla) básico'!AG188</f>
        <v>#VALUE!</v>
      </c>
      <c r="N117" s="498" t="e">
        <f>'Autoeval-sol (con infla) básico'!AH188</f>
        <v>#VALUE!</v>
      </c>
      <c r="O117" s="498" t="e">
        <f>'Autoeval-sol (con infla) básico'!AI188</f>
        <v>#VALUE!</v>
      </c>
      <c r="P117" s="500" t="e">
        <f>'Autoeval-sol (con infla) básico'!AJ188</f>
        <v>#VALUE!</v>
      </c>
      <c r="R117" s="498" t="e">
        <f>'Autoeval-sol (con infla) básico'!AL188</f>
        <v>#VALUE!</v>
      </c>
      <c r="S117" s="498" t="e">
        <f>'Autoeval-sol (con infla) básico'!AM188</f>
        <v>#VALUE!</v>
      </c>
    </row>
    <row r="118" spans="1:19" s="498" customFormat="1" ht="0.65" hidden="1" customHeight="1">
      <c r="A118" s="498" t="e">
        <f t="shared" si="1"/>
        <v>#VALUE!</v>
      </c>
      <c r="I118" s="498" t="e">
        <f t="shared" si="2"/>
        <v>#VALUE!</v>
      </c>
      <c r="J118" s="500" t="e">
        <f>'Autoeval-sol (con infla) básico'!Y189</f>
        <v>#VALUE!</v>
      </c>
      <c r="K118" s="500"/>
      <c r="L118" s="498" t="e">
        <f>'Autoeval-sol (con infla) básico'!AF189</f>
        <v>#VALUE!</v>
      </c>
      <c r="M118" s="498" t="e">
        <f>'Autoeval-sol (con infla) básico'!AG189</f>
        <v>#VALUE!</v>
      </c>
      <c r="N118" s="498" t="e">
        <f>'Autoeval-sol (con infla) básico'!AH189</f>
        <v>#VALUE!</v>
      </c>
      <c r="O118" s="498" t="e">
        <f>'Autoeval-sol (con infla) básico'!AI189</f>
        <v>#VALUE!</v>
      </c>
      <c r="P118" s="500" t="e">
        <f>'Autoeval-sol (con infla) básico'!AJ189</f>
        <v>#VALUE!</v>
      </c>
      <c r="R118" s="498" t="e">
        <f>'Autoeval-sol (con infla) básico'!AL189</f>
        <v>#VALUE!</v>
      </c>
      <c r="S118" s="498" t="e">
        <f>'Autoeval-sol (con infla) básico'!AM189</f>
        <v>#VALUE!</v>
      </c>
    </row>
    <row r="119" spans="1:19" s="498" customFormat="1" ht="0.65" hidden="1" customHeight="1">
      <c r="A119" s="498" t="e">
        <f t="shared" si="1"/>
        <v>#VALUE!</v>
      </c>
      <c r="I119" s="498" t="e">
        <f t="shared" si="2"/>
        <v>#VALUE!</v>
      </c>
      <c r="J119" s="500" t="e">
        <f>'Autoeval-sol (con infla) básico'!Y190</f>
        <v>#VALUE!</v>
      </c>
      <c r="K119" s="500"/>
      <c r="L119" s="498" t="e">
        <f>'Autoeval-sol (con infla) básico'!AF190</f>
        <v>#VALUE!</v>
      </c>
      <c r="M119" s="498" t="e">
        <f>'Autoeval-sol (con infla) básico'!AG190</f>
        <v>#VALUE!</v>
      </c>
      <c r="N119" s="498" t="e">
        <f>'Autoeval-sol (con infla) básico'!AH190</f>
        <v>#VALUE!</v>
      </c>
      <c r="O119" s="498" t="e">
        <f>'Autoeval-sol (con infla) básico'!AI190</f>
        <v>#VALUE!</v>
      </c>
      <c r="P119" s="500" t="e">
        <f>'Autoeval-sol (con infla) básico'!AJ190</f>
        <v>#VALUE!</v>
      </c>
      <c r="R119" s="498" t="e">
        <f>'Autoeval-sol (con infla) básico'!AL190</f>
        <v>#VALUE!</v>
      </c>
      <c r="S119" s="498" t="e">
        <f>'Autoeval-sol (con infla) básico'!AM190</f>
        <v>#VALUE!</v>
      </c>
    </row>
    <row r="120" spans="1:19" s="498" customFormat="1" ht="0.65" hidden="1" customHeight="1">
      <c r="A120" s="498" t="e">
        <f t="shared" si="1"/>
        <v>#VALUE!</v>
      </c>
      <c r="I120" s="498" t="e">
        <f t="shared" si="2"/>
        <v>#VALUE!</v>
      </c>
      <c r="J120" s="500" t="e">
        <f>'Autoeval-sol (con infla) básico'!Y191</f>
        <v>#VALUE!</v>
      </c>
      <c r="K120" s="500"/>
      <c r="L120" s="498" t="e">
        <f>'Autoeval-sol (con infla) básico'!AF191</f>
        <v>#VALUE!</v>
      </c>
      <c r="M120" s="498" t="e">
        <f>'Autoeval-sol (con infla) básico'!AG191</f>
        <v>#VALUE!</v>
      </c>
      <c r="N120" s="498" t="e">
        <f>'Autoeval-sol (con infla) básico'!AH191</f>
        <v>#VALUE!</v>
      </c>
      <c r="O120" s="498" t="e">
        <f>'Autoeval-sol (con infla) básico'!AI191</f>
        <v>#VALUE!</v>
      </c>
      <c r="P120" s="500" t="e">
        <f>'Autoeval-sol (con infla) básico'!AJ191</f>
        <v>#VALUE!</v>
      </c>
      <c r="R120" s="498" t="e">
        <f>'Autoeval-sol (con infla) básico'!AL191</f>
        <v>#VALUE!</v>
      </c>
      <c r="S120" s="498" t="e">
        <f>'Autoeval-sol (con infla) básico'!AM191</f>
        <v>#VALUE!</v>
      </c>
    </row>
    <row r="121" spans="1:19" s="498" customFormat="1" ht="0.65" hidden="1" customHeight="1">
      <c r="A121" s="498" t="e">
        <f t="shared" si="1"/>
        <v>#VALUE!</v>
      </c>
      <c r="I121" s="498" t="e">
        <f t="shared" si="2"/>
        <v>#VALUE!</v>
      </c>
      <c r="J121" s="500" t="e">
        <f>'Autoeval-sol (con infla) básico'!Y192</f>
        <v>#VALUE!</v>
      </c>
      <c r="K121" s="500"/>
      <c r="L121" s="498" t="e">
        <f>'Autoeval-sol (con infla) básico'!AF192</f>
        <v>#VALUE!</v>
      </c>
      <c r="M121" s="498" t="e">
        <f>'Autoeval-sol (con infla) básico'!AG192</f>
        <v>#VALUE!</v>
      </c>
      <c r="N121" s="498" t="e">
        <f>'Autoeval-sol (con infla) básico'!AH192</f>
        <v>#VALUE!</v>
      </c>
      <c r="O121" s="498" t="e">
        <f>'Autoeval-sol (con infla) básico'!AI192</f>
        <v>#VALUE!</v>
      </c>
      <c r="P121" s="500" t="e">
        <f>'Autoeval-sol (con infla) básico'!AJ192</f>
        <v>#VALUE!</v>
      </c>
      <c r="R121" s="498" t="e">
        <f>'Autoeval-sol (con infla) básico'!AL192</f>
        <v>#VALUE!</v>
      </c>
      <c r="S121" s="498" t="e">
        <f>'Autoeval-sol (con infla) básico'!AM192</f>
        <v>#VALUE!</v>
      </c>
    </row>
    <row r="122" spans="1:19" s="498" customFormat="1" ht="0.65" hidden="1" customHeight="1">
      <c r="A122" s="498" t="e">
        <f t="shared" si="1"/>
        <v>#VALUE!</v>
      </c>
      <c r="I122" s="498" t="e">
        <f t="shared" si="2"/>
        <v>#VALUE!</v>
      </c>
      <c r="J122" s="500" t="e">
        <f>'Autoeval-sol (con infla) básico'!Y193</f>
        <v>#VALUE!</v>
      </c>
      <c r="K122" s="500"/>
      <c r="L122" s="498" t="e">
        <f>'Autoeval-sol (con infla) básico'!AF193</f>
        <v>#VALUE!</v>
      </c>
      <c r="M122" s="498" t="e">
        <f>'Autoeval-sol (con infla) básico'!AG193</f>
        <v>#VALUE!</v>
      </c>
      <c r="N122" s="498" t="e">
        <f>'Autoeval-sol (con infla) básico'!AH193</f>
        <v>#VALUE!</v>
      </c>
      <c r="O122" s="498" t="e">
        <f>'Autoeval-sol (con infla) básico'!AI193</f>
        <v>#VALUE!</v>
      </c>
      <c r="P122" s="500" t="e">
        <f>'Autoeval-sol (con infla) básico'!AJ193</f>
        <v>#VALUE!</v>
      </c>
      <c r="R122" s="498" t="e">
        <f>'Autoeval-sol (con infla) básico'!AL193</f>
        <v>#VALUE!</v>
      </c>
      <c r="S122" s="498" t="e">
        <f>'Autoeval-sol (con infla) básico'!AM193</f>
        <v>#VALUE!</v>
      </c>
    </row>
    <row r="123" spans="1:19" s="498" customFormat="1" ht="0.65" hidden="1" customHeight="1">
      <c r="A123" s="498" t="e">
        <f t="shared" si="1"/>
        <v>#VALUE!</v>
      </c>
      <c r="I123" s="498" t="e">
        <f t="shared" si="2"/>
        <v>#VALUE!</v>
      </c>
      <c r="J123" s="500" t="e">
        <f>'Autoeval-sol (con infla) básico'!Y194</f>
        <v>#VALUE!</v>
      </c>
      <c r="K123" s="500"/>
      <c r="L123" s="498" t="e">
        <f>'Autoeval-sol (con infla) básico'!AF194</f>
        <v>#VALUE!</v>
      </c>
      <c r="M123" s="498" t="e">
        <f>'Autoeval-sol (con infla) básico'!AG194</f>
        <v>#VALUE!</v>
      </c>
      <c r="N123" s="498" t="e">
        <f>'Autoeval-sol (con infla) básico'!AH194</f>
        <v>#VALUE!</v>
      </c>
      <c r="O123" s="498" t="e">
        <f>'Autoeval-sol (con infla) básico'!AI194</f>
        <v>#VALUE!</v>
      </c>
      <c r="P123" s="500" t="e">
        <f>'Autoeval-sol (con infla) básico'!AJ194</f>
        <v>#VALUE!</v>
      </c>
      <c r="R123" s="498" t="e">
        <f>'Autoeval-sol (con infla) básico'!AL194</f>
        <v>#VALUE!</v>
      </c>
      <c r="S123" s="498" t="e">
        <f>'Autoeval-sol (con infla) básico'!AM194</f>
        <v>#VALUE!</v>
      </c>
    </row>
    <row r="124" spans="1:19" s="498" customFormat="1" ht="0.65" hidden="1" customHeight="1">
      <c r="A124" s="498" t="e">
        <f t="shared" si="1"/>
        <v>#VALUE!</v>
      </c>
      <c r="I124" s="498" t="e">
        <f t="shared" si="2"/>
        <v>#VALUE!</v>
      </c>
      <c r="J124" s="500" t="e">
        <f>'Autoeval-sol (con infla) básico'!Y195</f>
        <v>#VALUE!</v>
      </c>
      <c r="K124" s="500"/>
      <c r="L124" s="498" t="e">
        <f>'Autoeval-sol (con infla) básico'!AF195</f>
        <v>#VALUE!</v>
      </c>
      <c r="M124" s="498" t="e">
        <f>'Autoeval-sol (con infla) básico'!AG195</f>
        <v>#VALUE!</v>
      </c>
      <c r="N124" s="498" t="e">
        <f>'Autoeval-sol (con infla) básico'!AH195</f>
        <v>#VALUE!</v>
      </c>
      <c r="O124" s="498" t="e">
        <f>'Autoeval-sol (con infla) básico'!AI195</f>
        <v>#VALUE!</v>
      </c>
      <c r="P124" s="500" t="e">
        <f>'Autoeval-sol (con infla) básico'!AJ195</f>
        <v>#VALUE!</v>
      </c>
      <c r="R124" s="498" t="e">
        <f>'Autoeval-sol (con infla) básico'!AL195</f>
        <v>#VALUE!</v>
      </c>
      <c r="S124" s="498" t="e">
        <f>'Autoeval-sol (con infla) básico'!AM195</f>
        <v>#VALUE!</v>
      </c>
    </row>
    <row r="125" spans="1:19" s="498" customFormat="1" ht="0.65" hidden="1" customHeight="1">
      <c r="A125" s="498" t="e">
        <f t="shared" si="1"/>
        <v>#VALUE!</v>
      </c>
      <c r="I125" s="498" t="e">
        <f t="shared" si="2"/>
        <v>#VALUE!</v>
      </c>
      <c r="J125" s="500" t="e">
        <f>'Autoeval-sol (con infla) básico'!Y196</f>
        <v>#VALUE!</v>
      </c>
      <c r="K125" s="500"/>
      <c r="L125" s="498" t="e">
        <f>'Autoeval-sol (con infla) básico'!AF196</f>
        <v>#VALUE!</v>
      </c>
      <c r="M125" s="498" t="e">
        <f>'Autoeval-sol (con infla) básico'!AG196</f>
        <v>#VALUE!</v>
      </c>
      <c r="N125" s="498" t="e">
        <f>'Autoeval-sol (con infla) básico'!AH196</f>
        <v>#VALUE!</v>
      </c>
      <c r="O125" s="498" t="e">
        <f>'Autoeval-sol (con infla) básico'!AI196</f>
        <v>#VALUE!</v>
      </c>
      <c r="P125" s="500" t="e">
        <f>'Autoeval-sol (con infla) básico'!AJ196</f>
        <v>#VALUE!</v>
      </c>
      <c r="R125" s="498" t="e">
        <f>'Autoeval-sol (con infla) básico'!AL196</f>
        <v>#VALUE!</v>
      </c>
      <c r="S125" s="498" t="e">
        <f>'Autoeval-sol (con infla) básico'!AM196</f>
        <v>#VALUE!</v>
      </c>
    </row>
    <row r="126" spans="1:19" s="498" customFormat="1" ht="0.65" hidden="1" customHeight="1">
      <c r="A126" s="498" t="e">
        <f t="shared" si="1"/>
        <v>#VALUE!</v>
      </c>
      <c r="I126" s="498" t="e">
        <f t="shared" si="2"/>
        <v>#VALUE!</v>
      </c>
      <c r="J126" s="500" t="e">
        <f>'Autoeval-sol (con infla) básico'!Y197</f>
        <v>#VALUE!</v>
      </c>
      <c r="K126" s="500"/>
      <c r="L126" s="498" t="e">
        <f>'Autoeval-sol (con infla) básico'!AF197</f>
        <v>#VALUE!</v>
      </c>
      <c r="M126" s="498" t="e">
        <f>'Autoeval-sol (con infla) básico'!AG197</f>
        <v>#VALUE!</v>
      </c>
      <c r="N126" s="498" t="e">
        <f>'Autoeval-sol (con infla) básico'!AH197</f>
        <v>#VALUE!</v>
      </c>
      <c r="O126" s="498" t="e">
        <f>'Autoeval-sol (con infla) básico'!AI197</f>
        <v>#VALUE!</v>
      </c>
      <c r="P126" s="500" t="e">
        <f>'Autoeval-sol (con infla) básico'!AJ197</f>
        <v>#VALUE!</v>
      </c>
      <c r="R126" s="498" t="e">
        <f>'Autoeval-sol (con infla) básico'!AL197</f>
        <v>#VALUE!</v>
      </c>
      <c r="S126" s="498" t="e">
        <f>'Autoeval-sol (con infla) básico'!AM197</f>
        <v>#VALUE!</v>
      </c>
    </row>
    <row r="127" spans="1:19" s="498" customFormat="1" ht="0.65" hidden="1" customHeight="1">
      <c r="A127" s="498" t="e">
        <f t="shared" si="1"/>
        <v>#VALUE!</v>
      </c>
      <c r="I127" s="498" t="e">
        <f t="shared" si="2"/>
        <v>#VALUE!</v>
      </c>
      <c r="J127" s="500" t="e">
        <f>'Autoeval-sol (con infla) básico'!Y198</f>
        <v>#VALUE!</v>
      </c>
      <c r="K127" s="500"/>
      <c r="L127" s="498" t="e">
        <f>'Autoeval-sol (con infla) básico'!AF198</f>
        <v>#VALUE!</v>
      </c>
      <c r="M127" s="498" t="e">
        <f>'Autoeval-sol (con infla) básico'!AG198</f>
        <v>#VALUE!</v>
      </c>
      <c r="N127" s="498" t="e">
        <f>'Autoeval-sol (con infla) básico'!AH198</f>
        <v>#VALUE!</v>
      </c>
      <c r="O127" s="498" t="e">
        <f>'Autoeval-sol (con infla) básico'!AI198</f>
        <v>#VALUE!</v>
      </c>
      <c r="P127" s="500" t="e">
        <f>'Autoeval-sol (con infla) básico'!AJ198</f>
        <v>#VALUE!</v>
      </c>
      <c r="R127" s="498" t="e">
        <f>'Autoeval-sol (con infla) básico'!AL198</f>
        <v>#VALUE!</v>
      </c>
      <c r="S127" s="498" t="e">
        <f>'Autoeval-sol (con infla) básico'!AM198</f>
        <v>#VALUE!</v>
      </c>
    </row>
    <row r="128" spans="1:19" s="498" customFormat="1" ht="0.65" hidden="1" customHeight="1">
      <c r="A128" s="498" t="e">
        <f t="shared" si="1"/>
        <v>#VALUE!</v>
      </c>
      <c r="I128" s="498" t="e">
        <f t="shared" si="2"/>
        <v>#VALUE!</v>
      </c>
      <c r="J128" s="500" t="e">
        <f>'Autoeval-sol (con infla) básico'!Y199</f>
        <v>#VALUE!</v>
      </c>
      <c r="K128" s="500"/>
      <c r="L128" s="498" t="e">
        <f>'Autoeval-sol (con infla) básico'!AF199</f>
        <v>#VALUE!</v>
      </c>
      <c r="M128" s="498" t="e">
        <f>'Autoeval-sol (con infla) básico'!AG199</f>
        <v>#VALUE!</v>
      </c>
      <c r="N128" s="498" t="e">
        <f>'Autoeval-sol (con infla) básico'!AH199</f>
        <v>#VALUE!</v>
      </c>
      <c r="O128" s="498" t="e">
        <f>'Autoeval-sol (con infla) básico'!AI199</f>
        <v>#VALUE!</v>
      </c>
      <c r="P128" s="500" t="e">
        <f>'Autoeval-sol (con infla) básico'!AJ199</f>
        <v>#VALUE!</v>
      </c>
      <c r="R128" s="498" t="e">
        <f>'Autoeval-sol (con infla) básico'!AL199</f>
        <v>#VALUE!</v>
      </c>
      <c r="S128" s="498" t="e">
        <f>'Autoeval-sol (con infla) básico'!AM199</f>
        <v>#VALUE!</v>
      </c>
    </row>
    <row r="129" spans="1:19" s="498" customFormat="1" ht="0.65" hidden="1" customHeight="1">
      <c r="A129" s="498" t="e">
        <f t="shared" si="1"/>
        <v>#VALUE!</v>
      </c>
      <c r="I129" s="498" t="e">
        <f t="shared" si="2"/>
        <v>#VALUE!</v>
      </c>
      <c r="J129" s="500" t="e">
        <f>'Autoeval-sol (con infla) básico'!Y200</f>
        <v>#VALUE!</v>
      </c>
      <c r="K129" s="500"/>
      <c r="L129" s="498" t="e">
        <f>'Autoeval-sol (con infla) básico'!AF200</f>
        <v>#VALUE!</v>
      </c>
      <c r="M129" s="498" t="e">
        <f>'Autoeval-sol (con infla) básico'!AG200</f>
        <v>#VALUE!</v>
      </c>
      <c r="N129" s="498" t="e">
        <f>'Autoeval-sol (con infla) básico'!AH200</f>
        <v>#VALUE!</v>
      </c>
      <c r="O129" s="498" t="e">
        <f>'Autoeval-sol (con infla) básico'!AI200</f>
        <v>#VALUE!</v>
      </c>
      <c r="P129" s="500" t="e">
        <f>'Autoeval-sol (con infla) básico'!AJ200</f>
        <v>#VALUE!</v>
      </c>
      <c r="R129" s="498" t="e">
        <f>'Autoeval-sol (con infla) básico'!AL200</f>
        <v>#VALUE!</v>
      </c>
      <c r="S129" s="498" t="e">
        <f>'Autoeval-sol (con infla) básico'!AM200</f>
        <v>#VALUE!</v>
      </c>
    </row>
    <row r="130" spans="1:19" s="498" customFormat="1" ht="0.65" hidden="1" customHeight="1">
      <c r="A130" s="498" t="e">
        <f t="shared" si="1"/>
        <v>#VALUE!</v>
      </c>
      <c r="I130" s="498" t="e">
        <f t="shared" si="2"/>
        <v>#VALUE!</v>
      </c>
      <c r="J130" s="500" t="e">
        <f>'Autoeval-sol (con infla) básico'!Y201</f>
        <v>#VALUE!</v>
      </c>
      <c r="K130" s="500"/>
      <c r="L130" s="498" t="e">
        <f>'Autoeval-sol (con infla) básico'!AF201</f>
        <v>#VALUE!</v>
      </c>
      <c r="M130" s="498" t="e">
        <f>'Autoeval-sol (con infla) básico'!AG201</f>
        <v>#VALUE!</v>
      </c>
      <c r="N130" s="498" t="e">
        <f>'Autoeval-sol (con infla) básico'!AH201</f>
        <v>#VALUE!</v>
      </c>
      <c r="O130" s="498" t="e">
        <f>'Autoeval-sol (con infla) básico'!AI201</f>
        <v>#VALUE!</v>
      </c>
      <c r="P130" s="500" t="e">
        <f>'Autoeval-sol (con infla) básico'!AJ201</f>
        <v>#VALUE!</v>
      </c>
      <c r="R130" s="498" t="e">
        <f>'Autoeval-sol (con infla) básico'!AL201</f>
        <v>#VALUE!</v>
      </c>
      <c r="S130" s="498" t="e">
        <f>'Autoeval-sol (con infla) básico'!AM201</f>
        <v>#VALUE!</v>
      </c>
    </row>
    <row r="131" spans="1:19" s="498" customFormat="1" ht="0.65" hidden="1" customHeight="1">
      <c r="A131" s="498" t="e">
        <f t="shared" si="1"/>
        <v>#VALUE!</v>
      </c>
      <c r="I131" s="498" t="e">
        <f t="shared" si="2"/>
        <v>#VALUE!</v>
      </c>
      <c r="J131" s="500" t="e">
        <f>'Autoeval-sol (con infla) básico'!Y202</f>
        <v>#VALUE!</v>
      </c>
      <c r="K131" s="500"/>
      <c r="L131" s="498" t="e">
        <f>'Autoeval-sol (con infla) básico'!AF202</f>
        <v>#VALUE!</v>
      </c>
      <c r="M131" s="498" t="e">
        <f>'Autoeval-sol (con infla) básico'!AG202</f>
        <v>#VALUE!</v>
      </c>
      <c r="N131" s="498" t="e">
        <f>'Autoeval-sol (con infla) básico'!AH202</f>
        <v>#VALUE!</v>
      </c>
      <c r="O131" s="498" t="e">
        <f>'Autoeval-sol (con infla) básico'!AI202</f>
        <v>#VALUE!</v>
      </c>
      <c r="P131" s="500" t="e">
        <f>'Autoeval-sol (con infla) básico'!AJ202</f>
        <v>#VALUE!</v>
      </c>
      <c r="R131" s="498" t="e">
        <f>'Autoeval-sol (con infla) básico'!AL202</f>
        <v>#VALUE!</v>
      </c>
      <c r="S131" s="498" t="e">
        <f>'Autoeval-sol (con infla) básico'!AM202</f>
        <v>#VALUE!</v>
      </c>
    </row>
    <row r="132" spans="1:19" s="498" customFormat="1" ht="0.65" hidden="1" customHeight="1">
      <c r="A132" s="498" t="e">
        <f t="shared" ref="A132:A148" si="3">1+A131</f>
        <v>#VALUE!</v>
      </c>
      <c r="I132" s="498" t="e">
        <f t="shared" si="2"/>
        <v>#VALUE!</v>
      </c>
      <c r="J132" s="500" t="e">
        <f>'Autoeval-sol (con infla) básico'!Y203</f>
        <v>#VALUE!</v>
      </c>
      <c r="K132" s="500"/>
      <c r="L132" s="498" t="e">
        <f>'Autoeval-sol (con infla) básico'!AF203</f>
        <v>#VALUE!</v>
      </c>
      <c r="M132" s="498" t="e">
        <f>'Autoeval-sol (con infla) básico'!AG203</f>
        <v>#VALUE!</v>
      </c>
      <c r="N132" s="498" t="e">
        <f>'Autoeval-sol (con infla) básico'!AH203</f>
        <v>#VALUE!</v>
      </c>
      <c r="O132" s="498" t="e">
        <f>'Autoeval-sol (con infla) básico'!AI203</f>
        <v>#VALUE!</v>
      </c>
      <c r="P132" s="500" t="e">
        <f>'Autoeval-sol (con infla) básico'!AJ203</f>
        <v>#VALUE!</v>
      </c>
      <c r="R132" s="498" t="e">
        <f>'Autoeval-sol (con infla) básico'!AL203</f>
        <v>#VALUE!</v>
      </c>
      <c r="S132" s="498" t="e">
        <f>'Autoeval-sol (con infla) básico'!AM203</f>
        <v>#VALUE!</v>
      </c>
    </row>
    <row r="133" spans="1:19" s="498" customFormat="1" ht="0.65" hidden="1" customHeight="1">
      <c r="A133" s="498" t="e">
        <f t="shared" si="3"/>
        <v>#VALUE!</v>
      </c>
      <c r="I133" s="498" t="e">
        <f t="shared" si="2"/>
        <v>#VALUE!</v>
      </c>
      <c r="J133" s="500" t="e">
        <f>'Autoeval-sol (con infla) básico'!Y204</f>
        <v>#VALUE!</v>
      </c>
      <c r="K133" s="500"/>
      <c r="L133" s="498" t="e">
        <f>'Autoeval-sol (con infla) básico'!AF204</f>
        <v>#VALUE!</v>
      </c>
      <c r="M133" s="498" t="e">
        <f>'Autoeval-sol (con infla) básico'!AG204</f>
        <v>#VALUE!</v>
      </c>
      <c r="N133" s="498" t="e">
        <f>'Autoeval-sol (con infla) básico'!AH204</f>
        <v>#VALUE!</v>
      </c>
      <c r="O133" s="498" t="e">
        <f>'Autoeval-sol (con infla) básico'!AI204</f>
        <v>#VALUE!</v>
      </c>
      <c r="P133" s="500" t="e">
        <f>'Autoeval-sol (con infla) básico'!AJ204</f>
        <v>#VALUE!</v>
      </c>
      <c r="R133" s="498" t="e">
        <f>'Autoeval-sol (con infla) básico'!AL204</f>
        <v>#VALUE!</v>
      </c>
      <c r="S133" s="498" t="e">
        <f>'Autoeval-sol (con infla) básico'!AM204</f>
        <v>#VALUE!</v>
      </c>
    </row>
    <row r="134" spans="1:19" s="498" customFormat="1" ht="0.65" hidden="1" customHeight="1">
      <c r="A134" s="498" t="e">
        <f t="shared" si="3"/>
        <v>#VALUE!</v>
      </c>
      <c r="I134" s="498" t="e">
        <f t="shared" si="2"/>
        <v>#VALUE!</v>
      </c>
      <c r="J134" s="500" t="e">
        <f>'Autoeval-sol (con infla) básico'!Y205</f>
        <v>#VALUE!</v>
      </c>
      <c r="K134" s="500"/>
      <c r="L134" s="498" t="e">
        <f>'Autoeval-sol (con infla) básico'!AF205</f>
        <v>#VALUE!</v>
      </c>
      <c r="M134" s="498" t="e">
        <f>'Autoeval-sol (con infla) básico'!AG205</f>
        <v>#VALUE!</v>
      </c>
      <c r="N134" s="498" t="e">
        <f>'Autoeval-sol (con infla) básico'!AH205</f>
        <v>#VALUE!</v>
      </c>
      <c r="O134" s="498" t="e">
        <f>'Autoeval-sol (con infla) básico'!AI205</f>
        <v>#VALUE!</v>
      </c>
      <c r="P134" s="500" t="e">
        <f>'Autoeval-sol (con infla) básico'!AJ205</f>
        <v>#VALUE!</v>
      </c>
      <c r="R134" s="498" t="e">
        <f>'Autoeval-sol (con infla) básico'!AL205</f>
        <v>#VALUE!</v>
      </c>
      <c r="S134" s="498" t="e">
        <f>'Autoeval-sol (con infla) básico'!AM205</f>
        <v>#VALUE!</v>
      </c>
    </row>
    <row r="135" spans="1:19" s="498" customFormat="1" ht="0.65" hidden="1" customHeight="1">
      <c r="A135" s="498" t="e">
        <f t="shared" si="3"/>
        <v>#VALUE!</v>
      </c>
      <c r="I135" s="498" t="e">
        <f t="shared" si="2"/>
        <v>#VALUE!</v>
      </c>
      <c r="J135" s="500" t="e">
        <f>'Autoeval-sol (con infla) básico'!Y206</f>
        <v>#VALUE!</v>
      </c>
      <c r="K135" s="500"/>
      <c r="L135" s="498" t="e">
        <f>'Autoeval-sol (con infla) básico'!AF206</f>
        <v>#VALUE!</v>
      </c>
      <c r="M135" s="498" t="e">
        <f>'Autoeval-sol (con infla) básico'!AG206</f>
        <v>#VALUE!</v>
      </c>
      <c r="N135" s="498" t="e">
        <f>'Autoeval-sol (con infla) básico'!AH206</f>
        <v>#VALUE!</v>
      </c>
      <c r="O135" s="498" t="e">
        <f>'Autoeval-sol (con infla) básico'!AI206</f>
        <v>#VALUE!</v>
      </c>
      <c r="P135" s="500" t="e">
        <f>'Autoeval-sol (con infla) básico'!AJ206</f>
        <v>#VALUE!</v>
      </c>
      <c r="R135" s="498" t="e">
        <f>'Autoeval-sol (con infla) básico'!AL206</f>
        <v>#VALUE!</v>
      </c>
      <c r="S135" s="498" t="e">
        <f>'Autoeval-sol (con infla) básico'!AM206</f>
        <v>#VALUE!</v>
      </c>
    </row>
    <row r="136" spans="1:19" s="498" customFormat="1" ht="0.65" hidden="1" customHeight="1">
      <c r="A136" s="498" t="e">
        <f t="shared" si="3"/>
        <v>#VALUE!</v>
      </c>
    </row>
    <row r="137" spans="1:19" s="498" customFormat="1" ht="0.65" hidden="1" customHeight="1">
      <c r="A137" s="498" t="e">
        <f t="shared" si="3"/>
        <v>#VALUE!</v>
      </c>
      <c r="M137" s="498" t="e">
        <f>M136+IF(N137="",0,1)</f>
        <v>#VALUE!</v>
      </c>
      <c r="N137" s="498" t="e">
        <f>'Autoeval-sol (con infla) básico'!AH208</f>
        <v>#VALUE!</v>
      </c>
      <c r="O137" s="498" t="s">
        <v>3947</v>
      </c>
    </row>
    <row r="138" spans="1:19" s="498" customFormat="1" ht="0.65" hidden="1" customHeight="1">
      <c r="A138" s="498" t="e">
        <f t="shared" si="3"/>
        <v>#VALUE!</v>
      </c>
      <c r="M138" s="498" t="e">
        <f t="shared" ref="M138:M148" si="4">M137+IF(N138="",0,1)</f>
        <v>#VALUE!</v>
      </c>
      <c r="N138" s="498" t="e">
        <f>'Autoeval-sol (con infla) básico'!AH209</f>
        <v>#VALUE!</v>
      </c>
      <c r="O138" s="498" t="s">
        <v>3950</v>
      </c>
    </row>
    <row r="139" spans="1:19" s="498" customFormat="1" ht="0.65" hidden="1" customHeight="1">
      <c r="A139" s="498" t="e">
        <f t="shared" si="3"/>
        <v>#VALUE!</v>
      </c>
      <c r="M139" s="498" t="e">
        <f t="shared" si="4"/>
        <v>#VALUE!</v>
      </c>
      <c r="N139" s="498" t="e">
        <f>'Autoeval-sol (con infla) básico'!AH210</f>
        <v>#VALUE!</v>
      </c>
      <c r="O139" s="498" t="s">
        <v>3948</v>
      </c>
    </row>
    <row r="140" spans="1:19" s="498" customFormat="1" ht="0.65" hidden="1" customHeight="1">
      <c r="A140" s="498" t="e">
        <f t="shared" si="3"/>
        <v>#VALUE!</v>
      </c>
      <c r="M140" s="498" t="e">
        <f t="shared" si="4"/>
        <v>#VALUE!</v>
      </c>
      <c r="N140" s="498" t="e">
        <f>'Autoeval-sol (con infla) básico'!AH211</f>
        <v>#VALUE!</v>
      </c>
      <c r="O140" s="498" t="s">
        <v>3949</v>
      </c>
    </row>
    <row r="141" spans="1:19" s="498" customFormat="1" ht="0.65" hidden="1" customHeight="1">
      <c r="A141" s="498" t="e">
        <f t="shared" si="3"/>
        <v>#VALUE!</v>
      </c>
      <c r="M141" s="498" t="e">
        <f t="shared" si="4"/>
        <v>#VALUE!</v>
      </c>
      <c r="N141" s="498" t="e">
        <f>'Autoeval-sol (con infla) básico'!AH212</f>
        <v>#VALUE!</v>
      </c>
      <c r="O141" s="498" t="s">
        <v>2353</v>
      </c>
    </row>
    <row r="142" spans="1:19" s="498" customFormat="1" ht="0.65" hidden="1" customHeight="1">
      <c r="A142" s="498" t="e">
        <f t="shared" si="3"/>
        <v>#VALUE!</v>
      </c>
      <c r="M142" s="498" t="e">
        <f t="shared" si="4"/>
        <v>#VALUE!</v>
      </c>
      <c r="N142" s="498" t="e">
        <f>'Autoeval-sol (con infla) básico'!AH213</f>
        <v>#VALUE!</v>
      </c>
      <c r="O142" s="498" t="s">
        <v>2355</v>
      </c>
    </row>
    <row r="143" spans="1:19" s="498" customFormat="1" ht="0.65" hidden="1" customHeight="1">
      <c r="A143" s="498" t="e">
        <f t="shared" si="3"/>
        <v>#VALUE!</v>
      </c>
      <c r="M143" s="498" t="e">
        <f t="shared" si="4"/>
        <v>#VALUE!</v>
      </c>
      <c r="N143" s="498" t="e">
        <f>'Autoeval-sol (con infla) básico'!AH214</f>
        <v>#VALUE!</v>
      </c>
      <c r="O143" s="498" t="s">
        <v>2357</v>
      </c>
    </row>
    <row r="144" spans="1:19" s="498" customFormat="1" ht="0.65" hidden="1" customHeight="1">
      <c r="A144" s="498" t="e">
        <f t="shared" si="3"/>
        <v>#VALUE!</v>
      </c>
      <c r="M144" s="498" t="e">
        <f t="shared" si="4"/>
        <v>#VALUE!</v>
      </c>
      <c r="N144" s="498" t="e">
        <f>'Autoeval-sol (con infla) básico'!AH215</f>
        <v>#VALUE!</v>
      </c>
      <c r="O144" s="498" t="s">
        <v>2359</v>
      </c>
    </row>
    <row r="145" spans="1:13" s="498" customFormat="1" ht="0.65" hidden="1" customHeight="1">
      <c r="A145" s="498" t="e">
        <f t="shared" si="3"/>
        <v>#VALUE!</v>
      </c>
      <c r="M145" s="498" t="e">
        <f t="shared" si="4"/>
        <v>#VALUE!</v>
      </c>
    </row>
    <row r="146" spans="1:13" s="498" customFormat="1" ht="0.65" hidden="1" customHeight="1">
      <c r="A146" s="498" t="e">
        <f t="shared" si="3"/>
        <v>#VALUE!</v>
      </c>
      <c r="M146" s="498" t="e">
        <f t="shared" si="4"/>
        <v>#VALUE!</v>
      </c>
    </row>
    <row r="147" spans="1:13" s="498" customFormat="1" ht="0.65" hidden="1" customHeight="1">
      <c r="A147" s="498" t="e">
        <f t="shared" si="3"/>
        <v>#VALUE!</v>
      </c>
      <c r="M147" s="498" t="e">
        <f t="shared" si="4"/>
        <v>#VALUE!</v>
      </c>
    </row>
    <row r="148" spans="1:13" s="498" customFormat="1" ht="0.65" hidden="1" customHeight="1">
      <c r="A148" s="498" t="e">
        <f t="shared" si="3"/>
        <v>#VALUE!</v>
      </c>
      <c r="M148" s="498" t="e">
        <f t="shared" si="4"/>
        <v>#VALUE!</v>
      </c>
    </row>
    <row r="149" spans="1:13" s="459" customFormat="1" ht="15" hidden="1" customHeight="1"/>
    <row r="150" spans="1:13" s="459" customFormat="1" ht="15" customHeight="1"/>
    <row r="151" spans="1:13" s="459" customFormat="1" ht="15" customHeight="1"/>
    <row r="152" spans="1:13" s="459" customFormat="1" ht="15" customHeight="1"/>
    <row r="153" spans="1:13" s="459" customFormat="1" ht="15" customHeight="1"/>
    <row r="154" spans="1:13" s="459" customFormat="1" ht="15" customHeight="1"/>
    <row r="155" spans="1:13" s="459" customFormat="1" ht="15" customHeight="1"/>
    <row r="156" spans="1:13" s="459" customFormat="1" ht="15" customHeight="1"/>
    <row r="157" spans="1:13" s="459" customFormat="1" ht="15" customHeight="1"/>
    <row r="158" spans="1:13" s="459" customFormat="1" ht="15" customHeight="1"/>
    <row r="159" spans="1:13" s="459" customFormat="1" ht="15" customHeight="1"/>
    <row r="160" spans="1:13" s="459" customFormat="1" ht="15" customHeight="1"/>
    <row r="161" s="496" customFormat="1" ht="15" customHeight="1"/>
  </sheetData>
  <sheetProtection algorithmName="SHA-512" hashValue="FG4gmZplP6lsJymiK7OKWrzEYpo3bWzIHFtB3sJ6j9zMTS5CQmN3j9cj8aMJp/GAXLEZztsJ5lSO77MFk5u56g==" saltValue="9lDAVgDd7pHPfWvjgK+VXA==" spinCount="100000" sheet="1" selectLockedCells="1"/>
  <mergeCells count="16">
    <mergeCell ref="B34:E34"/>
    <mergeCell ref="B1:E1"/>
    <mergeCell ref="B6:E6"/>
    <mergeCell ref="B11:E11"/>
    <mergeCell ref="B18:E18"/>
    <mergeCell ref="B22:E22"/>
    <mergeCell ref="B27:E27"/>
    <mergeCell ref="I35:I40"/>
    <mergeCell ref="J35:P40"/>
    <mergeCell ref="J44:P45"/>
    <mergeCell ref="J47:P53"/>
    <mergeCell ref="J29:P29"/>
    <mergeCell ref="I30:I31"/>
    <mergeCell ref="J30:P31"/>
    <mergeCell ref="I32:I33"/>
    <mergeCell ref="J32:P33"/>
  </mergeCells>
  <conditionalFormatting sqref="A1:XFD1048576">
    <cfRule type="expression" dxfId="93" priority="1" stopIfTrue="1">
      <formula>OR(NOT($C$2="SI"),NOT($D$2=$E$2),$F$1="")</formula>
    </cfRule>
  </conditionalFormatting>
  <conditionalFormatting sqref="A1:A76 C2:E2 F1:F2 A77:XFD209">
    <cfRule type="expression" dxfId="92" priority="3">
      <formula>NOT($N$24="javi")</formula>
    </cfRule>
  </conditionalFormatting>
  <conditionalFormatting sqref="I29:P40">
    <cfRule type="expression" dxfId="91" priority="2" stopIfTrue="1">
      <formula>OR($N$23="",NOT($O$23=""))</formula>
    </cfRule>
  </conditionalFormatting>
  <conditionalFormatting sqref="J44:P53">
    <cfRule type="expression" dxfId="90" priority="4" stopIfTrue="1">
      <formula>OR($N$42="",NOT($O$42=""))</formula>
    </cfRule>
  </conditionalFormatting>
  <pageMargins left="0.70866141732283472" right="0.70866141732283472" top="0.74803149606299213" bottom="0.74803149606299213" header="0.31496062992125984" footer="0.31496062992125984"/>
  <pageSetup paperSize="9" scale="60" pageOrder="overThenDown" orientation="landscape" verticalDpi="1200" r:id="rId1"/>
  <headerFooter>
    <oddHeader>&amp;CCaso práctico de inversión en condiciones de certeza (Inflación, con fondo de maniobra y existencias) - Solución correcta</oddHeader>
    <oddFooter>&amp;CPágina &amp;P de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D5FC-8AA2-4D56-8BEE-DFEC9A2068D1}">
  <dimension ref="A1:H25"/>
  <sheetViews>
    <sheetView showGridLines="0" workbookViewId="0">
      <selection activeCell="B2" sqref="B2:H2"/>
    </sheetView>
  </sheetViews>
  <sheetFormatPr baseColWidth="10" defaultRowHeight="14.5"/>
  <cols>
    <col min="1" max="1" width="4.54296875" style="64" customWidth="1"/>
    <col min="2" max="8" width="12.54296875" style="60" customWidth="1"/>
    <col min="9" max="9" width="4.54296875" style="60" customWidth="1"/>
    <col min="10" max="256" width="11.453125" style="60"/>
    <col min="257" max="257" width="4.54296875" style="60" customWidth="1"/>
    <col min="258" max="258" width="11.81640625" style="60" bestFit="1" customWidth="1"/>
    <col min="259" max="264" width="11.453125" style="60"/>
    <col min="265" max="265" width="4.54296875" style="60" customWidth="1"/>
    <col min="266" max="512" width="11.453125" style="60"/>
    <col min="513" max="513" width="4.54296875" style="60" customWidth="1"/>
    <col min="514" max="514" width="11.81640625" style="60" bestFit="1" customWidth="1"/>
    <col min="515" max="520" width="11.453125" style="60"/>
    <col min="521" max="521" width="4.54296875" style="60" customWidth="1"/>
    <col min="522" max="768" width="11.453125" style="60"/>
    <col min="769" max="769" width="4.54296875" style="60" customWidth="1"/>
    <col min="770" max="770" width="11.81640625" style="60" bestFit="1" customWidth="1"/>
    <col min="771" max="776" width="11.453125" style="60"/>
    <col min="777" max="777" width="4.54296875" style="60" customWidth="1"/>
    <col min="778" max="1024" width="11.453125" style="60"/>
    <col min="1025" max="1025" width="4.54296875" style="60" customWidth="1"/>
    <col min="1026" max="1026" width="11.81640625" style="60" bestFit="1" customWidth="1"/>
    <col min="1027" max="1032" width="11.453125" style="60"/>
    <col min="1033" max="1033" width="4.54296875" style="60" customWidth="1"/>
    <col min="1034" max="1280" width="11.453125" style="60"/>
    <col min="1281" max="1281" width="4.54296875" style="60" customWidth="1"/>
    <col min="1282" max="1282" width="11.81640625" style="60" bestFit="1" customWidth="1"/>
    <col min="1283" max="1288" width="11.453125" style="60"/>
    <col min="1289" max="1289" width="4.54296875" style="60" customWidth="1"/>
    <col min="1290" max="1536" width="11.453125" style="60"/>
    <col min="1537" max="1537" width="4.54296875" style="60" customWidth="1"/>
    <col min="1538" max="1538" width="11.81640625" style="60" bestFit="1" customWidth="1"/>
    <col min="1539" max="1544" width="11.453125" style="60"/>
    <col min="1545" max="1545" width="4.54296875" style="60" customWidth="1"/>
    <col min="1546" max="1792" width="11.453125" style="60"/>
    <col min="1793" max="1793" width="4.54296875" style="60" customWidth="1"/>
    <col min="1794" max="1794" width="11.81640625" style="60" bestFit="1" customWidth="1"/>
    <col min="1795" max="1800" width="11.453125" style="60"/>
    <col min="1801" max="1801" width="4.54296875" style="60" customWidth="1"/>
    <col min="1802" max="2048" width="11.453125" style="60"/>
    <col min="2049" max="2049" width="4.54296875" style="60" customWidth="1"/>
    <col min="2050" max="2050" width="11.81640625" style="60" bestFit="1" customWidth="1"/>
    <col min="2051" max="2056" width="11.453125" style="60"/>
    <col min="2057" max="2057" width="4.54296875" style="60" customWidth="1"/>
    <col min="2058" max="2304" width="11.453125" style="60"/>
    <col min="2305" max="2305" width="4.54296875" style="60" customWidth="1"/>
    <col min="2306" max="2306" width="11.81640625" style="60" bestFit="1" customWidth="1"/>
    <col min="2307" max="2312" width="11.453125" style="60"/>
    <col min="2313" max="2313" width="4.54296875" style="60" customWidth="1"/>
    <col min="2314" max="2560" width="11.453125" style="60"/>
    <col min="2561" max="2561" width="4.54296875" style="60" customWidth="1"/>
    <col min="2562" max="2562" width="11.81640625" style="60" bestFit="1" customWidth="1"/>
    <col min="2563" max="2568" width="11.453125" style="60"/>
    <col min="2569" max="2569" width="4.54296875" style="60" customWidth="1"/>
    <col min="2570" max="2816" width="11.453125" style="60"/>
    <col min="2817" max="2817" width="4.54296875" style="60" customWidth="1"/>
    <col min="2818" max="2818" width="11.81640625" style="60" bestFit="1" customWidth="1"/>
    <col min="2819" max="2824" width="11.453125" style="60"/>
    <col min="2825" max="2825" width="4.54296875" style="60" customWidth="1"/>
    <col min="2826" max="3072" width="11.453125" style="60"/>
    <col min="3073" max="3073" width="4.54296875" style="60" customWidth="1"/>
    <col min="3074" max="3074" width="11.81640625" style="60" bestFit="1" customWidth="1"/>
    <col min="3075" max="3080" width="11.453125" style="60"/>
    <col min="3081" max="3081" width="4.54296875" style="60" customWidth="1"/>
    <col min="3082" max="3328" width="11.453125" style="60"/>
    <col min="3329" max="3329" width="4.54296875" style="60" customWidth="1"/>
    <col min="3330" max="3330" width="11.81640625" style="60" bestFit="1" customWidth="1"/>
    <col min="3331" max="3336" width="11.453125" style="60"/>
    <col min="3337" max="3337" width="4.54296875" style="60" customWidth="1"/>
    <col min="3338" max="3584" width="11.453125" style="60"/>
    <col min="3585" max="3585" width="4.54296875" style="60" customWidth="1"/>
    <col min="3586" max="3586" width="11.81640625" style="60" bestFit="1" customWidth="1"/>
    <col min="3587" max="3592" width="11.453125" style="60"/>
    <col min="3593" max="3593" width="4.54296875" style="60" customWidth="1"/>
    <col min="3594" max="3840" width="11.453125" style="60"/>
    <col min="3841" max="3841" width="4.54296875" style="60" customWidth="1"/>
    <col min="3842" max="3842" width="11.81640625" style="60" bestFit="1" customWidth="1"/>
    <col min="3843" max="3848" width="11.453125" style="60"/>
    <col min="3849" max="3849" width="4.54296875" style="60" customWidth="1"/>
    <col min="3850" max="4096" width="11.453125" style="60"/>
    <col min="4097" max="4097" width="4.54296875" style="60" customWidth="1"/>
    <col min="4098" max="4098" width="11.81640625" style="60" bestFit="1" customWidth="1"/>
    <col min="4099" max="4104" width="11.453125" style="60"/>
    <col min="4105" max="4105" width="4.54296875" style="60" customWidth="1"/>
    <col min="4106" max="4352" width="11.453125" style="60"/>
    <col min="4353" max="4353" width="4.54296875" style="60" customWidth="1"/>
    <col min="4354" max="4354" width="11.81640625" style="60" bestFit="1" customWidth="1"/>
    <col min="4355" max="4360" width="11.453125" style="60"/>
    <col min="4361" max="4361" width="4.54296875" style="60" customWidth="1"/>
    <col min="4362" max="4608" width="11.453125" style="60"/>
    <col min="4609" max="4609" width="4.54296875" style="60" customWidth="1"/>
    <col min="4610" max="4610" width="11.81640625" style="60" bestFit="1" customWidth="1"/>
    <col min="4611" max="4616" width="11.453125" style="60"/>
    <col min="4617" max="4617" width="4.54296875" style="60" customWidth="1"/>
    <col min="4618" max="4864" width="11.453125" style="60"/>
    <col min="4865" max="4865" width="4.54296875" style="60" customWidth="1"/>
    <col min="4866" max="4866" width="11.81640625" style="60" bestFit="1" customWidth="1"/>
    <col min="4867" max="4872" width="11.453125" style="60"/>
    <col min="4873" max="4873" width="4.54296875" style="60" customWidth="1"/>
    <col min="4874" max="5120" width="11.453125" style="60"/>
    <col min="5121" max="5121" width="4.54296875" style="60" customWidth="1"/>
    <col min="5122" max="5122" width="11.81640625" style="60" bestFit="1" customWidth="1"/>
    <col min="5123" max="5128" width="11.453125" style="60"/>
    <col min="5129" max="5129" width="4.54296875" style="60" customWidth="1"/>
    <col min="5130" max="5376" width="11.453125" style="60"/>
    <col min="5377" max="5377" width="4.54296875" style="60" customWidth="1"/>
    <col min="5378" max="5378" width="11.81640625" style="60" bestFit="1" customWidth="1"/>
    <col min="5379" max="5384" width="11.453125" style="60"/>
    <col min="5385" max="5385" width="4.54296875" style="60" customWidth="1"/>
    <col min="5386" max="5632" width="11.453125" style="60"/>
    <col min="5633" max="5633" width="4.54296875" style="60" customWidth="1"/>
    <col min="5634" max="5634" width="11.81640625" style="60" bestFit="1" customWidth="1"/>
    <col min="5635" max="5640" width="11.453125" style="60"/>
    <col min="5641" max="5641" width="4.54296875" style="60" customWidth="1"/>
    <col min="5642" max="5888" width="11.453125" style="60"/>
    <col min="5889" max="5889" width="4.54296875" style="60" customWidth="1"/>
    <col min="5890" max="5890" width="11.81640625" style="60" bestFit="1" customWidth="1"/>
    <col min="5891" max="5896" width="11.453125" style="60"/>
    <col min="5897" max="5897" width="4.54296875" style="60" customWidth="1"/>
    <col min="5898" max="6144" width="11.453125" style="60"/>
    <col min="6145" max="6145" width="4.54296875" style="60" customWidth="1"/>
    <col min="6146" max="6146" width="11.81640625" style="60" bestFit="1" customWidth="1"/>
    <col min="6147" max="6152" width="11.453125" style="60"/>
    <col min="6153" max="6153" width="4.54296875" style="60" customWidth="1"/>
    <col min="6154" max="6400" width="11.453125" style="60"/>
    <col min="6401" max="6401" width="4.54296875" style="60" customWidth="1"/>
    <col min="6402" max="6402" width="11.81640625" style="60" bestFit="1" customWidth="1"/>
    <col min="6403" max="6408" width="11.453125" style="60"/>
    <col min="6409" max="6409" width="4.54296875" style="60" customWidth="1"/>
    <col min="6410" max="6656" width="11.453125" style="60"/>
    <col min="6657" max="6657" width="4.54296875" style="60" customWidth="1"/>
    <col min="6658" max="6658" width="11.81640625" style="60" bestFit="1" customWidth="1"/>
    <col min="6659" max="6664" width="11.453125" style="60"/>
    <col min="6665" max="6665" width="4.54296875" style="60" customWidth="1"/>
    <col min="6666" max="6912" width="11.453125" style="60"/>
    <col min="6913" max="6913" width="4.54296875" style="60" customWidth="1"/>
    <col min="6914" max="6914" width="11.81640625" style="60" bestFit="1" customWidth="1"/>
    <col min="6915" max="6920" width="11.453125" style="60"/>
    <col min="6921" max="6921" width="4.54296875" style="60" customWidth="1"/>
    <col min="6922" max="7168" width="11.453125" style="60"/>
    <col min="7169" max="7169" width="4.54296875" style="60" customWidth="1"/>
    <col min="7170" max="7170" width="11.81640625" style="60" bestFit="1" customWidth="1"/>
    <col min="7171" max="7176" width="11.453125" style="60"/>
    <col min="7177" max="7177" width="4.54296875" style="60" customWidth="1"/>
    <col min="7178" max="7424" width="11.453125" style="60"/>
    <col min="7425" max="7425" width="4.54296875" style="60" customWidth="1"/>
    <col min="7426" max="7426" width="11.81640625" style="60" bestFit="1" customWidth="1"/>
    <col min="7427" max="7432" width="11.453125" style="60"/>
    <col min="7433" max="7433" width="4.54296875" style="60" customWidth="1"/>
    <col min="7434" max="7680" width="11.453125" style="60"/>
    <col min="7681" max="7681" width="4.54296875" style="60" customWidth="1"/>
    <col min="7682" max="7682" width="11.81640625" style="60" bestFit="1" customWidth="1"/>
    <col min="7683" max="7688" width="11.453125" style="60"/>
    <col min="7689" max="7689" width="4.54296875" style="60" customWidth="1"/>
    <col min="7690" max="7936" width="11.453125" style="60"/>
    <col min="7937" max="7937" width="4.54296875" style="60" customWidth="1"/>
    <col min="7938" max="7938" width="11.81640625" style="60" bestFit="1" customWidth="1"/>
    <col min="7939" max="7944" width="11.453125" style="60"/>
    <col min="7945" max="7945" width="4.54296875" style="60" customWidth="1"/>
    <col min="7946" max="8192" width="11.453125" style="60"/>
    <col min="8193" max="8193" width="4.54296875" style="60" customWidth="1"/>
    <col min="8194" max="8194" width="11.81640625" style="60" bestFit="1" customWidth="1"/>
    <col min="8195" max="8200" width="11.453125" style="60"/>
    <col min="8201" max="8201" width="4.54296875" style="60" customWidth="1"/>
    <col min="8202" max="8448" width="11.453125" style="60"/>
    <col min="8449" max="8449" width="4.54296875" style="60" customWidth="1"/>
    <col min="8450" max="8450" width="11.81640625" style="60" bestFit="1" customWidth="1"/>
    <col min="8451" max="8456" width="11.453125" style="60"/>
    <col min="8457" max="8457" width="4.54296875" style="60" customWidth="1"/>
    <col min="8458" max="8704" width="11.453125" style="60"/>
    <col min="8705" max="8705" width="4.54296875" style="60" customWidth="1"/>
    <col min="8706" max="8706" width="11.81640625" style="60" bestFit="1" customWidth="1"/>
    <col min="8707" max="8712" width="11.453125" style="60"/>
    <col min="8713" max="8713" width="4.54296875" style="60" customWidth="1"/>
    <col min="8714" max="8960" width="11.453125" style="60"/>
    <col min="8961" max="8961" width="4.54296875" style="60" customWidth="1"/>
    <col min="8962" max="8962" width="11.81640625" style="60" bestFit="1" customWidth="1"/>
    <col min="8963" max="8968" width="11.453125" style="60"/>
    <col min="8969" max="8969" width="4.54296875" style="60" customWidth="1"/>
    <col min="8970" max="9216" width="11.453125" style="60"/>
    <col min="9217" max="9217" width="4.54296875" style="60" customWidth="1"/>
    <col min="9218" max="9218" width="11.81640625" style="60" bestFit="1" customWidth="1"/>
    <col min="9219" max="9224" width="11.453125" style="60"/>
    <col min="9225" max="9225" width="4.54296875" style="60" customWidth="1"/>
    <col min="9226" max="9472" width="11.453125" style="60"/>
    <col min="9473" max="9473" width="4.54296875" style="60" customWidth="1"/>
    <col min="9474" max="9474" width="11.81640625" style="60" bestFit="1" customWidth="1"/>
    <col min="9475" max="9480" width="11.453125" style="60"/>
    <col min="9481" max="9481" width="4.54296875" style="60" customWidth="1"/>
    <col min="9482" max="9728" width="11.453125" style="60"/>
    <col min="9729" max="9729" width="4.54296875" style="60" customWidth="1"/>
    <col min="9730" max="9730" width="11.81640625" style="60" bestFit="1" customWidth="1"/>
    <col min="9731" max="9736" width="11.453125" style="60"/>
    <col min="9737" max="9737" width="4.54296875" style="60" customWidth="1"/>
    <col min="9738" max="9984" width="11.453125" style="60"/>
    <col min="9985" max="9985" width="4.54296875" style="60" customWidth="1"/>
    <col min="9986" max="9986" width="11.81640625" style="60" bestFit="1" customWidth="1"/>
    <col min="9987" max="9992" width="11.453125" style="60"/>
    <col min="9993" max="9993" width="4.54296875" style="60" customWidth="1"/>
    <col min="9994" max="10240" width="11.453125" style="60"/>
    <col min="10241" max="10241" width="4.54296875" style="60" customWidth="1"/>
    <col min="10242" max="10242" width="11.81640625" style="60" bestFit="1" customWidth="1"/>
    <col min="10243" max="10248" width="11.453125" style="60"/>
    <col min="10249" max="10249" width="4.54296875" style="60" customWidth="1"/>
    <col min="10250" max="10496" width="11.453125" style="60"/>
    <col min="10497" max="10497" width="4.54296875" style="60" customWidth="1"/>
    <col min="10498" max="10498" width="11.81640625" style="60" bestFit="1" customWidth="1"/>
    <col min="10499" max="10504" width="11.453125" style="60"/>
    <col min="10505" max="10505" width="4.54296875" style="60" customWidth="1"/>
    <col min="10506" max="10752" width="11.453125" style="60"/>
    <col min="10753" max="10753" width="4.54296875" style="60" customWidth="1"/>
    <col min="10754" max="10754" width="11.81640625" style="60" bestFit="1" customWidth="1"/>
    <col min="10755" max="10760" width="11.453125" style="60"/>
    <col min="10761" max="10761" width="4.54296875" style="60" customWidth="1"/>
    <col min="10762" max="11008" width="11.453125" style="60"/>
    <col min="11009" max="11009" width="4.54296875" style="60" customWidth="1"/>
    <col min="11010" max="11010" width="11.81640625" style="60" bestFit="1" customWidth="1"/>
    <col min="11011" max="11016" width="11.453125" style="60"/>
    <col min="11017" max="11017" width="4.54296875" style="60" customWidth="1"/>
    <col min="11018" max="11264" width="11.453125" style="60"/>
    <col min="11265" max="11265" width="4.54296875" style="60" customWidth="1"/>
    <col min="11266" max="11266" width="11.81640625" style="60" bestFit="1" customWidth="1"/>
    <col min="11267" max="11272" width="11.453125" style="60"/>
    <col min="11273" max="11273" width="4.54296875" style="60" customWidth="1"/>
    <col min="11274" max="11520" width="11.453125" style="60"/>
    <col min="11521" max="11521" width="4.54296875" style="60" customWidth="1"/>
    <col min="11522" max="11522" width="11.81640625" style="60" bestFit="1" customWidth="1"/>
    <col min="11523" max="11528" width="11.453125" style="60"/>
    <col min="11529" max="11529" width="4.54296875" style="60" customWidth="1"/>
    <col min="11530" max="11776" width="11.453125" style="60"/>
    <col min="11777" max="11777" width="4.54296875" style="60" customWidth="1"/>
    <col min="11778" max="11778" width="11.81640625" style="60" bestFit="1" customWidth="1"/>
    <col min="11779" max="11784" width="11.453125" style="60"/>
    <col min="11785" max="11785" width="4.54296875" style="60" customWidth="1"/>
    <col min="11786" max="12032" width="11.453125" style="60"/>
    <col min="12033" max="12033" width="4.54296875" style="60" customWidth="1"/>
    <col min="12034" max="12034" width="11.81640625" style="60" bestFit="1" customWidth="1"/>
    <col min="12035" max="12040" width="11.453125" style="60"/>
    <col min="12041" max="12041" width="4.54296875" style="60" customWidth="1"/>
    <col min="12042" max="12288" width="11.453125" style="60"/>
    <col min="12289" max="12289" width="4.54296875" style="60" customWidth="1"/>
    <col min="12290" max="12290" width="11.81640625" style="60" bestFit="1" customWidth="1"/>
    <col min="12291" max="12296" width="11.453125" style="60"/>
    <col min="12297" max="12297" width="4.54296875" style="60" customWidth="1"/>
    <col min="12298" max="12544" width="11.453125" style="60"/>
    <col min="12545" max="12545" width="4.54296875" style="60" customWidth="1"/>
    <col min="12546" max="12546" width="11.81640625" style="60" bestFit="1" customWidth="1"/>
    <col min="12547" max="12552" width="11.453125" style="60"/>
    <col min="12553" max="12553" width="4.54296875" style="60" customWidth="1"/>
    <col min="12554" max="12800" width="11.453125" style="60"/>
    <col min="12801" max="12801" width="4.54296875" style="60" customWidth="1"/>
    <col min="12802" max="12802" width="11.81640625" style="60" bestFit="1" customWidth="1"/>
    <col min="12803" max="12808" width="11.453125" style="60"/>
    <col min="12809" max="12809" width="4.54296875" style="60" customWidth="1"/>
    <col min="12810" max="13056" width="11.453125" style="60"/>
    <col min="13057" max="13057" width="4.54296875" style="60" customWidth="1"/>
    <col min="13058" max="13058" width="11.81640625" style="60" bestFit="1" customWidth="1"/>
    <col min="13059" max="13064" width="11.453125" style="60"/>
    <col min="13065" max="13065" width="4.54296875" style="60" customWidth="1"/>
    <col min="13066" max="13312" width="11.453125" style="60"/>
    <col min="13313" max="13313" width="4.54296875" style="60" customWidth="1"/>
    <col min="13314" max="13314" width="11.81640625" style="60" bestFit="1" customWidth="1"/>
    <col min="13315" max="13320" width="11.453125" style="60"/>
    <col min="13321" max="13321" width="4.54296875" style="60" customWidth="1"/>
    <col min="13322" max="13568" width="11.453125" style="60"/>
    <col min="13569" max="13569" width="4.54296875" style="60" customWidth="1"/>
    <col min="13570" max="13570" width="11.81640625" style="60" bestFit="1" customWidth="1"/>
    <col min="13571" max="13576" width="11.453125" style="60"/>
    <col min="13577" max="13577" width="4.54296875" style="60" customWidth="1"/>
    <col min="13578" max="13824" width="11.453125" style="60"/>
    <col min="13825" max="13825" width="4.54296875" style="60" customWidth="1"/>
    <col min="13826" max="13826" width="11.81640625" style="60" bestFit="1" customWidth="1"/>
    <col min="13827" max="13832" width="11.453125" style="60"/>
    <col min="13833" max="13833" width="4.54296875" style="60" customWidth="1"/>
    <col min="13834" max="14080" width="11.453125" style="60"/>
    <col min="14081" max="14081" width="4.54296875" style="60" customWidth="1"/>
    <col min="14082" max="14082" width="11.81640625" style="60" bestFit="1" customWidth="1"/>
    <col min="14083" max="14088" width="11.453125" style="60"/>
    <col min="14089" max="14089" width="4.54296875" style="60" customWidth="1"/>
    <col min="14090" max="14336" width="11.453125" style="60"/>
    <col min="14337" max="14337" width="4.54296875" style="60" customWidth="1"/>
    <col min="14338" max="14338" width="11.81640625" style="60" bestFit="1" customWidth="1"/>
    <col min="14339" max="14344" width="11.453125" style="60"/>
    <col min="14345" max="14345" width="4.54296875" style="60" customWidth="1"/>
    <col min="14346" max="14592" width="11.453125" style="60"/>
    <col min="14593" max="14593" width="4.54296875" style="60" customWidth="1"/>
    <col min="14594" max="14594" width="11.81640625" style="60" bestFit="1" customWidth="1"/>
    <col min="14595" max="14600" width="11.453125" style="60"/>
    <col min="14601" max="14601" width="4.54296875" style="60" customWidth="1"/>
    <col min="14602" max="14848" width="11.453125" style="60"/>
    <col min="14849" max="14849" width="4.54296875" style="60" customWidth="1"/>
    <col min="14850" max="14850" width="11.81640625" style="60" bestFit="1" customWidth="1"/>
    <col min="14851" max="14856" width="11.453125" style="60"/>
    <col min="14857" max="14857" width="4.54296875" style="60" customWidth="1"/>
    <col min="14858" max="15104" width="11.453125" style="60"/>
    <col min="15105" max="15105" width="4.54296875" style="60" customWidth="1"/>
    <col min="15106" max="15106" width="11.81640625" style="60" bestFit="1" customWidth="1"/>
    <col min="15107" max="15112" width="11.453125" style="60"/>
    <col min="15113" max="15113" width="4.54296875" style="60" customWidth="1"/>
    <col min="15114" max="15360" width="11.453125" style="60"/>
    <col min="15361" max="15361" width="4.54296875" style="60" customWidth="1"/>
    <col min="15362" max="15362" width="11.81640625" style="60" bestFit="1" customWidth="1"/>
    <col min="15363" max="15368" width="11.453125" style="60"/>
    <col min="15369" max="15369" width="4.54296875" style="60" customWidth="1"/>
    <col min="15370" max="15616" width="11.453125" style="60"/>
    <col min="15617" max="15617" width="4.54296875" style="60" customWidth="1"/>
    <col min="15618" max="15618" width="11.81640625" style="60" bestFit="1" customWidth="1"/>
    <col min="15619" max="15624" width="11.453125" style="60"/>
    <col min="15625" max="15625" width="4.54296875" style="60" customWidth="1"/>
    <col min="15626" max="15872" width="11.453125" style="60"/>
    <col min="15873" max="15873" width="4.54296875" style="60" customWidth="1"/>
    <col min="15874" max="15874" width="11.81640625" style="60" bestFit="1" customWidth="1"/>
    <col min="15875" max="15880" width="11.453125" style="60"/>
    <col min="15881" max="15881" width="4.54296875" style="60" customWidth="1"/>
    <col min="15882" max="16128" width="11.453125" style="60"/>
    <col min="16129" max="16129" width="4.54296875" style="60" customWidth="1"/>
    <col min="16130" max="16130" width="11.81640625" style="60" bestFit="1" customWidth="1"/>
    <col min="16131" max="16136" width="11.453125" style="60"/>
    <col min="16137" max="16137" width="4.54296875" style="60" customWidth="1"/>
    <col min="16138" max="16384" width="11.453125" style="60"/>
  </cols>
  <sheetData>
    <row r="1" spans="1:8" s="64" customFormat="1">
      <c r="A1" s="664"/>
      <c r="B1" s="91" t="str">
        <f>'Instrucciones de uso'!$H$15</f>
        <v>contraseña</v>
      </c>
      <c r="C1" s="91">
        <v>2022</v>
      </c>
      <c r="D1" s="91" t="str">
        <f>'Instrucciones de uso'!$J$15</f>
        <v>contraseña</v>
      </c>
      <c r="E1" s="91" t="str">
        <f>IF(AND('Instrucciones de uso'!$J$14="x",'Instrucciones de uso'!$I$33="SI"),"SI","NO")</f>
        <v>NO</v>
      </c>
    </row>
    <row r="2" spans="1:8" s="665" customFormat="1" ht="50.15" customHeight="1">
      <c r="B2" s="1041" t="s">
        <v>2826</v>
      </c>
      <c r="C2" s="1041"/>
      <c r="D2" s="1041"/>
      <c r="E2" s="1041"/>
      <c r="F2" s="1041"/>
      <c r="G2" s="1041"/>
      <c r="H2" s="1041"/>
    </row>
    <row r="3" spans="1:8" s="64" customFormat="1">
      <c r="B3" s="666" t="s">
        <v>3951</v>
      </c>
      <c r="G3" s="667"/>
    </row>
    <row r="4" spans="1:8">
      <c r="B4" s="1042" t="s">
        <v>18</v>
      </c>
      <c r="C4" s="1042"/>
      <c r="D4" s="1042"/>
      <c r="E4" s="1042"/>
      <c r="F4" s="1042"/>
      <c r="G4" s="1042"/>
      <c r="H4" s="1042"/>
    </row>
    <row r="6" spans="1:8" ht="115" customHeight="1">
      <c r="A6" s="665"/>
      <c r="B6" s="1043" t="s">
        <v>2827</v>
      </c>
      <c r="C6" s="1043" t="s">
        <v>2827</v>
      </c>
      <c r="D6" s="1043" t="s">
        <v>2827</v>
      </c>
      <c r="E6" s="1043" t="s">
        <v>2827</v>
      </c>
      <c r="F6" s="1043" t="s">
        <v>2827</v>
      </c>
      <c r="G6" s="1043" t="s">
        <v>2827</v>
      </c>
      <c r="H6" s="1043" t="s">
        <v>2827</v>
      </c>
    </row>
    <row r="7" spans="1:8" ht="130" customHeight="1">
      <c r="A7" s="665"/>
      <c r="B7" s="1043" t="s">
        <v>2828</v>
      </c>
      <c r="C7" s="1043" t="s">
        <v>2829</v>
      </c>
      <c r="D7" s="1043" t="s">
        <v>2829</v>
      </c>
      <c r="E7" s="1043" t="s">
        <v>2829</v>
      </c>
      <c r="F7" s="1043" t="s">
        <v>2829</v>
      </c>
      <c r="G7" s="1043" t="s">
        <v>2829</v>
      </c>
      <c r="H7" s="1043" t="s">
        <v>2829</v>
      </c>
    </row>
    <row r="8" spans="1:8" ht="80.150000000000006" customHeight="1">
      <c r="A8" s="665"/>
      <c r="B8" s="1043" t="s">
        <v>2830</v>
      </c>
      <c r="C8" s="1043" t="s">
        <v>2831</v>
      </c>
      <c r="D8" s="1043" t="s">
        <v>2831</v>
      </c>
      <c r="E8" s="1043" t="s">
        <v>2831</v>
      </c>
      <c r="F8" s="1043" t="s">
        <v>2831</v>
      </c>
      <c r="G8" s="1043" t="s">
        <v>2831</v>
      </c>
      <c r="H8" s="1043" t="s">
        <v>2831</v>
      </c>
    </row>
    <row r="9" spans="1:8" ht="15" customHeight="1">
      <c r="A9" s="665"/>
      <c r="B9" s="188"/>
      <c r="C9" s="188"/>
      <c r="D9" s="188"/>
      <c r="E9" s="188"/>
      <c r="F9" s="188"/>
      <c r="G9" s="188"/>
      <c r="H9" s="188"/>
    </row>
    <row r="10" spans="1:8" ht="15" customHeight="1">
      <c r="A10" s="665"/>
      <c r="B10" s="188"/>
      <c r="D10" s="668" t="s">
        <v>2832</v>
      </c>
      <c r="E10" s="668" t="s">
        <v>2081</v>
      </c>
      <c r="F10" s="188"/>
      <c r="G10" s="188"/>
      <c r="H10" s="188"/>
    </row>
    <row r="11" spans="1:8" ht="15" customHeight="1">
      <c r="A11" s="665"/>
      <c r="B11" s="188"/>
      <c r="D11" s="669">
        <v>2023</v>
      </c>
      <c r="E11" s="670">
        <v>2000000</v>
      </c>
      <c r="F11" s="188"/>
      <c r="G11" s="188"/>
      <c r="H11" s="188"/>
    </row>
    <row r="12" spans="1:8" ht="15" customHeight="1">
      <c r="A12" s="665"/>
      <c r="B12" s="188"/>
      <c r="D12" s="671">
        <v>2024</v>
      </c>
      <c r="E12" s="672">
        <v>2500000</v>
      </c>
      <c r="F12" s="188"/>
      <c r="G12" s="188"/>
      <c r="H12" s="188"/>
    </row>
    <row r="13" spans="1:8" ht="15" customHeight="1">
      <c r="A13" s="665"/>
      <c r="B13" s="188"/>
      <c r="D13" s="673">
        <v>2025</v>
      </c>
      <c r="E13" s="672">
        <v>3000000</v>
      </c>
      <c r="F13" s="188"/>
      <c r="G13" s="188"/>
      <c r="H13" s="188"/>
    </row>
    <row r="14" spans="1:8" ht="15" customHeight="1">
      <c r="A14" s="665"/>
      <c r="B14" s="188"/>
      <c r="D14" s="673">
        <v>2026</v>
      </c>
      <c r="E14" s="672">
        <v>3000000</v>
      </c>
      <c r="F14" s="188"/>
      <c r="G14" s="188"/>
      <c r="H14" s="188"/>
    </row>
    <row r="15" spans="1:8" ht="15" customHeight="1">
      <c r="A15" s="665"/>
      <c r="B15" s="188"/>
      <c r="D15" s="674">
        <v>2027</v>
      </c>
      <c r="E15" s="675">
        <v>3000000</v>
      </c>
      <c r="F15" s="188"/>
      <c r="G15" s="188"/>
      <c r="H15" s="188"/>
    </row>
    <row r="16" spans="1:8" ht="15" customHeight="1">
      <c r="A16" s="665"/>
      <c r="B16" s="188"/>
      <c r="C16" s="188"/>
      <c r="D16" s="188"/>
      <c r="E16" s="188"/>
      <c r="F16" s="188"/>
      <c r="G16" s="188"/>
      <c r="H16" s="188"/>
    </row>
    <row r="17" spans="1:8" ht="50.15" customHeight="1">
      <c r="A17" s="665"/>
      <c r="B17" s="1043" t="s">
        <v>2833</v>
      </c>
      <c r="C17" s="1043" t="s">
        <v>2834</v>
      </c>
      <c r="D17" s="1043" t="s">
        <v>2834</v>
      </c>
      <c r="E17" s="1043" t="s">
        <v>2834</v>
      </c>
      <c r="F17" s="1043" t="s">
        <v>2834</v>
      </c>
      <c r="G17" s="1043" t="s">
        <v>2834</v>
      </c>
      <c r="H17" s="1043" t="s">
        <v>2834</v>
      </c>
    </row>
    <row r="18" spans="1:8" ht="50.15" customHeight="1">
      <c r="A18" s="665"/>
      <c r="B18" s="1043" t="s">
        <v>2835</v>
      </c>
      <c r="C18" s="1043" t="s">
        <v>2836</v>
      </c>
      <c r="D18" s="1043" t="s">
        <v>2836</v>
      </c>
      <c r="E18" s="1043" t="s">
        <v>2836</v>
      </c>
      <c r="F18" s="1043" t="s">
        <v>2836</v>
      </c>
      <c r="G18" s="1043" t="s">
        <v>2836</v>
      </c>
      <c r="H18" s="1043" t="s">
        <v>2836</v>
      </c>
    </row>
    <row r="19" spans="1:8" ht="140.15" customHeight="1">
      <c r="A19" s="665"/>
      <c r="B19" s="1043" t="s">
        <v>2837</v>
      </c>
      <c r="C19" s="1043" t="s">
        <v>2838</v>
      </c>
      <c r="D19" s="1043" t="s">
        <v>2838</v>
      </c>
      <c r="E19" s="1043" t="s">
        <v>2838</v>
      </c>
      <c r="F19" s="1043" t="s">
        <v>2838</v>
      </c>
      <c r="G19" s="1043" t="s">
        <v>2838</v>
      </c>
      <c r="H19" s="1043" t="s">
        <v>2838</v>
      </c>
    </row>
    <row r="20" spans="1:8">
      <c r="A20" s="665"/>
      <c r="B20" s="174"/>
      <c r="C20" s="174"/>
      <c r="D20" s="174"/>
      <c r="E20" s="174"/>
      <c r="F20" s="174"/>
      <c r="G20" s="174"/>
      <c r="H20" s="174"/>
    </row>
    <row r="21" spans="1:8" ht="50.15" customHeight="1">
      <c r="A21" s="665"/>
      <c r="B21" s="1043" t="s">
        <v>2839</v>
      </c>
      <c r="C21" s="1043" t="s">
        <v>2839</v>
      </c>
      <c r="D21" s="1043" t="s">
        <v>2839</v>
      </c>
      <c r="E21" s="1043" t="s">
        <v>2839</v>
      </c>
      <c r="F21" s="1043" t="s">
        <v>2839</v>
      </c>
      <c r="G21" s="1043" t="s">
        <v>2839</v>
      </c>
      <c r="H21" s="1043" t="s">
        <v>2839</v>
      </c>
    </row>
    <row r="22" spans="1:8" ht="80.150000000000006" customHeight="1">
      <c r="A22" s="665"/>
      <c r="B22" s="1043" t="s">
        <v>2840</v>
      </c>
      <c r="C22" s="1043" t="s">
        <v>2840</v>
      </c>
      <c r="D22" s="1043" t="s">
        <v>2840</v>
      </c>
      <c r="E22" s="1043" t="s">
        <v>2840</v>
      </c>
      <c r="F22" s="1043" t="s">
        <v>2840</v>
      </c>
      <c r="G22" s="1043" t="s">
        <v>2840</v>
      </c>
      <c r="H22" s="1043" t="s">
        <v>2840</v>
      </c>
    </row>
    <row r="23" spans="1:8" ht="55" customHeight="1">
      <c r="A23" s="665"/>
      <c r="B23" s="1043" t="s">
        <v>2841</v>
      </c>
      <c r="C23" s="1043" t="s">
        <v>2842</v>
      </c>
      <c r="D23" s="1043" t="s">
        <v>2842</v>
      </c>
      <c r="E23" s="1043" t="s">
        <v>2842</v>
      </c>
      <c r="F23" s="1043" t="s">
        <v>2842</v>
      </c>
      <c r="G23" s="1043" t="s">
        <v>2842</v>
      </c>
      <c r="H23" s="1043" t="s">
        <v>2842</v>
      </c>
    </row>
    <row r="24" spans="1:8">
      <c r="A24" s="665"/>
      <c r="B24" s="174"/>
      <c r="C24" s="174"/>
      <c r="D24" s="174"/>
      <c r="E24" s="174"/>
      <c r="F24" s="174"/>
      <c r="G24" s="174"/>
      <c r="H24" s="174"/>
    </row>
    <row r="25" spans="1:8">
      <c r="B25" s="1040" t="s">
        <v>17</v>
      </c>
      <c r="C25" s="1040"/>
      <c r="D25" s="1040"/>
      <c r="E25" s="1040"/>
      <c r="F25" s="1040"/>
      <c r="G25" s="1040"/>
      <c r="H25" s="1040"/>
    </row>
  </sheetData>
  <sheetProtection algorithmName="SHA-512" hashValue="NweD3W+y1RKz7NSY0+OwsgK9FX2sB3aZ1x0nuLVNc2ZOnSksa15lYOFZVA18lSeQRYToMLgJIc9/KE4RNRFmIQ==" saltValue="+CzjjhkGB9KBtqRoEMPUGw==" spinCount="100000" sheet="1" selectLockedCells="1"/>
  <mergeCells count="12">
    <mergeCell ref="B25:H25"/>
    <mergeCell ref="B2:H2"/>
    <mergeCell ref="B4:H4"/>
    <mergeCell ref="B6:H6"/>
    <mergeCell ref="B7:H7"/>
    <mergeCell ref="B8:H8"/>
    <mergeCell ref="B17:H17"/>
    <mergeCell ref="B18:H18"/>
    <mergeCell ref="B19:H19"/>
    <mergeCell ref="B21:H21"/>
    <mergeCell ref="B22:H22"/>
    <mergeCell ref="B23:H23"/>
  </mergeCells>
  <conditionalFormatting sqref="B1:H1">
    <cfRule type="expression" dxfId="89" priority="2" stopIfTrue="1">
      <formula>NOT($A$1="javi")</formula>
    </cfRule>
  </conditionalFormatting>
  <conditionalFormatting sqref="A1:XFD1048576">
    <cfRule type="expression" dxfId="88" priority="1" stopIfTrue="1">
      <formula>NOT($E$1="SI")</formula>
    </cfRule>
  </conditionalFormatting>
  <pageMargins left="0.70866141732283472" right="0.70866141732283472" top="0.74803149606299213" bottom="0.74803149606299213" header="0.31496062992125984" footer="0.31496062992125984"/>
  <pageSetup scale="90" orientation="portrait" r:id="rId1"/>
  <headerFooter>
    <oddHeader>&amp;CEmpresa DISVISA - Caso práctico de inversión en condiciones de certeza: Incrementalidad, FM, inflación - Enunciado</oddHeader>
    <oddFooter>&amp;CPágina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9800C-96C1-43ED-9EB1-328ABF30B3CE}">
  <dimension ref="A1:P73"/>
  <sheetViews>
    <sheetView showGridLines="0" zoomScale="90" zoomScaleNormal="90" workbookViewId="0">
      <selection activeCell="B2" sqref="B2:N2"/>
    </sheetView>
  </sheetViews>
  <sheetFormatPr baseColWidth="10" defaultColWidth="11.453125" defaultRowHeight="14.5"/>
  <cols>
    <col min="1" max="1" width="3.54296875" style="59" customWidth="1"/>
    <col min="2" max="6" width="9.54296875" style="59" customWidth="1"/>
    <col min="7" max="16384" width="11.453125" style="59"/>
  </cols>
  <sheetData>
    <row r="1" spans="1:14">
      <c r="A1" s="66"/>
      <c r="B1" s="594" t="s">
        <v>3951</v>
      </c>
    </row>
    <row r="2" spans="1:14">
      <c r="A2" s="66" t="str">
        <f>IF(AND('Instrucciones de uso'!$J$14="x",'Instrucciones de uso'!$I$33="SI"),"SI","NO")</f>
        <v>NO</v>
      </c>
      <c r="B2" s="1044" t="s">
        <v>2843</v>
      </c>
      <c r="C2" s="1044"/>
      <c r="D2" s="1044"/>
      <c r="E2" s="1044"/>
      <c r="F2" s="1044"/>
      <c r="G2" s="1044"/>
      <c r="H2" s="1044"/>
      <c r="I2" s="1044"/>
      <c r="J2" s="1044"/>
      <c r="K2" s="1044"/>
      <c r="L2" s="1044"/>
      <c r="M2" s="1044"/>
      <c r="N2" s="1044"/>
    </row>
    <row r="3" spans="1:14">
      <c r="A3" s="66"/>
    </row>
    <row r="4" spans="1:14" ht="15" customHeight="1">
      <c r="G4" s="676"/>
      <c r="H4" s="676"/>
      <c r="I4" s="676"/>
      <c r="J4" s="676"/>
      <c r="K4" s="676"/>
      <c r="L4" s="676"/>
      <c r="M4" s="676"/>
      <c r="N4" s="676"/>
    </row>
    <row r="5" spans="1:14">
      <c r="G5" s="676"/>
      <c r="H5" s="676"/>
      <c r="I5" s="676"/>
      <c r="J5" s="676"/>
      <c r="K5" s="676"/>
      <c r="L5" s="676"/>
      <c r="M5" s="676"/>
      <c r="N5" s="676"/>
    </row>
    <row r="6" spans="1:14">
      <c r="G6" s="676"/>
      <c r="H6" s="676"/>
      <c r="I6" s="676"/>
      <c r="J6" s="676"/>
      <c r="K6" s="676"/>
      <c r="L6" s="676"/>
      <c r="M6" s="676"/>
      <c r="N6" s="676"/>
    </row>
    <row r="7" spans="1:14">
      <c r="G7" s="676"/>
      <c r="H7" s="676"/>
      <c r="I7" s="676"/>
      <c r="J7" s="676"/>
      <c r="K7" s="676"/>
      <c r="L7" s="676"/>
      <c r="M7" s="676"/>
      <c r="N7" s="676"/>
    </row>
    <row r="8" spans="1:14">
      <c r="G8" s="676"/>
      <c r="H8" s="676"/>
      <c r="I8" s="676"/>
      <c r="J8" s="676"/>
      <c r="K8" s="676"/>
      <c r="L8" s="676"/>
      <c r="M8" s="676"/>
      <c r="N8" s="676"/>
    </row>
    <row r="9" spans="1:14">
      <c r="G9" s="676"/>
      <c r="H9" s="676"/>
      <c r="I9" s="676"/>
      <c r="J9" s="676"/>
      <c r="K9" s="676"/>
      <c r="L9" s="676"/>
      <c r="M9" s="676"/>
      <c r="N9" s="676"/>
    </row>
    <row r="10" spans="1:14">
      <c r="G10" s="676"/>
      <c r="H10" s="676"/>
      <c r="I10" s="676"/>
      <c r="J10" s="676"/>
      <c r="K10" s="676"/>
      <c r="L10" s="676"/>
      <c r="M10" s="676"/>
      <c r="N10" s="676"/>
    </row>
    <row r="11" spans="1:14">
      <c r="G11" s="676"/>
      <c r="H11" s="676"/>
      <c r="I11" s="676"/>
      <c r="J11" s="676"/>
      <c r="K11" s="676"/>
      <c r="L11" s="676"/>
      <c r="M11" s="676"/>
      <c r="N11" s="676"/>
    </row>
    <row r="12" spans="1:14">
      <c r="G12" s="676"/>
      <c r="H12" s="676"/>
      <c r="I12" s="676"/>
      <c r="J12" s="676"/>
      <c r="K12" s="676"/>
      <c r="L12" s="676"/>
      <c r="M12" s="676"/>
      <c r="N12" s="676"/>
    </row>
    <row r="13" spans="1:14">
      <c r="G13" s="676"/>
      <c r="H13" s="676"/>
      <c r="I13" s="676"/>
      <c r="J13" s="676"/>
      <c r="K13" s="676"/>
      <c r="L13" s="676"/>
      <c r="M13" s="676"/>
      <c r="N13" s="676"/>
    </row>
    <row r="14" spans="1:14">
      <c r="G14" s="676"/>
      <c r="H14" s="676"/>
      <c r="I14" s="676"/>
      <c r="J14" s="676"/>
      <c r="K14" s="676"/>
      <c r="L14" s="676"/>
      <c r="M14" s="676"/>
      <c r="N14" s="676"/>
    </row>
    <row r="15" spans="1:14">
      <c r="G15" s="676"/>
      <c r="H15" s="676"/>
      <c r="I15" s="676"/>
      <c r="J15" s="676"/>
      <c r="K15" s="676"/>
      <c r="L15" s="676"/>
      <c r="M15" s="676"/>
      <c r="N15" s="676"/>
    </row>
    <row r="16" spans="1:14">
      <c r="G16" s="676"/>
      <c r="H16" s="676"/>
      <c r="I16" s="676"/>
      <c r="J16" s="676"/>
      <c r="K16" s="676"/>
      <c r="L16" s="676"/>
      <c r="M16" s="676"/>
      <c r="N16" s="676"/>
    </row>
    <row r="17" spans="2:14">
      <c r="G17" s="676"/>
      <c r="H17" s="676"/>
      <c r="I17" s="676"/>
      <c r="J17" s="676"/>
      <c r="K17" s="676"/>
      <c r="L17" s="676"/>
      <c r="M17" s="676"/>
      <c r="N17" s="676"/>
    </row>
    <row r="18" spans="2:14">
      <c r="G18" s="676"/>
      <c r="H18" s="676"/>
      <c r="I18" s="676"/>
      <c r="J18" s="676"/>
      <c r="K18" s="676"/>
      <c r="L18" s="676"/>
      <c r="M18" s="676"/>
      <c r="N18" s="676"/>
    </row>
    <row r="19" spans="2:14">
      <c r="G19" s="676"/>
      <c r="H19" s="676"/>
      <c r="I19" s="676"/>
      <c r="J19" s="676"/>
      <c r="K19" s="676"/>
      <c r="L19" s="676"/>
      <c r="M19" s="676"/>
      <c r="N19" s="676"/>
    </row>
    <row r="20" spans="2:14">
      <c r="G20" s="676"/>
      <c r="H20" s="676"/>
      <c r="I20" s="676"/>
      <c r="J20" s="676"/>
      <c r="K20" s="676"/>
      <c r="L20" s="676"/>
      <c r="M20" s="676"/>
      <c r="N20" s="676"/>
    </row>
    <row r="21" spans="2:14">
      <c r="G21" s="676"/>
      <c r="H21" s="676"/>
      <c r="I21" s="676"/>
      <c r="J21" s="676"/>
      <c r="K21" s="676"/>
      <c r="L21" s="676"/>
      <c r="M21" s="676"/>
      <c r="N21" s="676"/>
    </row>
    <row r="26" spans="2:14">
      <c r="B26" s="1044" t="s">
        <v>2844</v>
      </c>
      <c r="C26" s="1044"/>
      <c r="D26" s="1044"/>
      <c r="E26" s="1044"/>
      <c r="F26" s="1044"/>
      <c r="G26" s="1044"/>
      <c r="H26" s="1044"/>
      <c r="I26" s="1044"/>
      <c r="J26" s="1044"/>
      <c r="K26" s="1044"/>
      <c r="L26" s="1044"/>
      <c r="M26" s="1044"/>
      <c r="N26" s="1044"/>
    </row>
    <row r="52" spans="2:16">
      <c r="B52" s="594" t="s">
        <v>3951</v>
      </c>
    </row>
    <row r="53" spans="2:16">
      <c r="B53" s="1044" t="s">
        <v>2845</v>
      </c>
      <c r="C53" s="1044"/>
      <c r="D53" s="1044"/>
      <c r="E53" s="1044"/>
      <c r="F53" s="1044"/>
      <c r="G53" s="1044"/>
      <c r="H53" s="1044"/>
      <c r="I53" s="1044"/>
      <c r="J53" s="1044"/>
      <c r="K53" s="1044"/>
      <c r="L53" s="1044"/>
      <c r="M53" s="1044"/>
      <c r="N53" s="1044"/>
    </row>
    <row r="56" spans="2:16">
      <c r="L56" s="677"/>
      <c r="M56" s="677"/>
      <c r="N56" s="677"/>
      <c r="O56" s="677"/>
      <c r="P56" s="677"/>
    </row>
    <row r="57" spans="2:16">
      <c r="C57" s="61"/>
      <c r="D57" s="1045" t="s">
        <v>2846</v>
      </c>
      <c r="E57" s="1045"/>
      <c r="F57" s="1045"/>
      <c r="G57" s="1045"/>
      <c r="H57" s="1045"/>
      <c r="I57" s="1045"/>
      <c r="J57" s="1045"/>
      <c r="K57" s="1045"/>
      <c r="L57" s="677"/>
      <c r="M57" s="677"/>
      <c r="N57" s="677"/>
      <c r="O57" s="677"/>
      <c r="P57" s="677"/>
    </row>
    <row r="58" spans="2:16">
      <c r="C58" s="61"/>
      <c r="D58" s="678"/>
      <c r="E58" s="678"/>
      <c r="F58" s="678"/>
      <c r="G58" s="678"/>
      <c r="H58" s="678"/>
      <c r="I58" s="678"/>
      <c r="J58" s="679"/>
      <c r="K58" s="679"/>
      <c r="L58" s="677"/>
      <c r="M58" s="677"/>
      <c r="N58" s="677"/>
      <c r="O58" s="677"/>
      <c r="P58" s="677"/>
    </row>
    <row r="59" spans="2:16">
      <c r="C59" s="61"/>
      <c r="D59" s="678"/>
      <c r="E59" s="678"/>
      <c r="F59" s="678"/>
      <c r="G59" s="678"/>
      <c r="H59" s="678"/>
      <c r="I59" s="678"/>
      <c r="J59" s="679"/>
      <c r="K59" s="679"/>
      <c r="L59" s="677"/>
      <c r="M59" s="677"/>
      <c r="N59" s="677"/>
      <c r="O59" s="677"/>
      <c r="P59" s="677"/>
    </row>
    <row r="60" spans="2:16">
      <c r="C60" s="61"/>
      <c r="D60" s="678"/>
      <c r="E60" s="678"/>
      <c r="F60" s="678"/>
      <c r="G60" s="678"/>
      <c r="H60" s="678"/>
      <c r="I60" s="678"/>
      <c r="J60" s="679"/>
      <c r="K60" s="679"/>
      <c r="L60" s="677"/>
      <c r="M60" s="677"/>
      <c r="N60" s="677"/>
      <c r="O60" s="677"/>
      <c r="P60" s="677"/>
    </row>
    <row r="61" spans="2:16">
      <c r="C61" s="61"/>
      <c r="D61" s="678"/>
      <c r="E61" s="678"/>
      <c r="F61" s="678"/>
      <c r="G61" s="678"/>
      <c r="H61" s="678"/>
      <c r="I61" s="678"/>
      <c r="J61" s="679"/>
      <c r="K61" s="679"/>
      <c r="L61" s="677"/>
      <c r="M61" s="677"/>
      <c r="N61" s="677"/>
      <c r="O61" s="677"/>
      <c r="P61" s="677"/>
    </row>
    <row r="62" spans="2:16">
      <c r="C62" s="61"/>
      <c r="D62" s="678"/>
      <c r="E62" s="678"/>
      <c r="F62" s="678"/>
      <c r="G62" s="678"/>
      <c r="H62" s="678"/>
      <c r="I62" s="678"/>
      <c r="J62" s="679"/>
      <c r="K62" s="679"/>
      <c r="L62" s="677"/>
      <c r="M62" s="677"/>
      <c r="N62" s="677"/>
      <c r="O62" s="677"/>
      <c r="P62" s="677"/>
    </row>
    <row r="63" spans="2:16">
      <c r="C63" s="61"/>
      <c r="D63" s="678"/>
      <c r="E63" s="678"/>
      <c r="F63" s="678"/>
      <c r="G63" s="678"/>
      <c r="H63" s="678"/>
      <c r="I63" s="678"/>
      <c r="J63" s="679"/>
      <c r="K63" s="679"/>
      <c r="L63" s="677"/>
      <c r="M63" s="677"/>
      <c r="N63" s="677"/>
      <c r="O63" s="677"/>
      <c r="P63" s="677"/>
    </row>
    <row r="64" spans="2:16">
      <c r="C64" s="61"/>
      <c r="D64" s="61"/>
      <c r="E64" s="61"/>
      <c r="F64" s="61"/>
      <c r="G64" s="61"/>
      <c r="H64" s="61"/>
      <c r="I64" s="61"/>
      <c r="J64" s="61"/>
      <c r="K64" s="61"/>
      <c r="L64" s="677"/>
      <c r="M64" s="677"/>
      <c r="N64" s="677"/>
      <c r="O64" s="677"/>
      <c r="P64" s="677"/>
    </row>
    <row r="65" spans="3:16">
      <c r="C65" s="61"/>
      <c r="D65" s="1045" t="s">
        <v>2847</v>
      </c>
      <c r="E65" s="1045"/>
      <c r="F65" s="1045"/>
      <c r="G65" s="1045"/>
      <c r="H65" s="1045"/>
      <c r="I65" s="1045"/>
      <c r="J65" s="1045"/>
      <c r="K65" s="1045"/>
      <c r="L65" s="677"/>
      <c r="M65" s="677"/>
      <c r="N65" s="677"/>
      <c r="O65" s="677"/>
      <c r="P65" s="677"/>
    </row>
    <row r="66" spans="3:16">
      <c r="C66" s="61"/>
      <c r="D66" s="680"/>
      <c r="E66" s="680"/>
      <c r="F66" s="680"/>
      <c r="G66" s="680"/>
      <c r="H66" s="680"/>
      <c r="I66" s="680"/>
      <c r="J66" s="680"/>
      <c r="K66" s="680"/>
      <c r="L66" s="677"/>
      <c r="M66" s="677"/>
      <c r="N66" s="677"/>
      <c r="O66" s="677"/>
      <c r="P66" s="677"/>
    </row>
    <row r="67" spans="3:16">
      <c r="C67" s="61"/>
      <c r="D67" s="680"/>
      <c r="E67" s="680"/>
      <c r="F67" s="680"/>
      <c r="G67" s="680"/>
      <c r="H67" s="680"/>
      <c r="I67" s="680"/>
      <c r="J67" s="680"/>
      <c r="K67" s="680"/>
      <c r="L67" s="677"/>
      <c r="M67" s="677"/>
      <c r="N67" s="677"/>
      <c r="O67" s="677"/>
      <c r="P67" s="677"/>
    </row>
    <row r="68" spans="3:16">
      <c r="C68" s="61"/>
      <c r="D68" s="680"/>
      <c r="E68" s="680"/>
      <c r="F68" s="680"/>
      <c r="G68" s="680"/>
      <c r="H68" s="680"/>
      <c r="I68" s="680"/>
      <c r="J68" s="680"/>
      <c r="K68" s="680"/>
      <c r="L68" s="677"/>
      <c r="M68" s="677"/>
      <c r="N68" s="677"/>
      <c r="O68" s="677"/>
      <c r="P68" s="677"/>
    </row>
    <row r="69" spans="3:16">
      <c r="C69" s="61"/>
      <c r="D69" s="680"/>
      <c r="E69" s="680"/>
      <c r="F69" s="680"/>
      <c r="G69" s="680"/>
      <c r="H69" s="680"/>
      <c r="I69" s="680"/>
      <c r="J69" s="680"/>
      <c r="K69" s="680"/>
      <c r="L69" s="677"/>
      <c r="M69" s="677"/>
      <c r="N69" s="677"/>
      <c r="O69" s="677"/>
      <c r="P69" s="677"/>
    </row>
    <row r="70" spans="3:16">
      <c r="C70" s="61"/>
      <c r="D70" s="680"/>
      <c r="E70" s="680"/>
      <c r="F70" s="680"/>
      <c r="G70" s="680"/>
      <c r="H70" s="680"/>
      <c r="I70" s="680"/>
      <c r="J70" s="680"/>
      <c r="K70" s="680"/>
      <c r="L70" s="677"/>
      <c r="M70" s="677"/>
      <c r="N70" s="677"/>
      <c r="O70" s="677"/>
      <c r="P70" s="677"/>
    </row>
    <row r="71" spans="3:16">
      <c r="C71" s="61"/>
      <c r="D71" s="680"/>
      <c r="E71" s="680"/>
      <c r="F71" s="680"/>
      <c r="G71" s="680"/>
      <c r="H71" s="680"/>
      <c r="I71" s="680"/>
      <c r="J71" s="680"/>
      <c r="K71" s="680"/>
      <c r="L71" s="677"/>
      <c r="M71" s="677"/>
      <c r="N71" s="677"/>
      <c r="O71" s="677"/>
      <c r="P71" s="677"/>
    </row>
    <row r="72" spans="3:16">
      <c r="L72" s="677"/>
      <c r="M72" s="677"/>
      <c r="N72" s="677"/>
      <c r="O72" s="677"/>
      <c r="P72" s="677"/>
    </row>
    <row r="73" spans="3:16">
      <c r="L73" s="677"/>
      <c r="M73" s="677"/>
      <c r="N73" s="677"/>
      <c r="O73" s="677"/>
      <c r="P73" s="677"/>
    </row>
  </sheetData>
  <sheetProtection algorithmName="SHA-512" hashValue="BCVKDmEEcGkhJPJnWZZdEiuGDRjFDiIPkf7lyf+hgEDlEcq0aMflGQav3e/vZa2reYbxS+NiURzyCGC0SRNaqw==" saltValue="eqZGPpKY6nrrgJJ5yWNDBw==" spinCount="100000" sheet="1" selectLockedCells="1"/>
  <mergeCells count="5">
    <mergeCell ref="B2:N2"/>
    <mergeCell ref="B26:N26"/>
    <mergeCell ref="B53:N53"/>
    <mergeCell ref="D57:K57"/>
    <mergeCell ref="D65:K65"/>
  </mergeCells>
  <conditionalFormatting sqref="A2:A4">
    <cfRule type="expression" dxfId="87" priority="2" stopIfTrue="1">
      <formula>NOT($A$1="javi")</formula>
    </cfRule>
  </conditionalFormatting>
  <conditionalFormatting sqref="A1:XFD1048576">
    <cfRule type="expression" dxfId="86" priority="1" stopIfTrue="1">
      <formula>NOT($A$2="SI")</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&amp;C&amp;A</oddHeader>
    <oddFooter>&amp;CPágina &amp;P de &amp;N</oddFooter>
  </headerFooter>
  <rowBreaks count="1" manualBreakCount="1">
    <brk id="5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D7B67-EBD2-47A5-9757-2E82ACDC535A}">
  <dimension ref="A1:S70"/>
  <sheetViews>
    <sheetView showGridLines="0" zoomScale="90" zoomScaleNormal="90" workbookViewId="0">
      <selection activeCell="B2" sqref="B2:S2"/>
    </sheetView>
  </sheetViews>
  <sheetFormatPr baseColWidth="10" defaultColWidth="11.453125" defaultRowHeight="14.5"/>
  <cols>
    <col min="1" max="1" width="3.54296875" style="59" customWidth="1"/>
    <col min="2" max="6" width="9.54296875" style="59" customWidth="1"/>
    <col min="7" max="16384" width="11.453125" style="59"/>
  </cols>
  <sheetData>
    <row r="1" spans="1:19">
      <c r="A1" s="66"/>
      <c r="B1" s="681" t="s">
        <v>3951</v>
      </c>
    </row>
    <row r="2" spans="1:19">
      <c r="A2" s="66" t="str">
        <f>IF(AND('Instrucciones de uso'!$J$14="x",'Instrucciones de uso'!$I$33="SI"),"SI","NO")</f>
        <v>NO</v>
      </c>
      <c r="B2" s="1047" t="s">
        <v>2843</v>
      </c>
      <c r="C2" s="1047"/>
      <c r="D2" s="1047"/>
      <c r="E2" s="1047"/>
      <c r="F2" s="1047"/>
      <c r="G2" s="1047"/>
      <c r="H2" s="1047"/>
      <c r="I2" s="1047"/>
      <c r="J2" s="1047"/>
      <c r="K2" s="1047"/>
      <c r="L2" s="1047"/>
      <c r="M2" s="1047"/>
      <c r="N2" s="1047"/>
      <c r="O2" s="1047"/>
      <c r="P2" s="1047"/>
      <c r="Q2" s="1047"/>
      <c r="R2" s="1047"/>
      <c r="S2" s="1047"/>
    </row>
    <row r="3" spans="1:19">
      <c r="A3" s="66"/>
    </row>
    <row r="4" spans="1:19" ht="15" customHeight="1">
      <c r="G4" s="1048" t="s">
        <v>4149</v>
      </c>
      <c r="H4" s="1048"/>
      <c r="I4" s="1048"/>
      <c r="J4" s="1048"/>
      <c r="K4" s="1048"/>
      <c r="L4" s="1048"/>
      <c r="M4" s="1048"/>
      <c r="N4" s="1048"/>
      <c r="O4" s="1048"/>
      <c r="P4" s="1048"/>
      <c r="Q4" s="1048"/>
      <c r="R4" s="1048"/>
      <c r="S4" s="1048"/>
    </row>
    <row r="5" spans="1:19">
      <c r="G5" s="1048"/>
      <c r="H5" s="1048"/>
      <c r="I5" s="1048"/>
      <c r="J5" s="1048"/>
      <c r="K5" s="1048"/>
      <c r="L5" s="1048"/>
      <c r="M5" s="1048"/>
      <c r="N5" s="1048"/>
      <c r="O5" s="1048"/>
      <c r="P5" s="1048"/>
      <c r="Q5" s="1048"/>
      <c r="R5" s="1048"/>
      <c r="S5" s="1048"/>
    </row>
    <row r="6" spans="1:19">
      <c r="G6" s="1048"/>
      <c r="H6" s="1048"/>
      <c r="I6" s="1048"/>
      <c r="J6" s="1048"/>
      <c r="K6" s="1048"/>
      <c r="L6" s="1048"/>
      <c r="M6" s="1048"/>
      <c r="N6" s="1048"/>
      <c r="O6" s="1048"/>
      <c r="P6" s="1048"/>
      <c r="Q6" s="1048"/>
      <c r="R6" s="1048"/>
      <c r="S6" s="1048"/>
    </row>
    <row r="7" spans="1:19">
      <c r="G7" s="1048"/>
      <c r="H7" s="1048"/>
      <c r="I7" s="1048"/>
      <c r="J7" s="1048"/>
      <c r="K7" s="1048"/>
      <c r="L7" s="1048"/>
      <c r="M7" s="1048"/>
      <c r="N7" s="1048"/>
      <c r="O7" s="1048"/>
      <c r="P7" s="1048"/>
      <c r="Q7" s="1048"/>
      <c r="R7" s="1048"/>
      <c r="S7" s="1048"/>
    </row>
    <row r="8" spans="1:19">
      <c r="G8" s="1048"/>
      <c r="H8" s="1048"/>
      <c r="I8" s="1048"/>
      <c r="J8" s="1048"/>
      <c r="K8" s="1048"/>
      <c r="L8" s="1048"/>
      <c r="M8" s="1048"/>
      <c r="N8" s="1048"/>
      <c r="O8" s="1048"/>
      <c r="P8" s="1048"/>
      <c r="Q8" s="1048"/>
      <c r="R8" s="1048"/>
      <c r="S8" s="1048"/>
    </row>
    <row r="9" spans="1:19">
      <c r="G9" s="1048"/>
      <c r="H9" s="1048"/>
      <c r="I9" s="1048"/>
      <c r="J9" s="1048"/>
      <c r="K9" s="1048"/>
      <c r="L9" s="1048"/>
      <c r="M9" s="1048"/>
      <c r="N9" s="1048"/>
      <c r="O9" s="1048"/>
      <c r="P9" s="1048"/>
      <c r="Q9" s="1048"/>
      <c r="R9" s="1048"/>
      <c r="S9" s="1048"/>
    </row>
    <row r="10" spans="1:19">
      <c r="G10" s="1048"/>
      <c r="H10" s="1048"/>
      <c r="I10" s="1048"/>
      <c r="J10" s="1048"/>
      <c r="K10" s="1048"/>
      <c r="L10" s="1048"/>
      <c r="M10" s="1048"/>
      <c r="N10" s="1048"/>
      <c r="O10" s="1048"/>
      <c r="P10" s="1048"/>
      <c r="Q10" s="1048"/>
      <c r="R10" s="1048"/>
      <c r="S10" s="1048"/>
    </row>
    <row r="11" spans="1:19">
      <c r="G11" s="1048"/>
      <c r="H11" s="1048"/>
      <c r="I11" s="1048"/>
      <c r="J11" s="1048"/>
      <c r="K11" s="1048"/>
      <c r="L11" s="1048"/>
      <c r="M11" s="1048"/>
      <c r="N11" s="1048"/>
      <c r="O11" s="1048"/>
      <c r="P11" s="1048"/>
      <c r="Q11" s="1048"/>
      <c r="R11" s="1048"/>
      <c r="S11" s="1048"/>
    </row>
    <row r="12" spans="1:19">
      <c r="G12" s="1048"/>
      <c r="H12" s="1048"/>
      <c r="I12" s="1048"/>
      <c r="J12" s="1048"/>
      <c r="K12" s="1048"/>
      <c r="L12" s="1048"/>
      <c r="M12" s="1048"/>
      <c r="N12" s="1048"/>
      <c r="O12" s="1048"/>
      <c r="P12" s="1048"/>
      <c r="Q12" s="1048"/>
      <c r="R12" s="1048"/>
      <c r="S12" s="1048"/>
    </row>
    <row r="13" spans="1:19">
      <c r="G13" s="1048"/>
      <c r="H13" s="1048"/>
      <c r="I13" s="1048"/>
      <c r="J13" s="1048"/>
      <c r="K13" s="1048"/>
      <c r="L13" s="1048"/>
      <c r="M13" s="1048"/>
      <c r="N13" s="1048"/>
      <c r="O13" s="1048"/>
      <c r="P13" s="1048"/>
      <c r="Q13" s="1048"/>
      <c r="R13" s="1048"/>
      <c r="S13" s="1048"/>
    </row>
    <row r="14" spans="1:19">
      <c r="G14" s="1048"/>
      <c r="H14" s="1048"/>
      <c r="I14" s="1048"/>
      <c r="J14" s="1048"/>
      <c r="K14" s="1048"/>
      <c r="L14" s="1048"/>
      <c r="M14" s="1048"/>
      <c r="N14" s="1048"/>
      <c r="O14" s="1048"/>
      <c r="P14" s="1048"/>
      <c r="Q14" s="1048"/>
      <c r="R14" s="1048"/>
      <c r="S14" s="1048"/>
    </row>
    <row r="15" spans="1:19">
      <c r="G15" s="1048"/>
      <c r="H15" s="1048"/>
      <c r="I15" s="1048"/>
      <c r="J15" s="1048"/>
      <c r="K15" s="1048"/>
      <c r="L15" s="1048"/>
      <c r="M15" s="1048"/>
      <c r="N15" s="1048"/>
      <c r="O15" s="1048"/>
      <c r="P15" s="1048"/>
      <c r="Q15" s="1048"/>
      <c r="R15" s="1048"/>
      <c r="S15" s="1048"/>
    </row>
    <row r="16" spans="1:19">
      <c r="G16" s="1048"/>
      <c r="H16" s="1048"/>
      <c r="I16" s="1048"/>
      <c r="J16" s="1048"/>
      <c r="K16" s="1048"/>
      <c r="L16" s="1048"/>
      <c r="M16" s="1048"/>
      <c r="N16" s="1048"/>
      <c r="O16" s="1048"/>
      <c r="P16" s="1048"/>
      <c r="Q16" s="1048"/>
      <c r="R16" s="1048"/>
      <c r="S16" s="1048"/>
    </row>
    <row r="17" spans="2:19">
      <c r="G17" s="1048"/>
      <c r="H17" s="1048"/>
      <c r="I17" s="1048"/>
      <c r="J17" s="1048"/>
      <c r="K17" s="1048"/>
      <c r="L17" s="1048"/>
      <c r="M17" s="1048"/>
      <c r="N17" s="1048"/>
      <c r="O17" s="1048"/>
      <c r="P17" s="1048"/>
      <c r="Q17" s="1048"/>
      <c r="R17" s="1048"/>
      <c r="S17" s="1048"/>
    </row>
    <row r="18" spans="2:19">
      <c r="G18" s="1048"/>
      <c r="H18" s="1048"/>
      <c r="I18" s="1048"/>
      <c r="J18" s="1048"/>
      <c r="K18" s="1048"/>
      <c r="L18" s="1048"/>
      <c r="M18" s="1048"/>
      <c r="N18" s="1048"/>
      <c r="O18" s="1048"/>
      <c r="P18" s="1048"/>
      <c r="Q18" s="1048"/>
      <c r="R18" s="1048"/>
      <c r="S18" s="1048"/>
    </row>
    <row r="19" spans="2:19">
      <c r="G19" s="1048"/>
      <c r="H19" s="1048"/>
      <c r="I19" s="1048"/>
      <c r="J19" s="1048"/>
      <c r="K19" s="1048"/>
      <c r="L19" s="1048"/>
      <c r="M19" s="1048"/>
      <c r="N19" s="1048"/>
      <c r="O19" s="1048"/>
      <c r="P19" s="1048"/>
      <c r="Q19" s="1048"/>
      <c r="R19" s="1048"/>
      <c r="S19" s="1048"/>
    </row>
    <row r="20" spans="2:19">
      <c r="G20" s="1048"/>
      <c r="H20" s="1048"/>
      <c r="I20" s="1048"/>
      <c r="J20" s="1048"/>
      <c r="K20" s="1048"/>
      <c r="L20" s="1048"/>
      <c r="M20" s="1048"/>
      <c r="N20" s="1048"/>
      <c r="O20" s="1048"/>
      <c r="P20" s="1048"/>
      <c r="Q20" s="1048"/>
      <c r="R20" s="1048"/>
      <c r="S20" s="1048"/>
    </row>
    <row r="21" spans="2:19">
      <c r="G21" s="1048"/>
      <c r="H21" s="1048"/>
      <c r="I21" s="1048"/>
      <c r="J21" s="1048"/>
      <c r="K21" s="1048"/>
      <c r="L21" s="1048"/>
      <c r="M21" s="1048"/>
      <c r="N21" s="1048"/>
      <c r="O21" s="1048"/>
      <c r="P21" s="1048"/>
      <c r="Q21" s="1048"/>
      <c r="R21" s="1048"/>
      <c r="S21" s="1048"/>
    </row>
    <row r="23" spans="2:19">
      <c r="B23" s="1047" t="s">
        <v>2844</v>
      </c>
      <c r="C23" s="1047"/>
      <c r="D23" s="1047"/>
      <c r="E23" s="1047"/>
      <c r="F23" s="1047"/>
      <c r="G23" s="1047"/>
      <c r="H23" s="1047"/>
      <c r="I23" s="1047"/>
      <c r="J23" s="1047"/>
      <c r="K23" s="1047"/>
      <c r="L23" s="1047"/>
      <c r="M23" s="1047"/>
      <c r="N23" s="1047"/>
      <c r="O23" s="1047"/>
      <c r="P23" s="1047"/>
      <c r="Q23" s="1047"/>
      <c r="R23" s="1047"/>
      <c r="S23" s="1047"/>
    </row>
    <row r="26" spans="2:19">
      <c r="O26" s="1049" t="s">
        <v>2848</v>
      </c>
      <c r="P26" s="1049"/>
      <c r="Q26" s="1049"/>
      <c r="R26" s="1049"/>
      <c r="S26" s="1049"/>
    </row>
    <row r="27" spans="2:19">
      <c r="O27" s="1049"/>
      <c r="P27" s="1049"/>
      <c r="Q27" s="1049"/>
      <c r="R27" s="1049"/>
      <c r="S27" s="1049"/>
    </row>
    <row r="28" spans="2:19">
      <c r="O28" s="1049"/>
      <c r="P28" s="1049"/>
      <c r="Q28" s="1049"/>
      <c r="R28" s="1049"/>
      <c r="S28" s="1049"/>
    </row>
    <row r="29" spans="2:19">
      <c r="O29" s="1049"/>
      <c r="P29" s="1049"/>
      <c r="Q29" s="1049"/>
      <c r="R29" s="1049"/>
      <c r="S29" s="1049"/>
    </row>
    <row r="30" spans="2:19">
      <c r="O30" s="1049"/>
      <c r="P30" s="1049"/>
      <c r="Q30" s="1049"/>
      <c r="R30" s="1049"/>
      <c r="S30" s="1049"/>
    </row>
    <row r="31" spans="2:19">
      <c r="O31" s="1049"/>
      <c r="P31" s="1049"/>
      <c r="Q31" s="1049"/>
      <c r="R31" s="1049"/>
      <c r="S31" s="1049"/>
    </row>
    <row r="32" spans="2:19">
      <c r="O32" s="1049"/>
      <c r="P32" s="1049"/>
      <c r="Q32" s="1049"/>
      <c r="R32" s="1049"/>
      <c r="S32" s="1049"/>
    </row>
    <row r="33" spans="15:19">
      <c r="O33" s="1049"/>
      <c r="P33" s="1049"/>
      <c r="Q33" s="1049"/>
      <c r="R33" s="1049"/>
      <c r="S33" s="1049"/>
    </row>
    <row r="34" spans="15:19">
      <c r="O34" s="1049"/>
      <c r="P34" s="1049"/>
      <c r="Q34" s="1049"/>
      <c r="R34" s="1049"/>
      <c r="S34" s="1049"/>
    </row>
    <row r="35" spans="15:19">
      <c r="O35" s="1049"/>
      <c r="P35" s="1049"/>
      <c r="Q35" s="1049"/>
      <c r="R35" s="1049"/>
      <c r="S35" s="1049"/>
    </row>
    <row r="36" spans="15:19">
      <c r="O36" s="1049"/>
      <c r="P36" s="1049"/>
      <c r="Q36" s="1049"/>
      <c r="R36" s="1049"/>
      <c r="S36" s="1049"/>
    </row>
    <row r="37" spans="15:19">
      <c r="O37" s="1049"/>
      <c r="P37" s="1049"/>
      <c r="Q37" s="1049"/>
      <c r="R37" s="1049"/>
      <c r="S37" s="1049"/>
    </row>
    <row r="38" spans="15:19">
      <c r="O38" s="1049"/>
      <c r="P38" s="1049"/>
      <c r="Q38" s="1049"/>
      <c r="R38" s="1049"/>
      <c r="S38" s="1049"/>
    </row>
    <row r="39" spans="15:19">
      <c r="O39" s="1049"/>
      <c r="P39" s="1049"/>
      <c r="Q39" s="1049"/>
      <c r="R39" s="1049"/>
      <c r="S39" s="1049"/>
    </row>
    <row r="40" spans="15:19">
      <c r="O40" s="1049"/>
      <c r="P40" s="1049"/>
      <c r="Q40" s="1049"/>
      <c r="R40" s="1049"/>
      <c r="S40" s="1049"/>
    </row>
    <row r="41" spans="15:19">
      <c r="O41" s="1049"/>
      <c r="P41" s="1049"/>
      <c r="Q41" s="1049"/>
      <c r="R41" s="1049"/>
      <c r="S41" s="1049"/>
    </row>
    <row r="42" spans="15:19">
      <c r="O42" s="1049"/>
      <c r="P42" s="1049"/>
      <c r="Q42" s="1049"/>
      <c r="R42" s="1049"/>
      <c r="S42" s="1049"/>
    </row>
    <row r="43" spans="15:19">
      <c r="O43" s="1049"/>
      <c r="P43" s="1049"/>
      <c r="Q43" s="1049"/>
      <c r="R43" s="1049"/>
      <c r="S43" s="1049"/>
    </row>
    <row r="44" spans="15:19">
      <c r="O44" s="1049"/>
      <c r="P44" s="1049"/>
      <c r="Q44" s="1049"/>
      <c r="R44" s="1049"/>
      <c r="S44" s="1049"/>
    </row>
    <row r="45" spans="15:19">
      <c r="O45" s="1049"/>
      <c r="P45" s="1049"/>
      <c r="Q45" s="1049"/>
      <c r="R45" s="1049"/>
      <c r="S45" s="1049"/>
    </row>
    <row r="46" spans="15:19">
      <c r="O46" s="1049"/>
      <c r="P46" s="1049"/>
      <c r="Q46" s="1049"/>
      <c r="R46" s="1049"/>
      <c r="S46" s="1049"/>
    </row>
    <row r="47" spans="15:19">
      <c r="O47" s="1049"/>
      <c r="P47" s="1049"/>
      <c r="Q47" s="1049"/>
      <c r="R47" s="1049"/>
      <c r="S47" s="1049"/>
    </row>
    <row r="48" spans="15:19">
      <c r="O48" s="1049"/>
      <c r="P48" s="1049"/>
      <c r="Q48" s="1049"/>
      <c r="R48" s="1049"/>
      <c r="S48" s="1049"/>
    </row>
    <row r="50" spans="1:19">
      <c r="B50" s="1047" t="s">
        <v>2845</v>
      </c>
      <c r="C50" s="1047"/>
      <c r="D50" s="1047"/>
      <c r="E50" s="1047"/>
      <c r="F50" s="1047"/>
      <c r="G50" s="1047"/>
      <c r="H50" s="1047"/>
      <c r="I50" s="1047"/>
      <c r="J50" s="1047"/>
      <c r="K50" s="1047"/>
      <c r="L50" s="1047"/>
      <c r="M50" s="1047"/>
      <c r="N50" s="1047"/>
      <c r="O50" s="1047"/>
      <c r="P50" s="1047"/>
      <c r="Q50" s="1047"/>
      <c r="R50" s="1047"/>
      <c r="S50" s="1047"/>
    </row>
    <row r="53" spans="1:19">
      <c r="B53" s="681" t="s">
        <v>3951</v>
      </c>
      <c r="J53" s="1046" t="s">
        <v>2849</v>
      </c>
      <c r="K53" s="1046"/>
      <c r="L53" s="1046"/>
      <c r="M53" s="1046"/>
      <c r="N53" s="1046"/>
      <c r="O53" s="1046"/>
      <c r="P53" s="1046"/>
      <c r="Q53" s="1046"/>
      <c r="R53" s="1046"/>
      <c r="S53" s="1046"/>
    </row>
    <row r="54" spans="1:19">
      <c r="A54" s="61"/>
      <c r="B54" s="1045" t="s">
        <v>2846</v>
      </c>
      <c r="C54" s="1045"/>
      <c r="D54" s="1045"/>
      <c r="E54" s="1045"/>
      <c r="F54" s="1045"/>
      <c r="G54" s="1045"/>
      <c r="H54" s="1045"/>
      <c r="I54" s="1045"/>
      <c r="J54" s="1046"/>
      <c r="K54" s="1046"/>
      <c r="L54" s="1046"/>
      <c r="M54" s="1046"/>
      <c r="N54" s="1046"/>
      <c r="O54" s="1046"/>
      <c r="P54" s="1046"/>
      <c r="Q54" s="1046"/>
      <c r="R54" s="1046"/>
      <c r="S54" s="1046"/>
    </row>
    <row r="55" spans="1:19">
      <c r="A55" s="61"/>
      <c r="B55" s="678"/>
      <c r="C55" s="678"/>
      <c r="D55" s="678"/>
      <c r="E55" s="678"/>
      <c r="F55" s="678"/>
      <c r="G55" s="678"/>
      <c r="H55" s="679"/>
      <c r="I55" s="679"/>
      <c r="J55" s="1046"/>
      <c r="K55" s="1046"/>
      <c r="L55" s="1046"/>
      <c r="M55" s="1046"/>
      <c r="N55" s="1046"/>
      <c r="O55" s="1046"/>
      <c r="P55" s="1046"/>
      <c r="Q55" s="1046"/>
      <c r="R55" s="1046"/>
      <c r="S55" s="1046"/>
    </row>
    <row r="56" spans="1:19">
      <c r="A56" s="61"/>
      <c r="B56" s="678"/>
      <c r="C56" s="678"/>
      <c r="D56" s="678"/>
      <c r="E56" s="678"/>
      <c r="F56" s="678"/>
      <c r="G56" s="678"/>
      <c r="H56" s="679"/>
      <c r="I56" s="679"/>
      <c r="J56" s="1046"/>
      <c r="K56" s="1046"/>
      <c r="L56" s="1046"/>
      <c r="M56" s="1046"/>
      <c r="N56" s="1046"/>
      <c r="O56" s="1046"/>
      <c r="P56" s="1046"/>
      <c r="Q56" s="1046"/>
      <c r="R56" s="1046"/>
      <c r="S56" s="1046"/>
    </row>
    <row r="57" spans="1:19">
      <c r="A57" s="61"/>
      <c r="B57" s="678"/>
      <c r="C57" s="678"/>
      <c r="D57" s="678"/>
      <c r="E57" s="678"/>
      <c r="F57" s="678"/>
      <c r="G57" s="678"/>
      <c r="H57" s="679"/>
      <c r="I57" s="679"/>
      <c r="J57" s="1046"/>
      <c r="K57" s="1046"/>
      <c r="L57" s="1046"/>
      <c r="M57" s="1046"/>
      <c r="N57" s="1046"/>
      <c r="O57" s="1046"/>
      <c r="P57" s="1046"/>
      <c r="Q57" s="1046"/>
      <c r="R57" s="1046"/>
      <c r="S57" s="1046"/>
    </row>
    <row r="58" spans="1:19">
      <c r="A58" s="61"/>
      <c r="B58" s="678"/>
      <c r="C58" s="678"/>
      <c r="D58" s="678"/>
      <c r="E58" s="678"/>
      <c r="F58" s="678"/>
      <c r="G58" s="678"/>
      <c r="H58" s="679"/>
      <c r="I58" s="679"/>
      <c r="J58" s="1046"/>
      <c r="K58" s="1046"/>
      <c r="L58" s="1046"/>
      <c r="M58" s="1046"/>
      <c r="N58" s="1046"/>
      <c r="O58" s="1046"/>
      <c r="P58" s="1046"/>
      <c r="Q58" s="1046"/>
      <c r="R58" s="1046"/>
      <c r="S58" s="1046"/>
    </row>
    <row r="59" spans="1:19">
      <c r="A59" s="61"/>
      <c r="B59" s="678"/>
      <c r="C59" s="678"/>
      <c r="D59" s="678"/>
      <c r="E59" s="678"/>
      <c r="F59" s="678"/>
      <c r="G59" s="678"/>
      <c r="H59" s="679"/>
      <c r="I59" s="679"/>
      <c r="J59" s="1046"/>
      <c r="K59" s="1046"/>
      <c r="L59" s="1046"/>
      <c r="M59" s="1046"/>
      <c r="N59" s="1046"/>
      <c r="O59" s="1046"/>
      <c r="P59" s="1046"/>
      <c r="Q59" s="1046"/>
      <c r="R59" s="1046"/>
      <c r="S59" s="1046"/>
    </row>
    <row r="60" spans="1:19">
      <c r="A60" s="61"/>
      <c r="B60" s="678"/>
      <c r="C60" s="678"/>
      <c r="D60" s="678"/>
      <c r="E60" s="678"/>
      <c r="F60" s="678"/>
      <c r="G60" s="678"/>
      <c r="H60" s="679"/>
      <c r="I60" s="679"/>
      <c r="J60" s="1046"/>
      <c r="K60" s="1046"/>
      <c r="L60" s="1046"/>
      <c r="M60" s="1046"/>
      <c r="N60" s="1046"/>
      <c r="O60" s="1046"/>
      <c r="P60" s="1046"/>
      <c r="Q60" s="1046"/>
      <c r="R60" s="1046"/>
      <c r="S60" s="1046"/>
    </row>
    <row r="61" spans="1:19">
      <c r="A61" s="61"/>
      <c r="B61" s="61"/>
      <c r="C61" s="61"/>
      <c r="D61" s="61"/>
      <c r="E61" s="61"/>
      <c r="F61" s="61"/>
      <c r="G61" s="61"/>
      <c r="H61" s="61"/>
      <c r="I61" s="61"/>
      <c r="J61" s="1046"/>
      <c r="K61" s="1046"/>
      <c r="L61" s="1046"/>
      <c r="M61" s="1046"/>
      <c r="N61" s="1046"/>
      <c r="O61" s="1046"/>
      <c r="P61" s="1046"/>
      <c r="Q61" s="1046"/>
      <c r="R61" s="1046"/>
      <c r="S61" s="1046"/>
    </row>
    <row r="62" spans="1:19">
      <c r="A62" s="61"/>
      <c r="B62" s="1045" t="s">
        <v>2847</v>
      </c>
      <c r="C62" s="1045"/>
      <c r="D62" s="1045"/>
      <c r="E62" s="1045"/>
      <c r="F62" s="1045"/>
      <c r="G62" s="1045"/>
      <c r="H62" s="1045"/>
      <c r="I62" s="1045"/>
      <c r="J62" s="1046"/>
      <c r="K62" s="1046"/>
      <c r="L62" s="1046"/>
      <c r="M62" s="1046"/>
      <c r="N62" s="1046"/>
      <c r="O62" s="1046"/>
      <c r="P62" s="1046"/>
      <c r="Q62" s="1046"/>
      <c r="R62" s="1046"/>
      <c r="S62" s="1046"/>
    </row>
    <row r="63" spans="1:19">
      <c r="A63" s="61"/>
      <c r="B63" s="680"/>
      <c r="C63" s="680"/>
      <c r="D63" s="680"/>
      <c r="E63" s="680"/>
      <c r="F63" s="680"/>
      <c r="G63" s="680"/>
      <c r="H63" s="680"/>
      <c r="I63" s="680"/>
      <c r="J63" s="1046"/>
      <c r="K63" s="1046"/>
      <c r="L63" s="1046"/>
      <c r="M63" s="1046"/>
      <c r="N63" s="1046"/>
      <c r="O63" s="1046"/>
      <c r="P63" s="1046"/>
      <c r="Q63" s="1046"/>
      <c r="R63" s="1046"/>
      <c r="S63" s="1046"/>
    </row>
    <row r="64" spans="1:19">
      <c r="A64" s="61"/>
      <c r="B64" s="680"/>
      <c r="C64" s="680"/>
      <c r="D64" s="680"/>
      <c r="E64" s="680"/>
      <c r="F64" s="680"/>
      <c r="G64" s="680"/>
      <c r="H64" s="680"/>
      <c r="I64" s="680"/>
      <c r="J64" s="1046"/>
      <c r="K64" s="1046"/>
      <c r="L64" s="1046"/>
      <c r="M64" s="1046"/>
      <c r="N64" s="1046"/>
      <c r="O64" s="1046"/>
      <c r="P64" s="1046"/>
      <c r="Q64" s="1046"/>
      <c r="R64" s="1046"/>
      <c r="S64" s="1046"/>
    </row>
    <row r="65" spans="1:19">
      <c r="A65" s="61"/>
      <c r="B65" s="680"/>
      <c r="C65" s="680"/>
      <c r="D65" s="680"/>
      <c r="E65" s="680"/>
      <c r="F65" s="680"/>
      <c r="G65" s="680"/>
      <c r="H65" s="680"/>
      <c r="I65" s="680"/>
      <c r="J65" s="1046"/>
      <c r="K65" s="1046"/>
      <c r="L65" s="1046"/>
      <c r="M65" s="1046"/>
      <c r="N65" s="1046"/>
      <c r="O65" s="1046"/>
      <c r="P65" s="1046"/>
      <c r="Q65" s="1046"/>
      <c r="R65" s="1046"/>
      <c r="S65" s="1046"/>
    </row>
    <row r="66" spans="1:19">
      <c r="A66" s="61"/>
      <c r="B66" s="680"/>
      <c r="C66" s="680"/>
      <c r="D66" s="680"/>
      <c r="E66" s="680"/>
      <c r="F66" s="680"/>
      <c r="G66" s="680"/>
      <c r="H66" s="680"/>
      <c r="I66" s="680"/>
      <c r="J66" s="1046"/>
      <c r="K66" s="1046"/>
      <c r="L66" s="1046"/>
      <c r="M66" s="1046"/>
      <c r="N66" s="1046"/>
      <c r="O66" s="1046"/>
      <c r="P66" s="1046"/>
      <c r="Q66" s="1046"/>
      <c r="R66" s="1046"/>
      <c r="S66" s="1046"/>
    </row>
    <row r="67" spans="1:19">
      <c r="A67" s="61"/>
      <c r="B67" s="680"/>
      <c r="C67" s="680"/>
      <c r="D67" s="680"/>
      <c r="E67" s="680"/>
      <c r="F67" s="680"/>
      <c r="G67" s="680"/>
      <c r="H67" s="680"/>
      <c r="I67" s="680"/>
      <c r="J67" s="1046"/>
      <c r="K67" s="1046"/>
      <c r="L67" s="1046"/>
      <c r="M67" s="1046"/>
      <c r="N67" s="1046"/>
      <c r="O67" s="1046"/>
      <c r="P67" s="1046"/>
      <c r="Q67" s="1046"/>
      <c r="R67" s="1046"/>
      <c r="S67" s="1046"/>
    </row>
    <row r="68" spans="1:19">
      <c r="A68" s="61"/>
      <c r="B68" s="680"/>
      <c r="C68" s="680"/>
      <c r="D68" s="680"/>
      <c r="E68" s="680"/>
      <c r="F68" s="680"/>
      <c r="G68" s="680"/>
      <c r="H68" s="680"/>
      <c r="I68" s="680"/>
      <c r="J68" s="1046"/>
      <c r="K68" s="1046"/>
      <c r="L68" s="1046"/>
      <c r="M68" s="1046"/>
      <c r="N68" s="1046"/>
      <c r="O68" s="1046"/>
      <c r="P68" s="1046"/>
      <c r="Q68" s="1046"/>
      <c r="R68" s="1046"/>
      <c r="S68" s="1046"/>
    </row>
    <row r="69" spans="1:19">
      <c r="J69" s="1046"/>
      <c r="K69" s="1046"/>
      <c r="L69" s="1046"/>
      <c r="M69" s="1046"/>
      <c r="N69" s="1046"/>
      <c r="O69" s="1046"/>
      <c r="P69" s="1046"/>
      <c r="Q69" s="1046"/>
      <c r="R69" s="1046"/>
      <c r="S69" s="1046"/>
    </row>
    <row r="70" spans="1:19">
      <c r="J70" s="1046"/>
      <c r="K70" s="1046"/>
      <c r="L70" s="1046"/>
      <c r="M70" s="1046"/>
      <c r="N70" s="1046"/>
      <c r="O70" s="1046"/>
      <c r="P70" s="1046"/>
      <c r="Q70" s="1046"/>
      <c r="R70" s="1046"/>
      <c r="S70" s="1046"/>
    </row>
  </sheetData>
  <sheetProtection algorithmName="SHA-512" hashValue="5DyT7HfhifJm4Sbp5quNKZ4v+XWmeDbUy40dv5CxPFVc/uONWjxlayH9drZHY4hNWwIDIpaErKJVXreE7TaJag==" saltValue="SqXIJVmFc3hyOK660Q4vdw==" spinCount="100000" sheet="1" selectLockedCells="1"/>
  <mergeCells count="8">
    <mergeCell ref="J53:S70"/>
    <mergeCell ref="B54:I54"/>
    <mergeCell ref="B62:I62"/>
    <mergeCell ref="B2:S2"/>
    <mergeCell ref="G4:S21"/>
    <mergeCell ref="B23:S23"/>
    <mergeCell ref="O26:S48"/>
    <mergeCell ref="B50:S50"/>
  </mergeCells>
  <conditionalFormatting sqref="A2:A4">
    <cfRule type="expression" dxfId="85" priority="2" stopIfTrue="1">
      <formula>NOT($A$1="javi")</formula>
    </cfRule>
  </conditionalFormatting>
  <conditionalFormatting sqref="A1:XFD1048576">
    <cfRule type="expression" dxfId="84" priority="1" stopIfTrue="1">
      <formula>NOT($A$2="SI")</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&amp;C&amp;A</oddHeader>
    <oddFooter>&amp;CPágina &amp;P de &amp;N</oddFooter>
  </headerFooter>
  <rowBreaks count="1" manualBreakCount="1">
    <brk id="49" max="16383"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709C2-3FC0-43BE-A1B1-3EAFBDEF2383}">
  <dimension ref="A1:Z367"/>
  <sheetViews>
    <sheetView showGridLines="0" workbookViewId="0">
      <selection activeCell="L6" sqref="L6"/>
    </sheetView>
  </sheetViews>
  <sheetFormatPr baseColWidth="10" defaultColWidth="11.453125" defaultRowHeight="14.5"/>
  <cols>
    <col min="1" max="1" width="11.453125" style="684"/>
    <col min="2" max="2" width="18.54296875" style="684" customWidth="1"/>
    <col min="3" max="3" width="12.54296875" style="684" bestFit="1" customWidth="1"/>
    <col min="4" max="4" width="11.453125" style="684"/>
    <col min="5" max="5" width="20.453125" style="684" customWidth="1"/>
    <col min="6" max="6" width="14.1796875" style="684" customWidth="1"/>
    <col min="7" max="23" width="11.453125" style="684"/>
    <col min="24" max="24" width="12.54296875" style="684" customWidth="1"/>
    <col min="25" max="16384" width="11.453125" style="684"/>
  </cols>
  <sheetData>
    <row r="1" spans="1:26">
      <c r="A1" s="682" t="str">
        <f>'Instrucciones de uso'!$H$15</f>
        <v>contraseña</v>
      </c>
      <c r="B1" s="683" t="s">
        <v>3951</v>
      </c>
      <c r="K1" s="683" t="s">
        <v>3951</v>
      </c>
      <c r="N1" s="1050" t="str">
        <f>IF(D88="NO","","Deshaga operación (Ctrl-Z)")</f>
        <v/>
      </c>
      <c r="O1" s="1050"/>
      <c r="P1" s="1050"/>
    </row>
    <row r="2" spans="1:26">
      <c r="A2" s="685" t="str">
        <f>IF(AND('Instrucciones de uso'!$J$14="x",'Instrucciones de uso'!$I$33="SI"),"SI","NO")</f>
        <v>NO</v>
      </c>
      <c r="B2" s="686" t="s">
        <v>2850</v>
      </c>
      <c r="C2" s="686"/>
      <c r="D2" s="686"/>
      <c r="E2" s="686"/>
      <c r="F2" s="686"/>
      <c r="G2" s="686"/>
      <c r="H2" s="686"/>
      <c r="I2" s="686"/>
      <c r="K2" s="687" t="s">
        <v>2851</v>
      </c>
      <c r="L2" s="688"/>
      <c r="M2" s="688"/>
      <c r="N2" s="688"/>
      <c r="O2" s="688"/>
      <c r="P2" s="688"/>
      <c r="Q2" s="688"/>
      <c r="R2" s="688"/>
      <c r="S2" s="688"/>
      <c r="T2" s="688"/>
      <c r="U2" s="688"/>
      <c r="V2" s="688"/>
      <c r="W2" s="689" t="s">
        <v>2638</v>
      </c>
      <c r="Y2" s="689" t="s">
        <v>2639</v>
      </c>
    </row>
    <row r="3" spans="1:26">
      <c r="A3" s="682" t="str">
        <f>'Instrucciones de uso'!$J$15</f>
        <v>contraseña</v>
      </c>
      <c r="B3" s="690"/>
      <c r="C3" s="690"/>
      <c r="D3" s="690"/>
      <c r="E3" s="690"/>
      <c r="F3" s="690"/>
      <c r="G3" s="690"/>
      <c r="H3" s="690"/>
      <c r="I3" s="690"/>
      <c r="L3" s="691" t="str">
        <f>IF(ISERROR(IF(OR(AND(NOT(L6=""),NOT(ISNUMBER(L6))),AND(NOT(L7=""),NOT(ISNUMBER(L7))),AND(NOT(L8=""),NOT(ISNUMBER(L8))),AND(NOT(L9=""),NOT(ISNUMBER(L9))),AND(NOT(L10=""),NOT(ISNUMBER(L10)))),"ERROR","")),"ERROR",IF(OR(AND(NOT(L6=""),NOT(ISNUMBER(L6))),AND(NOT(L7=""),NOT(ISNUMBER(L7))),AND(NOT(L8=""),NOT(ISNUMBER(L8))),AND(NOT(L9=""),NOT(ISNUMBER(L9))),AND(NOT(L10=""),NOT(ISNUMBER(L10)))),"ERROR",""))</f>
        <v/>
      </c>
      <c r="M3" s="691" t="str">
        <f t="shared" ref="M3:V3" si="0">IF(ISERROR(IF(OR(AND(NOT(M6=""),NOT(ISNUMBER(M6))),AND(NOT(M7=""),NOT(ISNUMBER(M7))),AND(NOT(M8=""),NOT(ISNUMBER(M8))),AND(NOT(M9=""),NOT(ISNUMBER(M9))),AND(NOT(M10=""),NOT(ISNUMBER(M10)))),"ERROR","")),"ERROR",IF(OR(AND(NOT(M6=""),NOT(ISNUMBER(M6))),AND(NOT(M7=""),NOT(ISNUMBER(M7))),AND(NOT(M8=""),NOT(ISNUMBER(M8))),AND(NOT(M9=""),NOT(ISNUMBER(M9))),AND(NOT(M10=""),NOT(ISNUMBER(M10)))),"ERROR",""))</f>
        <v/>
      </c>
      <c r="N3" s="691" t="str">
        <f t="shared" si="0"/>
        <v/>
      </c>
      <c r="O3" s="691" t="str">
        <f t="shared" si="0"/>
        <v/>
      </c>
      <c r="P3" s="691" t="str">
        <f t="shared" si="0"/>
        <v/>
      </c>
      <c r="Q3" s="691" t="str">
        <f t="shared" si="0"/>
        <v/>
      </c>
      <c r="R3" s="691" t="str">
        <f t="shared" si="0"/>
        <v/>
      </c>
      <c r="S3" s="691" t="str">
        <f t="shared" si="0"/>
        <v/>
      </c>
      <c r="T3" s="691" t="str">
        <f t="shared" si="0"/>
        <v/>
      </c>
      <c r="U3" s="691" t="str">
        <f t="shared" si="0"/>
        <v/>
      </c>
      <c r="V3" s="691" t="str">
        <f t="shared" si="0"/>
        <v/>
      </c>
      <c r="W3" s="691" t="str">
        <f>IF(ISERROR(IF(OR(AND(NOT(W5=""),NOT(ISNUMBER(W5))),AND(NOT(W6=""),NOT(ISNUMBER(W6))),AND(NOT(W7=""),NOT(ISNUMBER(W7))),AND(NOT(W8=""),NOT(ISNUMBER(W8))),AND(NOT(W9=""),NOT(ISNUMBER(W9))),AND(NOT(W10=""),NOT(ISNUMBER(W10)))),"ERROR","")),"ERROR",IF(OR(AND(NOT(W5=""),NOT(ISNUMBER(W5))),AND(NOT(W6=""),NOT(ISNUMBER(W6))),AND(NOT(W7=""),NOT(ISNUMBER(W7))),AND(NOT(W8=""),NOT(ISNUMBER(W8))),AND(NOT(W9=""),NOT(ISNUMBER(W9))),AND(NOT(W10=""),NOT(ISNUMBER(W10)))),"ERROR",""))</f>
        <v/>
      </c>
      <c r="Y3" s="691" t="str">
        <f>IF(ISERROR(IF(OR(AND(NOT(Y5=""),NOT(ISNUMBER(Y5))),AND(NOT(Y6=""),NOT(ISNUMBER(Y6))),AND(NOT(Y7=""),NOT(ISNUMBER(Y7))),AND(NOT(Y8=""),NOT(ISNUMBER(Y8))),AND(NOT(Y9=""),NOT(ISNUMBER(Y9))),AND(NOT(Y10=""),NOT(ISNUMBER(Y10)))),"ERROR","")),"ERROR",IF(OR(AND(NOT(Y5=""),NOT(ISNUMBER(Y5))),AND(NOT(Y6=""),NOT(ISNUMBER(Y6))),AND(NOT(Y7=""),NOT(ISNUMBER(Y7))),AND(NOT(Y8=""),NOT(ISNUMBER(Y8))),AND(NOT(Y9=""),NOT(ISNUMBER(Y9))),AND(NOT(Y10=""),NOT(ISNUMBER(Y10)))),"ERROR",""))</f>
        <v/>
      </c>
    </row>
    <row r="4" spans="1:26">
      <c r="A4" s="685">
        <v>0.05</v>
      </c>
      <c r="B4" s="687" t="s">
        <v>2852</v>
      </c>
      <c r="C4" s="687"/>
      <c r="D4" s="690"/>
      <c r="E4" s="687" t="s">
        <v>2853</v>
      </c>
      <c r="F4" s="687"/>
      <c r="G4" s="690"/>
      <c r="H4" s="1050" t="str">
        <f>IF(D88="NO","","Deshaga operación
(Ctrl-Z)")</f>
        <v/>
      </c>
      <c r="I4" s="1050"/>
      <c r="K4" s="692" t="s">
        <v>0</v>
      </c>
      <c r="L4" s="692" t="s">
        <v>2854</v>
      </c>
      <c r="M4" s="692" t="s">
        <v>2855</v>
      </c>
      <c r="N4" s="692" t="s">
        <v>2856</v>
      </c>
      <c r="O4" s="692" t="s">
        <v>71</v>
      </c>
      <c r="P4" s="692" t="s">
        <v>72</v>
      </c>
      <c r="Q4" s="692" t="s">
        <v>2857</v>
      </c>
      <c r="R4" s="692" t="s">
        <v>74</v>
      </c>
      <c r="S4" s="692" t="s">
        <v>2858</v>
      </c>
      <c r="T4" s="692" t="s">
        <v>2859</v>
      </c>
      <c r="U4" s="692" t="s">
        <v>2860</v>
      </c>
      <c r="V4" s="692" t="s">
        <v>2861</v>
      </c>
      <c r="W4" s="692" t="s">
        <v>2862</v>
      </c>
      <c r="Y4" s="692" t="s">
        <v>2862</v>
      </c>
    </row>
    <row r="5" spans="1:26">
      <c r="B5" s="693"/>
      <c r="C5" s="693"/>
      <c r="D5" s="690"/>
      <c r="E5" s="694"/>
      <c r="F5" s="694"/>
      <c r="G5" s="690"/>
      <c r="H5" s="1050"/>
      <c r="I5" s="1050"/>
      <c r="K5" s="695">
        <v>2022</v>
      </c>
      <c r="L5" s="696" t="s">
        <v>2651</v>
      </c>
      <c r="M5" s="696" t="s">
        <v>2651</v>
      </c>
      <c r="N5" s="696" t="s">
        <v>2651</v>
      </c>
      <c r="O5" s="696" t="s">
        <v>2651</v>
      </c>
      <c r="P5" s="696" t="s">
        <v>2651</v>
      </c>
      <c r="Q5" s="696" t="s">
        <v>2651</v>
      </c>
      <c r="R5" s="696" t="s">
        <v>2651</v>
      </c>
      <c r="S5" s="696" t="s">
        <v>2651</v>
      </c>
      <c r="T5" s="696" t="s">
        <v>2651</v>
      </c>
      <c r="U5" s="696" t="s">
        <v>2651</v>
      </c>
      <c r="V5" s="696" t="s">
        <v>2651</v>
      </c>
      <c r="W5" s="697"/>
      <c r="Y5" s="697"/>
    </row>
    <row r="6" spans="1:26">
      <c r="B6" s="693" t="s">
        <v>2863</v>
      </c>
      <c r="C6" s="698">
        <v>250000</v>
      </c>
      <c r="D6" s="690"/>
      <c r="E6" s="699" t="s">
        <v>2832</v>
      </c>
      <c r="F6" s="699" t="s">
        <v>2864</v>
      </c>
      <c r="G6" s="690"/>
      <c r="H6" s="1050"/>
      <c r="I6" s="1050"/>
      <c r="K6" s="695">
        <v>2023</v>
      </c>
      <c r="L6" s="697"/>
      <c r="M6" s="697"/>
      <c r="N6" s="697"/>
      <c r="O6" s="697"/>
      <c r="P6" s="697"/>
      <c r="Q6" s="697"/>
      <c r="R6" s="697"/>
      <c r="S6" s="697"/>
      <c r="T6" s="697"/>
      <c r="U6" s="697"/>
      <c r="V6" s="697"/>
      <c r="W6" s="697"/>
      <c r="Y6" s="697"/>
    </row>
    <row r="7" spans="1:26">
      <c r="B7" s="693" t="s">
        <v>2865</v>
      </c>
      <c r="C7" s="698">
        <v>200000</v>
      </c>
      <c r="D7" s="690"/>
      <c r="E7" s="700">
        <v>2023</v>
      </c>
      <c r="F7" s="701">
        <v>2000000</v>
      </c>
      <c r="G7" s="690"/>
      <c r="H7" s="690"/>
      <c r="I7" s="690"/>
      <c r="K7" s="695">
        <v>2024</v>
      </c>
      <c r="L7" s="697"/>
      <c r="M7" s="697"/>
      <c r="N7" s="697"/>
      <c r="O7" s="697"/>
      <c r="P7" s="697"/>
      <c r="Q7" s="697"/>
      <c r="R7" s="697"/>
      <c r="S7" s="697"/>
      <c r="T7" s="697"/>
      <c r="U7" s="697"/>
      <c r="V7" s="697"/>
      <c r="W7" s="697"/>
      <c r="Y7" s="697"/>
    </row>
    <row r="8" spans="1:26">
      <c r="B8" s="693" t="s">
        <v>2866</v>
      </c>
      <c r="C8" s="698">
        <v>10</v>
      </c>
      <c r="D8" s="690"/>
      <c r="E8" s="702">
        <v>2024</v>
      </c>
      <c r="F8" s="703">
        <v>2500000</v>
      </c>
      <c r="G8" s="690"/>
      <c r="H8" s="690"/>
      <c r="I8" s="690"/>
      <c r="K8" s="695">
        <v>2025</v>
      </c>
      <c r="L8" s="697"/>
      <c r="M8" s="697"/>
      <c r="N8" s="697"/>
      <c r="O8" s="697"/>
      <c r="P8" s="697"/>
      <c r="Q8" s="697"/>
      <c r="R8" s="697"/>
      <c r="S8" s="697"/>
      <c r="T8" s="697"/>
      <c r="U8" s="697"/>
      <c r="V8" s="697"/>
      <c r="W8" s="697"/>
      <c r="Y8" s="697"/>
    </row>
    <row r="9" spans="1:26">
      <c r="B9" s="693"/>
      <c r="C9" s="693"/>
      <c r="D9" s="690"/>
      <c r="E9" s="702">
        <v>2025</v>
      </c>
      <c r="F9" s="703">
        <v>3000000</v>
      </c>
      <c r="G9" s="690"/>
      <c r="H9" s="690"/>
      <c r="I9" s="690"/>
      <c r="K9" s="695">
        <v>2026</v>
      </c>
      <c r="L9" s="697"/>
      <c r="M9" s="697"/>
      <c r="N9" s="697"/>
      <c r="O9" s="697"/>
      <c r="P9" s="697"/>
      <c r="Q9" s="697"/>
      <c r="R9" s="697"/>
      <c r="S9" s="697"/>
      <c r="T9" s="697"/>
      <c r="U9" s="697"/>
      <c r="V9" s="697"/>
      <c r="W9" s="697"/>
      <c r="Y9" s="697"/>
    </row>
    <row r="10" spans="1:26">
      <c r="B10" s="693"/>
      <c r="C10" s="693"/>
      <c r="D10" s="690"/>
      <c r="E10" s="702">
        <v>2026</v>
      </c>
      <c r="F10" s="703">
        <v>3000000</v>
      </c>
      <c r="G10" s="690"/>
      <c r="H10" s="687" t="s">
        <v>2867</v>
      </c>
      <c r="I10" s="687"/>
      <c r="K10" s="695">
        <v>2027</v>
      </c>
      <c r="L10" s="697"/>
      <c r="M10" s="697"/>
      <c r="N10" s="697"/>
      <c r="O10" s="697"/>
      <c r="P10" s="697"/>
      <c r="Q10" s="697"/>
      <c r="R10" s="697"/>
      <c r="S10" s="697"/>
      <c r="T10" s="697"/>
      <c r="U10" s="697"/>
      <c r="V10" s="697"/>
      <c r="W10" s="697"/>
      <c r="Y10" s="697"/>
    </row>
    <row r="11" spans="1:26">
      <c r="B11" s="693"/>
      <c r="C11" s="693"/>
      <c r="D11" s="690"/>
      <c r="E11" s="704">
        <v>2027</v>
      </c>
      <c r="F11" s="705">
        <v>3000000</v>
      </c>
      <c r="G11" s="690"/>
      <c r="H11" s="706"/>
      <c r="I11" s="706"/>
      <c r="L11" s="707"/>
      <c r="M11" s="707"/>
      <c r="N11" s="707"/>
      <c r="O11" s="707"/>
      <c r="P11" s="707"/>
      <c r="Q11" s="707"/>
      <c r="R11" s="707"/>
      <c r="S11" s="707"/>
      <c r="T11" s="707"/>
      <c r="U11" s="707"/>
      <c r="V11" s="707"/>
      <c r="W11" s="707"/>
      <c r="Y11" s="707"/>
    </row>
    <row r="12" spans="1:26">
      <c r="B12" s="693"/>
      <c r="C12" s="693"/>
      <c r="D12" s="690"/>
      <c r="E12" s="694"/>
      <c r="F12" s="694"/>
      <c r="G12" s="690"/>
      <c r="H12" s="706" t="s">
        <v>2868</v>
      </c>
      <c r="I12" s="708">
        <v>2022</v>
      </c>
      <c r="K12" s="709" t="s">
        <v>2869</v>
      </c>
      <c r="L12" s="710"/>
      <c r="M12" s="691" t="str">
        <f>IF(ISERROR(IF(AND(NOT(L12=""),NOT(ISNUMBER(L12))),"ERROR","")),"ERROR",IF(AND(NOT(L12=""),NOT(ISNUMBER(L12))),"ERROR",""))</f>
        <v/>
      </c>
      <c r="N12" s="711" t="s">
        <v>2870</v>
      </c>
      <c r="O12" s="712"/>
      <c r="P12" s="691" t="str">
        <f>IF(ISERROR(IF(AND(NOT(O12=""),NOT(ISNUMBER(O12))),"ERROR","")),"ERROR",IF(AND(NOT(O12=""),NOT(ISNUMBER(O12))),"ERROR",""))</f>
        <v/>
      </c>
      <c r="Q12" s="713"/>
      <c r="R12" s="713"/>
      <c r="S12" s="713"/>
      <c r="T12" s="713"/>
      <c r="U12" s="714" t="s">
        <v>2871</v>
      </c>
      <c r="V12" s="715"/>
      <c r="W12" s="691" t="str">
        <f>IF(V12="","",IF(NOT(ISNUMBER(V12)),"ERROR",IF(AND(INT(V12)=V12,V12&gt;0,V12&lt;=75),"","ERROR")))</f>
        <v/>
      </c>
      <c r="X12" s="711" t="s">
        <v>2872</v>
      </c>
      <c r="Y12" s="712"/>
      <c r="Z12" s="691" t="str">
        <f>IF(ISERROR(IF(AND(NOT(Y12=""),NOT(ISNUMBER(Y12))),"ERROR","")),"ERROR",IF(AND(NOT(Y12=""),NOT(ISNUMBER(Y12))),"ERROR",""))</f>
        <v/>
      </c>
    </row>
    <row r="13" spans="1:26">
      <c r="B13" s="687" t="s">
        <v>2873</v>
      </c>
      <c r="C13" s="687"/>
      <c r="D13" s="690"/>
      <c r="E13" s="716" t="s">
        <v>2874</v>
      </c>
      <c r="F13" s="717">
        <v>50000</v>
      </c>
      <c r="G13" s="690"/>
      <c r="H13" s="706"/>
      <c r="I13" s="706"/>
      <c r="K13" s="718" t="s">
        <v>2875</v>
      </c>
      <c r="L13" s="710"/>
      <c r="M13" s="691" t="str">
        <f t="shared" ref="M13:M15" si="1">IF(ISERROR(IF(AND(NOT(L13=""),NOT(ISNUMBER(L13))),"ERROR","")),"ERROR",IF(AND(NOT(L13=""),NOT(ISNUMBER(L13))),"ERROR",""))</f>
        <v/>
      </c>
      <c r="O13" s="682"/>
      <c r="Q13" s="1050" t="str">
        <f>$H$4</f>
        <v/>
      </c>
      <c r="R13" s="1050"/>
      <c r="V13" s="707"/>
      <c r="Y13" s="682"/>
    </row>
    <row r="14" spans="1:26">
      <c r="B14" s="719"/>
      <c r="C14" s="719"/>
      <c r="D14" s="690"/>
      <c r="E14" s="694" t="s">
        <v>2876</v>
      </c>
      <c r="F14" s="720">
        <v>0.2</v>
      </c>
      <c r="G14" s="690"/>
      <c r="H14" s="706" t="s">
        <v>2630</v>
      </c>
      <c r="I14" s="721">
        <v>0.05</v>
      </c>
      <c r="K14" s="718" t="s">
        <v>2877</v>
      </c>
      <c r="L14" s="710"/>
      <c r="M14" s="691" t="str">
        <f t="shared" si="1"/>
        <v/>
      </c>
      <c r="N14" s="711" t="s">
        <v>13</v>
      </c>
      <c r="O14" s="710"/>
      <c r="P14" s="691" t="str">
        <f>IF(ISERROR(IF(AND(NOT(O14=""),NOT(ISNUMBER(O14))),"ERROR","")),"ERROR",IF(AND(NOT(O14=""),NOT(ISNUMBER(O14))),"ERROR",""))</f>
        <v/>
      </c>
      <c r="Q14" s="1050"/>
      <c r="R14" s="1050"/>
      <c r="U14" s="722" t="s">
        <v>2878</v>
      </c>
      <c r="V14" s="715"/>
      <c r="W14" s="691" t="str">
        <f>IF(OR(V14="",V14="x"),"","ERROR")</f>
        <v/>
      </c>
      <c r="X14" s="711" t="s">
        <v>13</v>
      </c>
      <c r="Y14" s="710"/>
      <c r="Z14" s="691" t="str">
        <f>IF(ISERROR(IF(AND(NOT(Y14=""),NOT(ISNUMBER(Y14))),"ERROR","")),"ERROR",IF(AND(NOT(Y14=""),NOT(ISNUMBER(Y14))),"ERROR",""))</f>
        <v/>
      </c>
    </row>
    <row r="15" spans="1:26">
      <c r="B15" s="719" t="s">
        <v>2879</v>
      </c>
      <c r="C15" s="723">
        <v>3000</v>
      </c>
      <c r="D15" s="690"/>
      <c r="E15" s="694" t="s">
        <v>2880</v>
      </c>
      <c r="F15" s="717">
        <v>30</v>
      </c>
      <c r="G15" s="690"/>
      <c r="H15" s="706" t="s">
        <v>2881</v>
      </c>
      <c r="I15" s="724">
        <v>5</v>
      </c>
      <c r="K15" s="718" t="s">
        <v>2882</v>
      </c>
      <c r="L15" s="710"/>
      <c r="M15" s="691" t="str">
        <f t="shared" si="1"/>
        <v/>
      </c>
      <c r="O15" s="707"/>
      <c r="Q15" s="1050"/>
      <c r="R15" s="1050"/>
      <c r="V15" s="707"/>
      <c r="Y15" s="707"/>
    </row>
    <row r="16" spans="1:26">
      <c r="B16" s="690"/>
      <c r="C16" s="1050" t="str">
        <f>$H$4</f>
        <v/>
      </c>
      <c r="D16" s="1050"/>
      <c r="E16" s="690"/>
      <c r="F16" s="690"/>
      <c r="G16" s="690"/>
      <c r="H16" s="706"/>
      <c r="I16" s="706"/>
      <c r="L16" s="707"/>
      <c r="O16" s="725" t="str">
        <f>IF(AND(NOT(V12=""),W12=""),CONCATENATE(VLOOKUP(V12,$K$156:$P$364,2,FALSE)),"")</f>
        <v/>
      </c>
      <c r="P16" s="726" t="str">
        <f>IF(AND(NOT(V12=""),W12=""),CONCATENATE("=",VLOOKUP(V12,$K$156:$P$364,6,FALSE)),"")</f>
        <v/>
      </c>
    </row>
    <row r="17" spans="2:26">
      <c r="B17" s="690"/>
      <c r="C17" s="1050"/>
      <c r="D17" s="1050"/>
      <c r="E17" s="690"/>
      <c r="F17" s="690"/>
      <c r="G17" s="690"/>
      <c r="H17" s="706" t="s">
        <v>4</v>
      </c>
      <c r="I17" s="721">
        <v>0.28000000000000003</v>
      </c>
      <c r="P17" s="727" t="str">
        <f>IF(AND(NOT(V12=""),W12=""),CONCATENATE("=",VLOOKUP(V12,$K$156:$P$364,4,FALSE)),"")</f>
        <v/>
      </c>
      <c r="X17" s="728">
        <f>COUNTIF(K2:Y16,"ERROR")-COUNTIF(W12:W12,"ERROR")</f>
        <v>0</v>
      </c>
    </row>
    <row r="18" spans="2:26">
      <c r="B18" s="690"/>
      <c r="C18" s="1050"/>
      <c r="D18" s="1050"/>
      <c r="E18" s="690"/>
      <c r="F18" s="690"/>
      <c r="G18" s="690"/>
      <c r="H18" s="706" t="s">
        <v>2635</v>
      </c>
      <c r="I18" s="721">
        <v>0.06</v>
      </c>
      <c r="J18" s="729"/>
      <c r="K18" s="729"/>
      <c r="L18" s="729"/>
      <c r="M18" s="729"/>
      <c r="N18" s="729"/>
      <c r="O18" s="729"/>
      <c r="P18" s="730"/>
      <c r="Q18" s="729"/>
      <c r="R18" s="729"/>
      <c r="S18" s="729"/>
      <c r="T18" s="729"/>
      <c r="U18" s="729"/>
      <c r="V18" s="729"/>
      <c r="W18" s="729"/>
      <c r="X18" s="731"/>
      <c r="Y18" s="729"/>
      <c r="Z18" s="729"/>
    </row>
    <row r="19" spans="2:26">
      <c r="B19" s="687" t="s">
        <v>2883</v>
      </c>
      <c r="C19" s="687"/>
      <c r="D19" s="687"/>
      <c r="E19" s="687"/>
      <c r="F19" s="687"/>
      <c r="G19" s="690"/>
      <c r="H19" s="732"/>
      <c r="I19" s="733"/>
      <c r="K19" s="687" t="s">
        <v>2884</v>
      </c>
      <c r="L19" s="688"/>
      <c r="M19" s="688"/>
      <c r="N19" s="688"/>
      <c r="O19" s="688"/>
      <c r="P19" s="688"/>
      <c r="Q19" s="688"/>
      <c r="R19" s="688"/>
      <c r="S19" s="688"/>
      <c r="T19" s="688"/>
      <c r="U19" s="688"/>
      <c r="V19" s="688"/>
      <c r="W19" s="689" t="s">
        <v>2638</v>
      </c>
    </row>
    <row r="20" spans="2:26">
      <c r="B20" s="734"/>
      <c r="C20" s="734"/>
      <c r="D20" s="734"/>
      <c r="E20" s="734"/>
      <c r="F20" s="734"/>
      <c r="G20" s="690"/>
      <c r="H20" s="690"/>
      <c r="I20" s="690"/>
      <c r="L20" s="691" t="str">
        <f>IF(ISERROR(IF(OR(AND(NOT(L23=""),NOT(ISNUMBER(L23))),AND(NOT(L24=""),NOT(ISNUMBER(L24))),AND(NOT(L25=""),NOT(ISNUMBER(L25))),AND(NOT(L26=""),NOT(ISNUMBER(L26))),AND(NOT(L27=""),NOT(ISNUMBER(L27)))),"ERROR","")),"ERROR",IF(OR(AND(NOT(L23=""),NOT(ISNUMBER(L23))),AND(NOT(L24=""),NOT(ISNUMBER(L24))),AND(NOT(L25=""),NOT(ISNUMBER(L25))),AND(NOT(L26=""),NOT(ISNUMBER(L26))),AND(NOT(L27=""),NOT(ISNUMBER(L27)))),"ERROR",""))</f>
        <v/>
      </c>
      <c r="M20" s="691" t="str">
        <f t="shared" ref="M20:V20" si="2">IF(ISERROR(IF(OR(AND(NOT(M23=""),NOT(ISNUMBER(M23))),AND(NOT(M24=""),NOT(ISNUMBER(M24))),AND(NOT(M25=""),NOT(ISNUMBER(M25))),AND(NOT(M26=""),NOT(ISNUMBER(M26))),AND(NOT(M27=""),NOT(ISNUMBER(M27)))),"ERROR","")),"ERROR",IF(OR(AND(NOT(M23=""),NOT(ISNUMBER(M23))),AND(NOT(M24=""),NOT(ISNUMBER(M24))),AND(NOT(M25=""),NOT(ISNUMBER(M25))),AND(NOT(M26=""),NOT(ISNUMBER(M26))),AND(NOT(M27=""),NOT(ISNUMBER(M27)))),"ERROR",""))</f>
        <v/>
      </c>
      <c r="N20" s="691" t="str">
        <f t="shared" si="2"/>
        <v/>
      </c>
      <c r="O20" s="691" t="str">
        <f t="shared" si="2"/>
        <v/>
      </c>
      <c r="P20" s="691" t="str">
        <f t="shared" si="2"/>
        <v/>
      </c>
      <c r="Q20" s="691" t="str">
        <f t="shared" si="2"/>
        <v/>
      </c>
      <c r="R20" s="691" t="str">
        <f t="shared" si="2"/>
        <v/>
      </c>
      <c r="S20" s="691" t="str">
        <f t="shared" si="2"/>
        <v/>
      </c>
      <c r="T20" s="691" t="str">
        <f t="shared" si="2"/>
        <v/>
      </c>
      <c r="U20" s="691" t="str">
        <f t="shared" si="2"/>
        <v/>
      </c>
      <c r="V20" s="691" t="str">
        <f t="shared" si="2"/>
        <v/>
      </c>
      <c r="W20" s="691" t="str">
        <f>IF(ISERROR(IF(OR(AND(NOT(W22=""),NOT(ISNUMBER(W22))),AND(NOT(W23=""),NOT(ISNUMBER(W23))),AND(NOT(W24=""),NOT(ISNUMBER(W24))),AND(NOT(W25=""),NOT(ISNUMBER(W25))),AND(NOT(W26=""),NOT(ISNUMBER(W26))),AND(NOT(W27=""),NOT(ISNUMBER(W27)))),"ERROR","")),"ERROR",IF(OR(AND(NOT(W22=""),NOT(ISNUMBER(W22))),AND(NOT(W23=""),NOT(ISNUMBER(W23))),AND(NOT(W24=""),NOT(ISNUMBER(W24))),AND(NOT(W25=""),NOT(ISNUMBER(W25))),AND(NOT(W26=""),NOT(ISNUMBER(W26))),AND(NOT(W27=""),NOT(ISNUMBER(W27)))),"ERROR",""))</f>
        <v/>
      </c>
    </row>
    <row r="21" spans="2:26">
      <c r="B21" s="734" t="s">
        <v>2863</v>
      </c>
      <c r="C21" s="735">
        <v>0</v>
      </c>
      <c r="D21" s="734"/>
      <c r="E21" s="736" t="s">
        <v>2832</v>
      </c>
      <c r="F21" s="736" t="s">
        <v>2864</v>
      </c>
      <c r="G21" s="690"/>
      <c r="H21" s="1050" t="str">
        <f>$H$4</f>
        <v/>
      </c>
      <c r="I21" s="1050"/>
      <c r="K21" s="692" t="s">
        <v>0</v>
      </c>
      <c r="L21" s="692" t="s">
        <v>2885</v>
      </c>
      <c r="M21" s="692" t="s">
        <v>2855</v>
      </c>
      <c r="N21" s="692" t="s">
        <v>2856</v>
      </c>
      <c r="O21" s="692" t="s">
        <v>71</v>
      </c>
      <c r="P21" s="692" t="s">
        <v>72</v>
      </c>
      <c r="Q21" s="692" t="s">
        <v>2857</v>
      </c>
      <c r="R21" s="692" t="s">
        <v>74</v>
      </c>
      <c r="S21" s="692" t="s">
        <v>2858</v>
      </c>
      <c r="T21" s="692" t="s">
        <v>2859</v>
      </c>
      <c r="U21" s="692" t="s">
        <v>2860</v>
      </c>
      <c r="V21" s="692" t="s">
        <v>2861</v>
      </c>
      <c r="W21" s="692" t="s">
        <v>2862</v>
      </c>
    </row>
    <row r="22" spans="2:26">
      <c r="B22" s="734" t="s">
        <v>2886</v>
      </c>
      <c r="C22" s="735">
        <v>0</v>
      </c>
      <c r="D22" s="734"/>
      <c r="E22" s="737">
        <v>2023</v>
      </c>
      <c r="F22" s="738">
        <v>875000.00000000012</v>
      </c>
      <c r="G22" s="690"/>
      <c r="H22" s="1050"/>
      <c r="I22" s="1050"/>
      <c r="K22" s="695">
        <v>2022</v>
      </c>
      <c r="L22" s="696" t="s">
        <v>2651</v>
      </c>
      <c r="M22" s="696" t="s">
        <v>2651</v>
      </c>
      <c r="N22" s="696" t="s">
        <v>2651</v>
      </c>
      <c r="O22" s="696" t="s">
        <v>2651</v>
      </c>
      <c r="P22" s="696" t="s">
        <v>2651</v>
      </c>
      <c r="Q22" s="696" t="s">
        <v>2651</v>
      </c>
      <c r="R22" s="696" t="s">
        <v>2651</v>
      </c>
      <c r="S22" s="696" t="s">
        <v>2651</v>
      </c>
      <c r="T22" s="696" t="s">
        <v>2651</v>
      </c>
      <c r="U22" s="696" t="s">
        <v>2651</v>
      </c>
      <c r="V22" s="696" t="s">
        <v>2651</v>
      </c>
      <c r="W22" s="697"/>
    </row>
    <row r="23" spans="2:26">
      <c r="B23" s="734" t="s">
        <v>2887</v>
      </c>
      <c r="C23" s="735">
        <v>0</v>
      </c>
      <c r="D23" s="734"/>
      <c r="E23" s="739">
        <v>2024</v>
      </c>
      <c r="F23" s="740">
        <v>1093750.0000000002</v>
      </c>
      <c r="G23" s="690"/>
      <c r="H23" s="1050"/>
      <c r="I23" s="1050"/>
      <c r="K23" s="695">
        <v>2023</v>
      </c>
      <c r="L23" s="697"/>
      <c r="M23" s="697"/>
      <c r="N23" s="697"/>
      <c r="O23" s="697"/>
      <c r="P23" s="697"/>
      <c r="Q23" s="697"/>
      <c r="R23" s="697"/>
      <c r="S23" s="697"/>
      <c r="T23" s="697"/>
      <c r="U23" s="697"/>
      <c r="V23" s="697"/>
      <c r="W23" s="697"/>
    </row>
    <row r="24" spans="2:26">
      <c r="B24" s="734" t="s">
        <v>2876</v>
      </c>
      <c r="C24" s="741">
        <v>0.05</v>
      </c>
      <c r="D24" s="734"/>
      <c r="E24" s="739">
        <v>2025</v>
      </c>
      <c r="F24" s="740">
        <v>1312500</v>
      </c>
      <c r="G24" s="690"/>
      <c r="H24" s="690"/>
      <c r="I24" s="690"/>
      <c r="K24" s="695">
        <v>2024</v>
      </c>
      <c r="L24" s="697"/>
      <c r="M24" s="697"/>
      <c r="N24" s="697"/>
      <c r="O24" s="697"/>
      <c r="P24" s="697"/>
      <c r="Q24" s="697"/>
      <c r="R24" s="697"/>
      <c r="S24" s="697"/>
      <c r="T24" s="697"/>
      <c r="U24" s="697"/>
      <c r="V24" s="697"/>
      <c r="W24" s="697"/>
    </row>
    <row r="25" spans="2:26">
      <c r="B25" s="734"/>
      <c r="C25" s="734"/>
      <c r="D25" s="734"/>
      <c r="E25" s="739">
        <v>2026</v>
      </c>
      <c r="F25" s="740">
        <v>1312500</v>
      </c>
      <c r="G25" s="690"/>
      <c r="H25" s="690"/>
      <c r="I25" s="690"/>
      <c r="K25" s="695">
        <v>2025</v>
      </c>
      <c r="L25" s="697"/>
      <c r="M25" s="697"/>
      <c r="N25" s="697"/>
      <c r="O25" s="697"/>
      <c r="P25" s="697"/>
      <c r="Q25" s="697"/>
      <c r="R25" s="697"/>
      <c r="S25" s="697"/>
      <c r="T25" s="697"/>
      <c r="U25" s="697"/>
      <c r="V25" s="697"/>
      <c r="W25" s="697"/>
    </row>
    <row r="26" spans="2:26">
      <c r="B26" s="734"/>
      <c r="C26" s="734"/>
      <c r="D26" s="734"/>
      <c r="E26" s="742">
        <v>2027</v>
      </c>
      <c r="F26" s="743">
        <v>1312500</v>
      </c>
      <c r="G26" s="690"/>
      <c r="H26" s="690"/>
      <c r="I26" s="690"/>
      <c r="K26" s="695">
        <v>2026</v>
      </c>
      <c r="L26" s="697"/>
      <c r="M26" s="697"/>
      <c r="N26" s="697"/>
      <c r="O26" s="697"/>
      <c r="P26" s="697"/>
      <c r="Q26" s="697"/>
      <c r="R26" s="697"/>
      <c r="S26" s="697"/>
      <c r="T26" s="697"/>
      <c r="U26" s="697"/>
      <c r="V26" s="697"/>
      <c r="W26" s="697"/>
    </row>
    <row r="27" spans="2:26">
      <c r="K27" s="695">
        <v>2027</v>
      </c>
      <c r="L27" s="697"/>
      <c r="M27" s="697"/>
      <c r="N27" s="697"/>
      <c r="O27" s="697"/>
      <c r="P27" s="697"/>
      <c r="Q27" s="697"/>
      <c r="R27" s="697"/>
      <c r="S27" s="697"/>
      <c r="T27" s="697"/>
      <c r="U27" s="697"/>
      <c r="V27" s="697"/>
      <c r="W27" s="697"/>
    </row>
    <row r="28" spans="2:26">
      <c r="L28" s="707"/>
      <c r="M28" s="707"/>
      <c r="N28" s="707"/>
      <c r="O28" s="707"/>
      <c r="P28" s="707"/>
      <c r="Q28" s="707"/>
      <c r="R28" s="707"/>
      <c r="S28" s="707"/>
      <c r="T28" s="707"/>
      <c r="U28" s="707"/>
      <c r="V28" s="707"/>
      <c r="W28" s="707"/>
    </row>
    <row r="29" spans="2:26">
      <c r="K29" s="709" t="s">
        <v>2869</v>
      </c>
      <c r="L29" s="710"/>
      <c r="M29" s="691" t="str">
        <f t="shared" ref="M29:M32" si="3">IF(ISERROR(IF(AND(NOT(L29=""),NOT(ISNUMBER(L29))),"ERROR","")),"ERROR",IF(AND(NOT(L29=""),NOT(ISNUMBER(L29))),"ERROR",""))</f>
        <v/>
      </c>
      <c r="N29" s="711" t="s">
        <v>2870</v>
      </c>
      <c r="O29" s="744"/>
      <c r="P29" s="691" t="str">
        <f>IF(ISERROR(IF(AND(NOT(O29=""),NOT(ISNUMBER(O29))),"ERROR","")),"ERROR",IF(AND(NOT(O29=""),NOT(ISNUMBER(O29))),"ERROR",""))</f>
        <v/>
      </c>
      <c r="Q29" s="714"/>
      <c r="R29" s="714"/>
      <c r="S29" s="714"/>
      <c r="T29" s="714"/>
      <c r="U29" s="745" t="s">
        <v>2888</v>
      </c>
      <c r="V29" s="104"/>
      <c r="W29" s="691" t="str">
        <f>IF(V29="","",IF(NOT(ISNUMBER(V29)),"ERROR",IF(AND(INT(V29)=V29,V29&gt;=76,V29&lt;=142),"","ERROR")))</f>
        <v/>
      </c>
    </row>
    <row r="30" spans="2:26">
      <c r="K30" s="718" t="s">
        <v>2875</v>
      </c>
      <c r="L30" s="710"/>
      <c r="M30" s="691" t="str">
        <f t="shared" si="3"/>
        <v/>
      </c>
      <c r="O30" s="682"/>
      <c r="Q30" s="1050" t="str">
        <f>$H$4</f>
        <v/>
      </c>
      <c r="R30" s="1050"/>
      <c r="V30" s="707"/>
    </row>
    <row r="31" spans="2:26">
      <c r="K31" s="718" t="s">
        <v>2877</v>
      </c>
      <c r="L31" s="710"/>
      <c r="M31" s="691" t="str">
        <f t="shared" si="3"/>
        <v/>
      </c>
      <c r="N31" s="711" t="s">
        <v>13</v>
      </c>
      <c r="O31" s="710"/>
      <c r="P31" s="691" t="str">
        <f>IF(ISERROR(IF(AND(NOT(O31=""),NOT(ISNUMBER(O31))),"ERROR","")),"ERROR",IF(AND(NOT(O31=""),NOT(ISNUMBER(O31))),"ERROR",""))</f>
        <v/>
      </c>
      <c r="Q31" s="1050"/>
      <c r="R31" s="1050"/>
      <c r="U31" s="722" t="s">
        <v>2878</v>
      </c>
      <c r="V31" s="715"/>
      <c r="W31" s="691" t="str">
        <f>IF(OR(V31="",V31="x"),"","ERROR")</f>
        <v/>
      </c>
    </row>
    <row r="32" spans="2:26">
      <c r="K32" s="718" t="s">
        <v>2882</v>
      </c>
      <c r="L32" s="710"/>
      <c r="M32" s="691" t="str">
        <f t="shared" si="3"/>
        <v/>
      </c>
      <c r="O32" s="707"/>
      <c r="Q32" s="1050"/>
      <c r="R32" s="1050"/>
      <c r="V32" s="707"/>
    </row>
    <row r="33" spans="8:24">
      <c r="L33" s="707"/>
      <c r="O33" s="746" t="str">
        <f>IF(AND(NOT(V29=""),W29=""),CONCATENATE(VLOOKUP(V29,$K$156:$P$306,2,FALSE)),"")</f>
        <v/>
      </c>
      <c r="P33" s="747" t="str">
        <f>IF(AND(NOT(V29=""),W29=""),CONCATENATE("=",VLOOKUP(V29,$K$156:$P$364,6,FALSE)),"")</f>
        <v/>
      </c>
    </row>
    <row r="34" spans="8:24">
      <c r="P34" s="748" t="str">
        <f>IF(AND(NOT(V29=""),W29=""),CONCATENATE("=",VLOOKUP(V29,$K$156:$P$364,4,FALSE)),"")</f>
        <v/>
      </c>
      <c r="X34" s="728">
        <f>COUNTIF(K19:Y33,"ERROR")-COUNTIF(W29:W29,"ERROR")</f>
        <v>0</v>
      </c>
    </row>
    <row r="35" spans="8:24">
      <c r="H35" s="1050" t="str">
        <f>$H$4</f>
        <v/>
      </c>
      <c r="I35" s="1050"/>
      <c r="P35" s="748"/>
      <c r="X35" s="728"/>
    </row>
    <row r="36" spans="8:24">
      <c r="H36" s="1050"/>
      <c r="I36" s="1050"/>
      <c r="K36" s="687" t="s">
        <v>2889</v>
      </c>
      <c r="L36" s="688"/>
      <c r="M36" s="688"/>
      <c r="N36" s="688"/>
      <c r="O36" s="688"/>
      <c r="P36" s="688"/>
      <c r="Q36" s="688"/>
      <c r="R36" s="688"/>
      <c r="S36" s="688"/>
      <c r="T36" s="688"/>
      <c r="U36" s="688"/>
      <c r="V36" s="688"/>
      <c r="W36" s="689" t="s">
        <v>2638</v>
      </c>
    </row>
    <row r="37" spans="8:24">
      <c r="H37" s="1050"/>
      <c r="I37" s="1050"/>
      <c r="L37" s="691" t="str">
        <f>IF(ISERROR(IF(OR(AND(NOT(L40=""),NOT(ISNUMBER(L40))),AND(NOT(L41=""),NOT(ISNUMBER(L41))),AND(NOT(L42=""),NOT(ISNUMBER(L42))),AND(NOT(L43=""),NOT(ISNUMBER(L43))),AND(NOT(L44=""),NOT(ISNUMBER(L44)))),"ERROR","")),"ERROR",IF(OR(AND(NOT(L40=""),NOT(ISNUMBER(L40))),AND(NOT(L41=""),NOT(ISNUMBER(L41))),AND(NOT(L42=""),NOT(ISNUMBER(L42))),AND(NOT(L43=""),NOT(ISNUMBER(L43))),AND(NOT(L44=""),NOT(ISNUMBER(L44)))),"ERROR",""))</f>
        <v/>
      </c>
      <c r="M37" s="691" t="str">
        <f t="shared" ref="M37:V37" si="4">IF(ISERROR(IF(OR(AND(NOT(M40=""),NOT(ISNUMBER(M40))),AND(NOT(M41=""),NOT(ISNUMBER(M41))),AND(NOT(M42=""),NOT(ISNUMBER(M42))),AND(NOT(M43=""),NOT(ISNUMBER(M43))),AND(NOT(M44=""),NOT(ISNUMBER(M44)))),"ERROR","")),"ERROR",IF(OR(AND(NOT(M40=""),NOT(ISNUMBER(M40))),AND(NOT(M41=""),NOT(ISNUMBER(M41))),AND(NOT(M42=""),NOT(ISNUMBER(M42))),AND(NOT(M43=""),NOT(ISNUMBER(M43))),AND(NOT(M44=""),NOT(ISNUMBER(M44)))),"ERROR",""))</f>
        <v/>
      </c>
      <c r="N37" s="691" t="str">
        <f t="shared" si="4"/>
        <v/>
      </c>
      <c r="O37" s="691" t="str">
        <f t="shared" si="4"/>
        <v/>
      </c>
      <c r="P37" s="691" t="str">
        <f t="shared" si="4"/>
        <v/>
      </c>
      <c r="Q37" s="691" t="str">
        <f t="shared" si="4"/>
        <v/>
      </c>
      <c r="R37" s="691" t="str">
        <f t="shared" si="4"/>
        <v/>
      </c>
      <c r="S37" s="691" t="str">
        <f t="shared" si="4"/>
        <v/>
      </c>
      <c r="T37" s="691" t="str">
        <f t="shared" si="4"/>
        <v/>
      </c>
      <c r="U37" s="691" t="str">
        <f t="shared" si="4"/>
        <v/>
      </c>
      <c r="V37" s="691" t="str">
        <f t="shared" si="4"/>
        <v/>
      </c>
      <c r="W37" s="691" t="str">
        <f>IF(ISERROR(IF(OR(AND(NOT(W39=""),NOT(ISNUMBER(W39))),AND(NOT(W40=""),NOT(ISNUMBER(W40))),AND(NOT(W41=""),NOT(ISNUMBER(W41))),AND(NOT(W42=""),NOT(ISNUMBER(W42))),AND(NOT(W43=""),NOT(ISNUMBER(W43))),AND(NOT(W44=""),NOT(ISNUMBER(W44)))),"ERROR","")),"ERROR",IF(OR(AND(NOT(W39=""),NOT(ISNUMBER(W39))),AND(NOT(W40=""),NOT(ISNUMBER(W40))),AND(NOT(W41=""),NOT(ISNUMBER(W41))),AND(NOT(W42=""),NOT(ISNUMBER(W42))),AND(NOT(W43=""),NOT(ISNUMBER(W43))),AND(NOT(W44=""),NOT(ISNUMBER(W44)))),"ERROR",""))</f>
        <v/>
      </c>
    </row>
    <row r="38" spans="8:24">
      <c r="K38" s="692" t="s">
        <v>0</v>
      </c>
      <c r="L38" s="692" t="s">
        <v>2885</v>
      </c>
      <c r="M38" s="692" t="s">
        <v>2855</v>
      </c>
      <c r="N38" s="692" t="s">
        <v>2856</v>
      </c>
      <c r="O38" s="692" t="s">
        <v>71</v>
      </c>
      <c r="P38" s="692" t="s">
        <v>72</v>
      </c>
      <c r="Q38" s="692" t="s">
        <v>2857</v>
      </c>
      <c r="R38" s="692" t="s">
        <v>74</v>
      </c>
      <c r="S38" s="692" t="s">
        <v>2858</v>
      </c>
      <c r="T38" s="692" t="s">
        <v>2859</v>
      </c>
      <c r="U38" s="692" t="s">
        <v>2860</v>
      </c>
      <c r="V38" s="692" t="s">
        <v>2861</v>
      </c>
      <c r="W38" s="692" t="s">
        <v>2862</v>
      </c>
    </row>
    <row r="39" spans="8:24">
      <c r="K39" s="695">
        <v>2022</v>
      </c>
      <c r="L39" s="696" t="s">
        <v>2651</v>
      </c>
      <c r="M39" s="696" t="s">
        <v>2651</v>
      </c>
      <c r="N39" s="696" t="s">
        <v>2651</v>
      </c>
      <c r="O39" s="696" t="s">
        <v>2651</v>
      </c>
      <c r="P39" s="696" t="s">
        <v>2651</v>
      </c>
      <c r="Q39" s="696" t="s">
        <v>2651</v>
      </c>
      <c r="R39" s="696" t="s">
        <v>2651</v>
      </c>
      <c r="S39" s="696" t="s">
        <v>2651</v>
      </c>
      <c r="T39" s="696" t="s">
        <v>2651</v>
      </c>
      <c r="U39" s="696" t="s">
        <v>2651</v>
      </c>
      <c r="V39" s="696" t="s">
        <v>2651</v>
      </c>
      <c r="W39" s="697"/>
    </row>
    <row r="40" spans="8:24">
      <c r="K40" s="695">
        <v>2023</v>
      </c>
      <c r="L40" s="697"/>
      <c r="M40" s="697"/>
      <c r="N40" s="697"/>
      <c r="O40" s="697"/>
      <c r="P40" s="697"/>
      <c r="Q40" s="697"/>
      <c r="R40" s="697"/>
      <c r="S40" s="697"/>
      <c r="T40" s="697"/>
      <c r="U40" s="697"/>
      <c r="V40" s="697"/>
      <c r="W40" s="697"/>
    </row>
    <row r="41" spans="8:24">
      <c r="K41" s="695">
        <v>2024</v>
      </c>
      <c r="L41" s="697"/>
      <c r="M41" s="697"/>
      <c r="N41" s="697"/>
      <c r="O41" s="697"/>
      <c r="P41" s="697"/>
      <c r="Q41" s="697"/>
      <c r="R41" s="697"/>
      <c r="S41" s="697"/>
      <c r="T41" s="697"/>
      <c r="U41" s="697"/>
      <c r="V41" s="697"/>
      <c r="W41" s="697"/>
    </row>
    <row r="42" spans="8:24">
      <c r="K42" s="695">
        <v>2025</v>
      </c>
      <c r="L42" s="697"/>
      <c r="M42" s="697"/>
      <c r="N42" s="697"/>
      <c r="O42" s="697"/>
      <c r="P42" s="697"/>
      <c r="Q42" s="697"/>
      <c r="R42" s="697"/>
      <c r="S42" s="697"/>
      <c r="T42" s="697"/>
      <c r="U42" s="697"/>
      <c r="V42" s="697"/>
      <c r="W42" s="697"/>
    </row>
    <row r="43" spans="8:24">
      <c r="K43" s="695">
        <v>2026</v>
      </c>
      <c r="L43" s="697"/>
      <c r="M43" s="697"/>
      <c r="N43" s="697"/>
      <c r="O43" s="697"/>
      <c r="P43" s="697"/>
      <c r="Q43" s="697"/>
      <c r="R43" s="697"/>
      <c r="S43" s="697"/>
      <c r="T43" s="697"/>
      <c r="U43" s="697"/>
      <c r="V43" s="697"/>
      <c r="W43" s="697"/>
    </row>
    <row r="44" spans="8:24">
      <c r="K44" s="695">
        <v>2027</v>
      </c>
      <c r="L44" s="697"/>
      <c r="M44" s="697"/>
      <c r="N44" s="697"/>
      <c r="O44" s="697"/>
      <c r="P44" s="697"/>
      <c r="Q44" s="697"/>
      <c r="R44" s="697"/>
      <c r="S44" s="697"/>
      <c r="T44" s="697"/>
      <c r="U44" s="697"/>
      <c r="V44" s="697"/>
      <c r="W44" s="697"/>
    </row>
    <row r="45" spans="8:24">
      <c r="L45" s="707"/>
      <c r="M45" s="707"/>
      <c r="N45" s="707"/>
      <c r="O45" s="707"/>
      <c r="P45" s="707"/>
      <c r="Q45" s="707"/>
      <c r="R45" s="707"/>
      <c r="S45" s="707"/>
      <c r="T45" s="707"/>
      <c r="U45" s="707"/>
      <c r="V45" s="707"/>
      <c r="W45" s="707"/>
    </row>
    <row r="46" spans="8:24">
      <c r="K46" s="709" t="s">
        <v>2869</v>
      </c>
      <c r="L46" s="710"/>
      <c r="M46" s="691" t="str">
        <f t="shared" ref="M46:M49" si="5">IF(ISERROR(IF(AND(NOT(L46=""),NOT(ISNUMBER(L46))),"ERROR","")),"ERROR",IF(AND(NOT(L46=""),NOT(ISNUMBER(L46))),"ERROR",""))</f>
        <v/>
      </c>
      <c r="N46" s="711" t="s">
        <v>2870</v>
      </c>
      <c r="O46" s="712"/>
      <c r="P46" s="691" t="str">
        <f>IF(ISERROR(IF(AND(NOT(O46=""),NOT(ISNUMBER(O46))),"ERROR","")),"ERROR",IF(AND(NOT(O46=""),NOT(ISNUMBER(O46))),"ERROR",""))</f>
        <v/>
      </c>
      <c r="Q46" s="686"/>
      <c r="R46" s="686"/>
      <c r="S46" s="686"/>
      <c r="T46" s="686"/>
      <c r="U46" s="749" t="s">
        <v>2890</v>
      </c>
      <c r="V46" s="715"/>
      <c r="W46" s="691" t="str">
        <f>IF(V46="","",IF(NOT(ISNUMBER(V46)),"ERROR",IF(AND(INT(V46)=V46,V46&gt;=143,V46&lt;=209),"","ERROR")))</f>
        <v/>
      </c>
    </row>
    <row r="47" spans="8:24">
      <c r="K47" s="718" t="s">
        <v>2875</v>
      </c>
      <c r="L47" s="710"/>
      <c r="M47" s="691" t="str">
        <f t="shared" si="5"/>
        <v/>
      </c>
      <c r="O47" s="682"/>
      <c r="Q47" s="1050" t="str">
        <f>$H$4</f>
        <v/>
      </c>
      <c r="R47" s="1050"/>
      <c r="V47" s="707"/>
    </row>
    <row r="48" spans="8:24">
      <c r="K48" s="718" t="s">
        <v>2877</v>
      </c>
      <c r="L48" s="710"/>
      <c r="M48" s="691" t="str">
        <f t="shared" si="5"/>
        <v/>
      </c>
      <c r="N48" s="711" t="s">
        <v>13</v>
      </c>
      <c r="O48" s="710"/>
      <c r="P48" s="691" t="str">
        <f>IF(ISERROR(IF(AND(NOT(O48=""),NOT(ISNUMBER(O48))),"ERROR","")),"ERROR",IF(AND(NOT(O48=""),NOT(ISNUMBER(O48))),"ERROR",""))</f>
        <v/>
      </c>
      <c r="Q48" s="1050"/>
      <c r="R48" s="1050"/>
      <c r="U48" s="722" t="s">
        <v>2878</v>
      </c>
      <c r="V48" s="715"/>
      <c r="W48" s="691" t="str">
        <f>IF(OR(V48="",V48="x"),"","ERROR")</f>
        <v/>
      </c>
    </row>
    <row r="49" spans="1:25">
      <c r="H49" s="1050" t="str">
        <f>$H$4</f>
        <v/>
      </c>
      <c r="I49" s="1050"/>
      <c r="K49" s="718" t="s">
        <v>2882</v>
      </c>
      <c r="L49" s="710"/>
      <c r="M49" s="691" t="str">
        <f t="shared" si="5"/>
        <v/>
      </c>
      <c r="O49" s="707"/>
      <c r="Q49" s="1050"/>
      <c r="R49" s="1050"/>
      <c r="V49" s="707"/>
    </row>
    <row r="50" spans="1:25">
      <c r="H50" s="1050"/>
      <c r="I50" s="1050"/>
      <c r="L50" s="707"/>
      <c r="O50" s="746" t="str">
        <f>IF(AND(NOT(V46=""),W46=""),CONCATENATE(VLOOKUP(V46,$K$156:$P$364,2,FALSE)),"")</f>
        <v/>
      </c>
      <c r="P50" s="747" t="str">
        <f>IF(AND(NOT(V46=""),W46=""),CONCATENATE("=",VLOOKUP(V46,$K$156:$P$364,6,FALSE)),"")</f>
        <v/>
      </c>
    </row>
    <row r="51" spans="1:25">
      <c r="H51" s="1050"/>
      <c r="I51" s="1050"/>
      <c r="P51" s="747" t="str">
        <f>IF(AND(NOT(V46=""),W46=""),CONCATENATE("=",VLOOKUP(V46,$K$156:$P$364,4,FALSE)),"")</f>
        <v/>
      </c>
      <c r="X51" s="728">
        <f>COUNTIF(K36:Y50,"ERROR")-COUNTIF(W46:W46,"ERROR")</f>
        <v>0</v>
      </c>
    </row>
    <row r="55" spans="1:25" s="750" customFormat="1" ht="15" customHeight="1"/>
    <row r="56" spans="1:25" s="750" customFormat="1" ht="15" customHeight="1"/>
    <row r="57" spans="1:25" s="751" customFormat="1" ht="15" customHeight="1"/>
    <row r="58" spans="1:25" s="751" customFormat="1" ht="15" customHeight="1"/>
    <row r="59" spans="1:25" s="751" customFormat="1" ht="15" customHeight="1"/>
    <row r="60" spans="1:25" s="751" customFormat="1" ht="15" customHeight="1"/>
    <row r="61" spans="1:25" s="751" customFormat="1" ht="15" hidden="1" customHeight="1">
      <c r="W61" s="752"/>
      <c r="Y61" s="752"/>
    </row>
    <row r="62" spans="1:25" s="363" customFormat="1" ht="0.65" hidden="1" customHeight="1">
      <c r="A62" s="753">
        <v>250000</v>
      </c>
      <c r="B62" s="753">
        <f>IF(C6="","",C6)</f>
        <v>250000</v>
      </c>
      <c r="C62" s="753">
        <f>IF(A62=B62,1,0)</f>
        <v>1</v>
      </c>
      <c r="D62" s="753"/>
      <c r="E62" s="753"/>
      <c r="F62" s="753"/>
      <c r="G62" s="753"/>
      <c r="H62" s="753"/>
      <c r="K62" s="362"/>
      <c r="L62" s="362"/>
      <c r="M62" s="362"/>
      <c r="N62" s="362"/>
      <c r="O62" s="362"/>
      <c r="P62" s="362"/>
      <c r="Q62" s="362"/>
      <c r="R62" s="362"/>
      <c r="S62" s="362"/>
      <c r="T62" s="362"/>
      <c r="U62" s="362"/>
      <c r="V62" s="362"/>
      <c r="W62" s="362"/>
      <c r="Y62" s="362"/>
    </row>
    <row r="63" spans="1:25" s="363" customFormat="1" ht="0.65" hidden="1" customHeight="1">
      <c r="A63" s="753">
        <v>200000</v>
      </c>
      <c r="B63" s="753">
        <f t="shared" ref="B63:B64" si="6">IF(C7="","",C7)</f>
        <v>200000</v>
      </c>
      <c r="C63" s="753">
        <f t="shared" ref="C63:C64" si="7">IF(A63=B63,1,0)</f>
        <v>1</v>
      </c>
      <c r="D63" s="753">
        <v>2000000</v>
      </c>
      <c r="E63" s="753">
        <f t="shared" ref="E63:E67" si="8">IF(F7="","",F7)</f>
        <v>2000000</v>
      </c>
      <c r="F63" s="753">
        <f t="shared" ref="F63:F67" si="9">IF(D63=E63,1,0)</f>
        <v>1</v>
      </c>
      <c r="G63" s="753"/>
      <c r="H63" s="753"/>
      <c r="K63" s="362"/>
      <c r="L63" s="753" t="s">
        <v>2651</v>
      </c>
      <c r="M63" s="753" t="s">
        <v>2651</v>
      </c>
      <c r="N63" s="753" t="s">
        <v>2651</v>
      </c>
      <c r="O63" s="753" t="s">
        <v>2651</v>
      </c>
      <c r="P63" s="753" t="s">
        <v>2651</v>
      </c>
      <c r="Q63" s="753" t="s">
        <v>2651</v>
      </c>
      <c r="R63" s="753" t="s">
        <v>2651</v>
      </c>
      <c r="S63" s="753" t="s">
        <v>2651</v>
      </c>
      <c r="T63" s="753" t="s">
        <v>2651</v>
      </c>
      <c r="U63" s="753" t="s">
        <v>2651</v>
      </c>
      <c r="V63" s="753" t="s">
        <v>2651</v>
      </c>
      <c r="W63" s="754">
        <v>-250000</v>
      </c>
      <c r="Y63" s="754">
        <v>-250000</v>
      </c>
    </row>
    <row r="64" spans="1:25" s="363" customFormat="1" ht="0.65" hidden="1" customHeight="1">
      <c r="A64" s="753">
        <v>10</v>
      </c>
      <c r="B64" s="753">
        <f t="shared" si="6"/>
        <v>10</v>
      </c>
      <c r="C64" s="753">
        <f t="shared" si="7"/>
        <v>1</v>
      </c>
      <c r="D64" s="753">
        <v>2500000</v>
      </c>
      <c r="E64" s="753">
        <f t="shared" si="8"/>
        <v>2500000</v>
      </c>
      <c r="F64" s="753">
        <f t="shared" si="9"/>
        <v>1</v>
      </c>
      <c r="G64" s="753"/>
      <c r="H64" s="753"/>
      <c r="K64" s="362"/>
      <c r="L64" s="754">
        <v>2100000</v>
      </c>
      <c r="M64" s="754">
        <v>1802500</v>
      </c>
      <c r="N64" s="754">
        <v>297500</v>
      </c>
      <c r="O64" s="754">
        <v>25000</v>
      </c>
      <c r="P64" s="754">
        <v>272500</v>
      </c>
      <c r="Q64" s="754">
        <v>76300</v>
      </c>
      <c r="R64" s="754">
        <v>196200</v>
      </c>
      <c r="S64" s="754">
        <v>221200</v>
      </c>
      <c r="T64" s="754">
        <v>175000</v>
      </c>
      <c r="U64" s="754">
        <v>175000</v>
      </c>
      <c r="V64" s="754">
        <v>46200</v>
      </c>
      <c r="W64" s="754">
        <v>46200</v>
      </c>
      <c r="Y64" s="754">
        <v>44000</v>
      </c>
    </row>
    <row r="65" spans="1:25" s="363" customFormat="1" ht="0.65" hidden="1" customHeight="1">
      <c r="A65" s="753"/>
      <c r="B65" s="753"/>
      <c r="C65" s="753"/>
      <c r="D65" s="753">
        <v>3000000</v>
      </c>
      <c r="E65" s="753">
        <f t="shared" si="8"/>
        <v>3000000</v>
      </c>
      <c r="F65" s="753">
        <f t="shared" si="9"/>
        <v>1</v>
      </c>
      <c r="G65" s="753"/>
      <c r="H65" s="753"/>
      <c r="K65" s="362"/>
      <c r="L65" s="754">
        <v>2756250</v>
      </c>
      <c r="M65" s="754">
        <v>2352000</v>
      </c>
      <c r="N65" s="754">
        <v>404250</v>
      </c>
      <c r="O65" s="754">
        <v>25000</v>
      </c>
      <c r="P65" s="754">
        <v>379250</v>
      </c>
      <c r="Q65" s="754">
        <v>106190.00000000001</v>
      </c>
      <c r="R65" s="754">
        <v>273060</v>
      </c>
      <c r="S65" s="754">
        <v>298060</v>
      </c>
      <c r="T65" s="754">
        <v>229687.5</v>
      </c>
      <c r="U65" s="754">
        <v>54687.5</v>
      </c>
      <c r="V65" s="754">
        <v>243372.5</v>
      </c>
      <c r="W65" s="754">
        <v>243372.5</v>
      </c>
      <c r="Y65" s="754">
        <v>220746.03174603175</v>
      </c>
    </row>
    <row r="66" spans="1:25" s="363" customFormat="1" ht="0.65" hidden="1" customHeight="1">
      <c r="A66" s="753"/>
      <c r="B66" s="753"/>
      <c r="C66" s="753"/>
      <c r="D66" s="753">
        <v>3000000</v>
      </c>
      <c r="E66" s="753">
        <f t="shared" si="8"/>
        <v>3000000</v>
      </c>
      <c r="F66" s="753">
        <f t="shared" si="9"/>
        <v>1</v>
      </c>
      <c r="G66" s="753"/>
      <c r="H66" s="753"/>
      <c r="K66" s="362"/>
      <c r="L66" s="754">
        <v>3472875.0000000005</v>
      </c>
      <c r="M66" s="754">
        <v>2951943.7500000005</v>
      </c>
      <c r="N66" s="754">
        <v>520931.25</v>
      </c>
      <c r="O66" s="754">
        <v>25000</v>
      </c>
      <c r="P66" s="754">
        <v>495931.25</v>
      </c>
      <c r="Q66" s="754">
        <v>138860.75</v>
      </c>
      <c r="R66" s="754">
        <v>357070.5</v>
      </c>
      <c r="S66" s="754">
        <v>382070.5</v>
      </c>
      <c r="T66" s="754">
        <v>289406.25000000006</v>
      </c>
      <c r="U66" s="754">
        <v>59718.750000000058</v>
      </c>
      <c r="V66" s="754">
        <v>322351.74999999994</v>
      </c>
      <c r="W66" s="754">
        <v>322351.74999999994</v>
      </c>
      <c r="Y66" s="754">
        <v>278459.56160241866</v>
      </c>
    </row>
    <row r="67" spans="1:25" s="363" customFormat="1" ht="0.65" hidden="1" customHeight="1">
      <c r="A67" s="753"/>
      <c r="B67" s="753"/>
      <c r="C67" s="753"/>
      <c r="D67" s="753">
        <v>3000000</v>
      </c>
      <c r="E67" s="753">
        <f t="shared" si="8"/>
        <v>3000000</v>
      </c>
      <c r="F67" s="753">
        <f t="shared" si="9"/>
        <v>1</v>
      </c>
      <c r="G67" s="753"/>
      <c r="H67" s="753"/>
      <c r="K67" s="362"/>
      <c r="L67" s="754">
        <v>3646518.75</v>
      </c>
      <c r="M67" s="754">
        <v>3099540.9375</v>
      </c>
      <c r="N67" s="754">
        <v>546977.8125</v>
      </c>
      <c r="O67" s="754">
        <v>25000</v>
      </c>
      <c r="P67" s="754">
        <v>521977.8125</v>
      </c>
      <c r="Q67" s="754">
        <v>146153.78750000001</v>
      </c>
      <c r="R67" s="754">
        <v>375824.02500000002</v>
      </c>
      <c r="S67" s="754">
        <v>400824.02500000002</v>
      </c>
      <c r="T67" s="754">
        <v>303876.5625</v>
      </c>
      <c r="U67" s="754">
        <v>14470.312499999942</v>
      </c>
      <c r="V67" s="754">
        <v>386353.71250000008</v>
      </c>
      <c r="W67" s="754">
        <v>386353.71250000008</v>
      </c>
      <c r="Y67" s="754">
        <v>317854.15541878133</v>
      </c>
    </row>
    <row r="68" spans="1:25" s="363" customFormat="1" ht="0.65" hidden="1" customHeight="1">
      <c r="A68" s="753"/>
      <c r="B68" s="753"/>
      <c r="C68" s="753"/>
      <c r="D68" s="753"/>
      <c r="E68" s="753"/>
      <c r="F68" s="753"/>
      <c r="G68" s="753">
        <v>2022</v>
      </c>
      <c r="H68" s="753">
        <f>IF(I12="","",I12)</f>
        <v>2022</v>
      </c>
      <c r="I68" s="753">
        <f>IF(G68=H68,1,0)</f>
        <v>1</v>
      </c>
      <c r="K68" s="362"/>
      <c r="L68" s="754">
        <v>3828844.6875000005</v>
      </c>
      <c r="M68" s="754">
        <v>3254517.9843750005</v>
      </c>
      <c r="N68" s="754">
        <v>574326.703125</v>
      </c>
      <c r="O68" s="754">
        <v>25000</v>
      </c>
      <c r="P68" s="754">
        <v>549326.703125</v>
      </c>
      <c r="Q68" s="754">
        <v>153811.47687500002</v>
      </c>
      <c r="R68" s="754">
        <v>395515.22624999995</v>
      </c>
      <c r="S68" s="754">
        <v>420515.22624999995</v>
      </c>
      <c r="T68" s="754">
        <v>319070.39062500006</v>
      </c>
      <c r="U68" s="754">
        <v>15193.828125000058</v>
      </c>
      <c r="V68" s="754">
        <v>405321.39812499989</v>
      </c>
      <c r="W68" s="754">
        <v>903391.78874999995</v>
      </c>
      <c r="Y68" s="754">
        <v>707831.10505837132</v>
      </c>
    </row>
    <row r="69" spans="1:25" s="363" customFormat="1" ht="0.65" hidden="1" customHeight="1">
      <c r="A69" s="753"/>
      <c r="B69" s="753"/>
      <c r="C69" s="753"/>
      <c r="D69" s="753">
        <v>50000</v>
      </c>
      <c r="E69" s="753">
        <f t="shared" ref="E69:E71" si="10">IF(F13="","",F13)</f>
        <v>50000</v>
      </c>
      <c r="F69" s="753">
        <f t="shared" ref="F69:F71" si="11">IF(D69=E69,1,0)</f>
        <v>1</v>
      </c>
      <c r="G69" s="753"/>
      <c r="H69" s="753"/>
    </row>
    <row r="70" spans="1:25" s="363" customFormat="1" ht="0.65" hidden="1" customHeight="1">
      <c r="A70" s="753"/>
      <c r="B70" s="753"/>
      <c r="C70" s="753"/>
      <c r="D70" s="755">
        <v>0.2</v>
      </c>
      <c r="E70" s="755">
        <f t="shared" si="10"/>
        <v>0.2</v>
      </c>
      <c r="F70" s="753">
        <f t="shared" si="11"/>
        <v>1</v>
      </c>
      <c r="G70" s="755">
        <v>0.05</v>
      </c>
      <c r="H70" s="755">
        <f t="shared" ref="H70:H71" si="12">IF(I14="","",I14)</f>
        <v>0.05</v>
      </c>
      <c r="I70" s="753">
        <f t="shared" ref="I70:I71" si="13">IF(G70=H70,1,0)</f>
        <v>1</v>
      </c>
      <c r="K70" s="753"/>
      <c r="L70" s="363">
        <v>250000</v>
      </c>
      <c r="O70" s="756">
        <v>0.11300000000000021</v>
      </c>
      <c r="Y70" s="756">
        <v>0.06</v>
      </c>
    </row>
    <row r="71" spans="1:25" s="363" customFormat="1" ht="0.65" hidden="1" customHeight="1">
      <c r="A71" s="755">
        <v>3000</v>
      </c>
      <c r="B71" s="755">
        <f>IF(C15="","",C15)</f>
        <v>3000</v>
      </c>
      <c r="C71" s="753">
        <f>IF(A71=B71,1,0)</f>
        <v>1</v>
      </c>
      <c r="D71" s="753">
        <v>30</v>
      </c>
      <c r="E71" s="753">
        <f t="shared" si="10"/>
        <v>30</v>
      </c>
      <c r="F71" s="753">
        <f t="shared" si="11"/>
        <v>1</v>
      </c>
      <c r="G71" s="753">
        <v>5</v>
      </c>
      <c r="H71" s="753">
        <f t="shared" si="12"/>
        <v>5</v>
      </c>
      <c r="I71" s="753">
        <f t="shared" si="13"/>
        <v>1</v>
      </c>
      <c r="K71" s="362"/>
      <c r="L71" s="363">
        <v>179000</v>
      </c>
      <c r="O71" s="753"/>
      <c r="Y71" s="753"/>
    </row>
    <row r="72" spans="1:25" s="363" customFormat="1" ht="0.65" hidden="1" customHeight="1">
      <c r="A72" s="753"/>
      <c r="B72" s="753"/>
      <c r="C72" s="753"/>
      <c r="D72" s="753"/>
      <c r="E72" s="753"/>
      <c r="F72" s="753"/>
      <c r="G72" s="753"/>
      <c r="H72" s="753"/>
      <c r="K72" s="362"/>
      <c r="L72" s="363">
        <v>319070.39062500006</v>
      </c>
      <c r="O72" s="754">
        <v>1002475.4744343841</v>
      </c>
      <c r="Y72" s="754">
        <v>1002475.4744343846</v>
      </c>
    </row>
    <row r="73" spans="1:25" s="363" customFormat="1" ht="0.65" hidden="1" customHeight="1">
      <c r="A73" s="753"/>
      <c r="B73" s="753"/>
      <c r="C73" s="753"/>
      <c r="D73" s="753"/>
      <c r="E73" s="753"/>
      <c r="F73" s="753"/>
      <c r="G73" s="755">
        <v>0.28000000000000003</v>
      </c>
      <c r="H73" s="755">
        <f t="shared" ref="H73:H74" si="14">IF(I17="","",I17)</f>
        <v>0.28000000000000003</v>
      </c>
      <c r="I73" s="753">
        <f t="shared" ref="I73:I74" si="15">IF(G73=H73,1,0)</f>
        <v>1</v>
      </c>
      <c r="K73" s="362"/>
      <c r="L73" s="363">
        <v>498070.39062500006</v>
      </c>
    </row>
    <row r="74" spans="1:25" s="363" customFormat="1" ht="0.65" hidden="1" customHeight="1">
      <c r="A74" s="753"/>
      <c r="B74" s="753"/>
      <c r="C74" s="753"/>
      <c r="D74" s="753"/>
      <c r="E74" s="753"/>
      <c r="F74" s="753"/>
      <c r="G74" s="755">
        <v>0.06</v>
      </c>
      <c r="H74" s="755">
        <f t="shared" si="14"/>
        <v>0.06</v>
      </c>
      <c r="I74" s="753">
        <f t="shared" si="15"/>
        <v>1</v>
      </c>
    </row>
    <row r="75" spans="1:25" s="363" customFormat="1" ht="0.65" hidden="1" customHeight="1">
      <c r="A75" s="753"/>
      <c r="B75" s="753"/>
      <c r="C75" s="753"/>
      <c r="D75" s="753"/>
      <c r="E75" s="753"/>
      <c r="F75" s="753"/>
      <c r="G75" s="753"/>
      <c r="H75" s="753"/>
    </row>
    <row r="76" spans="1:25" s="363" customFormat="1" ht="0.65" hidden="1" customHeight="1">
      <c r="A76" s="753"/>
      <c r="B76" s="753"/>
      <c r="C76" s="753"/>
      <c r="D76" s="753"/>
      <c r="E76" s="753"/>
      <c r="F76" s="753"/>
      <c r="G76" s="753"/>
      <c r="H76" s="753"/>
    </row>
    <row r="77" spans="1:25" s="363" customFormat="1" ht="0.65" hidden="1" customHeight="1">
      <c r="A77" s="753">
        <v>0</v>
      </c>
      <c r="B77" s="753">
        <f t="shared" ref="B77:B80" si="16">IF(C21="","",C21)</f>
        <v>0</v>
      </c>
      <c r="C77" s="753">
        <f t="shared" ref="C77:C80" si="17">IF(A77=B77,1,0)</f>
        <v>1</v>
      </c>
      <c r="D77" s="753"/>
      <c r="E77" s="753"/>
      <c r="F77" s="753"/>
      <c r="G77" s="753"/>
      <c r="H77" s="753"/>
    </row>
    <row r="78" spans="1:25" s="363" customFormat="1" ht="0.65" hidden="1" customHeight="1">
      <c r="A78" s="753">
        <v>0</v>
      </c>
      <c r="B78" s="753">
        <f t="shared" si="16"/>
        <v>0</v>
      </c>
      <c r="C78" s="753">
        <f t="shared" si="17"/>
        <v>1</v>
      </c>
      <c r="D78" s="753">
        <v>875000.00000000012</v>
      </c>
      <c r="E78" s="753">
        <f t="shared" ref="E78:E82" si="18">IF(F22="","",F22)</f>
        <v>875000.00000000012</v>
      </c>
      <c r="F78" s="753">
        <f t="shared" ref="F78:F82" si="19">IF(D78=E78,1,0)</f>
        <v>1</v>
      </c>
      <c r="G78" s="753"/>
      <c r="H78" s="753"/>
      <c r="K78" s="362"/>
      <c r="L78" s="362"/>
      <c r="M78" s="362"/>
      <c r="N78" s="362"/>
      <c r="O78" s="362"/>
      <c r="P78" s="362"/>
      <c r="Q78" s="362"/>
      <c r="R78" s="362"/>
      <c r="S78" s="362"/>
      <c r="T78" s="362"/>
      <c r="U78" s="362"/>
      <c r="V78" s="362"/>
      <c r="W78" s="362"/>
    </row>
    <row r="79" spans="1:25" s="363" customFormat="1" ht="0.65" hidden="1" customHeight="1">
      <c r="A79" s="753">
        <v>0</v>
      </c>
      <c r="B79" s="753">
        <f t="shared" si="16"/>
        <v>0</v>
      </c>
      <c r="C79" s="753">
        <f t="shared" si="17"/>
        <v>1</v>
      </c>
      <c r="D79" s="753">
        <v>1093750.0000000002</v>
      </c>
      <c r="E79" s="753">
        <f t="shared" si="18"/>
        <v>1093750.0000000002</v>
      </c>
      <c r="F79" s="753">
        <f t="shared" si="19"/>
        <v>1</v>
      </c>
      <c r="G79" s="753"/>
      <c r="H79" s="753"/>
      <c r="K79" s="362"/>
      <c r="L79" s="753" t="s">
        <v>2651</v>
      </c>
      <c r="M79" s="753" t="s">
        <v>2651</v>
      </c>
      <c r="N79" s="753" t="s">
        <v>2651</v>
      </c>
      <c r="O79" s="753" t="s">
        <v>2651</v>
      </c>
      <c r="P79" s="753" t="s">
        <v>2651</v>
      </c>
      <c r="Q79" s="753" t="s">
        <v>2651</v>
      </c>
      <c r="R79" s="753" t="s">
        <v>2651</v>
      </c>
      <c r="S79" s="753" t="s">
        <v>2651</v>
      </c>
      <c r="T79" s="753" t="s">
        <v>2651</v>
      </c>
      <c r="U79" s="753" t="s">
        <v>2651</v>
      </c>
      <c r="V79" s="753" t="s">
        <v>2651</v>
      </c>
      <c r="W79" s="754">
        <v>0</v>
      </c>
    </row>
    <row r="80" spans="1:25" s="363" customFormat="1" ht="0.65" hidden="1" customHeight="1">
      <c r="A80" s="755">
        <v>0.05</v>
      </c>
      <c r="B80" s="755">
        <f t="shared" si="16"/>
        <v>0.05</v>
      </c>
      <c r="C80" s="753">
        <f t="shared" si="17"/>
        <v>1</v>
      </c>
      <c r="D80" s="753">
        <v>1312500</v>
      </c>
      <c r="E80" s="753">
        <f t="shared" si="18"/>
        <v>1312500</v>
      </c>
      <c r="F80" s="753">
        <f t="shared" si="19"/>
        <v>1</v>
      </c>
      <c r="G80" s="753"/>
      <c r="H80" s="753"/>
      <c r="K80" s="362"/>
      <c r="L80" s="754">
        <v>2100000</v>
      </c>
      <c r="M80" s="754">
        <v>1838500</v>
      </c>
      <c r="N80" s="754">
        <v>261500</v>
      </c>
      <c r="O80" s="754">
        <v>0</v>
      </c>
      <c r="P80" s="754">
        <v>261500</v>
      </c>
      <c r="Q80" s="754">
        <v>73220</v>
      </c>
      <c r="R80" s="754">
        <v>188280</v>
      </c>
      <c r="S80" s="754">
        <v>188280</v>
      </c>
      <c r="T80" s="754">
        <v>175000</v>
      </c>
      <c r="U80" s="754">
        <v>175000</v>
      </c>
      <c r="V80" s="754">
        <v>13280</v>
      </c>
      <c r="W80" s="754">
        <v>13280</v>
      </c>
    </row>
    <row r="81" spans="1:23" s="363" customFormat="1" ht="0.65" hidden="1" customHeight="1">
      <c r="A81" s="753"/>
      <c r="B81" s="753"/>
      <c r="C81" s="753"/>
      <c r="D81" s="753">
        <v>1312500</v>
      </c>
      <c r="E81" s="753">
        <f t="shared" si="18"/>
        <v>1312500</v>
      </c>
      <c r="F81" s="753">
        <f t="shared" si="19"/>
        <v>1</v>
      </c>
      <c r="G81" s="753"/>
      <c r="H81" s="753"/>
      <c r="K81" s="362"/>
      <c r="L81" s="754">
        <v>2756250</v>
      </c>
      <c r="M81" s="754">
        <v>2388000</v>
      </c>
      <c r="N81" s="754">
        <v>368250</v>
      </c>
      <c r="O81" s="754">
        <v>0</v>
      </c>
      <c r="P81" s="754">
        <v>368250</v>
      </c>
      <c r="Q81" s="754">
        <v>103110.00000000001</v>
      </c>
      <c r="R81" s="754">
        <v>265140</v>
      </c>
      <c r="S81" s="754">
        <v>265140</v>
      </c>
      <c r="T81" s="754">
        <v>229687.5</v>
      </c>
      <c r="U81" s="754">
        <v>54687.5</v>
      </c>
      <c r="V81" s="754">
        <v>210452.5</v>
      </c>
      <c r="W81" s="754">
        <v>210452.5</v>
      </c>
    </row>
    <row r="82" spans="1:23" s="363" customFormat="1" ht="0.65" hidden="1" customHeight="1">
      <c r="A82" s="753"/>
      <c r="B82" s="753"/>
      <c r="C82" s="753"/>
      <c r="D82" s="753">
        <v>1312500</v>
      </c>
      <c r="E82" s="753">
        <f t="shared" si="18"/>
        <v>1312500</v>
      </c>
      <c r="F82" s="753">
        <f t="shared" si="19"/>
        <v>1</v>
      </c>
      <c r="G82" s="753"/>
      <c r="H82" s="753"/>
      <c r="K82" s="362"/>
      <c r="L82" s="754">
        <v>3472875.0000000005</v>
      </c>
      <c r="M82" s="754">
        <v>2987943.7500000005</v>
      </c>
      <c r="N82" s="754">
        <v>484931.25</v>
      </c>
      <c r="O82" s="754">
        <v>0</v>
      </c>
      <c r="P82" s="754">
        <v>484931.25</v>
      </c>
      <c r="Q82" s="754">
        <v>135780.75</v>
      </c>
      <c r="R82" s="754">
        <v>349150.5</v>
      </c>
      <c r="S82" s="754">
        <v>349150.5</v>
      </c>
      <c r="T82" s="754">
        <v>289406.25000000006</v>
      </c>
      <c r="U82" s="754">
        <v>59718.750000000058</v>
      </c>
      <c r="V82" s="754">
        <v>289431.74999999994</v>
      </c>
      <c r="W82" s="754">
        <v>289431.74999999994</v>
      </c>
    </row>
    <row r="83" spans="1:23" s="363" customFormat="1" ht="0.65" hidden="1" customHeight="1">
      <c r="A83" s="753"/>
      <c r="B83" s="753"/>
      <c r="C83" s="753"/>
      <c r="D83" s="753"/>
      <c r="E83" s="753"/>
      <c r="F83" s="753"/>
      <c r="G83" s="753"/>
      <c r="H83" s="753"/>
      <c r="K83" s="362"/>
      <c r="L83" s="754">
        <v>3646518.75</v>
      </c>
      <c r="M83" s="754">
        <v>3135540.9375</v>
      </c>
      <c r="N83" s="754">
        <v>510977.8125</v>
      </c>
      <c r="O83" s="754">
        <v>0</v>
      </c>
      <c r="P83" s="754">
        <v>510977.8125</v>
      </c>
      <c r="Q83" s="754">
        <v>143073.78750000001</v>
      </c>
      <c r="R83" s="754">
        <v>367904.02500000002</v>
      </c>
      <c r="S83" s="754">
        <v>367904.02500000002</v>
      </c>
      <c r="T83" s="754">
        <v>303876.5625</v>
      </c>
      <c r="U83" s="754">
        <v>14470.312499999942</v>
      </c>
      <c r="V83" s="754">
        <v>353433.71250000008</v>
      </c>
      <c r="W83" s="754">
        <v>353433.71250000008</v>
      </c>
    </row>
    <row r="84" spans="1:23" s="363" customFormat="1" ht="0.65" hidden="1" customHeight="1">
      <c r="A84" s="753"/>
      <c r="B84" s="753"/>
      <c r="C84" s="753"/>
      <c r="D84" s="753"/>
      <c r="E84" s="753"/>
      <c r="F84" s="753"/>
      <c r="G84" s="753"/>
      <c r="H84" s="753"/>
      <c r="K84" s="362"/>
      <c r="L84" s="754">
        <v>3828844.6875000005</v>
      </c>
      <c r="M84" s="754">
        <v>3290517.9843750005</v>
      </c>
      <c r="N84" s="754">
        <v>538326.703125</v>
      </c>
      <c r="O84" s="754">
        <v>0</v>
      </c>
      <c r="P84" s="754">
        <v>538326.703125</v>
      </c>
      <c r="Q84" s="754">
        <v>150731.47687500002</v>
      </c>
      <c r="R84" s="754">
        <v>387595.22624999995</v>
      </c>
      <c r="S84" s="754">
        <v>387595.22624999995</v>
      </c>
      <c r="T84" s="754">
        <v>319070.39062500006</v>
      </c>
      <c r="U84" s="754">
        <v>15193.828125000058</v>
      </c>
      <c r="V84" s="754">
        <v>372401.39812499989</v>
      </c>
      <c r="W84" s="754">
        <v>691471.78874999995</v>
      </c>
    </row>
    <row r="85" spans="1:23" s="363" customFormat="1" ht="0.65" hidden="1" customHeight="1"/>
    <row r="86" spans="1:23" s="363" customFormat="1" ht="0.65" hidden="1" customHeight="1">
      <c r="K86" s="753"/>
      <c r="L86" s="754">
        <v>0</v>
      </c>
      <c r="O86" s="756">
        <v>0.11300000000000021</v>
      </c>
    </row>
    <row r="87" spans="1:23" s="363" customFormat="1" ht="0.65" hidden="1" customHeight="1">
      <c r="C87" s="757"/>
      <c r="D87" s="753">
        <f>SUM(C62:C80)+SUM(F63:F82)+SUM(I68:I74)+SUM(D93:D112)</f>
        <v>44</v>
      </c>
      <c r="K87" s="362"/>
      <c r="L87" s="754">
        <v>0</v>
      </c>
      <c r="O87" s="753"/>
    </row>
    <row r="88" spans="1:23" s="363" customFormat="1" ht="0.65" hidden="1" customHeight="1">
      <c r="C88" s="757"/>
      <c r="D88" s="753" t="str">
        <f>IF(OR(I19="*",D87=44),"NO","SI")</f>
        <v>NO</v>
      </c>
      <c r="K88" s="362"/>
      <c r="L88" s="754">
        <v>319070.39062500006</v>
      </c>
      <c r="O88" s="754">
        <v>1026915.3411276439</v>
      </c>
    </row>
    <row r="89" spans="1:23" s="363" customFormat="1" ht="0.65" hidden="1" customHeight="1">
      <c r="K89" s="362"/>
      <c r="L89" s="754">
        <v>319070.39062500006</v>
      </c>
    </row>
    <row r="90" spans="1:23" s="363" customFormat="1" ht="0.65" hidden="1" customHeight="1"/>
    <row r="91" spans="1:23" s="363" customFormat="1" ht="0.65" hidden="1" customHeight="1"/>
    <row r="92" spans="1:23" s="363" customFormat="1" ht="0.65" hidden="1" customHeight="1"/>
    <row r="93" spans="1:23" s="363" customFormat="1" ht="0.65" hidden="1" customHeight="1">
      <c r="B93" s="758">
        <v>2022</v>
      </c>
      <c r="C93" s="758">
        <f>K5</f>
        <v>2022</v>
      </c>
      <c r="D93" s="753">
        <f>IF(B$93=C93,1,0)</f>
        <v>1</v>
      </c>
    </row>
    <row r="94" spans="1:23" s="363" customFormat="1" ht="0.65" hidden="1" customHeight="1">
      <c r="B94" s="758">
        <v>2023</v>
      </c>
      <c r="C94" s="758">
        <f t="shared" ref="C94:C98" si="20">K6</f>
        <v>2023</v>
      </c>
      <c r="D94" s="753">
        <f>IF(B$94=C94,1,0)</f>
        <v>1</v>
      </c>
      <c r="K94" s="362"/>
      <c r="L94" s="362"/>
      <c r="M94" s="362"/>
      <c r="N94" s="362"/>
      <c r="O94" s="362"/>
      <c r="P94" s="362"/>
      <c r="Q94" s="362"/>
      <c r="R94" s="362"/>
      <c r="S94" s="362"/>
      <c r="T94" s="362"/>
      <c r="U94" s="362"/>
      <c r="V94" s="362"/>
      <c r="W94" s="362"/>
    </row>
    <row r="95" spans="1:23" s="363" customFormat="1" ht="0.65" hidden="1" customHeight="1">
      <c r="B95" s="758">
        <v>2024</v>
      </c>
      <c r="C95" s="758">
        <f t="shared" si="20"/>
        <v>2024</v>
      </c>
      <c r="D95" s="753">
        <f>IF(B$95=C95,1,0)</f>
        <v>1</v>
      </c>
      <c r="K95" s="362"/>
      <c r="L95" s="753" t="s">
        <v>2651</v>
      </c>
      <c r="M95" s="753" t="s">
        <v>2651</v>
      </c>
      <c r="N95" s="753" t="s">
        <v>2651</v>
      </c>
      <c r="O95" s="753" t="s">
        <v>2651</v>
      </c>
      <c r="P95" s="753" t="s">
        <v>2651</v>
      </c>
      <c r="Q95" s="753" t="s">
        <v>2651</v>
      </c>
      <c r="R95" s="753" t="s">
        <v>2651</v>
      </c>
      <c r="S95" s="753" t="s">
        <v>2651</v>
      </c>
      <c r="T95" s="753" t="s">
        <v>2651</v>
      </c>
      <c r="U95" s="753" t="s">
        <v>2651</v>
      </c>
      <c r="V95" s="753" t="s">
        <v>2651</v>
      </c>
      <c r="W95" s="754">
        <v>0</v>
      </c>
    </row>
    <row r="96" spans="1:23" s="363" customFormat="1" ht="0.65" hidden="1" customHeight="1">
      <c r="B96" s="758">
        <v>2025</v>
      </c>
      <c r="C96" s="758">
        <f t="shared" si="20"/>
        <v>2025</v>
      </c>
      <c r="D96" s="753">
        <f>IF(B$96=C96,1,0)</f>
        <v>1</v>
      </c>
      <c r="K96" s="362"/>
      <c r="L96" s="754">
        <v>918750.00000000012</v>
      </c>
      <c r="M96" s="754">
        <v>875000.00000000012</v>
      </c>
      <c r="N96" s="754">
        <v>43750</v>
      </c>
      <c r="O96" s="754">
        <v>0</v>
      </c>
      <c r="P96" s="754">
        <v>43750</v>
      </c>
      <c r="Q96" s="754">
        <v>12250.000000000002</v>
      </c>
      <c r="R96" s="754">
        <v>31500</v>
      </c>
      <c r="S96" s="754">
        <v>31500</v>
      </c>
      <c r="T96" s="754">
        <v>0</v>
      </c>
      <c r="U96" s="754">
        <v>0</v>
      </c>
      <c r="V96" s="754">
        <v>31500</v>
      </c>
      <c r="W96" s="754">
        <v>31500</v>
      </c>
    </row>
    <row r="97" spans="2:25" s="363" customFormat="1" ht="0.65" hidden="1" customHeight="1">
      <c r="B97" s="758">
        <v>2026</v>
      </c>
      <c r="C97" s="758">
        <f t="shared" si="20"/>
        <v>2026</v>
      </c>
      <c r="D97" s="753">
        <f>IF(B$97=C97,1,0)</f>
        <v>1</v>
      </c>
      <c r="K97" s="362"/>
      <c r="L97" s="754">
        <v>1205859.3750000002</v>
      </c>
      <c r="M97" s="754">
        <v>1148437.5000000002</v>
      </c>
      <c r="N97" s="754">
        <v>57421.875</v>
      </c>
      <c r="O97" s="754">
        <v>0</v>
      </c>
      <c r="P97" s="754">
        <v>57421.875</v>
      </c>
      <c r="Q97" s="754">
        <v>16078.125000000002</v>
      </c>
      <c r="R97" s="754">
        <v>41343.75</v>
      </c>
      <c r="S97" s="754">
        <v>41343.75</v>
      </c>
      <c r="T97" s="754">
        <v>0</v>
      </c>
      <c r="U97" s="754">
        <v>0</v>
      </c>
      <c r="V97" s="754">
        <v>41343.75</v>
      </c>
      <c r="W97" s="754">
        <v>41343.75</v>
      </c>
    </row>
    <row r="98" spans="2:25" s="363" customFormat="1" ht="0.65" hidden="1" customHeight="1">
      <c r="B98" s="758">
        <v>2027</v>
      </c>
      <c r="C98" s="758">
        <f t="shared" si="20"/>
        <v>2027</v>
      </c>
      <c r="D98" s="753">
        <f>IF(B$98=C98,1,0)</f>
        <v>1</v>
      </c>
      <c r="K98" s="362"/>
      <c r="L98" s="754">
        <v>1519382.8125000002</v>
      </c>
      <c r="M98" s="754">
        <v>1447031.2500000002</v>
      </c>
      <c r="N98" s="754">
        <v>72351.5625</v>
      </c>
      <c r="O98" s="754">
        <v>0</v>
      </c>
      <c r="P98" s="754">
        <v>72351.5625</v>
      </c>
      <c r="Q98" s="754">
        <v>20258.437500000004</v>
      </c>
      <c r="R98" s="754">
        <v>52093.125</v>
      </c>
      <c r="S98" s="754">
        <v>52093.125</v>
      </c>
      <c r="T98" s="754">
        <v>0</v>
      </c>
      <c r="U98" s="754">
        <v>0</v>
      </c>
      <c r="V98" s="754">
        <v>52093.125</v>
      </c>
      <c r="W98" s="754">
        <v>52093.125</v>
      </c>
    </row>
    <row r="99" spans="2:25" s="363" customFormat="1" ht="0.65" hidden="1" customHeight="1">
      <c r="C99" s="758"/>
      <c r="K99" s="362"/>
      <c r="L99" s="754">
        <v>1595351.953125</v>
      </c>
      <c r="M99" s="754">
        <v>1519382.8125</v>
      </c>
      <c r="N99" s="754">
        <v>75969.140625</v>
      </c>
      <c r="O99" s="754">
        <v>0</v>
      </c>
      <c r="P99" s="754">
        <v>75969.140625</v>
      </c>
      <c r="Q99" s="754">
        <v>21271.359375000004</v>
      </c>
      <c r="R99" s="754">
        <v>54697.78125</v>
      </c>
      <c r="S99" s="754">
        <v>54697.78125</v>
      </c>
      <c r="T99" s="754">
        <v>0</v>
      </c>
      <c r="U99" s="754">
        <v>0</v>
      </c>
      <c r="V99" s="754">
        <v>54697.78125</v>
      </c>
      <c r="W99" s="754">
        <v>54697.78125</v>
      </c>
    </row>
    <row r="100" spans="2:25" s="363" customFormat="1" ht="0.65" hidden="1" customHeight="1">
      <c r="C100" s="758">
        <f>K22</f>
        <v>2022</v>
      </c>
      <c r="D100" s="753">
        <f>IF(B$93=C100,1,0)</f>
        <v>1</v>
      </c>
      <c r="K100" s="362"/>
      <c r="L100" s="754">
        <v>1675119.5507812502</v>
      </c>
      <c r="M100" s="754">
        <v>1595351.9531250002</v>
      </c>
      <c r="N100" s="754">
        <v>79767.59765625</v>
      </c>
      <c r="O100" s="754">
        <v>0</v>
      </c>
      <c r="P100" s="754">
        <v>79767.59765625</v>
      </c>
      <c r="Q100" s="754">
        <v>22334.927343750001</v>
      </c>
      <c r="R100" s="754">
        <v>57432.670312499999</v>
      </c>
      <c r="S100" s="754">
        <v>57432.670312499999</v>
      </c>
      <c r="T100" s="754">
        <v>0</v>
      </c>
      <c r="U100" s="754">
        <v>0</v>
      </c>
      <c r="V100" s="754">
        <v>57432.670312499999</v>
      </c>
      <c r="W100" s="754">
        <v>57432.670312499999</v>
      </c>
    </row>
    <row r="101" spans="2:25" s="363" customFormat="1" ht="0.65" hidden="1" customHeight="1">
      <c r="C101" s="758">
        <f t="shared" ref="C101:C105" si="21">K23</f>
        <v>2023</v>
      </c>
      <c r="D101" s="753">
        <f>IF(B$94=C101,1,0)</f>
        <v>1</v>
      </c>
    </row>
    <row r="102" spans="2:25" s="363" customFormat="1" ht="0.65" hidden="1" customHeight="1">
      <c r="C102" s="758">
        <f t="shared" si="21"/>
        <v>2024</v>
      </c>
      <c r="D102" s="753">
        <f>IF(B$95=C102,1,0)</f>
        <v>1</v>
      </c>
      <c r="K102" s="753"/>
      <c r="L102" s="363">
        <v>0</v>
      </c>
      <c r="O102" s="756">
        <v>0.11300000000000021</v>
      </c>
    </row>
    <row r="103" spans="2:25" s="363" customFormat="1" ht="0.65" hidden="1" customHeight="1">
      <c r="C103" s="758">
        <f t="shared" si="21"/>
        <v>2025</v>
      </c>
      <c r="D103" s="753">
        <f>IF(B$96=C103,1,0)</f>
        <v>1</v>
      </c>
      <c r="K103" s="362"/>
      <c r="L103" s="363">
        <v>0</v>
      </c>
      <c r="O103" s="753"/>
    </row>
    <row r="104" spans="2:25" s="363" customFormat="1" ht="0.65" hidden="1" customHeight="1">
      <c r="C104" s="758">
        <f t="shared" si="21"/>
        <v>2026</v>
      </c>
      <c r="D104" s="753">
        <f>IF(B$97=C104,1,0)</f>
        <v>1</v>
      </c>
      <c r="K104" s="362"/>
      <c r="L104" s="363">
        <v>0</v>
      </c>
      <c r="O104" s="754">
        <v>168730.45365412379</v>
      </c>
    </row>
    <row r="105" spans="2:25" s="363" customFormat="1" ht="0.65" hidden="1" customHeight="1">
      <c r="C105" s="758">
        <f t="shared" si="21"/>
        <v>2027</v>
      </c>
      <c r="D105" s="753">
        <f>IF(B$98=C105,1,0)</f>
        <v>1</v>
      </c>
      <c r="K105" s="362"/>
      <c r="L105" s="363">
        <v>0</v>
      </c>
    </row>
    <row r="106" spans="2:25" s="363" customFormat="1" ht="0.65" hidden="1" customHeight="1">
      <c r="C106" s="758"/>
    </row>
    <row r="107" spans="2:25" s="363" customFormat="1" ht="0.65" hidden="1" customHeight="1">
      <c r="C107" s="758">
        <f>K39</f>
        <v>2022</v>
      </c>
      <c r="D107" s="753">
        <f>IF(B$93=C107,1,0)</f>
        <v>1</v>
      </c>
    </row>
    <row r="108" spans="2:25" s="363" customFormat="1" ht="0.65" hidden="1" customHeight="1">
      <c r="C108" s="758">
        <f t="shared" ref="C108:C112" si="22">K40</f>
        <v>2023</v>
      </c>
      <c r="D108" s="753">
        <f>IF(B$94=C108,1,0)</f>
        <v>1</v>
      </c>
    </row>
    <row r="109" spans="2:25" s="363" customFormat="1" ht="0.65" hidden="1" customHeight="1">
      <c r="C109" s="758">
        <f t="shared" si="22"/>
        <v>2024</v>
      </c>
      <c r="D109" s="753">
        <f>IF(B$95=C109,1,0)</f>
        <v>1</v>
      </c>
    </row>
    <row r="110" spans="2:25" s="363" customFormat="1" ht="0.65" hidden="1" customHeight="1">
      <c r="C110" s="758">
        <f t="shared" si="22"/>
        <v>2025</v>
      </c>
      <c r="D110" s="753">
        <f>IF(B$96=C110,1,0)</f>
        <v>1</v>
      </c>
      <c r="K110" s="753">
        <v>9.9999999999999995E-7</v>
      </c>
      <c r="L110" s="753"/>
      <c r="M110" s="753"/>
      <c r="N110" s="753"/>
      <c r="O110" s="753"/>
      <c r="P110" s="753"/>
      <c r="Q110" s="753"/>
      <c r="R110" s="753"/>
      <c r="S110" s="753"/>
      <c r="T110" s="753"/>
      <c r="U110" s="753"/>
      <c r="V110" s="753"/>
      <c r="W110" s="753"/>
      <c r="X110" s="753"/>
      <c r="Y110" s="753"/>
    </row>
    <row r="111" spans="2:25" s="363" customFormat="1" ht="0.65" hidden="1" customHeight="1">
      <c r="C111" s="758">
        <f t="shared" si="22"/>
        <v>2026</v>
      </c>
      <c r="D111" s="753">
        <f>IF(B$97=C111,1,0)</f>
        <v>1</v>
      </c>
      <c r="K111" s="753"/>
      <c r="L111" s="753"/>
      <c r="M111" s="753"/>
      <c r="N111" s="753"/>
      <c r="O111" s="753"/>
      <c r="P111" s="753"/>
      <c r="Q111" s="753"/>
      <c r="R111" s="753"/>
      <c r="S111" s="753"/>
      <c r="T111" s="753"/>
      <c r="U111" s="753"/>
      <c r="V111" s="753"/>
      <c r="W111" s="753" t="str">
        <f t="shared" ref="W111:W116" si="23">IF(ABS(W5-W63)&lt;$K$110,"CORRECTO","INCORRECTO")</f>
        <v>INCORRECTO</v>
      </c>
      <c r="X111" s="753"/>
      <c r="Y111" s="753" t="str">
        <f t="shared" ref="Y111:Y116" si="24">IF(ABS(Y5-Y63)&lt;$K$110,"CORRECTO","INCORRECTO")</f>
        <v>INCORRECTO</v>
      </c>
    </row>
    <row r="112" spans="2:25" s="363" customFormat="1" ht="0.65" hidden="1" customHeight="1">
      <c r="C112" s="758">
        <f t="shared" si="22"/>
        <v>2027</v>
      </c>
      <c r="D112" s="753">
        <f>IF(B$98=C112,1,0)</f>
        <v>1</v>
      </c>
      <c r="K112" s="753"/>
      <c r="L112" s="753" t="str">
        <f t="shared" ref="L112:V116" si="25">IF(ABS(L6-L64)&lt;$K$110,"CORRECTO","INCORRECTO")</f>
        <v>INCORRECTO</v>
      </c>
      <c r="M112" s="753" t="str">
        <f t="shared" si="25"/>
        <v>INCORRECTO</v>
      </c>
      <c r="N112" s="753" t="str">
        <f t="shared" si="25"/>
        <v>INCORRECTO</v>
      </c>
      <c r="O112" s="753" t="str">
        <f t="shared" si="25"/>
        <v>INCORRECTO</v>
      </c>
      <c r="P112" s="753" t="str">
        <f t="shared" si="25"/>
        <v>INCORRECTO</v>
      </c>
      <c r="Q112" s="753" t="str">
        <f t="shared" si="25"/>
        <v>INCORRECTO</v>
      </c>
      <c r="R112" s="753" t="str">
        <f t="shared" si="25"/>
        <v>INCORRECTO</v>
      </c>
      <c r="S112" s="753" t="str">
        <f t="shared" si="25"/>
        <v>INCORRECTO</v>
      </c>
      <c r="T112" s="753" t="str">
        <f t="shared" si="25"/>
        <v>INCORRECTO</v>
      </c>
      <c r="U112" s="753" t="str">
        <f t="shared" si="25"/>
        <v>INCORRECTO</v>
      </c>
      <c r="V112" s="753" t="str">
        <f t="shared" si="25"/>
        <v>INCORRECTO</v>
      </c>
      <c r="W112" s="753" t="str">
        <f t="shared" si="23"/>
        <v>INCORRECTO</v>
      </c>
      <c r="X112" s="753"/>
      <c r="Y112" s="753" t="str">
        <f t="shared" si="24"/>
        <v>INCORRECTO</v>
      </c>
    </row>
    <row r="113" spans="11:25" s="363" customFormat="1" ht="0.65" hidden="1" customHeight="1">
      <c r="K113" s="753"/>
      <c r="L113" s="753" t="str">
        <f t="shared" si="25"/>
        <v>INCORRECTO</v>
      </c>
      <c r="M113" s="753" t="str">
        <f t="shared" si="25"/>
        <v>INCORRECTO</v>
      </c>
      <c r="N113" s="753" t="str">
        <f t="shared" si="25"/>
        <v>INCORRECTO</v>
      </c>
      <c r="O113" s="753" t="str">
        <f t="shared" si="25"/>
        <v>INCORRECTO</v>
      </c>
      <c r="P113" s="753" t="str">
        <f t="shared" si="25"/>
        <v>INCORRECTO</v>
      </c>
      <c r="Q113" s="753" t="str">
        <f t="shared" si="25"/>
        <v>INCORRECTO</v>
      </c>
      <c r="R113" s="753" t="str">
        <f t="shared" si="25"/>
        <v>INCORRECTO</v>
      </c>
      <c r="S113" s="753" t="str">
        <f t="shared" si="25"/>
        <v>INCORRECTO</v>
      </c>
      <c r="T113" s="753" t="str">
        <f t="shared" si="25"/>
        <v>INCORRECTO</v>
      </c>
      <c r="U113" s="753" t="str">
        <f t="shared" si="25"/>
        <v>INCORRECTO</v>
      </c>
      <c r="V113" s="753" t="str">
        <f t="shared" si="25"/>
        <v>INCORRECTO</v>
      </c>
      <c r="W113" s="753" t="str">
        <f t="shared" si="23"/>
        <v>INCORRECTO</v>
      </c>
      <c r="X113" s="753"/>
      <c r="Y113" s="753" t="str">
        <f t="shared" si="24"/>
        <v>INCORRECTO</v>
      </c>
    </row>
    <row r="114" spans="11:25" s="363" customFormat="1" ht="0.65" hidden="1" customHeight="1">
      <c r="K114" s="753"/>
      <c r="L114" s="753" t="str">
        <f t="shared" si="25"/>
        <v>INCORRECTO</v>
      </c>
      <c r="M114" s="753" t="str">
        <f t="shared" si="25"/>
        <v>INCORRECTO</v>
      </c>
      <c r="N114" s="753" t="str">
        <f t="shared" si="25"/>
        <v>INCORRECTO</v>
      </c>
      <c r="O114" s="753" t="str">
        <f t="shared" si="25"/>
        <v>INCORRECTO</v>
      </c>
      <c r="P114" s="753" t="str">
        <f t="shared" si="25"/>
        <v>INCORRECTO</v>
      </c>
      <c r="Q114" s="753" t="str">
        <f t="shared" si="25"/>
        <v>INCORRECTO</v>
      </c>
      <c r="R114" s="753" t="str">
        <f t="shared" si="25"/>
        <v>INCORRECTO</v>
      </c>
      <c r="S114" s="753" t="str">
        <f t="shared" si="25"/>
        <v>INCORRECTO</v>
      </c>
      <c r="T114" s="753" t="str">
        <f t="shared" si="25"/>
        <v>INCORRECTO</v>
      </c>
      <c r="U114" s="753" t="str">
        <f t="shared" si="25"/>
        <v>INCORRECTO</v>
      </c>
      <c r="V114" s="753" t="str">
        <f t="shared" si="25"/>
        <v>INCORRECTO</v>
      </c>
      <c r="W114" s="753" t="str">
        <f t="shared" si="23"/>
        <v>INCORRECTO</v>
      </c>
      <c r="X114" s="753"/>
      <c r="Y114" s="753" t="str">
        <f t="shared" si="24"/>
        <v>INCORRECTO</v>
      </c>
    </row>
    <row r="115" spans="11:25" s="363" customFormat="1" ht="0.65" hidden="1" customHeight="1">
      <c r="K115" s="753"/>
      <c r="L115" s="753" t="str">
        <f t="shared" si="25"/>
        <v>INCORRECTO</v>
      </c>
      <c r="M115" s="753" t="str">
        <f t="shared" si="25"/>
        <v>INCORRECTO</v>
      </c>
      <c r="N115" s="753" t="str">
        <f t="shared" si="25"/>
        <v>INCORRECTO</v>
      </c>
      <c r="O115" s="753" t="str">
        <f t="shared" si="25"/>
        <v>INCORRECTO</v>
      </c>
      <c r="P115" s="753" t="str">
        <f t="shared" si="25"/>
        <v>INCORRECTO</v>
      </c>
      <c r="Q115" s="753" t="str">
        <f t="shared" si="25"/>
        <v>INCORRECTO</v>
      </c>
      <c r="R115" s="753" t="str">
        <f t="shared" si="25"/>
        <v>INCORRECTO</v>
      </c>
      <c r="S115" s="753" t="str">
        <f t="shared" si="25"/>
        <v>INCORRECTO</v>
      </c>
      <c r="T115" s="753" t="str">
        <f t="shared" si="25"/>
        <v>INCORRECTO</v>
      </c>
      <c r="U115" s="753" t="str">
        <f t="shared" si="25"/>
        <v>INCORRECTO</v>
      </c>
      <c r="V115" s="753" t="str">
        <f t="shared" si="25"/>
        <v>INCORRECTO</v>
      </c>
      <c r="W115" s="753" t="str">
        <f t="shared" si="23"/>
        <v>INCORRECTO</v>
      </c>
      <c r="X115" s="753"/>
      <c r="Y115" s="753" t="str">
        <f t="shared" si="24"/>
        <v>INCORRECTO</v>
      </c>
    </row>
    <row r="116" spans="11:25" s="363" customFormat="1" ht="0.65" hidden="1" customHeight="1">
      <c r="K116" s="753"/>
      <c r="L116" s="753" t="str">
        <f t="shared" si="25"/>
        <v>INCORRECTO</v>
      </c>
      <c r="M116" s="753" t="str">
        <f t="shared" si="25"/>
        <v>INCORRECTO</v>
      </c>
      <c r="N116" s="753" t="str">
        <f t="shared" si="25"/>
        <v>INCORRECTO</v>
      </c>
      <c r="O116" s="753" t="str">
        <f t="shared" si="25"/>
        <v>INCORRECTO</v>
      </c>
      <c r="P116" s="753" t="str">
        <f t="shared" si="25"/>
        <v>INCORRECTO</v>
      </c>
      <c r="Q116" s="753" t="str">
        <f t="shared" si="25"/>
        <v>INCORRECTO</v>
      </c>
      <c r="R116" s="753" t="str">
        <f t="shared" si="25"/>
        <v>INCORRECTO</v>
      </c>
      <c r="S116" s="753" t="str">
        <f t="shared" si="25"/>
        <v>INCORRECTO</v>
      </c>
      <c r="T116" s="753" t="str">
        <f t="shared" si="25"/>
        <v>INCORRECTO</v>
      </c>
      <c r="U116" s="753" t="str">
        <f t="shared" si="25"/>
        <v>INCORRECTO</v>
      </c>
      <c r="V116" s="753" t="str">
        <f t="shared" si="25"/>
        <v>INCORRECTO</v>
      </c>
      <c r="W116" s="753" t="str">
        <f t="shared" si="23"/>
        <v>INCORRECTO</v>
      </c>
      <c r="X116" s="753"/>
      <c r="Y116" s="753" t="str">
        <f t="shared" si="24"/>
        <v>INCORRECTO</v>
      </c>
    </row>
    <row r="117" spans="11:25" s="363" customFormat="1" ht="0.65" hidden="1" customHeight="1">
      <c r="K117" s="753"/>
      <c r="L117" s="753"/>
      <c r="M117" s="753"/>
      <c r="N117" s="753"/>
      <c r="O117" s="753"/>
      <c r="P117" s="753"/>
      <c r="Q117" s="753"/>
      <c r="R117" s="753"/>
      <c r="S117" s="753"/>
      <c r="T117" s="753"/>
      <c r="U117" s="753"/>
      <c r="V117" s="753"/>
      <c r="W117" s="753"/>
      <c r="X117" s="753"/>
      <c r="Y117" s="753"/>
    </row>
    <row r="118" spans="11:25" s="363" customFormat="1" ht="0.65" hidden="1" customHeight="1">
      <c r="K118" s="753"/>
      <c r="L118" s="753" t="str">
        <f>IF(ABS(L12-L70)&lt;$K$110,"CORRECTO","INCORRECTO")</f>
        <v>INCORRECTO</v>
      </c>
      <c r="M118" s="753"/>
      <c r="N118" s="753"/>
      <c r="O118" s="753" t="str">
        <f>IF(ABS(O12-O70)&lt;$K$110,"CORRECTO","INCORRECTO")</f>
        <v>INCORRECTO</v>
      </c>
      <c r="P118" s="753"/>
      <c r="Q118" s="753"/>
      <c r="R118" s="753"/>
      <c r="S118" s="753"/>
      <c r="T118" s="753"/>
      <c r="U118" s="753"/>
      <c r="V118" s="753"/>
      <c r="W118" s="753"/>
      <c r="X118" s="753"/>
      <c r="Y118" s="753" t="str">
        <f>IF(ABS(Y12-Y70)&lt;$K$110,"CORRECTO","INCORRECTO")</f>
        <v>INCORRECTO</v>
      </c>
    </row>
    <row r="119" spans="11:25" s="363" customFormat="1" ht="0.65" hidden="1" customHeight="1">
      <c r="K119" s="753"/>
      <c r="L119" s="753" t="str">
        <f>IF(ABS(L13-L71)&lt;$K$110,"CORRECTO","INCORRECTO")</f>
        <v>INCORRECTO</v>
      </c>
      <c r="M119" s="753"/>
      <c r="N119" s="753"/>
      <c r="O119" s="753"/>
      <c r="P119" s="753"/>
      <c r="Q119" s="753"/>
      <c r="R119" s="753"/>
      <c r="S119" s="753"/>
      <c r="T119" s="753"/>
      <c r="U119" s="753"/>
      <c r="V119" s="753"/>
      <c r="W119" s="753"/>
      <c r="X119" s="753"/>
      <c r="Y119" s="753"/>
    </row>
    <row r="120" spans="11:25" s="363" customFormat="1" ht="0.65" hidden="1" customHeight="1">
      <c r="K120" s="753"/>
      <c r="L120" s="753" t="str">
        <f>IF(ABS(L14-L72)&lt;$K$110,"CORRECTO","INCORRECTO")</f>
        <v>INCORRECTO</v>
      </c>
      <c r="M120" s="753"/>
      <c r="N120" s="753"/>
      <c r="O120" s="753" t="str">
        <f>IF(ABS(O14-O72)&lt;$K$110,"CORRECTO","INCORRECTO")</f>
        <v>INCORRECTO</v>
      </c>
      <c r="P120" s="753"/>
      <c r="Q120" s="753"/>
      <c r="R120" s="753"/>
      <c r="S120" s="753"/>
      <c r="T120" s="753"/>
      <c r="U120" s="753"/>
      <c r="V120" s="753"/>
      <c r="W120" s="753"/>
      <c r="X120" s="753"/>
      <c r="Y120" s="753" t="str">
        <f>IF(ABS(Y14-Y72)&lt;$K$110,"CORRECTO","INCORRECTO")</f>
        <v>INCORRECTO</v>
      </c>
    </row>
    <row r="121" spans="11:25" s="363" customFormat="1" ht="0.65" hidden="1" customHeight="1">
      <c r="K121" s="753"/>
      <c r="L121" s="753" t="str">
        <f>IF(ABS(L15-L73)&lt;$K$110,"CORRECTO","INCORRECTO")</f>
        <v>INCORRECTO</v>
      </c>
      <c r="M121" s="753"/>
      <c r="N121" s="753"/>
      <c r="O121" s="753"/>
      <c r="P121" s="753"/>
      <c r="Q121" s="753"/>
      <c r="R121" s="753"/>
      <c r="S121" s="753"/>
      <c r="T121" s="753"/>
      <c r="U121" s="753"/>
      <c r="V121" s="753"/>
      <c r="W121" s="753"/>
      <c r="X121" s="753"/>
      <c r="Y121" s="753"/>
    </row>
    <row r="122" spans="11:25" s="363" customFormat="1" ht="0.65" hidden="1" customHeight="1">
      <c r="K122" s="753"/>
      <c r="L122" s="753"/>
      <c r="M122" s="753"/>
      <c r="N122" s="753"/>
      <c r="O122" s="753"/>
      <c r="P122" s="753"/>
      <c r="Q122" s="753"/>
      <c r="R122" s="753"/>
      <c r="S122" s="753"/>
      <c r="T122" s="753"/>
      <c r="U122" s="753"/>
      <c r="V122" s="753"/>
      <c r="W122" s="753"/>
      <c r="X122" s="753"/>
      <c r="Y122" s="753"/>
    </row>
    <row r="123" spans="11:25" s="363" customFormat="1" ht="0.65" hidden="1" customHeight="1">
      <c r="K123" s="753"/>
      <c r="L123" s="753"/>
      <c r="M123" s="753"/>
      <c r="N123" s="753"/>
      <c r="O123" s="753"/>
      <c r="P123" s="753"/>
      <c r="Q123" s="753"/>
      <c r="R123" s="753"/>
      <c r="S123" s="753"/>
      <c r="T123" s="753"/>
      <c r="U123" s="753"/>
      <c r="V123" s="753"/>
      <c r="W123" s="753"/>
      <c r="X123" s="753"/>
      <c r="Y123" s="753"/>
    </row>
    <row r="124" spans="11:25" s="363" customFormat="1" ht="0.65" hidden="1" customHeight="1">
      <c r="K124" s="753"/>
      <c r="L124" s="753"/>
      <c r="M124" s="753"/>
      <c r="N124" s="753"/>
      <c r="O124" s="753"/>
      <c r="P124" s="753"/>
      <c r="Q124" s="753"/>
      <c r="R124" s="753"/>
      <c r="S124" s="753"/>
      <c r="T124" s="753"/>
      <c r="U124" s="753"/>
      <c r="V124" s="753"/>
      <c r="W124" s="753"/>
      <c r="X124" s="753"/>
      <c r="Y124" s="753"/>
    </row>
    <row r="125" spans="11:25" s="363" customFormat="1" ht="0.65" hidden="1" customHeight="1">
      <c r="K125" s="753"/>
      <c r="L125" s="753"/>
      <c r="M125" s="753"/>
      <c r="N125" s="753"/>
      <c r="O125" s="753"/>
      <c r="P125" s="753"/>
      <c r="Q125" s="753"/>
      <c r="R125" s="753"/>
      <c r="S125" s="753"/>
      <c r="T125" s="753"/>
      <c r="U125" s="753"/>
      <c r="V125" s="753"/>
      <c r="W125" s="753"/>
      <c r="X125" s="753"/>
      <c r="Y125" s="753"/>
    </row>
    <row r="126" spans="11:25" s="363" customFormat="1" ht="0.65" hidden="1" customHeight="1">
      <c r="K126" s="753"/>
      <c r="L126" s="753"/>
      <c r="M126" s="753"/>
      <c r="N126" s="753"/>
      <c r="O126" s="753"/>
      <c r="P126" s="753"/>
      <c r="Q126" s="753"/>
      <c r="R126" s="753"/>
      <c r="S126" s="753"/>
      <c r="T126" s="753"/>
      <c r="U126" s="753"/>
      <c r="V126" s="753"/>
      <c r="W126" s="753"/>
      <c r="X126" s="753"/>
      <c r="Y126" s="753"/>
    </row>
    <row r="127" spans="11:25" s="363" customFormat="1" ht="0.65" hidden="1" customHeight="1">
      <c r="K127" s="753"/>
      <c r="L127" s="753"/>
      <c r="M127" s="753"/>
      <c r="N127" s="753"/>
      <c r="O127" s="753"/>
      <c r="P127" s="753"/>
      <c r="Q127" s="753"/>
      <c r="R127" s="753"/>
      <c r="S127" s="753"/>
      <c r="T127" s="753"/>
      <c r="U127" s="753"/>
      <c r="V127" s="753"/>
      <c r="W127" s="753" t="str">
        <f t="shared" ref="W127:W132" si="26">IF(ABS(W22-W79)&lt;$K$110,"CORRECTO","INCORRECTO")</f>
        <v>CORRECTO</v>
      </c>
      <c r="X127" s="753"/>
      <c r="Y127" s="753"/>
    </row>
    <row r="128" spans="11:25" s="363" customFormat="1" ht="0.65" hidden="1" customHeight="1">
      <c r="K128" s="753"/>
      <c r="L128" s="753" t="str">
        <f t="shared" ref="L128:V132" si="27">IF(ABS(L23-L80)&lt;$K$110,"CORRECTO","INCORRECTO")</f>
        <v>INCORRECTO</v>
      </c>
      <c r="M128" s="753" t="str">
        <f t="shared" si="27"/>
        <v>INCORRECTO</v>
      </c>
      <c r="N128" s="753" t="str">
        <f t="shared" si="27"/>
        <v>INCORRECTO</v>
      </c>
      <c r="O128" s="753" t="str">
        <f t="shared" si="27"/>
        <v>CORRECTO</v>
      </c>
      <c r="P128" s="753" t="str">
        <f t="shared" si="27"/>
        <v>INCORRECTO</v>
      </c>
      <c r="Q128" s="753" t="str">
        <f t="shared" si="27"/>
        <v>INCORRECTO</v>
      </c>
      <c r="R128" s="753" t="str">
        <f t="shared" si="27"/>
        <v>INCORRECTO</v>
      </c>
      <c r="S128" s="753" t="str">
        <f t="shared" si="27"/>
        <v>INCORRECTO</v>
      </c>
      <c r="T128" s="753" t="str">
        <f t="shared" si="27"/>
        <v>INCORRECTO</v>
      </c>
      <c r="U128" s="753" t="str">
        <f t="shared" si="27"/>
        <v>INCORRECTO</v>
      </c>
      <c r="V128" s="753" t="str">
        <f t="shared" si="27"/>
        <v>INCORRECTO</v>
      </c>
      <c r="W128" s="753" t="str">
        <f t="shared" si="26"/>
        <v>INCORRECTO</v>
      </c>
      <c r="X128" s="753"/>
      <c r="Y128" s="753"/>
    </row>
    <row r="129" spans="11:25" s="363" customFormat="1" ht="0.65" hidden="1" customHeight="1">
      <c r="K129" s="753"/>
      <c r="L129" s="753" t="str">
        <f t="shared" si="27"/>
        <v>INCORRECTO</v>
      </c>
      <c r="M129" s="753" t="str">
        <f t="shared" si="27"/>
        <v>INCORRECTO</v>
      </c>
      <c r="N129" s="753" t="str">
        <f t="shared" si="27"/>
        <v>INCORRECTO</v>
      </c>
      <c r="O129" s="753" t="str">
        <f t="shared" si="27"/>
        <v>CORRECTO</v>
      </c>
      <c r="P129" s="753" t="str">
        <f t="shared" si="27"/>
        <v>INCORRECTO</v>
      </c>
      <c r="Q129" s="753" t="str">
        <f t="shared" si="27"/>
        <v>INCORRECTO</v>
      </c>
      <c r="R129" s="753" t="str">
        <f t="shared" si="27"/>
        <v>INCORRECTO</v>
      </c>
      <c r="S129" s="753" t="str">
        <f t="shared" si="27"/>
        <v>INCORRECTO</v>
      </c>
      <c r="T129" s="753" t="str">
        <f t="shared" si="27"/>
        <v>INCORRECTO</v>
      </c>
      <c r="U129" s="753" t="str">
        <f t="shared" si="27"/>
        <v>INCORRECTO</v>
      </c>
      <c r="V129" s="753" t="str">
        <f t="shared" si="27"/>
        <v>INCORRECTO</v>
      </c>
      <c r="W129" s="753" t="str">
        <f t="shared" si="26"/>
        <v>INCORRECTO</v>
      </c>
      <c r="X129" s="753"/>
      <c r="Y129" s="753"/>
    </row>
    <row r="130" spans="11:25" s="363" customFormat="1" ht="0.65" hidden="1" customHeight="1">
      <c r="K130" s="753"/>
      <c r="L130" s="753" t="str">
        <f t="shared" si="27"/>
        <v>INCORRECTO</v>
      </c>
      <c r="M130" s="753" t="str">
        <f t="shared" si="27"/>
        <v>INCORRECTO</v>
      </c>
      <c r="N130" s="753" t="str">
        <f t="shared" si="27"/>
        <v>INCORRECTO</v>
      </c>
      <c r="O130" s="753" t="str">
        <f t="shared" si="27"/>
        <v>CORRECTO</v>
      </c>
      <c r="P130" s="753" t="str">
        <f t="shared" si="27"/>
        <v>INCORRECTO</v>
      </c>
      <c r="Q130" s="753" t="str">
        <f t="shared" si="27"/>
        <v>INCORRECTO</v>
      </c>
      <c r="R130" s="753" t="str">
        <f t="shared" si="27"/>
        <v>INCORRECTO</v>
      </c>
      <c r="S130" s="753" t="str">
        <f t="shared" si="27"/>
        <v>INCORRECTO</v>
      </c>
      <c r="T130" s="753" t="str">
        <f t="shared" si="27"/>
        <v>INCORRECTO</v>
      </c>
      <c r="U130" s="753" t="str">
        <f t="shared" si="27"/>
        <v>INCORRECTO</v>
      </c>
      <c r="V130" s="753" t="str">
        <f t="shared" si="27"/>
        <v>INCORRECTO</v>
      </c>
      <c r="W130" s="753" t="str">
        <f t="shared" si="26"/>
        <v>INCORRECTO</v>
      </c>
      <c r="X130" s="753"/>
      <c r="Y130" s="753"/>
    </row>
    <row r="131" spans="11:25" s="363" customFormat="1" ht="0.65" hidden="1" customHeight="1">
      <c r="K131" s="753"/>
      <c r="L131" s="753" t="str">
        <f t="shared" si="27"/>
        <v>INCORRECTO</v>
      </c>
      <c r="M131" s="753" t="str">
        <f t="shared" si="27"/>
        <v>INCORRECTO</v>
      </c>
      <c r="N131" s="753" t="str">
        <f t="shared" si="27"/>
        <v>INCORRECTO</v>
      </c>
      <c r="O131" s="753" t="str">
        <f t="shared" si="27"/>
        <v>CORRECTO</v>
      </c>
      <c r="P131" s="753" t="str">
        <f t="shared" si="27"/>
        <v>INCORRECTO</v>
      </c>
      <c r="Q131" s="753" t="str">
        <f t="shared" si="27"/>
        <v>INCORRECTO</v>
      </c>
      <c r="R131" s="753" t="str">
        <f t="shared" si="27"/>
        <v>INCORRECTO</v>
      </c>
      <c r="S131" s="753" t="str">
        <f t="shared" si="27"/>
        <v>INCORRECTO</v>
      </c>
      <c r="T131" s="753" t="str">
        <f t="shared" si="27"/>
        <v>INCORRECTO</v>
      </c>
      <c r="U131" s="753" t="str">
        <f t="shared" si="27"/>
        <v>INCORRECTO</v>
      </c>
      <c r="V131" s="753" t="str">
        <f t="shared" si="27"/>
        <v>INCORRECTO</v>
      </c>
      <c r="W131" s="753" t="str">
        <f t="shared" si="26"/>
        <v>INCORRECTO</v>
      </c>
      <c r="X131" s="753"/>
      <c r="Y131" s="753"/>
    </row>
    <row r="132" spans="11:25" s="363" customFormat="1" ht="0.65" hidden="1" customHeight="1">
      <c r="K132" s="753"/>
      <c r="L132" s="753" t="str">
        <f t="shared" si="27"/>
        <v>INCORRECTO</v>
      </c>
      <c r="M132" s="753" t="str">
        <f t="shared" si="27"/>
        <v>INCORRECTO</v>
      </c>
      <c r="N132" s="753" t="str">
        <f t="shared" si="27"/>
        <v>INCORRECTO</v>
      </c>
      <c r="O132" s="753" t="str">
        <f t="shared" si="27"/>
        <v>CORRECTO</v>
      </c>
      <c r="P132" s="753" t="str">
        <f t="shared" si="27"/>
        <v>INCORRECTO</v>
      </c>
      <c r="Q132" s="753" t="str">
        <f t="shared" si="27"/>
        <v>INCORRECTO</v>
      </c>
      <c r="R132" s="753" t="str">
        <f t="shared" si="27"/>
        <v>INCORRECTO</v>
      </c>
      <c r="S132" s="753" t="str">
        <f t="shared" si="27"/>
        <v>INCORRECTO</v>
      </c>
      <c r="T132" s="753" t="str">
        <f t="shared" si="27"/>
        <v>INCORRECTO</v>
      </c>
      <c r="U132" s="753" t="str">
        <f t="shared" si="27"/>
        <v>INCORRECTO</v>
      </c>
      <c r="V132" s="753" t="str">
        <f t="shared" si="27"/>
        <v>INCORRECTO</v>
      </c>
      <c r="W132" s="753" t="str">
        <f t="shared" si="26"/>
        <v>INCORRECTO</v>
      </c>
      <c r="X132" s="753"/>
      <c r="Y132" s="753"/>
    </row>
    <row r="133" spans="11:25" s="363" customFormat="1" ht="0.65" hidden="1" customHeight="1">
      <c r="K133" s="753"/>
      <c r="L133" s="753"/>
      <c r="M133" s="753"/>
      <c r="N133" s="753"/>
      <c r="O133" s="753"/>
      <c r="P133" s="753"/>
      <c r="Q133" s="753"/>
      <c r="R133" s="753"/>
      <c r="S133" s="753"/>
      <c r="T133" s="753"/>
      <c r="U133" s="753"/>
      <c r="V133" s="753"/>
      <c r="W133" s="753"/>
      <c r="X133" s="753"/>
      <c r="Y133" s="753"/>
    </row>
    <row r="134" spans="11:25" s="363" customFormat="1" ht="0.65" hidden="1" customHeight="1">
      <c r="K134" s="753"/>
      <c r="L134" s="753" t="str">
        <f>IF(ABS(L29-L86)&lt;$K$110,"CORRECTO","INCORRECTO")</f>
        <v>CORRECTO</v>
      </c>
      <c r="M134" s="753"/>
      <c r="N134" s="753"/>
      <c r="O134" s="753" t="str">
        <f>IF(ABS(O29-O86)&lt;$K$110,"CORRECTO","INCORRECTO")</f>
        <v>INCORRECTO</v>
      </c>
      <c r="P134" s="753"/>
      <c r="Q134" s="753"/>
      <c r="R134" s="753"/>
      <c r="S134" s="753"/>
      <c r="T134" s="753"/>
      <c r="U134" s="753"/>
      <c r="V134" s="753"/>
      <c r="W134" s="753"/>
      <c r="X134" s="753"/>
      <c r="Y134" s="753"/>
    </row>
    <row r="135" spans="11:25" s="363" customFormat="1" ht="0.65" hidden="1" customHeight="1">
      <c r="K135" s="753"/>
      <c r="L135" s="753" t="str">
        <f>IF(ABS(L30-L87)&lt;$K$110,"CORRECTO","INCORRECTO")</f>
        <v>CORRECTO</v>
      </c>
      <c r="M135" s="753"/>
      <c r="N135" s="753"/>
      <c r="O135" s="753"/>
      <c r="P135" s="753"/>
      <c r="Q135" s="753"/>
      <c r="R135" s="753"/>
      <c r="S135" s="753"/>
      <c r="T135" s="753"/>
      <c r="U135" s="753"/>
      <c r="V135" s="753"/>
      <c r="W135" s="753"/>
      <c r="X135" s="753"/>
      <c r="Y135" s="753"/>
    </row>
    <row r="136" spans="11:25" s="363" customFormat="1" ht="0.65" hidden="1" customHeight="1">
      <c r="K136" s="753"/>
      <c r="L136" s="753" t="str">
        <f>IF(ABS(L31-L88)&lt;$K$110,"CORRECTO","INCORRECTO")</f>
        <v>INCORRECTO</v>
      </c>
      <c r="M136" s="753"/>
      <c r="N136" s="753"/>
      <c r="O136" s="753" t="str">
        <f>IF(ABS(O31-O88)&lt;$K$110,"CORRECTO","INCORRECTO")</f>
        <v>INCORRECTO</v>
      </c>
      <c r="P136" s="753"/>
      <c r="Q136" s="753"/>
      <c r="R136" s="753"/>
      <c r="S136" s="753"/>
      <c r="T136" s="753"/>
      <c r="U136" s="753"/>
      <c r="V136" s="753"/>
      <c r="W136" s="753"/>
      <c r="X136" s="753"/>
      <c r="Y136" s="753"/>
    </row>
    <row r="137" spans="11:25" s="363" customFormat="1" ht="0.65" hidden="1" customHeight="1">
      <c r="K137" s="753"/>
      <c r="L137" s="753" t="str">
        <f>IF(ABS(L32-L89)&lt;$K$110,"CORRECTO","INCORRECTO")</f>
        <v>INCORRECTO</v>
      </c>
      <c r="M137" s="753"/>
      <c r="N137" s="753"/>
      <c r="O137" s="753"/>
      <c r="P137" s="753"/>
      <c r="Q137" s="753"/>
      <c r="R137" s="753"/>
      <c r="S137" s="753"/>
      <c r="T137" s="753"/>
      <c r="U137" s="753"/>
      <c r="V137" s="753"/>
      <c r="W137" s="753"/>
      <c r="X137" s="753"/>
      <c r="Y137" s="753"/>
    </row>
    <row r="138" spans="11:25" s="363" customFormat="1" ht="0.65" hidden="1" customHeight="1">
      <c r="K138" s="753"/>
      <c r="L138" s="753"/>
      <c r="M138" s="753"/>
      <c r="N138" s="753"/>
      <c r="O138" s="753"/>
      <c r="P138" s="753"/>
      <c r="Q138" s="753"/>
      <c r="R138" s="753"/>
      <c r="S138" s="753"/>
      <c r="T138" s="753"/>
      <c r="U138" s="753"/>
      <c r="V138" s="753"/>
      <c r="W138" s="753"/>
      <c r="X138" s="753"/>
      <c r="Y138" s="753"/>
    </row>
    <row r="139" spans="11:25" s="363" customFormat="1" ht="0.65" hidden="1" customHeight="1">
      <c r="K139" s="753"/>
      <c r="L139" s="753"/>
      <c r="M139" s="753"/>
      <c r="N139" s="753"/>
      <c r="O139" s="753"/>
      <c r="P139" s="753"/>
      <c r="Q139" s="753"/>
      <c r="R139" s="753"/>
      <c r="S139" s="753"/>
      <c r="T139" s="753"/>
      <c r="U139" s="753"/>
      <c r="V139" s="753"/>
      <c r="W139" s="753"/>
      <c r="X139" s="753"/>
      <c r="Y139" s="753"/>
    </row>
    <row r="140" spans="11:25" s="363" customFormat="1" ht="0.65" hidden="1" customHeight="1">
      <c r="K140" s="753"/>
      <c r="L140" s="753"/>
      <c r="M140" s="753"/>
      <c r="N140" s="753"/>
      <c r="O140" s="753"/>
      <c r="P140" s="753"/>
      <c r="Q140" s="753"/>
      <c r="R140" s="753"/>
      <c r="S140" s="753"/>
      <c r="T140" s="753"/>
      <c r="U140" s="753"/>
      <c r="V140" s="753"/>
      <c r="W140" s="753"/>
      <c r="X140" s="753"/>
      <c r="Y140" s="753"/>
    </row>
    <row r="141" spans="11:25" s="363" customFormat="1" ht="0.65" hidden="1" customHeight="1">
      <c r="K141" s="753"/>
      <c r="L141" s="753"/>
      <c r="M141" s="753"/>
      <c r="N141" s="753"/>
      <c r="O141" s="753"/>
      <c r="P141" s="753"/>
      <c r="Q141" s="753"/>
      <c r="R141" s="753"/>
      <c r="S141" s="753"/>
      <c r="T141" s="753"/>
      <c r="U141" s="753"/>
      <c r="V141" s="753"/>
      <c r="W141" s="753"/>
      <c r="X141" s="753"/>
      <c r="Y141" s="753"/>
    </row>
    <row r="142" spans="11:25" s="363" customFormat="1" ht="0.65" hidden="1" customHeight="1">
      <c r="K142" s="753"/>
      <c r="L142" s="753"/>
      <c r="M142" s="753"/>
      <c r="N142" s="753"/>
      <c r="O142" s="753"/>
      <c r="P142" s="753"/>
      <c r="Q142" s="753"/>
      <c r="R142" s="753"/>
      <c r="S142" s="753"/>
      <c r="T142" s="753"/>
      <c r="U142" s="753"/>
      <c r="V142" s="753"/>
      <c r="W142" s="753"/>
      <c r="X142" s="753"/>
      <c r="Y142" s="753"/>
    </row>
    <row r="143" spans="11:25" s="363" customFormat="1" ht="0.65" hidden="1" customHeight="1">
      <c r="K143" s="753"/>
      <c r="L143" s="753"/>
      <c r="M143" s="753"/>
      <c r="N143" s="753"/>
      <c r="O143" s="753"/>
      <c r="P143" s="753"/>
      <c r="Q143" s="753"/>
      <c r="R143" s="753"/>
      <c r="S143" s="753"/>
      <c r="T143" s="753"/>
      <c r="U143" s="753"/>
      <c r="V143" s="753"/>
      <c r="W143" s="753" t="str">
        <f>IF(ABS(W39-W95)&lt;$K$110,"CORRECTO","INCORRECTO")</f>
        <v>CORRECTO</v>
      </c>
      <c r="X143" s="753"/>
      <c r="Y143" s="753"/>
    </row>
    <row r="144" spans="11:25" s="363" customFormat="1" ht="0.65" hidden="1" customHeight="1">
      <c r="K144" s="753"/>
      <c r="L144" s="753" t="str">
        <f t="shared" ref="L144:W148" si="28">IF(ABS(L40-L96)&lt;$K$110,"CORRECTO","INCORRECTO")</f>
        <v>INCORRECTO</v>
      </c>
      <c r="M144" s="753" t="str">
        <f t="shared" si="28"/>
        <v>INCORRECTO</v>
      </c>
      <c r="N144" s="753" t="str">
        <f t="shared" si="28"/>
        <v>INCORRECTO</v>
      </c>
      <c r="O144" s="753" t="str">
        <f t="shared" si="28"/>
        <v>CORRECTO</v>
      </c>
      <c r="P144" s="753" t="str">
        <f t="shared" si="28"/>
        <v>INCORRECTO</v>
      </c>
      <c r="Q144" s="753" t="str">
        <f t="shared" si="28"/>
        <v>INCORRECTO</v>
      </c>
      <c r="R144" s="753" t="str">
        <f t="shared" si="28"/>
        <v>INCORRECTO</v>
      </c>
      <c r="S144" s="753" t="str">
        <f t="shared" si="28"/>
        <v>INCORRECTO</v>
      </c>
      <c r="T144" s="753" t="str">
        <f t="shared" si="28"/>
        <v>CORRECTO</v>
      </c>
      <c r="U144" s="753" t="str">
        <f t="shared" si="28"/>
        <v>CORRECTO</v>
      </c>
      <c r="V144" s="753" t="str">
        <f t="shared" si="28"/>
        <v>INCORRECTO</v>
      </c>
      <c r="W144" s="753" t="str">
        <f t="shared" si="28"/>
        <v>INCORRECTO</v>
      </c>
      <c r="X144" s="753"/>
      <c r="Y144" s="753"/>
    </row>
    <row r="145" spans="10:25" s="363" customFormat="1" ht="0.65" hidden="1" customHeight="1">
      <c r="K145" s="753"/>
      <c r="L145" s="753" t="str">
        <f t="shared" si="28"/>
        <v>INCORRECTO</v>
      </c>
      <c r="M145" s="753" t="str">
        <f t="shared" si="28"/>
        <v>INCORRECTO</v>
      </c>
      <c r="N145" s="753" t="str">
        <f t="shared" si="28"/>
        <v>INCORRECTO</v>
      </c>
      <c r="O145" s="753" t="str">
        <f t="shared" si="28"/>
        <v>CORRECTO</v>
      </c>
      <c r="P145" s="753" t="str">
        <f t="shared" si="28"/>
        <v>INCORRECTO</v>
      </c>
      <c r="Q145" s="753" t="str">
        <f t="shared" si="28"/>
        <v>INCORRECTO</v>
      </c>
      <c r="R145" s="753" t="str">
        <f t="shared" si="28"/>
        <v>INCORRECTO</v>
      </c>
      <c r="S145" s="753" t="str">
        <f t="shared" si="28"/>
        <v>INCORRECTO</v>
      </c>
      <c r="T145" s="753" t="str">
        <f t="shared" si="28"/>
        <v>CORRECTO</v>
      </c>
      <c r="U145" s="753" t="str">
        <f t="shared" si="28"/>
        <v>CORRECTO</v>
      </c>
      <c r="V145" s="753" t="str">
        <f t="shared" si="28"/>
        <v>INCORRECTO</v>
      </c>
      <c r="W145" s="753" t="str">
        <f t="shared" si="28"/>
        <v>INCORRECTO</v>
      </c>
      <c r="X145" s="753"/>
      <c r="Y145" s="753"/>
    </row>
    <row r="146" spans="10:25" s="363" customFormat="1" ht="0.65" hidden="1" customHeight="1">
      <c r="K146" s="753"/>
      <c r="L146" s="753" t="str">
        <f t="shared" si="28"/>
        <v>INCORRECTO</v>
      </c>
      <c r="M146" s="753" t="str">
        <f t="shared" si="28"/>
        <v>INCORRECTO</v>
      </c>
      <c r="N146" s="753" t="str">
        <f t="shared" si="28"/>
        <v>INCORRECTO</v>
      </c>
      <c r="O146" s="753" t="str">
        <f t="shared" si="28"/>
        <v>CORRECTO</v>
      </c>
      <c r="P146" s="753" t="str">
        <f t="shared" si="28"/>
        <v>INCORRECTO</v>
      </c>
      <c r="Q146" s="753" t="str">
        <f t="shared" si="28"/>
        <v>INCORRECTO</v>
      </c>
      <c r="R146" s="753" t="str">
        <f t="shared" si="28"/>
        <v>INCORRECTO</v>
      </c>
      <c r="S146" s="753" t="str">
        <f t="shared" si="28"/>
        <v>INCORRECTO</v>
      </c>
      <c r="T146" s="753" t="str">
        <f t="shared" si="28"/>
        <v>CORRECTO</v>
      </c>
      <c r="U146" s="753" t="str">
        <f t="shared" si="28"/>
        <v>CORRECTO</v>
      </c>
      <c r="V146" s="753" t="str">
        <f t="shared" si="28"/>
        <v>INCORRECTO</v>
      </c>
      <c r="W146" s="753" t="str">
        <f t="shared" si="28"/>
        <v>INCORRECTO</v>
      </c>
      <c r="X146" s="753"/>
      <c r="Y146" s="753"/>
    </row>
    <row r="147" spans="10:25" s="363" customFormat="1" ht="0.65" hidden="1" customHeight="1">
      <c r="K147" s="753"/>
      <c r="L147" s="753" t="str">
        <f t="shared" si="28"/>
        <v>INCORRECTO</v>
      </c>
      <c r="M147" s="753" t="str">
        <f t="shared" si="28"/>
        <v>INCORRECTO</v>
      </c>
      <c r="N147" s="753" t="str">
        <f t="shared" si="28"/>
        <v>INCORRECTO</v>
      </c>
      <c r="O147" s="753" t="str">
        <f t="shared" si="28"/>
        <v>CORRECTO</v>
      </c>
      <c r="P147" s="753" t="str">
        <f t="shared" si="28"/>
        <v>INCORRECTO</v>
      </c>
      <c r="Q147" s="753" t="str">
        <f t="shared" si="28"/>
        <v>INCORRECTO</v>
      </c>
      <c r="R147" s="753" t="str">
        <f t="shared" si="28"/>
        <v>INCORRECTO</v>
      </c>
      <c r="S147" s="753" t="str">
        <f t="shared" si="28"/>
        <v>INCORRECTO</v>
      </c>
      <c r="T147" s="753" t="str">
        <f t="shared" si="28"/>
        <v>CORRECTO</v>
      </c>
      <c r="U147" s="753" t="str">
        <f t="shared" si="28"/>
        <v>CORRECTO</v>
      </c>
      <c r="V147" s="753" t="str">
        <f t="shared" si="28"/>
        <v>INCORRECTO</v>
      </c>
      <c r="W147" s="753" t="str">
        <f t="shared" si="28"/>
        <v>INCORRECTO</v>
      </c>
      <c r="X147" s="753"/>
      <c r="Y147" s="753"/>
    </row>
    <row r="148" spans="10:25" s="363" customFormat="1" ht="0.65" hidden="1" customHeight="1">
      <c r="K148" s="753"/>
      <c r="L148" s="753" t="str">
        <f t="shared" si="28"/>
        <v>INCORRECTO</v>
      </c>
      <c r="M148" s="753" t="str">
        <f t="shared" si="28"/>
        <v>INCORRECTO</v>
      </c>
      <c r="N148" s="753" t="str">
        <f t="shared" si="28"/>
        <v>INCORRECTO</v>
      </c>
      <c r="O148" s="753" t="str">
        <f t="shared" si="28"/>
        <v>CORRECTO</v>
      </c>
      <c r="P148" s="753" t="str">
        <f t="shared" si="28"/>
        <v>INCORRECTO</v>
      </c>
      <c r="Q148" s="753" t="str">
        <f t="shared" si="28"/>
        <v>INCORRECTO</v>
      </c>
      <c r="R148" s="753" t="str">
        <f t="shared" si="28"/>
        <v>INCORRECTO</v>
      </c>
      <c r="S148" s="753" t="str">
        <f t="shared" si="28"/>
        <v>INCORRECTO</v>
      </c>
      <c r="T148" s="753" t="str">
        <f t="shared" si="28"/>
        <v>CORRECTO</v>
      </c>
      <c r="U148" s="753" t="str">
        <f t="shared" si="28"/>
        <v>CORRECTO</v>
      </c>
      <c r="V148" s="753" t="str">
        <f t="shared" si="28"/>
        <v>INCORRECTO</v>
      </c>
      <c r="W148" s="753" t="str">
        <f t="shared" si="28"/>
        <v>INCORRECTO</v>
      </c>
      <c r="X148" s="753"/>
      <c r="Y148" s="753"/>
    </row>
    <row r="149" spans="10:25" s="363" customFormat="1" ht="0.65" hidden="1" customHeight="1">
      <c r="K149" s="753"/>
      <c r="L149" s="753"/>
      <c r="M149" s="753"/>
      <c r="N149" s="753"/>
      <c r="O149" s="753"/>
      <c r="P149" s="753"/>
      <c r="Q149" s="753"/>
      <c r="R149" s="753"/>
      <c r="S149" s="753"/>
      <c r="T149" s="753"/>
      <c r="U149" s="753"/>
      <c r="V149" s="753"/>
      <c r="W149" s="753"/>
      <c r="X149" s="753"/>
      <c r="Y149" s="753"/>
    </row>
    <row r="150" spans="10:25" s="363" customFormat="1" ht="0.65" hidden="1" customHeight="1">
      <c r="K150" s="753"/>
      <c r="L150" s="753" t="str">
        <f t="shared" ref="L150:L153" si="29">IF(ABS(L46-L102)&lt;$K$110,"CORRECTO","INCORRECTO")</f>
        <v>CORRECTO</v>
      </c>
      <c r="M150" s="753"/>
      <c r="N150" s="753"/>
      <c r="O150" s="753" t="str">
        <f>IF(ABS(O46-O102)&lt;$K$110,"CORRECTO","INCORRECTO")</f>
        <v>INCORRECTO</v>
      </c>
      <c r="P150" s="753"/>
      <c r="Q150" s="753"/>
      <c r="R150" s="753"/>
      <c r="S150" s="753"/>
      <c r="T150" s="753"/>
      <c r="U150" s="753"/>
      <c r="V150" s="753"/>
      <c r="W150" s="753"/>
      <c r="X150" s="753"/>
      <c r="Y150" s="753"/>
    </row>
    <row r="151" spans="10:25" s="363" customFormat="1" ht="0.65" hidden="1" customHeight="1">
      <c r="K151" s="753"/>
      <c r="L151" s="753" t="str">
        <f t="shared" si="29"/>
        <v>CORRECTO</v>
      </c>
      <c r="M151" s="753"/>
      <c r="N151" s="753"/>
      <c r="O151" s="753"/>
      <c r="P151" s="753"/>
      <c r="Q151" s="753"/>
      <c r="R151" s="753"/>
      <c r="S151" s="753"/>
      <c r="T151" s="753"/>
      <c r="U151" s="753"/>
      <c r="V151" s="753"/>
      <c r="W151" s="753"/>
      <c r="X151" s="753"/>
      <c r="Y151" s="753"/>
    </row>
    <row r="152" spans="10:25" s="363" customFormat="1" ht="0.65" hidden="1" customHeight="1">
      <c r="K152" s="753"/>
      <c r="L152" s="753" t="str">
        <f t="shared" si="29"/>
        <v>CORRECTO</v>
      </c>
      <c r="M152" s="753"/>
      <c r="N152" s="753"/>
      <c r="O152" s="753" t="str">
        <f>IF(ABS(O48-O104)&lt;$K$110,"CORRECTO","INCORRECTO")</f>
        <v>INCORRECTO</v>
      </c>
      <c r="P152" s="753"/>
      <c r="Q152" s="753"/>
      <c r="R152" s="753"/>
      <c r="S152" s="753"/>
      <c r="T152" s="753"/>
      <c r="U152" s="753"/>
      <c r="V152" s="753"/>
      <c r="W152" s="753"/>
      <c r="X152" s="753"/>
      <c r="Y152" s="753"/>
    </row>
    <row r="153" spans="10:25" s="363" customFormat="1" ht="0.65" hidden="1" customHeight="1">
      <c r="K153" s="753"/>
      <c r="L153" s="753" t="str">
        <f t="shared" si="29"/>
        <v>CORRECTO</v>
      </c>
      <c r="M153" s="753"/>
      <c r="N153" s="753"/>
      <c r="O153" s="753"/>
      <c r="P153" s="753"/>
      <c r="Q153" s="753"/>
      <c r="R153" s="753"/>
      <c r="S153" s="753"/>
      <c r="T153" s="753"/>
      <c r="U153" s="753"/>
      <c r="V153" s="753"/>
      <c r="W153" s="753"/>
      <c r="X153" s="753"/>
      <c r="Y153" s="753"/>
    </row>
    <row r="154" spans="10:25" s="363" customFormat="1" ht="0.65" hidden="1" customHeight="1">
      <c r="K154" s="753"/>
      <c r="L154" s="753"/>
      <c r="M154" s="753"/>
      <c r="N154" s="753"/>
      <c r="O154" s="753"/>
      <c r="P154" s="753"/>
      <c r="Q154" s="753"/>
      <c r="R154" s="753"/>
      <c r="S154" s="753"/>
      <c r="T154" s="753"/>
      <c r="U154" s="753"/>
      <c r="V154" s="753"/>
      <c r="W154" s="753"/>
      <c r="X154" s="753"/>
      <c r="Y154" s="753"/>
    </row>
    <row r="155" spans="10:25" s="363" customFormat="1" ht="0.65" hidden="1" customHeight="1">
      <c r="K155" s="753"/>
      <c r="L155" s="753"/>
      <c r="M155" s="753"/>
      <c r="N155" s="753"/>
      <c r="O155" s="753"/>
      <c r="P155" s="753"/>
      <c r="Q155" s="753"/>
      <c r="R155" s="753"/>
      <c r="S155" s="753"/>
      <c r="T155" s="753"/>
      <c r="U155" s="753"/>
      <c r="V155" s="753"/>
      <c r="W155" s="753"/>
      <c r="X155" s="753"/>
      <c r="Y155" s="753"/>
    </row>
    <row r="156" spans="10:25" s="363" customFormat="1" ht="0.65" hidden="1" customHeight="1">
      <c r="J156" s="363">
        <v>1</v>
      </c>
      <c r="K156" s="753">
        <v>1</v>
      </c>
      <c r="L156" s="759" t="s">
        <v>2891</v>
      </c>
      <c r="M156" s="754">
        <v>2100000</v>
      </c>
      <c r="N156" s="759" t="s">
        <v>2892</v>
      </c>
      <c r="O156" s="753"/>
      <c r="P156" s="759" t="s">
        <v>2893</v>
      </c>
      <c r="Q156" s="753"/>
      <c r="R156" s="753"/>
      <c r="S156" s="753"/>
      <c r="T156" s="753"/>
      <c r="U156" s="753"/>
      <c r="V156" s="753"/>
      <c r="W156" s="753"/>
      <c r="X156" s="753"/>
      <c r="Y156" s="753"/>
    </row>
    <row r="157" spans="10:25" s="363" customFormat="1" ht="0.65" hidden="1" customHeight="1">
      <c r="J157" s="363">
        <v>2</v>
      </c>
      <c r="K157" s="753">
        <v>2</v>
      </c>
      <c r="L157" s="759" t="s">
        <v>2894</v>
      </c>
      <c r="M157" s="754">
        <v>2756250</v>
      </c>
      <c r="N157" s="759" t="s">
        <v>2895</v>
      </c>
      <c r="O157" s="753"/>
      <c r="P157" s="759" t="s">
        <v>2896</v>
      </c>
      <c r="Q157" s="753"/>
      <c r="R157" s="753"/>
      <c r="S157" s="753"/>
      <c r="T157" s="753"/>
      <c r="U157" s="753"/>
      <c r="V157" s="753"/>
      <c r="W157" s="753"/>
      <c r="X157" s="753"/>
      <c r="Y157" s="753"/>
    </row>
    <row r="158" spans="10:25" s="363" customFormat="1" ht="0.65" hidden="1" customHeight="1">
      <c r="J158" s="363">
        <v>3</v>
      </c>
      <c r="K158" s="753">
        <v>3</v>
      </c>
      <c r="L158" s="759" t="s">
        <v>2897</v>
      </c>
      <c r="M158" s="754">
        <v>3472875.0000000005</v>
      </c>
      <c r="N158" s="759" t="s">
        <v>2898</v>
      </c>
      <c r="P158" s="759" t="s">
        <v>2899</v>
      </c>
    </row>
    <row r="159" spans="10:25" s="363" customFormat="1" ht="0.65" hidden="1" customHeight="1">
      <c r="J159" s="363">
        <v>4</v>
      </c>
      <c r="K159" s="753">
        <v>4</v>
      </c>
      <c r="L159" s="759" t="s">
        <v>2900</v>
      </c>
      <c r="M159" s="754">
        <v>3646518.75</v>
      </c>
      <c r="N159" s="759" t="s">
        <v>2901</v>
      </c>
      <c r="P159" s="759" t="s">
        <v>2902</v>
      </c>
    </row>
    <row r="160" spans="10:25" s="363" customFormat="1" ht="0.65" hidden="1" customHeight="1">
      <c r="J160" s="363">
        <v>5</v>
      </c>
      <c r="K160" s="753">
        <v>5</v>
      </c>
      <c r="L160" s="759" t="s">
        <v>2903</v>
      </c>
      <c r="M160" s="754">
        <v>3828844.6875000005</v>
      </c>
      <c r="N160" s="759" t="s">
        <v>2904</v>
      </c>
      <c r="P160" s="759" t="s">
        <v>2905</v>
      </c>
    </row>
    <row r="161" spans="10:16" s="363" customFormat="1" ht="0.65" hidden="1" customHeight="1">
      <c r="J161" s="363">
        <v>1</v>
      </c>
      <c r="K161" s="753">
        <v>6</v>
      </c>
      <c r="L161" s="759" t="s">
        <v>2906</v>
      </c>
      <c r="M161" s="754">
        <v>1802500</v>
      </c>
      <c r="N161" s="363" t="s">
        <v>2907</v>
      </c>
      <c r="P161" s="759" t="s">
        <v>2908</v>
      </c>
    </row>
    <row r="162" spans="10:16" s="363" customFormat="1" ht="0.65" hidden="1" customHeight="1">
      <c r="J162" s="363">
        <v>2</v>
      </c>
      <c r="K162" s="753">
        <v>7</v>
      </c>
      <c r="L162" s="759" t="s">
        <v>2909</v>
      </c>
      <c r="M162" s="754">
        <v>2352000</v>
      </c>
      <c r="N162" s="363" t="s">
        <v>2910</v>
      </c>
      <c r="P162" s="759" t="s">
        <v>2911</v>
      </c>
    </row>
    <row r="163" spans="10:16" s="363" customFormat="1" ht="0.65" hidden="1" customHeight="1">
      <c r="J163" s="363">
        <v>3</v>
      </c>
      <c r="K163" s="753">
        <v>8</v>
      </c>
      <c r="L163" s="759" t="s">
        <v>2912</v>
      </c>
      <c r="M163" s="754">
        <v>2951943.7500000005</v>
      </c>
      <c r="N163" s="363" t="s">
        <v>2913</v>
      </c>
      <c r="P163" s="759" t="s">
        <v>2914</v>
      </c>
    </row>
    <row r="164" spans="10:16" s="363" customFormat="1" ht="0.65" hidden="1" customHeight="1">
      <c r="J164" s="363">
        <v>4</v>
      </c>
      <c r="K164" s="753">
        <v>9</v>
      </c>
      <c r="L164" s="759" t="s">
        <v>2915</v>
      </c>
      <c r="M164" s="754">
        <v>3099540.9375</v>
      </c>
      <c r="N164" s="363" t="s">
        <v>2916</v>
      </c>
      <c r="P164" s="759" t="s">
        <v>2917</v>
      </c>
    </row>
    <row r="165" spans="10:16" s="363" customFormat="1" ht="0.65" hidden="1" customHeight="1">
      <c r="J165" s="363">
        <v>5</v>
      </c>
      <c r="K165" s="753">
        <v>10</v>
      </c>
      <c r="L165" s="759" t="s">
        <v>2918</v>
      </c>
      <c r="M165" s="754">
        <v>3254517.9843750005</v>
      </c>
      <c r="N165" s="363" t="s">
        <v>2919</v>
      </c>
      <c r="P165" s="759" t="s">
        <v>2920</v>
      </c>
    </row>
    <row r="166" spans="10:16" s="363" customFormat="1" ht="0.65" hidden="1" customHeight="1">
      <c r="K166" s="753">
        <v>11</v>
      </c>
      <c r="L166" s="759" t="s">
        <v>2921</v>
      </c>
      <c r="M166" s="754">
        <v>297500</v>
      </c>
      <c r="N166" s="363" t="s">
        <v>2922</v>
      </c>
      <c r="P166" s="759" t="s">
        <v>2923</v>
      </c>
    </row>
    <row r="167" spans="10:16" s="363" customFormat="1" ht="0.65" hidden="1" customHeight="1">
      <c r="K167" s="753">
        <v>12</v>
      </c>
      <c r="L167" s="759" t="s">
        <v>2924</v>
      </c>
      <c r="M167" s="754">
        <v>404250</v>
      </c>
      <c r="N167" s="363" t="s">
        <v>2925</v>
      </c>
      <c r="P167" s="759" t="s">
        <v>2926</v>
      </c>
    </row>
    <row r="168" spans="10:16" s="363" customFormat="1" ht="0.65" hidden="1" customHeight="1">
      <c r="K168" s="753">
        <v>13</v>
      </c>
      <c r="L168" s="759" t="s">
        <v>2927</v>
      </c>
      <c r="M168" s="754">
        <v>520931.25</v>
      </c>
      <c r="N168" s="363" t="s">
        <v>2928</v>
      </c>
      <c r="P168" s="759" t="s">
        <v>2929</v>
      </c>
    </row>
    <row r="169" spans="10:16" s="363" customFormat="1" ht="0.65" hidden="1" customHeight="1">
      <c r="K169" s="753">
        <v>14</v>
      </c>
      <c r="L169" s="759" t="s">
        <v>2930</v>
      </c>
      <c r="M169" s="754">
        <v>546977.8125</v>
      </c>
      <c r="N169" s="363" t="s">
        <v>2931</v>
      </c>
      <c r="P169" s="759" t="s">
        <v>2932</v>
      </c>
    </row>
    <row r="170" spans="10:16" s="363" customFormat="1" ht="0.65" hidden="1" customHeight="1">
      <c r="K170" s="753">
        <v>15</v>
      </c>
      <c r="L170" s="759" t="s">
        <v>2933</v>
      </c>
      <c r="M170" s="754">
        <v>574326.703125</v>
      </c>
      <c r="N170" s="363" t="s">
        <v>2934</v>
      </c>
      <c r="P170" s="759" t="s">
        <v>2935</v>
      </c>
    </row>
    <row r="171" spans="10:16" s="363" customFormat="1" ht="0.65" hidden="1" customHeight="1">
      <c r="K171" s="753">
        <v>16</v>
      </c>
      <c r="L171" s="759" t="s">
        <v>2936</v>
      </c>
      <c r="M171" s="754">
        <v>25000</v>
      </c>
      <c r="N171" s="363" t="s">
        <v>2937</v>
      </c>
      <c r="P171" s="759" t="s">
        <v>2938</v>
      </c>
    </row>
    <row r="172" spans="10:16" s="363" customFormat="1" ht="0.65" hidden="1" customHeight="1">
      <c r="K172" s="753">
        <v>17</v>
      </c>
      <c r="L172" s="759" t="s">
        <v>2939</v>
      </c>
      <c r="M172" s="754">
        <v>25000</v>
      </c>
      <c r="N172" s="363" t="s">
        <v>2937</v>
      </c>
      <c r="P172" s="759" t="s">
        <v>2938</v>
      </c>
    </row>
    <row r="173" spans="10:16" s="363" customFormat="1" ht="0.65" hidden="1" customHeight="1">
      <c r="K173" s="753">
        <v>18</v>
      </c>
      <c r="L173" s="759" t="s">
        <v>2940</v>
      </c>
      <c r="M173" s="754">
        <v>25000</v>
      </c>
      <c r="N173" s="363" t="s">
        <v>2937</v>
      </c>
      <c r="P173" s="759" t="s">
        <v>2938</v>
      </c>
    </row>
    <row r="174" spans="10:16" s="363" customFormat="1" ht="0.65" hidden="1" customHeight="1">
      <c r="K174" s="753">
        <v>19</v>
      </c>
      <c r="L174" s="759" t="s">
        <v>2941</v>
      </c>
      <c r="M174" s="754">
        <v>25000</v>
      </c>
      <c r="N174" s="363" t="s">
        <v>2937</v>
      </c>
      <c r="P174" s="759" t="s">
        <v>2938</v>
      </c>
    </row>
    <row r="175" spans="10:16" s="363" customFormat="1" ht="0.65" hidden="1" customHeight="1">
      <c r="K175" s="753">
        <v>20</v>
      </c>
      <c r="L175" s="759" t="s">
        <v>2942</v>
      </c>
      <c r="M175" s="754">
        <v>25000</v>
      </c>
      <c r="N175" s="363" t="s">
        <v>2937</v>
      </c>
      <c r="P175" s="759" t="s">
        <v>2938</v>
      </c>
    </row>
    <row r="176" spans="10:16" s="363" customFormat="1" ht="0.65" hidden="1" customHeight="1">
      <c r="K176" s="753">
        <v>21</v>
      </c>
      <c r="L176" s="759" t="s">
        <v>2943</v>
      </c>
      <c r="M176" s="754">
        <v>272500</v>
      </c>
      <c r="N176" s="363" t="s">
        <v>2944</v>
      </c>
      <c r="P176" s="759" t="s">
        <v>2945</v>
      </c>
    </row>
    <row r="177" spans="11:16" s="363" customFormat="1" ht="0.65" hidden="1" customHeight="1">
      <c r="K177" s="753">
        <v>22</v>
      </c>
      <c r="L177" s="759" t="s">
        <v>2946</v>
      </c>
      <c r="M177" s="754">
        <v>379250</v>
      </c>
      <c r="N177" s="363" t="s">
        <v>2947</v>
      </c>
      <c r="P177" s="759" t="s">
        <v>2948</v>
      </c>
    </row>
    <row r="178" spans="11:16" s="363" customFormat="1" ht="0.65" hidden="1" customHeight="1">
      <c r="K178" s="753">
        <v>23</v>
      </c>
      <c r="L178" s="759" t="s">
        <v>2949</v>
      </c>
      <c r="M178" s="754">
        <v>495931.25</v>
      </c>
      <c r="N178" s="363" t="s">
        <v>2950</v>
      </c>
      <c r="P178" s="759" t="s">
        <v>2951</v>
      </c>
    </row>
    <row r="179" spans="11:16" s="363" customFormat="1" ht="0.65" hidden="1" customHeight="1">
      <c r="K179" s="753">
        <v>24</v>
      </c>
      <c r="L179" s="759" t="s">
        <v>2952</v>
      </c>
      <c r="M179" s="754">
        <v>521977.8125</v>
      </c>
      <c r="N179" s="363" t="s">
        <v>2953</v>
      </c>
      <c r="P179" s="759" t="s">
        <v>2954</v>
      </c>
    </row>
    <row r="180" spans="11:16" s="363" customFormat="1" ht="0.65" hidden="1" customHeight="1">
      <c r="K180" s="753">
        <v>25</v>
      </c>
      <c r="L180" s="759" t="s">
        <v>2955</v>
      </c>
      <c r="M180" s="754">
        <v>549326.703125</v>
      </c>
      <c r="N180" s="363" t="s">
        <v>2956</v>
      </c>
      <c r="P180" s="759" t="s">
        <v>2957</v>
      </c>
    </row>
    <row r="181" spans="11:16" s="363" customFormat="1" ht="0.65" hidden="1" customHeight="1">
      <c r="K181" s="753">
        <v>26</v>
      </c>
      <c r="L181" s="759" t="s">
        <v>2958</v>
      </c>
      <c r="M181" s="754">
        <v>76300</v>
      </c>
      <c r="N181" s="363" t="s">
        <v>2959</v>
      </c>
      <c r="P181" s="759" t="s">
        <v>2960</v>
      </c>
    </row>
    <row r="182" spans="11:16" s="363" customFormat="1" ht="0.65" hidden="1" customHeight="1">
      <c r="K182" s="753">
        <v>27</v>
      </c>
      <c r="L182" s="759" t="s">
        <v>2961</v>
      </c>
      <c r="M182" s="754">
        <v>106190.00000000001</v>
      </c>
      <c r="N182" s="363" t="s">
        <v>2962</v>
      </c>
      <c r="P182" s="759" t="s">
        <v>2963</v>
      </c>
    </row>
    <row r="183" spans="11:16" s="363" customFormat="1" ht="0.65" hidden="1" customHeight="1">
      <c r="K183" s="753">
        <v>28</v>
      </c>
      <c r="L183" s="759" t="s">
        <v>2964</v>
      </c>
      <c r="M183" s="754">
        <v>138860.75</v>
      </c>
      <c r="N183" s="363" t="s">
        <v>2965</v>
      </c>
      <c r="P183" s="759" t="s">
        <v>2966</v>
      </c>
    </row>
    <row r="184" spans="11:16" s="363" customFormat="1" ht="0.65" hidden="1" customHeight="1">
      <c r="K184" s="753">
        <v>29</v>
      </c>
      <c r="L184" s="759" t="s">
        <v>2967</v>
      </c>
      <c r="M184" s="754">
        <v>146153.78750000001</v>
      </c>
      <c r="N184" s="363" t="s">
        <v>2968</v>
      </c>
      <c r="P184" s="759" t="s">
        <v>2969</v>
      </c>
    </row>
    <row r="185" spans="11:16" s="363" customFormat="1" ht="0.65" hidden="1" customHeight="1">
      <c r="K185" s="753">
        <v>30</v>
      </c>
      <c r="L185" s="759" t="s">
        <v>2970</v>
      </c>
      <c r="M185" s="754">
        <v>153811.47687500002</v>
      </c>
      <c r="N185" s="363" t="s">
        <v>2971</v>
      </c>
      <c r="P185" s="759" t="s">
        <v>2972</v>
      </c>
    </row>
    <row r="186" spans="11:16" s="363" customFormat="1" ht="0.65" hidden="1" customHeight="1">
      <c r="K186" s="753">
        <v>31</v>
      </c>
      <c r="L186" s="759" t="s">
        <v>2973</v>
      </c>
      <c r="M186" s="754">
        <v>196200</v>
      </c>
      <c r="N186" s="363" t="s">
        <v>2974</v>
      </c>
      <c r="P186" s="759" t="s">
        <v>2975</v>
      </c>
    </row>
    <row r="187" spans="11:16" s="363" customFormat="1" ht="0.65" hidden="1" customHeight="1">
      <c r="K187" s="753">
        <v>32</v>
      </c>
      <c r="L187" s="759" t="s">
        <v>2976</v>
      </c>
      <c r="M187" s="754">
        <v>273060</v>
      </c>
      <c r="N187" s="363" t="s">
        <v>2977</v>
      </c>
      <c r="P187" s="759" t="s">
        <v>2978</v>
      </c>
    </row>
    <row r="188" spans="11:16" s="363" customFormat="1" ht="0.65" hidden="1" customHeight="1">
      <c r="K188" s="753">
        <v>33</v>
      </c>
      <c r="L188" s="759" t="s">
        <v>2979</v>
      </c>
      <c r="M188" s="754">
        <v>357070.5</v>
      </c>
      <c r="N188" s="363" t="s">
        <v>2980</v>
      </c>
      <c r="P188" s="759" t="s">
        <v>2981</v>
      </c>
    </row>
    <row r="189" spans="11:16" s="363" customFormat="1" ht="0.65" hidden="1" customHeight="1">
      <c r="K189" s="753">
        <v>34</v>
      </c>
      <c r="L189" s="759" t="s">
        <v>2982</v>
      </c>
      <c r="M189" s="754">
        <v>375824.02500000002</v>
      </c>
      <c r="N189" s="363" t="s">
        <v>2983</v>
      </c>
      <c r="P189" s="759" t="s">
        <v>2984</v>
      </c>
    </row>
    <row r="190" spans="11:16" s="363" customFormat="1" ht="0.65" hidden="1" customHeight="1">
      <c r="K190" s="753">
        <v>35</v>
      </c>
      <c r="L190" s="759" t="s">
        <v>2985</v>
      </c>
      <c r="M190" s="754">
        <v>395515.22624999995</v>
      </c>
      <c r="N190" s="363" t="s">
        <v>2986</v>
      </c>
      <c r="P190" s="759" t="s">
        <v>2987</v>
      </c>
    </row>
    <row r="191" spans="11:16" s="363" customFormat="1" ht="0.65" hidden="1" customHeight="1">
      <c r="K191" s="753">
        <v>36</v>
      </c>
      <c r="L191" s="759" t="s">
        <v>2988</v>
      </c>
      <c r="M191" s="754">
        <v>221200</v>
      </c>
      <c r="N191" s="363" t="s">
        <v>2989</v>
      </c>
      <c r="P191" s="759" t="s">
        <v>2990</v>
      </c>
    </row>
    <row r="192" spans="11:16" s="363" customFormat="1" ht="0.65" hidden="1" customHeight="1">
      <c r="K192" s="753">
        <v>37</v>
      </c>
      <c r="L192" s="759" t="s">
        <v>2991</v>
      </c>
      <c r="M192" s="754">
        <v>298060</v>
      </c>
      <c r="N192" s="363" t="s">
        <v>2992</v>
      </c>
      <c r="P192" s="759" t="s">
        <v>2993</v>
      </c>
    </row>
    <row r="193" spans="10:16" s="363" customFormat="1" ht="0.65" hidden="1" customHeight="1">
      <c r="K193" s="753">
        <v>38</v>
      </c>
      <c r="L193" s="759" t="s">
        <v>2994</v>
      </c>
      <c r="M193" s="754">
        <v>382070.5</v>
      </c>
      <c r="N193" s="363" t="s">
        <v>2995</v>
      </c>
      <c r="P193" s="759" t="s">
        <v>2996</v>
      </c>
    </row>
    <row r="194" spans="10:16" s="363" customFormat="1" ht="0.65" hidden="1" customHeight="1">
      <c r="K194" s="753">
        <v>39</v>
      </c>
      <c r="L194" s="759" t="s">
        <v>2997</v>
      </c>
      <c r="M194" s="754">
        <v>400824.02500000002</v>
      </c>
      <c r="N194" s="363" t="s">
        <v>2998</v>
      </c>
      <c r="P194" s="759" t="s">
        <v>2999</v>
      </c>
    </row>
    <row r="195" spans="10:16" s="363" customFormat="1" ht="0.65" hidden="1" customHeight="1">
      <c r="K195" s="753">
        <v>40</v>
      </c>
      <c r="L195" s="759" t="s">
        <v>3000</v>
      </c>
      <c r="M195" s="754">
        <v>420515.22624999995</v>
      </c>
      <c r="N195" s="363" t="s">
        <v>3001</v>
      </c>
      <c r="P195" s="759" t="s">
        <v>3002</v>
      </c>
    </row>
    <row r="196" spans="10:16" s="363" customFormat="1" ht="0.65" hidden="1" customHeight="1">
      <c r="K196" s="753">
        <v>41</v>
      </c>
      <c r="L196" s="759" t="s">
        <v>3003</v>
      </c>
      <c r="M196" s="754">
        <v>175000</v>
      </c>
      <c r="N196" s="363" t="s">
        <v>3004</v>
      </c>
      <c r="P196" s="759" t="s">
        <v>3005</v>
      </c>
    </row>
    <row r="197" spans="10:16" s="363" customFormat="1" ht="0.65" hidden="1" customHeight="1">
      <c r="K197" s="753">
        <v>42</v>
      </c>
      <c r="L197" s="759" t="s">
        <v>3006</v>
      </c>
      <c r="M197" s="754">
        <v>229687.5</v>
      </c>
      <c r="N197" s="363" t="s">
        <v>3007</v>
      </c>
      <c r="P197" s="759" t="s">
        <v>3008</v>
      </c>
    </row>
    <row r="198" spans="10:16" s="363" customFormat="1" ht="0.65" hidden="1" customHeight="1">
      <c r="K198" s="753">
        <v>43</v>
      </c>
      <c r="L198" s="759" t="s">
        <v>3009</v>
      </c>
      <c r="M198" s="754">
        <v>289406.25000000006</v>
      </c>
      <c r="N198" s="363" t="s">
        <v>3010</v>
      </c>
      <c r="P198" s="759" t="s">
        <v>3011</v>
      </c>
    </row>
    <row r="199" spans="10:16" s="363" customFormat="1" ht="0.65" hidden="1" customHeight="1">
      <c r="K199" s="753">
        <v>44</v>
      </c>
      <c r="L199" s="759" t="s">
        <v>3012</v>
      </c>
      <c r="M199" s="754">
        <v>303876.5625</v>
      </c>
      <c r="N199" s="363" t="s">
        <v>3013</v>
      </c>
      <c r="P199" s="759" t="s">
        <v>3014</v>
      </c>
    </row>
    <row r="200" spans="10:16" s="363" customFormat="1" ht="0.65" hidden="1" customHeight="1">
      <c r="K200" s="753">
        <v>45</v>
      </c>
      <c r="L200" s="759" t="s">
        <v>3015</v>
      </c>
      <c r="M200" s="754">
        <v>319070.39062500006</v>
      </c>
      <c r="N200" s="363" t="s">
        <v>3016</v>
      </c>
      <c r="P200" s="759" t="s">
        <v>3017</v>
      </c>
    </row>
    <row r="201" spans="10:16" s="363" customFormat="1" ht="0.65" hidden="1" customHeight="1">
      <c r="J201" s="363">
        <v>1</v>
      </c>
      <c r="K201" s="753">
        <v>46</v>
      </c>
      <c r="L201" s="759" t="s">
        <v>3018</v>
      </c>
      <c r="M201" s="754">
        <v>175000</v>
      </c>
      <c r="N201" s="363" t="s">
        <v>3019</v>
      </c>
      <c r="P201" s="759" t="s">
        <v>3003</v>
      </c>
    </row>
    <row r="202" spans="10:16" s="363" customFormat="1" ht="0.65" hidden="1" customHeight="1">
      <c r="J202" s="363">
        <v>2</v>
      </c>
      <c r="K202" s="753">
        <v>47</v>
      </c>
      <c r="L202" s="759" t="s">
        <v>3020</v>
      </c>
      <c r="M202" s="754">
        <v>54687.5</v>
      </c>
      <c r="N202" s="363" t="s">
        <v>3021</v>
      </c>
      <c r="P202" s="759" t="s">
        <v>3022</v>
      </c>
    </row>
    <row r="203" spans="10:16" s="363" customFormat="1" ht="0.65" hidden="1" customHeight="1">
      <c r="J203" s="363">
        <v>3</v>
      </c>
      <c r="K203" s="753">
        <v>48</v>
      </c>
      <c r="L203" s="759" t="s">
        <v>3023</v>
      </c>
      <c r="M203" s="754">
        <v>59718.750000000058</v>
      </c>
      <c r="N203" s="363" t="s">
        <v>3024</v>
      </c>
      <c r="P203" s="759" t="s">
        <v>3025</v>
      </c>
    </row>
    <row r="204" spans="10:16" s="363" customFormat="1" ht="0.65" hidden="1" customHeight="1">
      <c r="J204" s="363">
        <v>4</v>
      </c>
      <c r="K204" s="753">
        <v>49</v>
      </c>
      <c r="L204" s="759" t="s">
        <v>3026</v>
      </c>
      <c r="M204" s="754">
        <v>14470.312499999942</v>
      </c>
      <c r="N204" s="363" t="s">
        <v>3027</v>
      </c>
      <c r="P204" s="759" t="s">
        <v>3028</v>
      </c>
    </row>
    <row r="205" spans="10:16" s="363" customFormat="1" ht="0.65" hidden="1" customHeight="1">
      <c r="J205" s="363">
        <v>5</v>
      </c>
      <c r="K205" s="753">
        <v>50</v>
      </c>
      <c r="L205" s="759" t="s">
        <v>3029</v>
      </c>
      <c r="M205" s="754">
        <v>15193.828125000058</v>
      </c>
      <c r="N205" s="363" t="s">
        <v>3030</v>
      </c>
      <c r="P205" s="759" t="s">
        <v>3031</v>
      </c>
    </row>
    <row r="206" spans="10:16" s="363" customFormat="1" ht="0.65" hidden="1" customHeight="1">
      <c r="K206" s="753">
        <v>51</v>
      </c>
      <c r="L206" s="759" t="s">
        <v>3032</v>
      </c>
      <c r="M206" s="754">
        <v>46200</v>
      </c>
      <c r="N206" s="363" t="s">
        <v>3033</v>
      </c>
      <c r="P206" s="759" t="s">
        <v>3034</v>
      </c>
    </row>
    <row r="207" spans="10:16" s="363" customFormat="1" ht="0.65" hidden="1" customHeight="1">
      <c r="K207" s="753">
        <v>52</v>
      </c>
      <c r="L207" s="759" t="s">
        <v>3035</v>
      </c>
      <c r="M207" s="754">
        <v>243372.5</v>
      </c>
      <c r="N207" s="363" t="s">
        <v>3036</v>
      </c>
      <c r="P207" s="759" t="s">
        <v>3037</v>
      </c>
    </row>
    <row r="208" spans="10:16" s="363" customFormat="1" ht="0.65" hidden="1" customHeight="1">
      <c r="K208" s="753">
        <v>53</v>
      </c>
      <c r="L208" s="759" t="s">
        <v>3038</v>
      </c>
      <c r="M208" s="754">
        <v>322351.74999999994</v>
      </c>
      <c r="N208" s="363" t="s">
        <v>3039</v>
      </c>
      <c r="P208" s="759" t="s">
        <v>3040</v>
      </c>
    </row>
    <row r="209" spans="10:16" s="363" customFormat="1" ht="0.65" hidden="1" customHeight="1">
      <c r="K209" s="753">
        <v>54</v>
      </c>
      <c r="L209" s="759" t="s">
        <v>3041</v>
      </c>
      <c r="M209" s="754">
        <v>386353.71250000008</v>
      </c>
      <c r="N209" s="363" t="s">
        <v>3042</v>
      </c>
      <c r="P209" s="759" t="s">
        <v>3043</v>
      </c>
    </row>
    <row r="210" spans="10:16" s="363" customFormat="1" ht="0.65" hidden="1" customHeight="1">
      <c r="K210" s="753">
        <v>55</v>
      </c>
      <c r="L210" s="759" t="s">
        <v>3044</v>
      </c>
      <c r="M210" s="754">
        <v>405321.39812499989</v>
      </c>
      <c r="N210" s="363" t="s">
        <v>3045</v>
      </c>
      <c r="P210" s="759" t="s">
        <v>3046</v>
      </c>
    </row>
    <row r="211" spans="10:16" s="363" customFormat="1" ht="0.65" hidden="1" customHeight="1">
      <c r="K211" s="753">
        <v>56</v>
      </c>
      <c r="L211" s="759" t="s">
        <v>3047</v>
      </c>
      <c r="M211" s="754">
        <v>-250000</v>
      </c>
      <c r="N211" s="363" t="s">
        <v>3048</v>
      </c>
      <c r="P211" s="759" t="s">
        <v>3049</v>
      </c>
    </row>
    <row r="212" spans="10:16" s="363" customFormat="1" ht="0.65" hidden="1" customHeight="1">
      <c r="K212" s="753">
        <v>57</v>
      </c>
      <c r="L212" s="759" t="s">
        <v>3050</v>
      </c>
      <c r="M212" s="754">
        <v>46200</v>
      </c>
      <c r="N212" s="363" t="s">
        <v>3051</v>
      </c>
      <c r="P212" s="759" t="s">
        <v>3032</v>
      </c>
    </row>
    <row r="213" spans="10:16" s="363" customFormat="1" ht="0.65" hidden="1" customHeight="1">
      <c r="K213" s="753">
        <v>58</v>
      </c>
      <c r="L213" s="759" t="s">
        <v>3052</v>
      </c>
      <c r="M213" s="754">
        <v>243372.5</v>
      </c>
      <c r="N213" s="363" t="s">
        <v>3053</v>
      </c>
      <c r="P213" s="759" t="s">
        <v>3035</v>
      </c>
    </row>
    <row r="214" spans="10:16" s="363" customFormat="1" ht="0.65" hidden="1" customHeight="1">
      <c r="K214" s="753">
        <v>59</v>
      </c>
      <c r="L214" s="759" t="s">
        <v>3054</v>
      </c>
      <c r="M214" s="754">
        <v>322351.74999999994</v>
      </c>
      <c r="N214" s="363" t="s">
        <v>3055</v>
      </c>
      <c r="P214" s="759" t="s">
        <v>3038</v>
      </c>
    </row>
    <row r="215" spans="10:16" s="363" customFormat="1" ht="0.65" hidden="1" customHeight="1">
      <c r="K215" s="753">
        <v>60</v>
      </c>
      <c r="L215" s="759" t="s">
        <v>3056</v>
      </c>
      <c r="M215" s="754">
        <v>386353.71250000008</v>
      </c>
      <c r="N215" s="363" t="s">
        <v>3057</v>
      </c>
      <c r="P215" s="759" t="s">
        <v>3041</v>
      </c>
    </row>
    <row r="216" spans="10:16" s="363" customFormat="1" ht="0.65" hidden="1" customHeight="1">
      <c r="K216" s="753">
        <v>61</v>
      </c>
      <c r="L216" s="759" t="s">
        <v>3058</v>
      </c>
      <c r="M216" s="754">
        <v>903391.78874999995</v>
      </c>
      <c r="N216" s="363" t="s">
        <v>3059</v>
      </c>
      <c r="P216" s="759" t="s">
        <v>3060</v>
      </c>
    </row>
    <row r="217" spans="10:16" s="363" customFormat="1" ht="0.65" hidden="1" customHeight="1">
      <c r="K217" s="753">
        <v>62</v>
      </c>
      <c r="L217" s="759" t="s">
        <v>3061</v>
      </c>
      <c r="M217" s="754">
        <v>250000</v>
      </c>
      <c r="N217" s="363" t="s">
        <v>1924</v>
      </c>
      <c r="P217" s="759" t="s">
        <v>2863</v>
      </c>
    </row>
    <row r="218" spans="10:16" s="363" customFormat="1" ht="0.65" hidden="1" customHeight="1">
      <c r="K218" s="753">
        <v>63</v>
      </c>
      <c r="L218" s="759" t="s">
        <v>3062</v>
      </c>
      <c r="M218" s="754">
        <v>179000</v>
      </c>
      <c r="N218" s="363" t="s">
        <v>3063</v>
      </c>
      <c r="P218" s="759" t="s">
        <v>3064</v>
      </c>
    </row>
    <row r="219" spans="10:16" s="363" customFormat="1" ht="0.65" hidden="1" customHeight="1">
      <c r="K219" s="753">
        <v>64</v>
      </c>
      <c r="L219" s="759" t="s">
        <v>3065</v>
      </c>
      <c r="M219" s="754">
        <v>319070.39062500006</v>
      </c>
      <c r="N219" s="363" t="s">
        <v>3066</v>
      </c>
      <c r="P219" s="759" t="s">
        <v>3015</v>
      </c>
    </row>
    <row r="220" spans="10:16" s="363" customFormat="1" ht="0.65" hidden="1" customHeight="1">
      <c r="K220" s="753">
        <v>65</v>
      </c>
      <c r="L220" s="759" t="s">
        <v>3067</v>
      </c>
      <c r="M220" s="754">
        <v>498070.39062500006</v>
      </c>
      <c r="N220" s="363" t="s">
        <v>3068</v>
      </c>
      <c r="P220" s="759" t="s">
        <v>3069</v>
      </c>
    </row>
    <row r="221" spans="10:16" s="363" customFormat="1" ht="0.65" hidden="1" customHeight="1">
      <c r="K221" s="753">
        <v>66</v>
      </c>
      <c r="L221" s="759" t="s">
        <v>2870</v>
      </c>
      <c r="M221" s="754">
        <v>0.11300000000000021</v>
      </c>
      <c r="N221" s="363" t="s">
        <v>3070</v>
      </c>
      <c r="P221" s="759" t="s">
        <v>3071</v>
      </c>
    </row>
    <row r="222" spans="10:16" s="363" customFormat="1" ht="0.65" hidden="1" customHeight="1">
      <c r="K222" s="753">
        <v>67</v>
      </c>
      <c r="L222" s="759" t="s">
        <v>13</v>
      </c>
      <c r="M222" s="754">
        <v>1002475.4744343841</v>
      </c>
      <c r="N222" s="363" t="s">
        <v>3072</v>
      </c>
      <c r="P222" s="759" t="s">
        <v>3073</v>
      </c>
    </row>
    <row r="223" spans="10:16" s="363" customFormat="1" ht="0.65" hidden="1" customHeight="1">
      <c r="J223" s="363">
        <v>0</v>
      </c>
      <c r="K223" s="753">
        <v>68</v>
      </c>
      <c r="L223" s="363" t="s">
        <v>3047</v>
      </c>
      <c r="M223" s="363">
        <v>-250000</v>
      </c>
      <c r="N223" s="363" t="s">
        <v>3074</v>
      </c>
      <c r="P223" s="363" t="s">
        <v>3075</v>
      </c>
    </row>
    <row r="224" spans="10:16" s="363" customFormat="1" ht="0.65" hidden="1" customHeight="1">
      <c r="J224" s="363">
        <v>1</v>
      </c>
      <c r="K224" s="753">
        <v>69</v>
      </c>
      <c r="L224" s="363" t="s">
        <v>3050</v>
      </c>
      <c r="M224" s="363">
        <v>44000</v>
      </c>
      <c r="N224" s="363" t="s">
        <v>3076</v>
      </c>
      <c r="P224" s="363" t="s">
        <v>3077</v>
      </c>
    </row>
    <row r="225" spans="10:16" s="363" customFormat="1" ht="0.65" hidden="1" customHeight="1">
      <c r="J225" s="363">
        <v>2</v>
      </c>
      <c r="K225" s="753">
        <v>70</v>
      </c>
      <c r="L225" s="363" t="s">
        <v>3052</v>
      </c>
      <c r="M225" s="363">
        <v>220746.03174603175</v>
      </c>
      <c r="N225" s="363" t="s">
        <v>3078</v>
      </c>
      <c r="P225" s="363" t="s">
        <v>3079</v>
      </c>
    </row>
    <row r="226" spans="10:16" s="363" customFormat="1" ht="0.65" hidden="1" customHeight="1">
      <c r="J226" s="363">
        <v>3</v>
      </c>
      <c r="K226" s="753">
        <v>71</v>
      </c>
      <c r="L226" s="363" t="s">
        <v>3054</v>
      </c>
      <c r="M226" s="363">
        <v>278459.56160241866</v>
      </c>
      <c r="N226" s="363" t="s">
        <v>3080</v>
      </c>
      <c r="P226" s="363" t="s">
        <v>3081</v>
      </c>
    </row>
    <row r="227" spans="10:16" s="363" customFormat="1" ht="0.65" hidden="1" customHeight="1">
      <c r="J227" s="363">
        <v>4</v>
      </c>
      <c r="K227" s="753">
        <v>72</v>
      </c>
      <c r="L227" s="363" t="s">
        <v>3056</v>
      </c>
      <c r="M227" s="363">
        <v>317854.15541878133</v>
      </c>
      <c r="N227" s="363" t="s">
        <v>3082</v>
      </c>
      <c r="P227" s="363" t="s">
        <v>3083</v>
      </c>
    </row>
    <row r="228" spans="10:16" s="363" customFormat="1" ht="0.65" hidden="1" customHeight="1">
      <c r="J228" s="363">
        <v>5</v>
      </c>
      <c r="K228" s="753">
        <v>73</v>
      </c>
      <c r="L228" s="363" t="s">
        <v>3058</v>
      </c>
      <c r="M228" s="363">
        <v>707831.10505837132</v>
      </c>
      <c r="N228" s="363" t="s">
        <v>3084</v>
      </c>
      <c r="P228" s="363" t="s">
        <v>3085</v>
      </c>
    </row>
    <row r="229" spans="10:16" s="363" customFormat="1" ht="0.65" hidden="1" customHeight="1">
      <c r="K229" s="753">
        <v>74</v>
      </c>
      <c r="L229" s="363" t="s">
        <v>2872</v>
      </c>
      <c r="M229" s="363">
        <v>0.06</v>
      </c>
      <c r="N229" s="363">
        <v>0.06</v>
      </c>
      <c r="P229" s="363" t="s">
        <v>2635</v>
      </c>
    </row>
    <row r="230" spans="10:16" s="363" customFormat="1" ht="0.65" hidden="1" customHeight="1">
      <c r="K230" s="753">
        <v>75</v>
      </c>
      <c r="L230" s="363" t="s">
        <v>13</v>
      </c>
      <c r="M230" s="363">
        <v>1002475.4744343846</v>
      </c>
      <c r="N230" s="363" t="s">
        <v>3086</v>
      </c>
      <c r="P230" s="363" t="s">
        <v>3087</v>
      </c>
    </row>
    <row r="231" spans="10:16" s="363" customFormat="1" ht="0.65" hidden="1" customHeight="1">
      <c r="J231" s="363">
        <v>1</v>
      </c>
      <c r="K231" s="753">
        <v>76</v>
      </c>
      <c r="L231" s="363" t="s">
        <v>2891</v>
      </c>
      <c r="M231" s="363">
        <v>2100000</v>
      </c>
      <c r="N231" s="363" t="s">
        <v>2892</v>
      </c>
      <c r="P231" s="363" t="s">
        <v>2893</v>
      </c>
    </row>
    <row r="232" spans="10:16" s="363" customFormat="1" ht="0.65" hidden="1" customHeight="1">
      <c r="J232" s="363">
        <v>2</v>
      </c>
      <c r="K232" s="753">
        <v>77</v>
      </c>
      <c r="L232" s="363" t="s">
        <v>2894</v>
      </c>
      <c r="M232" s="363">
        <v>2756250</v>
      </c>
      <c r="N232" s="363" t="s">
        <v>2895</v>
      </c>
      <c r="P232" s="363" t="s">
        <v>2896</v>
      </c>
    </row>
    <row r="233" spans="10:16" s="363" customFormat="1" ht="0.65" hidden="1" customHeight="1">
      <c r="J233" s="363">
        <v>3</v>
      </c>
      <c r="K233" s="753">
        <v>78</v>
      </c>
      <c r="L233" s="363" t="s">
        <v>2897</v>
      </c>
      <c r="M233" s="363">
        <v>3472875.0000000005</v>
      </c>
      <c r="N233" s="363" t="s">
        <v>2898</v>
      </c>
      <c r="P233" s="363" t="s">
        <v>2899</v>
      </c>
    </row>
    <row r="234" spans="10:16" s="363" customFormat="1" ht="0.65" hidden="1" customHeight="1">
      <c r="J234" s="363">
        <v>4</v>
      </c>
      <c r="K234" s="753">
        <v>79</v>
      </c>
      <c r="L234" s="363" t="s">
        <v>2900</v>
      </c>
      <c r="M234" s="363">
        <v>3646518.75</v>
      </c>
      <c r="N234" s="363" t="s">
        <v>2901</v>
      </c>
      <c r="P234" s="363" t="s">
        <v>2902</v>
      </c>
    </row>
    <row r="235" spans="10:16" s="363" customFormat="1" ht="0.65" hidden="1" customHeight="1">
      <c r="J235" s="363">
        <v>5</v>
      </c>
      <c r="K235" s="753">
        <v>80</v>
      </c>
      <c r="L235" s="363" t="s">
        <v>2903</v>
      </c>
      <c r="M235" s="363">
        <v>3828844.6875000005</v>
      </c>
      <c r="N235" s="363" t="s">
        <v>2904</v>
      </c>
      <c r="P235" s="363" t="s">
        <v>2905</v>
      </c>
    </row>
    <row r="236" spans="10:16" s="363" customFormat="1" ht="0.65" hidden="1" customHeight="1">
      <c r="J236" s="363">
        <v>1</v>
      </c>
      <c r="K236" s="753">
        <v>81</v>
      </c>
      <c r="L236" s="363" t="s">
        <v>2906</v>
      </c>
      <c r="M236" s="363">
        <v>1838500</v>
      </c>
      <c r="N236" s="363" t="s">
        <v>3088</v>
      </c>
      <c r="P236" s="363" t="s">
        <v>3089</v>
      </c>
    </row>
    <row r="237" spans="10:16" s="363" customFormat="1" ht="0.65" hidden="1" customHeight="1">
      <c r="J237" s="363">
        <v>2</v>
      </c>
      <c r="K237" s="753">
        <v>82</v>
      </c>
      <c r="L237" s="363" t="s">
        <v>2909</v>
      </c>
      <c r="M237" s="363">
        <v>2388000</v>
      </c>
      <c r="N237" s="363" t="s">
        <v>3090</v>
      </c>
      <c r="P237" s="363" t="s">
        <v>3091</v>
      </c>
    </row>
    <row r="238" spans="10:16" s="363" customFormat="1" ht="0.65" hidden="1" customHeight="1">
      <c r="J238" s="363">
        <v>3</v>
      </c>
      <c r="K238" s="753">
        <v>83</v>
      </c>
      <c r="L238" s="363" t="s">
        <v>2912</v>
      </c>
      <c r="M238" s="363">
        <v>2987943.7500000005</v>
      </c>
      <c r="N238" s="363" t="s">
        <v>3092</v>
      </c>
      <c r="P238" s="363" t="s">
        <v>3093</v>
      </c>
    </row>
    <row r="239" spans="10:16" s="363" customFormat="1" ht="0.65" hidden="1" customHeight="1">
      <c r="J239" s="363">
        <v>4</v>
      </c>
      <c r="K239" s="753">
        <v>84</v>
      </c>
      <c r="L239" s="363" t="s">
        <v>2915</v>
      </c>
      <c r="M239" s="363">
        <v>3135540.9375</v>
      </c>
      <c r="N239" s="363" t="s">
        <v>3094</v>
      </c>
      <c r="P239" s="363" t="s">
        <v>3095</v>
      </c>
    </row>
    <row r="240" spans="10:16" s="363" customFormat="1" ht="0.65" hidden="1" customHeight="1">
      <c r="J240" s="363">
        <v>5</v>
      </c>
      <c r="K240" s="753">
        <v>85</v>
      </c>
      <c r="L240" s="363" t="s">
        <v>2918</v>
      </c>
      <c r="M240" s="363">
        <v>3290517.9843750005</v>
      </c>
      <c r="N240" s="363" t="s">
        <v>3096</v>
      </c>
      <c r="P240" s="363" t="s">
        <v>3097</v>
      </c>
    </row>
    <row r="241" spans="11:16" s="363" customFormat="1" ht="0.65" hidden="1" customHeight="1">
      <c r="K241" s="753">
        <v>86</v>
      </c>
      <c r="L241" s="363" t="s">
        <v>2921</v>
      </c>
      <c r="M241" s="363">
        <v>261500</v>
      </c>
      <c r="N241" s="363" t="s">
        <v>3098</v>
      </c>
      <c r="P241" s="363" t="s">
        <v>2923</v>
      </c>
    </row>
    <row r="242" spans="11:16" s="363" customFormat="1" ht="0.65" hidden="1" customHeight="1">
      <c r="K242" s="753">
        <v>87</v>
      </c>
      <c r="L242" s="363" t="s">
        <v>2924</v>
      </c>
      <c r="M242" s="363">
        <v>368250</v>
      </c>
      <c r="N242" s="363" t="s">
        <v>3099</v>
      </c>
      <c r="P242" s="363" t="s">
        <v>2926</v>
      </c>
    </row>
    <row r="243" spans="11:16" s="363" customFormat="1" ht="0.65" hidden="1" customHeight="1">
      <c r="K243" s="753">
        <v>88</v>
      </c>
      <c r="L243" s="363" t="s">
        <v>2927</v>
      </c>
      <c r="M243" s="363">
        <v>484931.25</v>
      </c>
      <c r="N243" s="363" t="s">
        <v>3100</v>
      </c>
      <c r="P243" s="363" t="s">
        <v>2929</v>
      </c>
    </row>
    <row r="244" spans="11:16" s="363" customFormat="1" ht="0.65" hidden="1" customHeight="1">
      <c r="K244" s="753">
        <v>89</v>
      </c>
      <c r="L244" s="363" t="s">
        <v>2930</v>
      </c>
      <c r="M244" s="363">
        <v>510977.8125</v>
      </c>
      <c r="N244" s="363" t="s">
        <v>3101</v>
      </c>
      <c r="P244" s="363" t="s">
        <v>2932</v>
      </c>
    </row>
    <row r="245" spans="11:16" s="363" customFormat="1" ht="0.65" hidden="1" customHeight="1">
      <c r="K245" s="753">
        <v>90</v>
      </c>
      <c r="L245" s="363" t="s">
        <v>2933</v>
      </c>
      <c r="M245" s="363">
        <v>538326.703125</v>
      </c>
      <c r="N245" s="363" t="s">
        <v>3102</v>
      </c>
      <c r="P245" s="363" t="s">
        <v>2935</v>
      </c>
    </row>
    <row r="246" spans="11:16" s="363" customFormat="1" ht="0.65" hidden="1" customHeight="1">
      <c r="K246" s="753">
        <v>91</v>
      </c>
      <c r="L246" s="363" t="s">
        <v>2936</v>
      </c>
      <c r="M246" s="363">
        <v>0</v>
      </c>
      <c r="N246" s="363">
        <v>0</v>
      </c>
      <c r="P246" s="363" t="s">
        <v>3103</v>
      </c>
    </row>
    <row r="247" spans="11:16" s="363" customFormat="1" ht="0.65" hidden="1" customHeight="1">
      <c r="K247" s="753">
        <v>92</v>
      </c>
      <c r="L247" s="363" t="s">
        <v>2939</v>
      </c>
      <c r="M247" s="363">
        <v>0</v>
      </c>
      <c r="N247" s="363">
        <v>0</v>
      </c>
      <c r="P247" s="363" t="s">
        <v>3103</v>
      </c>
    </row>
    <row r="248" spans="11:16" s="363" customFormat="1" ht="0.65" hidden="1" customHeight="1">
      <c r="K248" s="753">
        <v>93</v>
      </c>
      <c r="L248" s="363" t="s">
        <v>2940</v>
      </c>
      <c r="M248" s="363">
        <v>0</v>
      </c>
      <c r="N248" s="363">
        <v>0</v>
      </c>
      <c r="P248" s="363" t="s">
        <v>3103</v>
      </c>
    </row>
    <row r="249" spans="11:16" s="363" customFormat="1" ht="0.65" hidden="1" customHeight="1">
      <c r="K249" s="753">
        <v>94</v>
      </c>
      <c r="L249" s="363" t="s">
        <v>2941</v>
      </c>
      <c r="M249" s="363">
        <v>0</v>
      </c>
      <c r="N249" s="363">
        <v>0</v>
      </c>
      <c r="P249" s="363" t="s">
        <v>3103</v>
      </c>
    </row>
    <row r="250" spans="11:16" s="363" customFormat="1" ht="0.65" hidden="1" customHeight="1">
      <c r="K250" s="753">
        <v>95</v>
      </c>
      <c r="L250" s="363" t="s">
        <v>2942</v>
      </c>
      <c r="M250" s="363">
        <v>0</v>
      </c>
      <c r="N250" s="363">
        <v>0</v>
      </c>
      <c r="P250" s="363" t="s">
        <v>3103</v>
      </c>
    </row>
    <row r="251" spans="11:16" s="363" customFormat="1" ht="0.65" hidden="1" customHeight="1">
      <c r="K251" s="753">
        <v>96</v>
      </c>
      <c r="L251" s="363" t="s">
        <v>2943</v>
      </c>
      <c r="M251" s="363">
        <v>261500</v>
      </c>
      <c r="N251" s="363" t="s">
        <v>3104</v>
      </c>
      <c r="P251" s="363" t="s">
        <v>2945</v>
      </c>
    </row>
    <row r="252" spans="11:16" s="363" customFormat="1" ht="0.65" hidden="1" customHeight="1">
      <c r="K252" s="753">
        <v>97</v>
      </c>
      <c r="L252" s="363" t="s">
        <v>2946</v>
      </c>
      <c r="M252" s="363">
        <v>368250</v>
      </c>
      <c r="N252" s="363" t="s">
        <v>3105</v>
      </c>
      <c r="P252" s="363" t="s">
        <v>2948</v>
      </c>
    </row>
    <row r="253" spans="11:16" s="363" customFormat="1" ht="0.65" hidden="1" customHeight="1">
      <c r="K253" s="753">
        <v>98</v>
      </c>
      <c r="L253" s="363" t="s">
        <v>2949</v>
      </c>
      <c r="M253" s="363">
        <v>484931.25</v>
      </c>
      <c r="N253" s="363" t="s">
        <v>3106</v>
      </c>
      <c r="P253" s="363" t="s">
        <v>2951</v>
      </c>
    </row>
    <row r="254" spans="11:16" s="363" customFormat="1" ht="0.65" hidden="1" customHeight="1">
      <c r="K254" s="753">
        <v>99</v>
      </c>
      <c r="L254" s="363" t="s">
        <v>2952</v>
      </c>
      <c r="M254" s="363">
        <v>510977.8125</v>
      </c>
      <c r="N254" s="363" t="s">
        <v>3107</v>
      </c>
      <c r="P254" s="363" t="s">
        <v>2954</v>
      </c>
    </row>
    <row r="255" spans="11:16" s="363" customFormat="1" ht="0.65" hidden="1" customHeight="1">
      <c r="K255" s="753">
        <v>100</v>
      </c>
      <c r="L255" s="363" t="s">
        <v>2955</v>
      </c>
      <c r="M255" s="363">
        <v>538326.703125</v>
      </c>
      <c r="N255" s="363" t="s">
        <v>3108</v>
      </c>
      <c r="P255" s="363" t="s">
        <v>2957</v>
      </c>
    </row>
    <row r="256" spans="11:16" s="363" customFormat="1" ht="0.65" hidden="1" customHeight="1">
      <c r="K256" s="753">
        <v>101</v>
      </c>
      <c r="L256" s="363" t="s">
        <v>2958</v>
      </c>
      <c r="M256" s="363">
        <v>73220</v>
      </c>
      <c r="N256" s="363" t="s">
        <v>3109</v>
      </c>
      <c r="P256" s="363" t="s">
        <v>2960</v>
      </c>
    </row>
    <row r="257" spans="11:16" s="363" customFormat="1" ht="0.65" hidden="1" customHeight="1">
      <c r="K257" s="753">
        <v>102</v>
      </c>
      <c r="L257" s="363" t="s">
        <v>2961</v>
      </c>
      <c r="M257" s="363">
        <v>103110.00000000001</v>
      </c>
      <c r="N257" s="363" t="s">
        <v>3110</v>
      </c>
      <c r="P257" s="363" t="s">
        <v>2963</v>
      </c>
    </row>
    <row r="258" spans="11:16" s="363" customFormat="1" ht="0.65" hidden="1" customHeight="1">
      <c r="K258" s="753">
        <v>103</v>
      </c>
      <c r="L258" s="363" t="s">
        <v>2964</v>
      </c>
      <c r="M258" s="363">
        <v>135780.75</v>
      </c>
      <c r="N258" s="363" t="s">
        <v>3111</v>
      </c>
      <c r="P258" s="363" t="s">
        <v>2966</v>
      </c>
    </row>
    <row r="259" spans="11:16" s="363" customFormat="1" ht="0.65" hidden="1" customHeight="1">
      <c r="K259" s="753">
        <v>104</v>
      </c>
      <c r="L259" s="363" t="s">
        <v>2967</v>
      </c>
      <c r="M259" s="363">
        <v>143073.78750000001</v>
      </c>
      <c r="N259" s="363" t="s">
        <v>3112</v>
      </c>
      <c r="P259" s="363" t="s">
        <v>2969</v>
      </c>
    </row>
    <row r="260" spans="11:16" s="363" customFormat="1" ht="0.65" hidden="1" customHeight="1">
      <c r="K260" s="753">
        <v>105</v>
      </c>
      <c r="L260" s="363" t="s">
        <v>2970</v>
      </c>
      <c r="M260" s="363">
        <v>150731.47687500002</v>
      </c>
      <c r="N260" s="363" t="s">
        <v>3113</v>
      </c>
      <c r="P260" s="363" t="s">
        <v>2972</v>
      </c>
    </row>
    <row r="261" spans="11:16" s="363" customFormat="1" ht="0.65" hidden="1" customHeight="1">
      <c r="K261" s="753">
        <v>106</v>
      </c>
      <c r="L261" s="363" t="s">
        <v>2973</v>
      </c>
      <c r="M261" s="363">
        <v>188280</v>
      </c>
      <c r="N261" s="363" t="s">
        <v>3114</v>
      </c>
      <c r="P261" s="363" t="s">
        <v>2975</v>
      </c>
    </row>
    <row r="262" spans="11:16" s="363" customFormat="1" ht="0.65" hidden="1" customHeight="1">
      <c r="K262" s="753">
        <v>107</v>
      </c>
      <c r="L262" s="363" t="s">
        <v>2976</v>
      </c>
      <c r="M262" s="363">
        <v>265140</v>
      </c>
      <c r="N262" s="363" t="s">
        <v>3115</v>
      </c>
      <c r="P262" s="363" t="s">
        <v>2978</v>
      </c>
    </row>
    <row r="263" spans="11:16" s="363" customFormat="1" ht="0.65" hidden="1" customHeight="1">
      <c r="K263" s="753">
        <v>108</v>
      </c>
      <c r="L263" s="363" t="s">
        <v>2979</v>
      </c>
      <c r="M263" s="363">
        <v>349150.5</v>
      </c>
      <c r="N263" s="363" t="s">
        <v>3116</v>
      </c>
      <c r="P263" s="363" t="s">
        <v>2981</v>
      </c>
    </row>
    <row r="264" spans="11:16" s="363" customFormat="1" ht="0.65" hidden="1" customHeight="1">
      <c r="K264" s="753">
        <v>109</v>
      </c>
      <c r="L264" s="363" t="s">
        <v>2982</v>
      </c>
      <c r="M264" s="363">
        <v>367904.02500000002</v>
      </c>
      <c r="N264" s="363" t="s">
        <v>3117</v>
      </c>
      <c r="P264" s="363" t="s">
        <v>2984</v>
      </c>
    </row>
    <row r="265" spans="11:16" s="363" customFormat="1" ht="0.65" hidden="1" customHeight="1">
      <c r="K265" s="753">
        <v>110</v>
      </c>
      <c r="L265" s="363" t="s">
        <v>2985</v>
      </c>
      <c r="M265" s="363">
        <v>387595.22624999995</v>
      </c>
      <c r="N265" s="363" t="s">
        <v>3118</v>
      </c>
      <c r="P265" s="363" t="s">
        <v>2987</v>
      </c>
    </row>
    <row r="266" spans="11:16" s="363" customFormat="1" ht="0.65" hidden="1" customHeight="1">
      <c r="K266" s="753">
        <v>111</v>
      </c>
      <c r="L266" s="363" t="s">
        <v>2988</v>
      </c>
      <c r="M266" s="363">
        <v>188280</v>
      </c>
      <c r="N266" s="363" t="s">
        <v>3119</v>
      </c>
      <c r="P266" s="363" t="s">
        <v>2990</v>
      </c>
    </row>
    <row r="267" spans="11:16" s="363" customFormat="1" ht="0.65" hidden="1" customHeight="1">
      <c r="K267" s="753">
        <v>112</v>
      </c>
      <c r="L267" s="363" t="s">
        <v>2991</v>
      </c>
      <c r="M267" s="363">
        <v>265140</v>
      </c>
      <c r="N267" s="363" t="s">
        <v>3120</v>
      </c>
      <c r="P267" s="363" t="s">
        <v>2993</v>
      </c>
    </row>
    <row r="268" spans="11:16" s="363" customFormat="1" ht="0.65" hidden="1" customHeight="1">
      <c r="K268" s="753">
        <v>113</v>
      </c>
      <c r="L268" s="363" t="s">
        <v>2994</v>
      </c>
      <c r="M268" s="363">
        <v>349150.5</v>
      </c>
      <c r="N268" s="363" t="s">
        <v>3121</v>
      </c>
      <c r="P268" s="363" t="s">
        <v>2996</v>
      </c>
    </row>
    <row r="269" spans="11:16" s="363" customFormat="1" ht="0.65" hidden="1" customHeight="1">
      <c r="K269" s="753">
        <v>114</v>
      </c>
      <c r="L269" s="363" t="s">
        <v>2997</v>
      </c>
      <c r="M269" s="363">
        <v>367904.02500000002</v>
      </c>
      <c r="N269" s="363" t="s">
        <v>3122</v>
      </c>
      <c r="P269" s="363" t="s">
        <v>2999</v>
      </c>
    </row>
    <row r="270" spans="11:16" s="363" customFormat="1" ht="0.65" hidden="1" customHeight="1">
      <c r="K270" s="753">
        <v>115</v>
      </c>
      <c r="L270" s="363" t="s">
        <v>3000</v>
      </c>
      <c r="M270" s="363">
        <v>387595.22624999995</v>
      </c>
      <c r="N270" s="363" t="s">
        <v>3123</v>
      </c>
      <c r="P270" s="363" t="s">
        <v>3002</v>
      </c>
    </row>
    <row r="271" spans="11:16" s="363" customFormat="1" ht="0.65" hidden="1" customHeight="1">
      <c r="K271" s="753">
        <v>116</v>
      </c>
      <c r="L271" s="363" t="s">
        <v>3003</v>
      </c>
      <c r="M271" s="363">
        <v>175000</v>
      </c>
      <c r="N271" s="363" t="s">
        <v>3004</v>
      </c>
      <c r="P271" s="363" t="s">
        <v>3005</v>
      </c>
    </row>
    <row r="272" spans="11:16" s="363" customFormat="1" ht="0.65" hidden="1" customHeight="1">
      <c r="K272" s="753">
        <v>117</v>
      </c>
      <c r="L272" s="363" t="s">
        <v>3006</v>
      </c>
      <c r="M272" s="363">
        <v>229687.5</v>
      </c>
      <c r="N272" s="363" t="s">
        <v>3007</v>
      </c>
      <c r="P272" s="363" t="s">
        <v>3008</v>
      </c>
    </row>
    <row r="273" spans="10:16" s="363" customFormat="1" ht="0.65" hidden="1" customHeight="1">
      <c r="K273" s="753">
        <v>118</v>
      </c>
      <c r="L273" s="363" t="s">
        <v>3009</v>
      </c>
      <c r="M273" s="363">
        <v>289406.25000000006</v>
      </c>
      <c r="N273" s="363" t="s">
        <v>3010</v>
      </c>
      <c r="P273" s="363" t="s">
        <v>3011</v>
      </c>
    </row>
    <row r="274" spans="10:16" s="363" customFormat="1" ht="0.65" hidden="1" customHeight="1">
      <c r="K274" s="753">
        <v>119</v>
      </c>
      <c r="L274" s="363" t="s">
        <v>3012</v>
      </c>
      <c r="M274" s="363">
        <v>303876.5625</v>
      </c>
      <c r="N274" s="363" t="s">
        <v>3013</v>
      </c>
      <c r="P274" s="363" t="s">
        <v>3014</v>
      </c>
    </row>
    <row r="275" spans="10:16" s="363" customFormat="1" ht="0.65" hidden="1" customHeight="1">
      <c r="K275" s="753">
        <v>120</v>
      </c>
      <c r="L275" s="363" t="s">
        <v>3015</v>
      </c>
      <c r="M275" s="363">
        <v>319070.39062500006</v>
      </c>
      <c r="N275" s="363" t="s">
        <v>3016</v>
      </c>
      <c r="P275" s="363" t="s">
        <v>3017</v>
      </c>
    </row>
    <row r="276" spans="10:16" s="363" customFormat="1" ht="0.65" hidden="1" customHeight="1">
      <c r="J276" s="363">
        <v>1</v>
      </c>
      <c r="K276" s="753">
        <v>121</v>
      </c>
      <c r="L276" s="363" t="s">
        <v>3018</v>
      </c>
      <c r="M276" s="363">
        <v>175000</v>
      </c>
      <c r="N276" s="363" t="s">
        <v>3019</v>
      </c>
      <c r="P276" s="363" t="s">
        <v>3003</v>
      </c>
    </row>
    <row r="277" spans="10:16" s="363" customFormat="1" ht="0.65" hidden="1" customHeight="1">
      <c r="J277" s="363">
        <v>2</v>
      </c>
      <c r="K277" s="753">
        <v>122</v>
      </c>
      <c r="L277" s="363" t="s">
        <v>3020</v>
      </c>
      <c r="M277" s="363">
        <v>54687.5</v>
      </c>
      <c r="N277" s="363" t="s">
        <v>3021</v>
      </c>
      <c r="P277" s="363" t="s">
        <v>3022</v>
      </c>
    </row>
    <row r="278" spans="10:16" s="363" customFormat="1" ht="0.65" hidden="1" customHeight="1">
      <c r="J278" s="363">
        <v>3</v>
      </c>
      <c r="K278" s="753">
        <v>123</v>
      </c>
      <c r="L278" s="363" t="s">
        <v>3023</v>
      </c>
      <c r="M278" s="363">
        <v>59718.750000000058</v>
      </c>
      <c r="N278" s="363" t="s">
        <v>3024</v>
      </c>
      <c r="P278" s="363" t="s">
        <v>3025</v>
      </c>
    </row>
    <row r="279" spans="10:16" s="363" customFormat="1" ht="0.65" hidden="1" customHeight="1">
      <c r="J279" s="363">
        <v>4</v>
      </c>
      <c r="K279" s="753">
        <v>124</v>
      </c>
      <c r="L279" s="363" t="s">
        <v>3026</v>
      </c>
      <c r="M279" s="363">
        <v>14470.312499999942</v>
      </c>
      <c r="N279" s="363" t="s">
        <v>3027</v>
      </c>
      <c r="P279" s="363" t="s">
        <v>3028</v>
      </c>
    </row>
    <row r="280" spans="10:16" s="363" customFormat="1" ht="0.65" hidden="1" customHeight="1">
      <c r="J280" s="363">
        <v>5</v>
      </c>
      <c r="K280" s="753">
        <v>125</v>
      </c>
      <c r="L280" s="363" t="s">
        <v>3029</v>
      </c>
      <c r="M280" s="363">
        <v>15193.828125000058</v>
      </c>
      <c r="N280" s="363" t="s">
        <v>3030</v>
      </c>
      <c r="P280" s="363" t="s">
        <v>3031</v>
      </c>
    </row>
    <row r="281" spans="10:16" s="363" customFormat="1" ht="0.65" hidden="1" customHeight="1">
      <c r="K281" s="753">
        <v>126</v>
      </c>
      <c r="L281" s="363" t="s">
        <v>3032</v>
      </c>
      <c r="M281" s="363">
        <v>13280</v>
      </c>
      <c r="N281" s="363" t="s">
        <v>3124</v>
      </c>
      <c r="P281" s="363" t="s">
        <v>3034</v>
      </c>
    </row>
    <row r="282" spans="10:16" s="363" customFormat="1" ht="0.65" hidden="1" customHeight="1">
      <c r="K282" s="753">
        <v>127</v>
      </c>
      <c r="L282" s="363" t="s">
        <v>3035</v>
      </c>
      <c r="M282" s="363">
        <v>210452.5</v>
      </c>
      <c r="N282" s="363" t="s">
        <v>3125</v>
      </c>
      <c r="P282" s="363" t="s">
        <v>3037</v>
      </c>
    </row>
    <row r="283" spans="10:16" s="363" customFormat="1" ht="0.65" hidden="1" customHeight="1">
      <c r="K283" s="753">
        <v>128</v>
      </c>
      <c r="L283" s="363" t="s">
        <v>3038</v>
      </c>
      <c r="M283" s="363">
        <v>289431.74999999994</v>
      </c>
      <c r="N283" s="363" t="s">
        <v>3126</v>
      </c>
      <c r="P283" s="363" t="s">
        <v>3040</v>
      </c>
    </row>
    <row r="284" spans="10:16" s="363" customFormat="1" ht="0.65" hidden="1" customHeight="1">
      <c r="K284" s="753">
        <v>129</v>
      </c>
      <c r="L284" s="363" t="s">
        <v>3041</v>
      </c>
      <c r="M284" s="363">
        <v>353433.71250000008</v>
      </c>
      <c r="N284" s="363" t="s">
        <v>3127</v>
      </c>
      <c r="P284" s="363" t="s">
        <v>3043</v>
      </c>
    </row>
    <row r="285" spans="10:16" s="363" customFormat="1" ht="0.65" hidden="1" customHeight="1">
      <c r="K285" s="753">
        <v>130</v>
      </c>
      <c r="L285" s="363" t="s">
        <v>3044</v>
      </c>
      <c r="M285" s="363">
        <v>372401.39812499989</v>
      </c>
      <c r="N285" s="363" t="s">
        <v>3128</v>
      </c>
      <c r="P285" s="363" t="s">
        <v>3046</v>
      </c>
    </row>
    <row r="286" spans="10:16" s="363" customFormat="1" ht="0.65" hidden="1" customHeight="1">
      <c r="K286" s="753">
        <v>131</v>
      </c>
      <c r="L286" s="363" t="s">
        <v>3047</v>
      </c>
      <c r="M286" s="363">
        <v>0</v>
      </c>
      <c r="N286" s="363">
        <v>0</v>
      </c>
      <c r="P286" s="363" t="s">
        <v>3049</v>
      </c>
    </row>
    <row r="287" spans="10:16" s="363" customFormat="1" ht="0.65" hidden="1" customHeight="1">
      <c r="K287" s="753">
        <v>132</v>
      </c>
      <c r="L287" s="363" t="s">
        <v>3050</v>
      </c>
      <c r="M287" s="363">
        <v>13280</v>
      </c>
      <c r="N287" s="363" t="s">
        <v>3129</v>
      </c>
      <c r="P287" s="363" t="s">
        <v>3032</v>
      </c>
    </row>
    <row r="288" spans="10:16" s="363" customFormat="1" ht="0.65" hidden="1" customHeight="1">
      <c r="K288" s="753">
        <v>133</v>
      </c>
      <c r="L288" s="363" t="s">
        <v>3052</v>
      </c>
      <c r="M288" s="363">
        <v>210452.5</v>
      </c>
      <c r="N288" s="363" t="s">
        <v>3130</v>
      </c>
      <c r="P288" s="363" t="s">
        <v>3035</v>
      </c>
    </row>
    <row r="289" spans="10:16" s="363" customFormat="1" ht="0.65" hidden="1" customHeight="1">
      <c r="K289" s="753">
        <v>134</v>
      </c>
      <c r="L289" s="363" t="s">
        <v>3054</v>
      </c>
      <c r="M289" s="363">
        <v>289431.74999999994</v>
      </c>
      <c r="N289" s="363" t="s">
        <v>3131</v>
      </c>
      <c r="P289" s="363" t="s">
        <v>3038</v>
      </c>
    </row>
    <row r="290" spans="10:16" s="363" customFormat="1" ht="0.65" hidden="1" customHeight="1">
      <c r="K290" s="753">
        <v>135</v>
      </c>
      <c r="L290" s="363" t="s">
        <v>3056</v>
      </c>
      <c r="M290" s="363">
        <v>353433.71250000008</v>
      </c>
      <c r="N290" s="363" t="s">
        <v>3132</v>
      </c>
      <c r="P290" s="363" t="s">
        <v>3041</v>
      </c>
    </row>
    <row r="291" spans="10:16" s="363" customFormat="1" ht="0.65" hidden="1" customHeight="1">
      <c r="K291" s="753">
        <v>136</v>
      </c>
      <c r="L291" s="363" t="s">
        <v>3058</v>
      </c>
      <c r="M291" s="363">
        <v>691471.78874999995</v>
      </c>
      <c r="N291" s="363" t="s">
        <v>3133</v>
      </c>
      <c r="P291" s="363" t="s">
        <v>3060</v>
      </c>
    </row>
    <row r="292" spans="10:16" s="363" customFormat="1" ht="0.65" hidden="1" customHeight="1">
      <c r="K292" s="753">
        <v>137</v>
      </c>
      <c r="L292" s="363" t="s">
        <v>3061</v>
      </c>
      <c r="M292" s="363">
        <v>0</v>
      </c>
      <c r="N292" s="363">
        <v>0</v>
      </c>
      <c r="P292" s="363">
        <v>0</v>
      </c>
    </row>
    <row r="293" spans="10:16" s="363" customFormat="1" ht="0.65" hidden="1" customHeight="1">
      <c r="K293" s="753">
        <v>138</v>
      </c>
      <c r="L293" s="363" t="s">
        <v>3062</v>
      </c>
      <c r="M293" s="363">
        <v>0</v>
      </c>
      <c r="N293" s="363">
        <v>0</v>
      </c>
      <c r="P293" s="363">
        <v>0</v>
      </c>
    </row>
    <row r="294" spans="10:16" s="363" customFormat="1" ht="0.65" hidden="1" customHeight="1">
      <c r="K294" s="753">
        <v>139</v>
      </c>
      <c r="L294" s="363" t="s">
        <v>3065</v>
      </c>
      <c r="M294" s="363">
        <v>319070.39062500006</v>
      </c>
      <c r="N294" s="363" t="s">
        <v>3066</v>
      </c>
      <c r="P294" s="363" t="s">
        <v>3015</v>
      </c>
    </row>
    <row r="295" spans="10:16" s="363" customFormat="1" ht="0.65" hidden="1" customHeight="1">
      <c r="K295" s="753">
        <v>140</v>
      </c>
      <c r="L295" s="363" t="s">
        <v>3067</v>
      </c>
      <c r="M295" s="363">
        <v>319070.39062500006</v>
      </c>
      <c r="N295" s="363" t="s">
        <v>3134</v>
      </c>
      <c r="P295" s="363" t="s">
        <v>3069</v>
      </c>
    </row>
    <row r="296" spans="10:16" s="363" customFormat="1" ht="0.65" hidden="1" customHeight="1">
      <c r="K296" s="753">
        <v>141</v>
      </c>
      <c r="L296" s="363" t="s">
        <v>2870</v>
      </c>
      <c r="M296" s="363">
        <v>0.11300000000000021</v>
      </c>
      <c r="N296" s="363" t="s">
        <v>3070</v>
      </c>
      <c r="P296" s="363" t="s">
        <v>3071</v>
      </c>
    </row>
    <row r="297" spans="10:16" s="363" customFormat="1" ht="0.65" hidden="1" customHeight="1">
      <c r="K297" s="753">
        <v>142</v>
      </c>
      <c r="L297" s="363" t="s">
        <v>13</v>
      </c>
      <c r="M297" s="363">
        <v>1026915.3411276439</v>
      </c>
      <c r="N297" s="363" t="s">
        <v>3135</v>
      </c>
      <c r="P297" s="363" t="s">
        <v>3073</v>
      </c>
    </row>
    <row r="298" spans="10:16" s="363" customFormat="1" ht="0.65" hidden="1" customHeight="1">
      <c r="J298" s="363">
        <v>1</v>
      </c>
      <c r="K298" s="753">
        <v>143</v>
      </c>
      <c r="L298" s="363" t="s">
        <v>2891</v>
      </c>
      <c r="M298" s="363">
        <v>918750.00000000012</v>
      </c>
      <c r="N298" s="363" t="s">
        <v>3136</v>
      </c>
      <c r="P298" s="363" t="s">
        <v>3137</v>
      </c>
    </row>
    <row r="299" spans="10:16" s="363" customFormat="1" ht="0.65" hidden="1" customHeight="1">
      <c r="J299" s="363">
        <v>2</v>
      </c>
      <c r="K299" s="753">
        <v>144</v>
      </c>
      <c r="L299" s="363" t="s">
        <v>2894</v>
      </c>
      <c r="M299" s="363">
        <v>1205859.3750000002</v>
      </c>
      <c r="N299" s="363" t="s">
        <v>3138</v>
      </c>
      <c r="P299" s="363" t="s">
        <v>3139</v>
      </c>
    </row>
    <row r="300" spans="10:16" s="363" customFormat="1" ht="0.65" hidden="1" customHeight="1">
      <c r="J300" s="363">
        <v>3</v>
      </c>
      <c r="K300" s="753">
        <v>145</v>
      </c>
      <c r="L300" s="363" t="s">
        <v>2897</v>
      </c>
      <c r="M300" s="363">
        <v>1519382.8125000002</v>
      </c>
      <c r="N300" s="363" t="s">
        <v>3140</v>
      </c>
      <c r="P300" s="363" t="s">
        <v>3141</v>
      </c>
    </row>
    <row r="301" spans="10:16" s="363" customFormat="1" ht="0.65" hidden="1" customHeight="1">
      <c r="J301" s="363">
        <v>4</v>
      </c>
      <c r="K301" s="753">
        <v>146</v>
      </c>
      <c r="L301" s="363" t="s">
        <v>2900</v>
      </c>
      <c r="M301" s="363">
        <v>1595351.953125</v>
      </c>
      <c r="N301" s="363" t="s">
        <v>3142</v>
      </c>
      <c r="P301" s="363" t="s">
        <v>3143</v>
      </c>
    </row>
    <row r="302" spans="10:16" s="363" customFormat="1" ht="0.65" hidden="1" customHeight="1">
      <c r="J302" s="363">
        <v>5</v>
      </c>
      <c r="K302" s="753">
        <v>147</v>
      </c>
      <c r="L302" s="363" t="s">
        <v>2903</v>
      </c>
      <c r="M302" s="363">
        <v>1675119.5507812502</v>
      </c>
      <c r="N302" s="363" t="s">
        <v>3144</v>
      </c>
      <c r="P302" s="363" t="s">
        <v>3145</v>
      </c>
    </row>
    <row r="303" spans="10:16" s="363" customFormat="1" ht="0.65" hidden="1" customHeight="1">
      <c r="J303" s="363">
        <v>1</v>
      </c>
      <c r="K303" s="753">
        <v>148</v>
      </c>
      <c r="L303" s="363" t="s">
        <v>2906</v>
      </c>
      <c r="M303" s="363">
        <v>875000.00000000012</v>
      </c>
      <c r="N303" s="363" t="s">
        <v>3146</v>
      </c>
      <c r="P303" s="363" t="s">
        <v>3147</v>
      </c>
    </row>
    <row r="304" spans="10:16" s="363" customFormat="1" ht="0.65" hidden="1" customHeight="1">
      <c r="J304" s="363">
        <v>2</v>
      </c>
      <c r="K304" s="753">
        <v>149</v>
      </c>
      <c r="L304" s="363" t="s">
        <v>2909</v>
      </c>
      <c r="M304" s="363">
        <v>1148437.5000000002</v>
      </c>
      <c r="N304" s="363" t="s">
        <v>3148</v>
      </c>
      <c r="P304" s="363" t="s">
        <v>3149</v>
      </c>
    </row>
    <row r="305" spans="10:16" s="363" customFormat="1" ht="0.65" hidden="1" customHeight="1">
      <c r="J305" s="363">
        <v>3</v>
      </c>
      <c r="K305" s="753">
        <v>150</v>
      </c>
      <c r="L305" s="363" t="s">
        <v>2912</v>
      </c>
      <c r="M305" s="363">
        <v>1447031.2500000002</v>
      </c>
      <c r="N305" s="363" t="s">
        <v>3150</v>
      </c>
      <c r="P305" s="363" t="s">
        <v>3151</v>
      </c>
    </row>
    <row r="306" spans="10:16" s="363" customFormat="1" ht="0.65" hidden="1" customHeight="1">
      <c r="J306" s="363">
        <v>4</v>
      </c>
      <c r="K306" s="753">
        <v>151</v>
      </c>
      <c r="L306" s="363" t="s">
        <v>2915</v>
      </c>
      <c r="M306" s="363">
        <v>1519382.8125</v>
      </c>
      <c r="N306" s="363" t="s">
        <v>3152</v>
      </c>
      <c r="P306" s="363" t="s">
        <v>3153</v>
      </c>
    </row>
    <row r="307" spans="10:16" s="363" customFormat="1" ht="0.65" hidden="1" customHeight="1">
      <c r="J307" s="363">
        <v>5</v>
      </c>
      <c r="K307" s="753">
        <v>152</v>
      </c>
      <c r="L307" s="363" t="s">
        <v>2918</v>
      </c>
      <c r="M307" s="363">
        <v>1595351.9531250002</v>
      </c>
      <c r="N307" s="363" t="s">
        <v>3154</v>
      </c>
      <c r="P307" s="363" t="s">
        <v>3155</v>
      </c>
    </row>
    <row r="308" spans="10:16" s="363" customFormat="1" ht="0.65" hidden="1" customHeight="1">
      <c r="K308" s="753">
        <v>153</v>
      </c>
      <c r="L308" s="363" t="s">
        <v>2921</v>
      </c>
      <c r="M308" s="363">
        <v>43750</v>
      </c>
      <c r="N308" s="363" t="s">
        <v>3156</v>
      </c>
      <c r="P308" s="363" t="s">
        <v>2923</v>
      </c>
    </row>
    <row r="309" spans="10:16" s="363" customFormat="1" ht="0.65" hidden="1" customHeight="1">
      <c r="K309" s="753">
        <v>154</v>
      </c>
      <c r="L309" s="363" t="s">
        <v>2924</v>
      </c>
      <c r="M309" s="363">
        <v>57421.875</v>
      </c>
      <c r="N309" s="363" t="s">
        <v>3157</v>
      </c>
      <c r="P309" s="363" t="s">
        <v>2926</v>
      </c>
    </row>
    <row r="310" spans="10:16" s="363" customFormat="1" ht="0.65" hidden="1" customHeight="1">
      <c r="K310" s="753">
        <v>155</v>
      </c>
      <c r="L310" s="363" t="s">
        <v>2927</v>
      </c>
      <c r="M310" s="363">
        <v>72351.5625</v>
      </c>
      <c r="N310" s="363" t="s">
        <v>3158</v>
      </c>
      <c r="P310" s="363" t="s">
        <v>2929</v>
      </c>
    </row>
    <row r="311" spans="10:16" s="363" customFormat="1" ht="0.65" hidden="1" customHeight="1">
      <c r="K311" s="753">
        <v>156</v>
      </c>
      <c r="L311" s="363" t="s">
        <v>2930</v>
      </c>
      <c r="M311" s="363">
        <v>75969.140625</v>
      </c>
      <c r="N311" s="363" t="s">
        <v>3159</v>
      </c>
      <c r="P311" s="363" t="s">
        <v>2932</v>
      </c>
    </row>
    <row r="312" spans="10:16" s="363" customFormat="1" ht="0.65" hidden="1" customHeight="1">
      <c r="K312" s="753">
        <v>157</v>
      </c>
      <c r="L312" s="363" t="s">
        <v>2933</v>
      </c>
      <c r="M312" s="363">
        <v>79767.59765625</v>
      </c>
      <c r="N312" s="363" t="s">
        <v>3160</v>
      </c>
      <c r="P312" s="363" t="s">
        <v>2935</v>
      </c>
    </row>
    <row r="313" spans="10:16" s="363" customFormat="1" ht="0.65" hidden="1" customHeight="1">
      <c r="K313" s="753">
        <v>158</v>
      </c>
      <c r="L313" s="363" t="s">
        <v>2936</v>
      </c>
      <c r="M313" s="363">
        <v>0</v>
      </c>
      <c r="N313" s="363">
        <v>0</v>
      </c>
      <c r="P313" s="363" t="s">
        <v>3161</v>
      </c>
    </row>
    <row r="314" spans="10:16" s="363" customFormat="1" ht="0.65" hidden="1" customHeight="1">
      <c r="K314" s="753">
        <v>159</v>
      </c>
      <c r="L314" s="363" t="s">
        <v>2939</v>
      </c>
      <c r="M314" s="363">
        <v>0</v>
      </c>
      <c r="N314" s="363">
        <v>0</v>
      </c>
      <c r="P314" s="363" t="s">
        <v>3161</v>
      </c>
    </row>
    <row r="315" spans="10:16" s="363" customFormat="1" ht="0.65" hidden="1" customHeight="1">
      <c r="K315" s="753">
        <v>160</v>
      </c>
      <c r="L315" s="363" t="s">
        <v>2940</v>
      </c>
      <c r="M315" s="363">
        <v>0</v>
      </c>
      <c r="N315" s="363">
        <v>0</v>
      </c>
      <c r="P315" s="363" t="s">
        <v>3161</v>
      </c>
    </row>
    <row r="316" spans="10:16" s="363" customFormat="1" ht="0.65" hidden="1" customHeight="1">
      <c r="K316" s="753">
        <v>161</v>
      </c>
      <c r="L316" s="363" t="s">
        <v>2941</v>
      </c>
      <c r="M316" s="363">
        <v>0</v>
      </c>
      <c r="N316" s="363">
        <v>0</v>
      </c>
      <c r="P316" s="363" t="s">
        <v>3161</v>
      </c>
    </row>
    <row r="317" spans="10:16" s="363" customFormat="1" ht="0.65" hidden="1" customHeight="1">
      <c r="K317" s="753">
        <v>162</v>
      </c>
      <c r="L317" s="363" t="s">
        <v>2942</v>
      </c>
      <c r="M317" s="363">
        <v>0</v>
      </c>
      <c r="N317" s="363">
        <v>0</v>
      </c>
      <c r="P317" s="363" t="s">
        <v>3161</v>
      </c>
    </row>
    <row r="318" spans="10:16" s="363" customFormat="1" ht="0.65" hidden="1" customHeight="1">
      <c r="K318" s="753">
        <v>163</v>
      </c>
      <c r="L318" s="363" t="s">
        <v>2943</v>
      </c>
      <c r="M318" s="363">
        <v>43750</v>
      </c>
      <c r="N318" s="363" t="s">
        <v>3162</v>
      </c>
      <c r="P318" s="363" t="s">
        <v>2945</v>
      </c>
    </row>
    <row r="319" spans="10:16" s="363" customFormat="1" ht="0.65" hidden="1" customHeight="1">
      <c r="K319" s="753">
        <v>164</v>
      </c>
      <c r="L319" s="363" t="s">
        <v>2946</v>
      </c>
      <c r="M319" s="363">
        <v>57421.875</v>
      </c>
      <c r="N319" s="363" t="s">
        <v>3163</v>
      </c>
      <c r="P319" s="363" t="s">
        <v>2948</v>
      </c>
    </row>
    <row r="320" spans="10:16" s="363" customFormat="1" ht="0.65" hidden="1" customHeight="1">
      <c r="K320" s="753">
        <v>165</v>
      </c>
      <c r="L320" s="363" t="s">
        <v>2949</v>
      </c>
      <c r="M320" s="363">
        <v>72351.5625</v>
      </c>
      <c r="N320" s="363" t="s">
        <v>3164</v>
      </c>
      <c r="P320" s="363" t="s">
        <v>2951</v>
      </c>
    </row>
    <row r="321" spans="11:16" s="363" customFormat="1" ht="0.65" hidden="1" customHeight="1">
      <c r="K321" s="753">
        <v>166</v>
      </c>
      <c r="L321" s="363" t="s">
        <v>2952</v>
      </c>
      <c r="M321" s="363">
        <v>75969.140625</v>
      </c>
      <c r="N321" s="363" t="s">
        <v>3165</v>
      </c>
      <c r="P321" s="363" t="s">
        <v>2954</v>
      </c>
    </row>
    <row r="322" spans="11:16" s="363" customFormat="1" ht="0.65" hidden="1" customHeight="1">
      <c r="K322" s="753">
        <v>167</v>
      </c>
      <c r="L322" s="363" t="s">
        <v>2955</v>
      </c>
      <c r="M322" s="363">
        <v>79767.59765625</v>
      </c>
      <c r="N322" s="363" t="s">
        <v>3166</v>
      </c>
      <c r="P322" s="363" t="s">
        <v>2957</v>
      </c>
    </row>
    <row r="323" spans="11:16" s="363" customFormat="1" ht="0.65" hidden="1" customHeight="1">
      <c r="K323" s="753">
        <v>168</v>
      </c>
      <c r="L323" s="363" t="s">
        <v>2958</v>
      </c>
      <c r="M323" s="363">
        <v>12250.000000000002</v>
      </c>
      <c r="N323" s="363" t="s">
        <v>3167</v>
      </c>
      <c r="P323" s="363" t="s">
        <v>2960</v>
      </c>
    </row>
    <row r="324" spans="11:16" s="363" customFormat="1" ht="0.65" hidden="1" customHeight="1">
      <c r="K324" s="753">
        <v>169</v>
      </c>
      <c r="L324" s="363" t="s">
        <v>2961</v>
      </c>
      <c r="M324" s="363">
        <v>16078.125000000002</v>
      </c>
      <c r="N324" s="363" t="s">
        <v>3168</v>
      </c>
      <c r="P324" s="363" t="s">
        <v>2963</v>
      </c>
    </row>
    <row r="325" spans="11:16" s="363" customFormat="1" ht="0.65" hidden="1" customHeight="1">
      <c r="K325" s="753">
        <v>170</v>
      </c>
      <c r="L325" s="363" t="s">
        <v>2964</v>
      </c>
      <c r="M325" s="363">
        <v>20258.437500000004</v>
      </c>
      <c r="N325" s="363" t="s">
        <v>3169</v>
      </c>
      <c r="P325" s="363" t="s">
        <v>2966</v>
      </c>
    </row>
    <row r="326" spans="11:16" s="363" customFormat="1" ht="0.65" hidden="1" customHeight="1">
      <c r="K326" s="753">
        <v>171</v>
      </c>
      <c r="L326" s="363" t="s">
        <v>2967</v>
      </c>
      <c r="M326" s="363">
        <v>21271.359375000004</v>
      </c>
      <c r="N326" s="363" t="s">
        <v>3170</v>
      </c>
      <c r="P326" s="363" t="s">
        <v>2969</v>
      </c>
    </row>
    <row r="327" spans="11:16" s="363" customFormat="1" ht="0.65" hidden="1" customHeight="1">
      <c r="K327" s="753">
        <v>172</v>
      </c>
      <c r="L327" s="363" t="s">
        <v>2970</v>
      </c>
      <c r="M327" s="363">
        <v>22334.927343750001</v>
      </c>
      <c r="N327" s="363" t="s">
        <v>3171</v>
      </c>
      <c r="P327" s="363" t="s">
        <v>2972</v>
      </c>
    </row>
    <row r="328" spans="11:16" s="363" customFormat="1" ht="0.65" hidden="1" customHeight="1">
      <c r="K328" s="753">
        <v>173</v>
      </c>
      <c r="L328" s="363" t="s">
        <v>2973</v>
      </c>
      <c r="M328" s="363">
        <v>31500</v>
      </c>
      <c r="N328" s="363" t="s">
        <v>3172</v>
      </c>
      <c r="P328" s="363" t="s">
        <v>2975</v>
      </c>
    </row>
    <row r="329" spans="11:16" s="363" customFormat="1" ht="0.65" hidden="1" customHeight="1">
      <c r="K329" s="753">
        <v>174</v>
      </c>
      <c r="L329" s="363" t="s">
        <v>2976</v>
      </c>
      <c r="M329" s="363">
        <v>41343.75</v>
      </c>
      <c r="N329" s="363" t="s">
        <v>3173</v>
      </c>
      <c r="P329" s="363" t="s">
        <v>2978</v>
      </c>
    </row>
    <row r="330" spans="11:16" s="363" customFormat="1" ht="0.65" hidden="1" customHeight="1">
      <c r="K330" s="753">
        <v>175</v>
      </c>
      <c r="L330" s="363" t="s">
        <v>2979</v>
      </c>
      <c r="M330" s="363">
        <v>52093.125</v>
      </c>
      <c r="N330" s="363" t="s">
        <v>3174</v>
      </c>
      <c r="P330" s="363" t="s">
        <v>2981</v>
      </c>
    </row>
    <row r="331" spans="11:16" s="363" customFormat="1" ht="0.65" hidden="1" customHeight="1">
      <c r="K331" s="753">
        <v>176</v>
      </c>
      <c r="L331" s="363" t="s">
        <v>2982</v>
      </c>
      <c r="M331" s="363">
        <v>54697.78125</v>
      </c>
      <c r="N331" s="363" t="s">
        <v>3175</v>
      </c>
      <c r="P331" s="363" t="s">
        <v>2984</v>
      </c>
    </row>
    <row r="332" spans="11:16" s="363" customFormat="1" ht="0.65" hidden="1" customHeight="1">
      <c r="K332" s="753">
        <v>177</v>
      </c>
      <c r="L332" s="363" t="s">
        <v>2985</v>
      </c>
      <c r="M332" s="363">
        <v>57432.670312499999</v>
      </c>
      <c r="N332" s="363" t="s">
        <v>3176</v>
      </c>
      <c r="P332" s="363" t="s">
        <v>2987</v>
      </c>
    </row>
    <row r="333" spans="11:16" s="363" customFormat="1" ht="0.65" hidden="1" customHeight="1">
      <c r="K333" s="753">
        <v>178</v>
      </c>
      <c r="L333" s="363" t="s">
        <v>2988</v>
      </c>
      <c r="M333" s="363">
        <v>31500</v>
      </c>
      <c r="N333" s="363" t="s">
        <v>3177</v>
      </c>
      <c r="P333" s="363" t="s">
        <v>2990</v>
      </c>
    </row>
    <row r="334" spans="11:16" s="363" customFormat="1" ht="0.65" hidden="1" customHeight="1">
      <c r="K334" s="753">
        <v>179</v>
      </c>
      <c r="L334" s="363" t="s">
        <v>2991</v>
      </c>
      <c r="M334" s="363">
        <v>41343.75</v>
      </c>
      <c r="N334" s="363" t="s">
        <v>3178</v>
      </c>
      <c r="P334" s="363" t="s">
        <v>2993</v>
      </c>
    </row>
    <row r="335" spans="11:16" s="363" customFormat="1" ht="0.65" hidden="1" customHeight="1">
      <c r="K335" s="753">
        <v>180</v>
      </c>
      <c r="L335" s="363" t="s">
        <v>2994</v>
      </c>
      <c r="M335" s="363">
        <v>52093.125</v>
      </c>
      <c r="N335" s="363" t="s">
        <v>3179</v>
      </c>
      <c r="P335" s="363" t="s">
        <v>2996</v>
      </c>
    </row>
    <row r="336" spans="11:16" s="363" customFormat="1" ht="0.65" hidden="1" customHeight="1">
      <c r="K336" s="753">
        <v>181</v>
      </c>
      <c r="L336" s="363" t="s">
        <v>2997</v>
      </c>
      <c r="M336" s="363">
        <v>54697.78125</v>
      </c>
      <c r="N336" s="363" t="s">
        <v>3180</v>
      </c>
      <c r="P336" s="363" t="s">
        <v>2999</v>
      </c>
    </row>
    <row r="337" spans="10:16" s="363" customFormat="1" ht="0.65" hidden="1" customHeight="1">
      <c r="K337" s="753">
        <v>182</v>
      </c>
      <c r="L337" s="363" t="s">
        <v>3000</v>
      </c>
      <c r="M337" s="363">
        <v>57432.670312499999</v>
      </c>
      <c r="N337" s="363" t="s">
        <v>3181</v>
      </c>
      <c r="P337" s="363" t="s">
        <v>3002</v>
      </c>
    </row>
    <row r="338" spans="10:16" s="363" customFormat="1" ht="0.65" hidden="1" customHeight="1">
      <c r="K338" s="753">
        <v>183</v>
      </c>
      <c r="L338" s="363" t="s">
        <v>3003</v>
      </c>
      <c r="M338" s="363">
        <v>0</v>
      </c>
      <c r="N338" s="363">
        <v>0</v>
      </c>
      <c r="P338" s="363" t="s">
        <v>3182</v>
      </c>
    </row>
    <row r="339" spans="10:16" s="363" customFormat="1" ht="0.65" hidden="1" customHeight="1">
      <c r="K339" s="753">
        <v>184</v>
      </c>
      <c r="L339" s="363" t="s">
        <v>3006</v>
      </c>
      <c r="M339" s="363">
        <v>0</v>
      </c>
      <c r="N339" s="363">
        <v>0</v>
      </c>
      <c r="P339" s="363" t="s">
        <v>3182</v>
      </c>
    </row>
    <row r="340" spans="10:16" s="363" customFormat="1" ht="0.65" hidden="1" customHeight="1">
      <c r="K340" s="753">
        <v>185</v>
      </c>
      <c r="L340" s="363" t="s">
        <v>3009</v>
      </c>
      <c r="M340" s="363">
        <v>0</v>
      </c>
      <c r="N340" s="363">
        <v>0</v>
      </c>
      <c r="P340" s="363" t="s">
        <v>3182</v>
      </c>
    </row>
    <row r="341" spans="10:16" s="363" customFormat="1" ht="0.65" hidden="1" customHeight="1">
      <c r="K341" s="753">
        <v>186</v>
      </c>
      <c r="L341" s="363" t="s">
        <v>3012</v>
      </c>
      <c r="M341" s="363">
        <v>0</v>
      </c>
      <c r="N341" s="363">
        <v>0</v>
      </c>
      <c r="P341" s="363" t="s">
        <v>3182</v>
      </c>
    </row>
    <row r="342" spans="10:16" s="363" customFormat="1" ht="0.65" hidden="1" customHeight="1">
      <c r="K342" s="753">
        <v>187</v>
      </c>
      <c r="L342" s="363" t="s">
        <v>3015</v>
      </c>
      <c r="M342" s="363">
        <v>0</v>
      </c>
      <c r="N342" s="363">
        <v>0</v>
      </c>
      <c r="P342" s="363" t="s">
        <v>3182</v>
      </c>
    </row>
    <row r="343" spans="10:16" s="363" customFormat="1" ht="0.65" hidden="1" customHeight="1">
      <c r="J343" s="363">
        <v>1</v>
      </c>
      <c r="K343" s="753">
        <v>188</v>
      </c>
      <c r="L343" s="363" t="s">
        <v>3018</v>
      </c>
      <c r="M343" s="363">
        <v>0</v>
      </c>
      <c r="N343" s="363" t="s">
        <v>3183</v>
      </c>
      <c r="P343" s="363" t="s">
        <v>3184</v>
      </c>
    </row>
    <row r="344" spans="10:16" s="363" customFormat="1" ht="0.65" hidden="1" customHeight="1">
      <c r="J344" s="363">
        <v>2</v>
      </c>
      <c r="K344" s="753">
        <v>189</v>
      </c>
      <c r="L344" s="363" t="s">
        <v>3020</v>
      </c>
      <c r="M344" s="363">
        <v>0</v>
      </c>
      <c r="N344" s="363" t="s">
        <v>3183</v>
      </c>
      <c r="P344" s="363" t="s">
        <v>3184</v>
      </c>
    </row>
    <row r="345" spans="10:16" s="363" customFormat="1" ht="0.65" hidden="1" customHeight="1">
      <c r="J345" s="363">
        <v>3</v>
      </c>
      <c r="K345" s="753">
        <v>190</v>
      </c>
      <c r="L345" s="363" t="s">
        <v>3023</v>
      </c>
      <c r="M345" s="363">
        <v>0</v>
      </c>
      <c r="N345" s="363" t="s">
        <v>3183</v>
      </c>
      <c r="P345" s="363" t="s">
        <v>3184</v>
      </c>
    </row>
    <row r="346" spans="10:16" s="363" customFormat="1" ht="0.65" hidden="1" customHeight="1">
      <c r="J346" s="363">
        <v>4</v>
      </c>
      <c r="K346" s="753">
        <v>191</v>
      </c>
      <c r="L346" s="363" t="s">
        <v>3026</v>
      </c>
      <c r="M346" s="363">
        <v>0</v>
      </c>
      <c r="N346" s="363" t="s">
        <v>3183</v>
      </c>
      <c r="P346" s="363" t="s">
        <v>3184</v>
      </c>
    </row>
    <row r="347" spans="10:16" s="363" customFormat="1" ht="0.65" hidden="1" customHeight="1">
      <c r="J347" s="363">
        <v>5</v>
      </c>
      <c r="K347" s="753">
        <v>192</v>
      </c>
      <c r="L347" s="363" t="s">
        <v>3029</v>
      </c>
      <c r="M347" s="363">
        <v>0</v>
      </c>
      <c r="N347" s="363" t="s">
        <v>3183</v>
      </c>
      <c r="P347" s="363" t="s">
        <v>3184</v>
      </c>
    </row>
    <row r="348" spans="10:16" s="363" customFormat="1" ht="0.65" hidden="1" customHeight="1">
      <c r="K348" s="753">
        <v>193</v>
      </c>
      <c r="L348" s="363" t="s">
        <v>3032</v>
      </c>
      <c r="M348" s="363">
        <v>31500</v>
      </c>
      <c r="N348" s="363" t="s">
        <v>3185</v>
      </c>
      <c r="P348" s="363" t="s">
        <v>3034</v>
      </c>
    </row>
    <row r="349" spans="10:16" s="363" customFormat="1" ht="0.65" hidden="1" customHeight="1">
      <c r="K349" s="753">
        <v>194</v>
      </c>
      <c r="L349" s="363" t="s">
        <v>3035</v>
      </c>
      <c r="M349" s="363">
        <v>41343.75</v>
      </c>
      <c r="N349" s="363" t="s">
        <v>3186</v>
      </c>
      <c r="P349" s="363" t="s">
        <v>3037</v>
      </c>
    </row>
    <row r="350" spans="10:16" s="363" customFormat="1" ht="0.65" hidden="1" customHeight="1">
      <c r="K350" s="753">
        <v>195</v>
      </c>
      <c r="L350" s="363" t="s">
        <v>3038</v>
      </c>
      <c r="M350" s="363">
        <v>52093.125</v>
      </c>
      <c r="N350" s="363" t="s">
        <v>3187</v>
      </c>
      <c r="P350" s="363" t="s">
        <v>3040</v>
      </c>
    </row>
    <row r="351" spans="10:16" s="363" customFormat="1" ht="0.65" hidden="1" customHeight="1">
      <c r="K351" s="753">
        <v>196</v>
      </c>
      <c r="L351" s="363" t="s">
        <v>3041</v>
      </c>
      <c r="M351" s="363">
        <v>54697.78125</v>
      </c>
      <c r="N351" s="363" t="s">
        <v>3188</v>
      </c>
      <c r="P351" s="363" t="s">
        <v>3043</v>
      </c>
    </row>
    <row r="352" spans="10:16" s="363" customFormat="1" ht="0.65" hidden="1" customHeight="1">
      <c r="K352" s="753">
        <v>197</v>
      </c>
      <c r="L352" s="363" t="s">
        <v>3044</v>
      </c>
      <c r="M352" s="363">
        <v>57432.670312499999</v>
      </c>
      <c r="N352" s="363" t="s">
        <v>3189</v>
      </c>
      <c r="P352" s="363" t="s">
        <v>3046</v>
      </c>
    </row>
    <row r="353" spans="11:16" s="363" customFormat="1" ht="0.65" hidden="1" customHeight="1">
      <c r="K353" s="753">
        <v>198</v>
      </c>
      <c r="L353" s="363" t="s">
        <v>3047</v>
      </c>
      <c r="M353" s="363">
        <v>0</v>
      </c>
      <c r="N353" s="363">
        <v>0</v>
      </c>
      <c r="P353" s="363" t="s">
        <v>3049</v>
      </c>
    </row>
    <row r="354" spans="11:16" s="363" customFormat="1" ht="0.65" hidden="1" customHeight="1">
      <c r="K354" s="753">
        <v>199</v>
      </c>
      <c r="L354" s="363" t="s">
        <v>3050</v>
      </c>
      <c r="M354" s="363">
        <v>31500</v>
      </c>
      <c r="N354" s="363" t="s">
        <v>3190</v>
      </c>
      <c r="P354" s="363" t="s">
        <v>3032</v>
      </c>
    </row>
    <row r="355" spans="11:16" s="363" customFormat="1" ht="0.65" hidden="1" customHeight="1">
      <c r="K355" s="753">
        <v>200</v>
      </c>
      <c r="L355" s="363" t="s">
        <v>3052</v>
      </c>
      <c r="M355" s="363">
        <v>41343.75</v>
      </c>
      <c r="N355" s="363" t="s">
        <v>3191</v>
      </c>
      <c r="P355" s="363" t="s">
        <v>3035</v>
      </c>
    </row>
    <row r="356" spans="11:16" s="363" customFormat="1" ht="0.65" hidden="1" customHeight="1">
      <c r="K356" s="753">
        <v>201</v>
      </c>
      <c r="L356" s="363" t="s">
        <v>3054</v>
      </c>
      <c r="M356" s="363">
        <v>52093.125</v>
      </c>
      <c r="N356" s="363" t="s">
        <v>3192</v>
      </c>
      <c r="P356" s="363" t="s">
        <v>3038</v>
      </c>
    </row>
    <row r="357" spans="11:16" s="363" customFormat="1" ht="0.65" hidden="1" customHeight="1">
      <c r="K357" s="753">
        <v>202</v>
      </c>
      <c r="L357" s="363" t="s">
        <v>3056</v>
      </c>
      <c r="M357" s="363">
        <v>54697.78125</v>
      </c>
      <c r="N357" s="363" t="s">
        <v>3193</v>
      </c>
      <c r="P357" s="363" t="s">
        <v>3041</v>
      </c>
    </row>
    <row r="358" spans="11:16" s="363" customFormat="1" ht="0.65" hidden="1" customHeight="1">
      <c r="K358" s="753">
        <v>203</v>
      </c>
      <c r="L358" s="363" t="s">
        <v>3058</v>
      </c>
      <c r="M358" s="363">
        <v>57432.670312499999</v>
      </c>
      <c r="N358" s="363" t="s">
        <v>3181</v>
      </c>
      <c r="P358" s="363" t="s">
        <v>3060</v>
      </c>
    </row>
    <row r="359" spans="11:16" s="363" customFormat="1" ht="0.65" hidden="1" customHeight="1">
      <c r="K359" s="753">
        <v>204</v>
      </c>
      <c r="L359" s="363" t="s">
        <v>3061</v>
      </c>
      <c r="M359" s="363">
        <v>0</v>
      </c>
      <c r="N359" s="363">
        <v>0</v>
      </c>
      <c r="P359" s="363" t="s">
        <v>3194</v>
      </c>
    </row>
    <row r="360" spans="11:16" s="363" customFormat="1" ht="0.65" hidden="1" customHeight="1">
      <c r="K360" s="753">
        <v>205</v>
      </c>
      <c r="L360" s="363" t="s">
        <v>3062</v>
      </c>
      <c r="M360" s="363">
        <v>0</v>
      </c>
      <c r="N360" s="363">
        <v>0</v>
      </c>
      <c r="P360" s="363" t="s">
        <v>3195</v>
      </c>
    </row>
    <row r="361" spans="11:16" s="363" customFormat="1" ht="0.65" hidden="1" customHeight="1">
      <c r="K361" s="753">
        <v>206</v>
      </c>
      <c r="L361" s="363" t="s">
        <v>3065</v>
      </c>
      <c r="M361" s="363">
        <v>0</v>
      </c>
      <c r="N361" s="363" t="s">
        <v>498</v>
      </c>
      <c r="P361" s="363" t="s">
        <v>3196</v>
      </c>
    </row>
    <row r="362" spans="11:16" s="363" customFormat="1" ht="0.65" hidden="1" customHeight="1">
      <c r="K362" s="753">
        <v>207</v>
      </c>
      <c r="L362" s="363" t="s">
        <v>3067</v>
      </c>
      <c r="M362" s="363">
        <v>0</v>
      </c>
      <c r="N362" s="363" t="s">
        <v>3197</v>
      </c>
      <c r="P362" s="363" t="s">
        <v>3198</v>
      </c>
    </row>
    <row r="363" spans="11:16" s="363" customFormat="1" ht="0.65" hidden="1" customHeight="1">
      <c r="K363" s="753">
        <v>208</v>
      </c>
      <c r="L363" s="363" t="s">
        <v>2870</v>
      </c>
      <c r="M363" s="363">
        <v>0.11300000000000021</v>
      </c>
      <c r="N363" s="363" t="s">
        <v>3070</v>
      </c>
      <c r="P363" s="363" t="s">
        <v>3071</v>
      </c>
    </row>
    <row r="364" spans="11:16" s="363" customFormat="1" ht="0.65" hidden="1" customHeight="1">
      <c r="K364" s="753">
        <v>209</v>
      </c>
      <c r="L364" s="363" t="s">
        <v>13</v>
      </c>
      <c r="M364" s="363">
        <v>168730.45365412379</v>
      </c>
      <c r="N364" s="363" t="s">
        <v>3199</v>
      </c>
      <c r="P364" s="363" t="s">
        <v>3073</v>
      </c>
    </row>
    <row r="365" spans="11:16" s="751" customFormat="1" ht="15" hidden="1" customHeight="1"/>
    <row r="366" spans="11:16" s="750" customFormat="1" ht="15" customHeight="1"/>
    <row r="367" spans="11:16" s="750" customFormat="1" ht="15" customHeight="1"/>
  </sheetData>
  <sheetProtection algorithmName="SHA-512" hashValue="W6XoN0Tcgf6cJ/4usfMrQeieBpUod1yVqLn166cCGDVRoXD1GpLzFC3AppXKnzVwwZZmud93Z9xKOBVp/lqUtQ==" saltValue="3AyzTJkLyGJkt0UkDePSLg==" spinCount="100000" sheet="1" selectLockedCells="1"/>
  <mergeCells count="9">
    <mergeCell ref="C16:D18"/>
    <mergeCell ref="H21:I23"/>
    <mergeCell ref="Q30:R32"/>
    <mergeCell ref="H35:I37"/>
    <mergeCell ref="Q47:R49"/>
    <mergeCell ref="H49:I51"/>
    <mergeCell ref="N1:P1"/>
    <mergeCell ref="H4:I6"/>
    <mergeCell ref="Q13:R15"/>
  </mergeCells>
  <conditionalFormatting sqref="H4 C16 H21 H35 N1 Q13 Q30 Q47">
    <cfRule type="expression" dxfId="83" priority="1">
      <formula>NOT($H$4="")</formula>
    </cfRule>
  </conditionalFormatting>
  <conditionalFormatting sqref="A1:A4 X51 A56:XFD372 X17:X18 X34:X35 H19">
    <cfRule type="expression" dxfId="82" priority="9">
      <formula>NOT($V$15="javi")</formula>
    </cfRule>
  </conditionalFormatting>
  <conditionalFormatting sqref="A1:XFD1048576">
    <cfRule type="expression" dxfId="81" priority="2" stopIfTrue="1">
      <formula>NOT($A$2="SI")</formula>
    </cfRule>
  </conditionalFormatting>
  <conditionalFormatting sqref="N16:W16">
    <cfRule type="expression" dxfId="80" priority="8">
      <formula>NOT($O$16="")</formula>
    </cfRule>
  </conditionalFormatting>
  <conditionalFormatting sqref="N33:W33">
    <cfRule type="expression" dxfId="79" priority="7">
      <formula>NOT($O$33="")</formula>
    </cfRule>
  </conditionalFormatting>
  <conditionalFormatting sqref="N50:W50">
    <cfRule type="expression" dxfId="78" priority="6">
      <formula>NOT($O$50="")</formula>
    </cfRule>
  </conditionalFormatting>
  <conditionalFormatting sqref="P17:W17">
    <cfRule type="expression" dxfId="77" priority="5">
      <formula>NOT($P$17="")</formula>
    </cfRule>
  </conditionalFormatting>
  <conditionalFormatting sqref="P34:W34">
    <cfRule type="expression" dxfId="76" priority="3">
      <formula>NOT($P$34="")</formula>
    </cfRule>
  </conditionalFormatting>
  <conditionalFormatting sqref="P51:W51">
    <cfRule type="expression" dxfId="75" priority="4">
      <formula>NOT($P$51="")</formula>
    </cfRule>
  </conditionalFormatting>
  <conditionalFormatting sqref="U14:W14">
    <cfRule type="expression" dxfId="74" priority="10">
      <formula>OR(NOT($X$17=0),NOT($A$1=$A$3))</formula>
    </cfRule>
  </conditionalFormatting>
  <conditionalFormatting sqref="U31:W31">
    <cfRule type="expression" dxfId="73" priority="11">
      <formula>OR(NOT($X$34=0),NOT($A$1=$A$3))</formula>
    </cfRule>
  </conditionalFormatting>
  <conditionalFormatting sqref="U48:W48">
    <cfRule type="expression" dxfId="72" priority="12">
      <formula>OR(NOT($X$51=0),NOT($A$1=$A$3))</formula>
    </cfRule>
  </conditionalFormatting>
  <conditionalFormatting sqref="L12:L15 O12 O14 Y12 Y14 L6:V10 W5:W10 Y5:Y10">
    <cfRule type="expression" dxfId="71" priority="13">
      <formula>AND($V$14="x",$X$17=0,$A$1=$A$3,L111="CORRECTO")</formula>
    </cfRule>
    <cfRule type="expression" dxfId="70" priority="14">
      <formula>AND($V$14="x",$X$17=0,$A$1=$A$3,L111="INCORRECTO")</formula>
    </cfRule>
  </conditionalFormatting>
  <conditionalFormatting sqref="L29:L32 O29 O31 L23:V27 W22:W27">
    <cfRule type="expression" dxfId="69" priority="15">
      <formula>AND($V$31="x",$X$34=0,$A$1=$A$3,L127="CORRECTO")</formula>
    </cfRule>
    <cfRule type="expression" dxfId="68" priority="16">
      <formula>AND($V$31="x",$X$34=0,$A$1=$A$3,L127="INCORRECTO")</formula>
    </cfRule>
  </conditionalFormatting>
  <conditionalFormatting sqref="L46:L49 O46 O48 W39:W44 L40:V44">
    <cfRule type="expression" dxfId="67" priority="17">
      <formula>AND($V$48="x",$X$51=0,$A$1=$A$3,L143="CORRECTO")</formula>
    </cfRule>
    <cfRule type="expression" dxfId="66" priority="18">
      <formula>AND($V$48="x",$X$51=0,$A$1=$A$3,L143="INCORRECTO")</formula>
    </cfRule>
  </conditionalFormatting>
  <pageMargins left="0.70866141732283472" right="0.70866141732283472" top="0.74803149606299213" bottom="0.74803149606299213" header="0.31496062992125984" footer="0.31496062992125984"/>
  <pageSetup paperSize="9" scale="65" orientation="landscape" r:id="rId1"/>
  <headerFooter>
    <oddHeader>&amp;CEmpresa DISVISA - Caso práctico de inversión en condiciones de certeza: Incrementalidad, FM, inflación - Autoevaluación</oddHeader>
    <oddFooter>&amp;CPágina &amp;P de &amp;N</oddFooter>
  </headerFooter>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88644-125E-468C-A25F-6775C12D66A5}">
  <dimension ref="A1:AQ367"/>
  <sheetViews>
    <sheetView showGridLines="0" topLeftCell="A4" workbookViewId="0">
      <selection activeCell="V12" sqref="V12"/>
    </sheetView>
  </sheetViews>
  <sheetFormatPr baseColWidth="10" defaultColWidth="11.453125" defaultRowHeight="14.5"/>
  <cols>
    <col min="1" max="1" width="11.453125" style="1"/>
    <col min="2" max="2" width="18.54296875" style="1" customWidth="1"/>
    <col min="3" max="3" width="12.54296875" style="1" bestFit="1" customWidth="1"/>
    <col min="4" max="4" width="11.453125" style="1"/>
    <col min="5" max="5" width="20.453125" style="1" customWidth="1"/>
    <col min="6" max="6" width="14.1796875" style="1" customWidth="1"/>
    <col min="7" max="23" width="11.453125" style="1"/>
    <col min="24" max="24" width="12.54296875" style="1" customWidth="1"/>
    <col min="25" max="16384" width="11.453125" style="1"/>
  </cols>
  <sheetData>
    <row r="1" spans="1:43">
      <c r="A1" s="760" t="str">
        <f>'Instrucciones de uso'!$H$15</f>
        <v>contraseña</v>
      </c>
      <c r="B1" s="761" t="s">
        <v>3951</v>
      </c>
      <c r="K1" s="761" t="s">
        <v>3951</v>
      </c>
    </row>
    <row r="2" spans="1:43">
      <c r="A2" s="605" t="str">
        <f>IF(AND('Instrucciones de uso'!$J$14="x",'Instrucciones de uso'!$I$33="SI"),"SI","NO")</f>
        <v>NO</v>
      </c>
      <c r="B2" s="1051" t="s">
        <v>2850</v>
      </c>
      <c r="C2" s="1051"/>
      <c r="D2" s="1051"/>
      <c r="E2" s="1051"/>
      <c r="F2" s="1051"/>
      <c r="G2" s="1051"/>
      <c r="H2" s="1051"/>
      <c r="I2" s="1051"/>
      <c r="K2" s="156" t="s">
        <v>2851</v>
      </c>
      <c r="L2" s="762"/>
      <c r="M2" s="762"/>
      <c r="N2" s="762"/>
      <c r="O2" s="762"/>
      <c r="P2" s="762"/>
      <c r="Q2" s="762"/>
      <c r="R2" s="762"/>
      <c r="S2" s="762"/>
      <c r="T2" s="762"/>
      <c r="U2" s="762"/>
      <c r="V2" s="762"/>
      <c r="W2" s="763" t="s">
        <v>2638</v>
      </c>
      <c r="Y2" s="763" t="s">
        <v>2639</v>
      </c>
      <c r="AC2" s="386"/>
      <c r="AD2" s="386"/>
      <c r="AE2" s="386"/>
      <c r="AF2" s="386"/>
      <c r="AG2" s="386"/>
      <c r="AH2" s="386"/>
      <c r="AI2" s="386"/>
      <c r="AJ2" s="386"/>
      <c r="AK2" s="386"/>
      <c r="AL2" s="386"/>
      <c r="AM2" s="386"/>
      <c r="AN2" s="386"/>
      <c r="AO2" s="386"/>
      <c r="AP2" s="386"/>
      <c r="AQ2" s="386"/>
    </row>
    <row r="3" spans="1:43">
      <c r="A3" s="1" t="str">
        <f>'Instrucciones de uso'!$J$15</f>
        <v>contraseña</v>
      </c>
      <c r="B3" s="764"/>
      <c r="C3" s="764"/>
      <c r="D3" s="764"/>
      <c r="E3" s="764"/>
      <c r="F3" s="764"/>
      <c r="G3" s="764"/>
      <c r="H3" s="764"/>
      <c r="I3" s="764"/>
      <c r="L3" s="765" t="str">
        <f>IF(ISERROR(IF(OR(AND(NOT(L6=""),NOT(ISNUMBER(L6))),AND(NOT(L7=""),NOT(ISNUMBER(L7))),AND(NOT(L8=""),NOT(ISNUMBER(L8))),AND(NOT(L9=""),NOT(ISNUMBER(L9))),AND(NOT(L10=""),NOT(ISNUMBER(L10)))),"ERROR","")),"ERROR",IF(OR(AND(NOT(L6=""),NOT(ISNUMBER(L6))),AND(NOT(L7=""),NOT(ISNUMBER(L7))),AND(NOT(L8=""),NOT(ISNUMBER(L8))),AND(NOT(L9=""),NOT(ISNUMBER(L9))),AND(NOT(L10=""),NOT(ISNUMBER(L10)))),"ERROR",""))</f>
        <v/>
      </c>
      <c r="M3" s="765" t="str">
        <f t="shared" ref="M3:V3" si="0">IF(ISERROR(IF(OR(AND(NOT(M6=""),NOT(ISNUMBER(M6))),AND(NOT(M7=""),NOT(ISNUMBER(M7))),AND(NOT(M8=""),NOT(ISNUMBER(M8))),AND(NOT(M9=""),NOT(ISNUMBER(M9))),AND(NOT(M10=""),NOT(ISNUMBER(M10)))),"ERROR","")),"ERROR",IF(OR(AND(NOT(M6=""),NOT(ISNUMBER(M6))),AND(NOT(M7=""),NOT(ISNUMBER(M7))),AND(NOT(M8=""),NOT(ISNUMBER(M8))),AND(NOT(M9=""),NOT(ISNUMBER(M9))),AND(NOT(M10=""),NOT(ISNUMBER(M10)))),"ERROR",""))</f>
        <v/>
      </c>
      <c r="N3" s="765" t="str">
        <f t="shared" si="0"/>
        <v/>
      </c>
      <c r="O3" s="765" t="str">
        <f t="shared" si="0"/>
        <v/>
      </c>
      <c r="P3" s="765" t="str">
        <f t="shared" si="0"/>
        <v/>
      </c>
      <c r="Q3" s="765" t="str">
        <f t="shared" si="0"/>
        <v/>
      </c>
      <c r="R3" s="765" t="str">
        <f t="shared" si="0"/>
        <v/>
      </c>
      <c r="S3" s="765" t="str">
        <f t="shared" si="0"/>
        <v/>
      </c>
      <c r="T3" s="765" t="str">
        <f t="shared" si="0"/>
        <v/>
      </c>
      <c r="U3" s="765" t="str">
        <f t="shared" si="0"/>
        <v/>
      </c>
      <c r="V3" s="765" t="str">
        <f t="shared" si="0"/>
        <v/>
      </c>
      <c r="W3" s="765" t="str">
        <f>IF(ISERROR(IF(OR(AND(NOT(W5=""),NOT(ISNUMBER(W5))),AND(NOT(W6=""),NOT(ISNUMBER(W6))),AND(NOT(W7=""),NOT(ISNUMBER(W7))),AND(NOT(W8=""),NOT(ISNUMBER(W8))),AND(NOT(W9=""),NOT(ISNUMBER(W9))),AND(NOT(W10=""),NOT(ISNUMBER(W10)))),"ERROR","")),"ERROR",IF(OR(AND(NOT(W5=""),NOT(ISNUMBER(W5))),AND(NOT(W6=""),NOT(ISNUMBER(W6))),AND(NOT(W7=""),NOT(ISNUMBER(W7))),AND(NOT(W8=""),NOT(ISNUMBER(W8))),AND(NOT(W9=""),NOT(ISNUMBER(W9))),AND(NOT(W10=""),NOT(ISNUMBER(W10)))),"ERROR",""))</f>
        <v/>
      </c>
      <c r="Y3" s="6"/>
      <c r="AC3" s="386"/>
      <c r="AD3" s="386"/>
      <c r="AE3" s="386"/>
      <c r="AF3" s="386"/>
      <c r="AG3" s="386"/>
      <c r="AH3" s="386"/>
      <c r="AI3" s="386"/>
      <c r="AJ3" s="386"/>
      <c r="AK3" s="386"/>
      <c r="AL3" s="386"/>
      <c r="AM3" s="386"/>
      <c r="AN3" s="386"/>
      <c r="AO3" s="386"/>
      <c r="AP3" s="386"/>
      <c r="AQ3" s="386"/>
    </row>
    <row r="4" spans="1:43">
      <c r="A4" s="766">
        <v>0.05</v>
      </c>
      <c r="B4" s="156" t="s">
        <v>2852</v>
      </c>
      <c r="C4" s="156"/>
      <c r="D4" s="764"/>
      <c r="E4" s="156" t="s">
        <v>2853</v>
      </c>
      <c r="F4" s="156"/>
      <c r="G4" s="764"/>
      <c r="H4" s="764"/>
      <c r="I4" s="764"/>
      <c r="K4" s="668" t="s">
        <v>0</v>
      </c>
      <c r="L4" s="668" t="s">
        <v>2885</v>
      </c>
      <c r="M4" s="668" t="s">
        <v>2855</v>
      </c>
      <c r="N4" s="668" t="s">
        <v>2856</v>
      </c>
      <c r="O4" s="668" t="s">
        <v>71</v>
      </c>
      <c r="P4" s="668" t="s">
        <v>72</v>
      </c>
      <c r="Q4" s="668" t="s">
        <v>2857</v>
      </c>
      <c r="R4" s="668" t="s">
        <v>74</v>
      </c>
      <c r="S4" s="668" t="s">
        <v>2858</v>
      </c>
      <c r="T4" s="668" t="s">
        <v>2859</v>
      </c>
      <c r="U4" s="668" t="s">
        <v>2860</v>
      </c>
      <c r="V4" s="668" t="s">
        <v>2861</v>
      </c>
      <c r="W4" s="668" t="s">
        <v>2862</v>
      </c>
      <c r="Y4" s="692" t="s">
        <v>2862</v>
      </c>
      <c r="AC4" s="386"/>
      <c r="AD4" s="386"/>
      <c r="AE4" s="386"/>
      <c r="AF4" s="386"/>
      <c r="AG4" s="386"/>
      <c r="AH4" s="386"/>
      <c r="AI4" s="386"/>
      <c r="AJ4" s="386"/>
      <c r="AK4" s="386"/>
      <c r="AL4" s="386"/>
      <c r="AM4" s="386"/>
      <c r="AN4" s="386"/>
      <c r="AO4" s="386"/>
      <c r="AP4" s="386"/>
      <c r="AQ4" s="386"/>
    </row>
    <row r="5" spans="1:43">
      <c r="B5" s="17"/>
      <c r="C5" s="17"/>
      <c r="D5" s="764"/>
      <c r="E5" s="767"/>
      <c r="F5" s="767"/>
      <c r="G5" s="764"/>
      <c r="H5" s="764"/>
      <c r="I5" s="764"/>
      <c r="K5" s="668">
        <v>2022</v>
      </c>
      <c r="L5" s="768" t="s">
        <v>2651</v>
      </c>
      <c r="M5" s="768" t="s">
        <v>2651</v>
      </c>
      <c r="N5" s="768" t="s">
        <v>2651</v>
      </c>
      <c r="O5" s="768" t="s">
        <v>2651</v>
      </c>
      <c r="P5" s="768" t="s">
        <v>2651</v>
      </c>
      <c r="Q5" s="768" t="s">
        <v>2651</v>
      </c>
      <c r="R5" s="768" t="s">
        <v>2651</v>
      </c>
      <c r="S5" s="768" t="s">
        <v>2651</v>
      </c>
      <c r="T5" s="768" t="s">
        <v>2651</v>
      </c>
      <c r="U5" s="768" t="s">
        <v>2651</v>
      </c>
      <c r="V5" s="768" t="s">
        <v>2651</v>
      </c>
      <c r="W5" s="769">
        <v>-250000</v>
      </c>
      <c r="Y5" s="769">
        <v>-250000</v>
      </c>
      <c r="AC5" s="386"/>
      <c r="AD5" s="386"/>
      <c r="AE5" s="386"/>
      <c r="AF5" s="386"/>
      <c r="AG5" s="386"/>
      <c r="AH5" s="386"/>
      <c r="AI5" s="386"/>
      <c r="AJ5" s="386"/>
      <c r="AK5" s="386"/>
      <c r="AL5" s="386"/>
      <c r="AM5" s="386"/>
      <c r="AN5" s="386"/>
      <c r="AO5" s="386"/>
      <c r="AP5" s="386"/>
      <c r="AQ5" s="386"/>
    </row>
    <row r="6" spans="1:43">
      <c r="B6" s="17" t="s">
        <v>2863</v>
      </c>
      <c r="C6" s="770">
        <v>250000</v>
      </c>
      <c r="D6" s="764"/>
      <c r="E6" s="771" t="s">
        <v>2832</v>
      </c>
      <c r="F6" s="771" t="s">
        <v>2864</v>
      </c>
      <c r="G6" s="764"/>
      <c r="H6" s="764"/>
      <c r="I6" s="764"/>
      <c r="K6" s="668">
        <v>2023</v>
      </c>
      <c r="L6" s="769">
        <v>2100000</v>
      </c>
      <c r="M6" s="769">
        <v>1802500</v>
      </c>
      <c r="N6" s="769">
        <v>297500</v>
      </c>
      <c r="O6" s="769">
        <v>25000</v>
      </c>
      <c r="P6" s="769">
        <v>272500</v>
      </c>
      <c r="Q6" s="769">
        <v>76300</v>
      </c>
      <c r="R6" s="769">
        <v>196200</v>
      </c>
      <c r="S6" s="769">
        <v>221200</v>
      </c>
      <c r="T6" s="769">
        <v>175000</v>
      </c>
      <c r="U6" s="769">
        <v>175000</v>
      </c>
      <c r="V6" s="769">
        <v>46200</v>
      </c>
      <c r="W6" s="769">
        <v>46200</v>
      </c>
      <c r="Y6" s="769">
        <v>44000</v>
      </c>
      <c r="AC6" s="386"/>
      <c r="AD6" s="386"/>
      <c r="AE6" s="386"/>
      <c r="AF6" s="386"/>
      <c r="AG6" s="386"/>
      <c r="AH6" s="386"/>
      <c r="AI6" s="386"/>
      <c r="AJ6" s="386"/>
      <c r="AK6" s="386"/>
      <c r="AL6" s="386"/>
      <c r="AM6" s="386"/>
      <c r="AN6" s="386"/>
      <c r="AO6" s="386"/>
      <c r="AP6" s="386"/>
      <c r="AQ6" s="386"/>
    </row>
    <row r="7" spans="1:43">
      <c r="B7" s="17" t="s">
        <v>2865</v>
      </c>
      <c r="C7" s="770">
        <v>200000</v>
      </c>
      <c r="D7" s="764"/>
      <c r="E7" s="772">
        <v>2023</v>
      </c>
      <c r="F7" s="773">
        <v>2000000</v>
      </c>
      <c r="G7" s="764"/>
      <c r="H7" s="764"/>
      <c r="I7" s="764"/>
      <c r="K7" s="668">
        <v>2024</v>
      </c>
      <c r="L7" s="769">
        <v>2756250</v>
      </c>
      <c r="M7" s="769">
        <v>2352000</v>
      </c>
      <c r="N7" s="769">
        <v>404250</v>
      </c>
      <c r="O7" s="769">
        <v>25000</v>
      </c>
      <c r="P7" s="769">
        <v>379250</v>
      </c>
      <c r="Q7" s="769">
        <v>106190.00000000001</v>
      </c>
      <c r="R7" s="769">
        <v>273060</v>
      </c>
      <c r="S7" s="769">
        <v>298060</v>
      </c>
      <c r="T7" s="769">
        <v>229687.5</v>
      </c>
      <c r="U7" s="769">
        <v>54687.5</v>
      </c>
      <c r="V7" s="769">
        <v>243372.5</v>
      </c>
      <c r="W7" s="769">
        <v>243372.5</v>
      </c>
      <c r="Y7" s="769">
        <v>220746.03174603175</v>
      </c>
      <c r="AC7" s="386"/>
      <c r="AD7" s="386"/>
      <c r="AE7" s="386"/>
      <c r="AF7" s="386"/>
      <c r="AG7" s="386"/>
      <c r="AH7" s="386"/>
      <c r="AI7" s="386"/>
      <c r="AJ7" s="386"/>
      <c r="AK7" s="386"/>
      <c r="AL7" s="386"/>
      <c r="AM7" s="386"/>
      <c r="AN7" s="386"/>
      <c r="AO7" s="386"/>
      <c r="AP7" s="386"/>
      <c r="AQ7" s="386"/>
    </row>
    <row r="8" spans="1:43">
      <c r="B8" s="17" t="s">
        <v>2866</v>
      </c>
      <c r="C8" s="770">
        <v>10</v>
      </c>
      <c r="D8" s="764"/>
      <c r="E8" s="774">
        <v>2024</v>
      </c>
      <c r="F8" s="775">
        <v>2500000</v>
      </c>
      <c r="G8" s="764"/>
      <c r="H8" s="764"/>
      <c r="I8" s="764"/>
      <c r="K8" s="668">
        <v>2025</v>
      </c>
      <c r="L8" s="769">
        <v>3472875.0000000005</v>
      </c>
      <c r="M8" s="769">
        <v>2951943.7500000005</v>
      </c>
      <c r="N8" s="769">
        <v>520931.25</v>
      </c>
      <c r="O8" s="769">
        <v>25000</v>
      </c>
      <c r="P8" s="769">
        <v>495931.25</v>
      </c>
      <c r="Q8" s="769">
        <v>138860.75</v>
      </c>
      <c r="R8" s="769">
        <v>357070.5</v>
      </c>
      <c r="S8" s="769">
        <v>382070.5</v>
      </c>
      <c r="T8" s="769">
        <v>289406.25000000006</v>
      </c>
      <c r="U8" s="769">
        <v>59718.750000000058</v>
      </c>
      <c r="V8" s="769">
        <v>322351.74999999994</v>
      </c>
      <c r="W8" s="769">
        <v>322351.74999999994</v>
      </c>
      <c r="Y8" s="769">
        <v>278459.56160241866</v>
      </c>
      <c r="AC8" s="386"/>
      <c r="AD8" s="386"/>
      <c r="AE8" s="386"/>
      <c r="AF8" s="386"/>
      <c r="AG8" s="386"/>
      <c r="AH8" s="386"/>
      <c r="AI8" s="386"/>
      <c r="AJ8" s="386"/>
      <c r="AK8" s="386"/>
      <c r="AL8" s="386"/>
      <c r="AM8" s="386"/>
      <c r="AN8" s="386"/>
      <c r="AO8" s="386"/>
      <c r="AP8" s="386"/>
      <c r="AQ8" s="386"/>
    </row>
    <row r="9" spans="1:43">
      <c r="B9" s="17"/>
      <c r="C9" s="17"/>
      <c r="D9" s="764"/>
      <c r="E9" s="774">
        <v>2025</v>
      </c>
      <c r="F9" s="775">
        <v>3000000</v>
      </c>
      <c r="G9" s="764"/>
      <c r="H9" s="764"/>
      <c r="I9" s="764"/>
      <c r="K9" s="668">
        <v>2026</v>
      </c>
      <c r="L9" s="769">
        <v>3646518.75</v>
      </c>
      <c r="M9" s="769">
        <v>3099540.9375</v>
      </c>
      <c r="N9" s="769">
        <v>546977.8125</v>
      </c>
      <c r="O9" s="769">
        <v>25000</v>
      </c>
      <c r="P9" s="769">
        <v>521977.8125</v>
      </c>
      <c r="Q9" s="769">
        <v>146153.78750000001</v>
      </c>
      <c r="R9" s="769">
        <v>375824.02500000002</v>
      </c>
      <c r="S9" s="769">
        <v>400824.02500000002</v>
      </c>
      <c r="T9" s="769">
        <v>303876.5625</v>
      </c>
      <c r="U9" s="769">
        <v>14470.312499999942</v>
      </c>
      <c r="V9" s="769">
        <v>386353.71250000008</v>
      </c>
      <c r="W9" s="769">
        <v>386353.71250000008</v>
      </c>
      <c r="Y9" s="769">
        <v>317854.15541878133</v>
      </c>
      <c r="AC9" s="386"/>
      <c r="AD9" s="386"/>
      <c r="AE9" s="386"/>
      <c r="AF9" s="386"/>
      <c r="AG9" s="386"/>
      <c r="AH9" s="386"/>
      <c r="AI9" s="386"/>
      <c r="AJ9" s="386"/>
      <c r="AK9" s="386"/>
      <c r="AL9" s="386"/>
      <c r="AM9" s="386"/>
      <c r="AN9" s="386"/>
      <c r="AO9" s="386"/>
      <c r="AP9" s="386"/>
      <c r="AQ9" s="386"/>
    </row>
    <row r="10" spans="1:43">
      <c r="B10" s="17"/>
      <c r="C10" s="17"/>
      <c r="D10" s="764"/>
      <c r="E10" s="774">
        <v>2026</v>
      </c>
      <c r="F10" s="775">
        <v>3000000</v>
      </c>
      <c r="G10" s="764"/>
      <c r="H10" s="156" t="s">
        <v>2867</v>
      </c>
      <c r="I10" s="156"/>
      <c r="K10" s="668">
        <v>2027</v>
      </c>
      <c r="L10" s="769">
        <v>3828844.6875000005</v>
      </c>
      <c r="M10" s="769">
        <v>3254517.9843750005</v>
      </c>
      <c r="N10" s="769">
        <v>574326.703125</v>
      </c>
      <c r="O10" s="769">
        <v>25000</v>
      </c>
      <c r="P10" s="769">
        <v>549326.703125</v>
      </c>
      <c r="Q10" s="769">
        <v>153811.47687500002</v>
      </c>
      <c r="R10" s="769">
        <v>395515.22624999995</v>
      </c>
      <c r="S10" s="769">
        <v>420515.22624999995</v>
      </c>
      <c r="T10" s="769">
        <v>319070.39062500006</v>
      </c>
      <c r="U10" s="769">
        <v>15193.828125000058</v>
      </c>
      <c r="V10" s="769">
        <v>405321.39812499989</v>
      </c>
      <c r="W10" s="769">
        <v>903391.78874999995</v>
      </c>
      <c r="Y10" s="769">
        <v>707831.10505837132</v>
      </c>
      <c r="AC10" s="386"/>
      <c r="AD10" s="386"/>
      <c r="AE10" s="386"/>
      <c r="AF10" s="386"/>
      <c r="AG10" s="386"/>
      <c r="AH10" s="386"/>
      <c r="AI10" s="386"/>
      <c r="AJ10" s="386"/>
      <c r="AK10" s="386"/>
      <c r="AL10" s="386"/>
      <c r="AM10" s="386"/>
      <c r="AN10" s="386"/>
      <c r="AO10" s="386"/>
      <c r="AP10" s="386"/>
      <c r="AQ10" s="386"/>
    </row>
    <row r="11" spans="1:43">
      <c r="B11" s="17"/>
      <c r="C11" s="17"/>
      <c r="D11" s="764"/>
      <c r="E11" s="776">
        <v>2027</v>
      </c>
      <c r="F11" s="777">
        <v>3000000</v>
      </c>
      <c r="G11" s="764"/>
      <c r="H11" s="778"/>
      <c r="I11" s="778"/>
      <c r="AC11" s="386"/>
      <c r="AD11" s="386"/>
      <c r="AE11" s="386"/>
      <c r="AF11" s="386"/>
      <c r="AG11" s="386"/>
      <c r="AH11" s="386"/>
      <c r="AI11" s="386"/>
      <c r="AJ11" s="386"/>
      <c r="AK11" s="386"/>
      <c r="AL11" s="386"/>
      <c r="AM11" s="386"/>
      <c r="AN11" s="386"/>
      <c r="AO11" s="386"/>
      <c r="AP11" s="386"/>
      <c r="AQ11" s="386"/>
    </row>
    <row r="12" spans="1:43">
      <c r="B12" s="17"/>
      <c r="C12" s="17"/>
      <c r="D12" s="764"/>
      <c r="E12" s="767"/>
      <c r="F12" s="767"/>
      <c r="G12" s="764"/>
      <c r="H12" s="778" t="s">
        <v>2868</v>
      </c>
      <c r="I12" s="779">
        <v>2022</v>
      </c>
      <c r="K12" s="780" t="s">
        <v>2869</v>
      </c>
      <c r="L12" s="781">
        <v>250000</v>
      </c>
      <c r="M12" s="765" t="s">
        <v>55</v>
      </c>
      <c r="N12" s="106" t="s">
        <v>2870</v>
      </c>
      <c r="O12" s="782">
        <v>0.11300000000000021</v>
      </c>
      <c r="P12" s="765" t="str">
        <f>IF(ISERROR(IF(AND(NOT(O12=""),NOT(ISNUMBER(O12))),"ERROR","")),"ERROR",IF(AND(NOT(O12=""),NOT(ISNUMBER(O12))),"ERROR",""))</f>
        <v/>
      </c>
      <c r="Q12" s="783"/>
      <c r="R12" s="783"/>
      <c r="S12" s="783"/>
      <c r="T12" s="783"/>
      <c r="U12" s="784" t="s">
        <v>2871</v>
      </c>
      <c r="V12" s="715"/>
      <c r="W12" s="765" t="str">
        <f>IF(V12="","",IF(NOT(ISNUMBER(V12)),"ERROR",IF(AND(INT(V12)=V12,V12&gt;=0,V12&lt;=75),"","ERROR")))</f>
        <v/>
      </c>
      <c r="X12" s="106" t="s">
        <v>2872</v>
      </c>
      <c r="Y12" s="782">
        <v>0.06</v>
      </c>
      <c r="AC12" s="386"/>
      <c r="AD12" s="386"/>
      <c r="AE12" s="386"/>
      <c r="AF12" s="386"/>
      <c r="AG12" s="386"/>
      <c r="AH12" s="386"/>
      <c r="AI12" s="386"/>
      <c r="AJ12" s="386"/>
      <c r="AK12" s="386"/>
      <c r="AL12" s="386"/>
      <c r="AM12" s="386"/>
      <c r="AN12" s="386"/>
      <c r="AO12" s="386"/>
      <c r="AP12" s="386"/>
      <c r="AQ12" s="386"/>
    </row>
    <row r="13" spans="1:43">
      <c r="B13" s="156" t="s">
        <v>2873</v>
      </c>
      <c r="C13" s="156"/>
      <c r="D13" s="764"/>
      <c r="E13" s="785" t="s">
        <v>2874</v>
      </c>
      <c r="F13" s="786">
        <v>50000</v>
      </c>
      <c r="G13" s="764"/>
      <c r="H13" s="778"/>
      <c r="I13" s="778"/>
      <c r="K13" s="787" t="s">
        <v>3200</v>
      </c>
      <c r="L13" s="781">
        <v>179000</v>
      </c>
      <c r="M13" s="765" t="s">
        <v>55</v>
      </c>
      <c r="O13" s="6"/>
      <c r="V13" s="707"/>
      <c r="Y13" s="6"/>
      <c r="AC13" s="386"/>
      <c r="AD13" s="386"/>
      <c r="AE13" s="386"/>
      <c r="AF13" s="386"/>
      <c r="AG13" s="386"/>
      <c r="AH13" s="386"/>
      <c r="AI13" s="386"/>
      <c r="AJ13" s="386"/>
      <c r="AK13" s="386"/>
      <c r="AL13" s="386"/>
      <c r="AM13" s="386"/>
      <c r="AN13" s="386"/>
      <c r="AO13" s="386"/>
      <c r="AP13" s="386"/>
      <c r="AQ13" s="386"/>
    </row>
    <row r="14" spans="1:43">
      <c r="B14" s="788"/>
      <c r="C14" s="788"/>
      <c r="D14" s="764"/>
      <c r="E14" s="767" t="s">
        <v>2876</v>
      </c>
      <c r="F14" s="789">
        <v>0.2</v>
      </c>
      <c r="G14" s="764"/>
      <c r="H14" s="778" t="s">
        <v>2630</v>
      </c>
      <c r="I14" s="790">
        <v>0.05</v>
      </c>
      <c r="K14" s="787" t="s">
        <v>2877</v>
      </c>
      <c r="L14" s="781">
        <v>319070.39062500006</v>
      </c>
      <c r="M14" s="765" t="s">
        <v>55</v>
      </c>
      <c r="N14" s="106" t="s">
        <v>13</v>
      </c>
      <c r="O14" s="781">
        <v>1002475.4744343841</v>
      </c>
      <c r="P14" s="765" t="str">
        <f>IF(ISERROR(IF(AND(NOT(O14=""),NOT(ISNUMBER(O14))),"ERROR","")),"ERROR",IF(AND(NOT(O14=""),NOT(ISNUMBER(O14))),"ERROR",""))</f>
        <v/>
      </c>
      <c r="X14" s="106" t="s">
        <v>13</v>
      </c>
      <c r="Y14" s="781">
        <v>1002475.4744343846</v>
      </c>
      <c r="AC14" s="386"/>
      <c r="AD14" s="386"/>
      <c r="AE14" s="386"/>
      <c r="AF14" s="386"/>
      <c r="AG14" s="386"/>
      <c r="AH14" s="386"/>
      <c r="AI14" s="386"/>
      <c r="AJ14" s="386"/>
      <c r="AK14" s="386"/>
      <c r="AL14" s="386"/>
      <c r="AM14" s="386"/>
      <c r="AN14" s="386"/>
      <c r="AO14" s="386"/>
      <c r="AP14" s="386"/>
      <c r="AQ14" s="386"/>
    </row>
    <row r="15" spans="1:43">
      <c r="B15" s="788" t="s">
        <v>2879</v>
      </c>
      <c r="C15" s="791">
        <v>3000</v>
      </c>
      <c r="D15" s="764"/>
      <c r="E15" s="767" t="s">
        <v>2880</v>
      </c>
      <c r="F15" s="786">
        <v>30</v>
      </c>
      <c r="G15" s="764"/>
      <c r="H15" s="778" t="s">
        <v>2881</v>
      </c>
      <c r="I15" s="792">
        <v>5</v>
      </c>
      <c r="K15" s="787" t="s">
        <v>2882</v>
      </c>
      <c r="L15" s="781">
        <v>498070.39062500006</v>
      </c>
      <c r="M15" s="765" t="s">
        <v>55</v>
      </c>
      <c r="AC15" s="386"/>
      <c r="AD15" s="386"/>
      <c r="AE15" s="386"/>
      <c r="AF15" s="386"/>
      <c r="AG15" s="386"/>
      <c r="AH15" s="386"/>
      <c r="AI15" s="386"/>
      <c r="AJ15" s="386"/>
      <c r="AK15" s="386"/>
      <c r="AL15" s="386"/>
      <c r="AM15" s="386"/>
      <c r="AN15" s="386"/>
      <c r="AO15" s="386"/>
      <c r="AP15" s="386"/>
      <c r="AQ15" s="386"/>
    </row>
    <row r="16" spans="1:43">
      <c r="B16" s="764"/>
      <c r="C16" s="764"/>
      <c r="D16" s="764"/>
      <c r="E16" s="764"/>
      <c r="F16" s="764"/>
      <c r="G16" s="764"/>
      <c r="H16" s="778"/>
      <c r="I16" s="778"/>
      <c r="O16" s="8" t="str">
        <f>IF(AND(NOT(V12=""),W12=""),CONCATENATE(VLOOKUP(V12,$K$156:$P$364,2,FALSE)),"")</f>
        <v/>
      </c>
      <c r="P16" s="793" t="str">
        <f>IF(AND(NOT(V12=""),W12=""),CONCATENATE("=",VLOOKUP(V12,$K$156:$P$364,6,FALSE)),"")</f>
        <v/>
      </c>
      <c r="AC16" s="386"/>
      <c r="AD16" s="386"/>
      <c r="AE16" s="386"/>
      <c r="AF16" s="386"/>
      <c r="AG16" s="386"/>
      <c r="AH16" s="386"/>
      <c r="AI16" s="386"/>
      <c r="AJ16" s="386"/>
      <c r="AK16" s="386"/>
      <c r="AL16" s="386"/>
      <c r="AM16" s="386"/>
      <c r="AN16" s="386"/>
      <c r="AO16" s="386"/>
      <c r="AP16" s="386"/>
      <c r="AQ16" s="386"/>
    </row>
    <row r="17" spans="2:43">
      <c r="B17" s="764"/>
      <c r="C17" s="764"/>
      <c r="D17" s="764"/>
      <c r="E17" s="764"/>
      <c r="F17" s="764"/>
      <c r="G17" s="764"/>
      <c r="H17" s="778" t="s">
        <v>4</v>
      </c>
      <c r="I17" s="790">
        <v>0.28000000000000003</v>
      </c>
      <c r="P17" s="793" t="str">
        <f>IF(AND(NOT(V12=""),W12=""),CONCATENATE("=",VLOOKUP(V12,$K$156:$P$364,4,FALSE)),"")</f>
        <v/>
      </c>
      <c r="AC17" s="386"/>
      <c r="AD17" s="386"/>
      <c r="AE17" s="386"/>
      <c r="AF17" s="386"/>
      <c r="AG17" s="386"/>
      <c r="AH17" s="386"/>
      <c r="AI17" s="386"/>
      <c r="AJ17" s="386"/>
      <c r="AK17" s="386"/>
      <c r="AL17" s="386"/>
      <c r="AM17" s="386"/>
      <c r="AN17" s="386"/>
      <c r="AO17" s="386"/>
      <c r="AP17" s="386"/>
      <c r="AQ17" s="386"/>
    </row>
    <row r="18" spans="2:43">
      <c r="B18" s="764"/>
      <c r="C18" s="764"/>
      <c r="D18" s="764"/>
      <c r="E18" s="764"/>
      <c r="F18" s="764"/>
      <c r="G18" s="764"/>
      <c r="H18" s="778" t="s">
        <v>2635</v>
      </c>
      <c r="I18" s="790">
        <v>0.06</v>
      </c>
      <c r="P18" s="793"/>
      <c r="AC18" s="386"/>
      <c r="AD18" s="386"/>
      <c r="AE18" s="386"/>
      <c r="AF18" s="386"/>
      <c r="AG18" s="386"/>
      <c r="AH18" s="386"/>
      <c r="AI18" s="386"/>
      <c r="AJ18" s="386"/>
      <c r="AK18" s="386"/>
      <c r="AL18" s="386"/>
      <c r="AM18" s="386"/>
      <c r="AN18" s="386"/>
      <c r="AO18" s="386"/>
      <c r="AP18" s="386"/>
      <c r="AQ18" s="386"/>
    </row>
    <row r="19" spans="2:43">
      <c r="B19" s="156" t="s">
        <v>2883</v>
      </c>
      <c r="C19" s="156"/>
      <c r="D19" s="156"/>
      <c r="E19" s="156"/>
      <c r="F19" s="156"/>
      <c r="G19" s="764"/>
      <c r="H19" s="764"/>
      <c r="I19" s="764"/>
      <c r="K19" s="156" t="s">
        <v>2884</v>
      </c>
      <c r="L19" s="762"/>
      <c r="M19" s="762"/>
      <c r="N19" s="762"/>
      <c r="O19" s="762"/>
      <c r="P19" s="762"/>
      <c r="Q19" s="762"/>
      <c r="R19" s="762"/>
      <c r="S19" s="762"/>
      <c r="T19" s="762"/>
      <c r="U19" s="762"/>
      <c r="V19" s="762"/>
      <c r="W19" s="763" t="s">
        <v>2638</v>
      </c>
      <c r="AC19" s="386"/>
      <c r="AD19" s="386"/>
      <c r="AE19" s="386"/>
      <c r="AF19" s="386"/>
      <c r="AG19" s="386"/>
      <c r="AH19" s="386"/>
      <c r="AI19" s="386"/>
      <c r="AJ19" s="386"/>
      <c r="AK19" s="386"/>
      <c r="AL19" s="386"/>
      <c r="AM19" s="386"/>
      <c r="AN19" s="386"/>
      <c r="AO19" s="386"/>
      <c r="AP19" s="386"/>
      <c r="AQ19" s="386"/>
    </row>
    <row r="20" spans="2:43">
      <c r="B20" s="794"/>
      <c r="C20" s="794"/>
      <c r="D20" s="794"/>
      <c r="E20" s="794"/>
      <c r="F20" s="794"/>
      <c r="G20" s="764"/>
      <c r="H20" s="764"/>
      <c r="I20" s="764"/>
      <c r="L20" s="765" t="str">
        <f>IF(ISERROR(IF(OR(AND(NOT(L23=""),NOT(ISNUMBER(L23))),AND(NOT(L24=""),NOT(ISNUMBER(L24))),AND(NOT(L25=""),NOT(ISNUMBER(L25))),AND(NOT(L26=""),NOT(ISNUMBER(L26))),AND(NOT(L27=""),NOT(ISNUMBER(L27)))),"ERROR","")),"ERROR",IF(OR(AND(NOT(L23=""),NOT(ISNUMBER(L23))),AND(NOT(L24=""),NOT(ISNUMBER(L24))),AND(NOT(L25=""),NOT(ISNUMBER(L25))),AND(NOT(L26=""),NOT(ISNUMBER(L26))),AND(NOT(L27=""),NOT(ISNUMBER(L27)))),"ERROR",""))</f>
        <v/>
      </c>
      <c r="M20" s="765" t="str">
        <f t="shared" ref="M20:V20" si="1">IF(ISERROR(IF(OR(AND(NOT(M23=""),NOT(ISNUMBER(M23))),AND(NOT(M24=""),NOT(ISNUMBER(M24))),AND(NOT(M25=""),NOT(ISNUMBER(M25))),AND(NOT(M26=""),NOT(ISNUMBER(M26))),AND(NOT(M27=""),NOT(ISNUMBER(M27)))),"ERROR","")),"ERROR",IF(OR(AND(NOT(M23=""),NOT(ISNUMBER(M23))),AND(NOT(M24=""),NOT(ISNUMBER(M24))),AND(NOT(M25=""),NOT(ISNUMBER(M25))),AND(NOT(M26=""),NOT(ISNUMBER(M26))),AND(NOT(M27=""),NOT(ISNUMBER(M27)))),"ERROR",""))</f>
        <v/>
      </c>
      <c r="N20" s="765" t="str">
        <f t="shared" si="1"/>
        <v/>
      </c>
      <c r="O20" s="765" t="str">
        <f t="shared" si="1"/>
        <v/>
      </c>
      <c r="P20" s="765" t="str">
        <f t="shared" si="1"/>
        <v/>
      </c>
      <c r="Q20" s="765" t="str">
        <f t="shared" si="1"/>
        <v/>
      </c>
      <c r="R20" s="765" t="str">
        <f t="shared" si="1"/>
        <v/>
      </c>
      <c r="S20" s="765" t="str">
        <f t="shared" si="1"/>
        <v/>
      </c>
      <c r="T20" s="765" t="str">
        <f t="shared" si="1"/>
        <v/>
      </c>
      <c r="U20" s="765" t="str">
        <f t="shared" si="1"/>
        <v/>
      </c>
      <c r="V20" s="765" t="str">
        <f t="shared" si="1"/>
        <v/>
      </c>
      <c r="W20" s="765" t="str">
        <f>IF(ISERROR(IF(OR(AND(NOT(W22=""),NOT(ISNUMBER(W22))),AND(NOT(W23=""),NOT(ISNUMBER(W23))),AND(NOT(W24=""),NOT(ISNUMBER(W24))),AND(NOT(W25=""),NOT(ISNUMBER(W25))),AND(NOT(W26=""),NOT(ISNUMBER(W26))),AND(NOT(W27=""),NOT(ISNUMBER(W27)))),"ERROR","")),"ERROR",IF(OR(AND(NOT(W22=""),NOT(ISNUMBER(W22))),AND(NOT(W23=""),NOT(ISNUMBER(W23))),AND(NOT(W24=""),NOT(ISNUMBER(W24))),AND(NOT(W25=""),NOT(ISNUMBER(W25))),AND(NOT(W26=""),NOT(ISNUMBER(W26))),AND(NOT(W27=""),NOT(ISNUMBER(W27)))),"ERROR",""))</f>
        <v/>
      </c>
      <c r="AC20" s="386"/>
      <c r="AD20" s="386"/>
      <c r="AE20" s="386"/>
      <c r="AF20" s="386"/>
      <c r="AG20" s="386"/>
      <c r="AH20" s="386"/>
      <c r="AI20" s="386"/>
      <c r="AJ20" s="386"/>
      <c r="AK20" s="386"/>
      <c r="AL20" s="386"/>
      <c r="AM20" s="386"/>
      <c r="AN20" s="386"/>
      <c r="AO20" s="386"/>
      <c r="AP20" s="386"/>
      <c r="AQ20" s="386"/>
    </row>
    <row r="21" spans="2:43">
      <c r="B21" s="794" t="s">
        <v>2863</v>
      </c>
      <c r="C21" s="795">
        <v>0</v>
      </c>
      <c r="D21" s="794"/>
      <c r="E21" s="796" t="s">
        <v>2832</v>
      </c>
      <c r="F21" s="796" t="s">
        <v>2864</v>
      </c>
      <c r="G21" s="764"/>
      <c r="H21" s="764"/>
      <c r="I21" s="764"/>
      <c r="K21" s="668" t="s">
        <v>0</v>
      </c>
      <c r="L21" s="668" t="s">
        <v>2885</v>
      </c>
      <c r="M21" s="668" t="s">
        <v>2855</v>
      </c>
      <c r="N21" s="668" t="s">
        <v>2856</v>
      </c>
      <c r="O21" s="668" t="s">
        <v>71</v>
      </c>
      <c r="P21" s="668" t="s">
        <v>72</v>
      </c>
      <c r="Q21" s="668" t="s">
        <v>2857</v>
      </c>
      <c r="R21" s="668" t="s">
        <v>74</v>
      </c>
      <c r="S21" s="668" t="s">
        <v>2858</v>
      </c>
      <c r="T21" s="668" t="s">
        <v>2859</v>
      </c>
      <c r="U21" s="668" t="s">
        <v>2860</v>
      </c>
      <c r="V21" s="668" t="s">
        <v>2861</v>
      </c>
      <c r="W21" s="668" t="s">
        <v>2862</v>
      </c>
      <c r="AC21" s="386"/>
      <c r="AD21" s="386"/>
      <c r="AE21" s="386"/>
      <c r="AF21" s="386"/>
      <c r="AG21" s="386"/>
      <c r="AH21" s="386"/>
      <c r="AI21" s="386"/>
      <c r="AJ21" s="386"/>
      <c r="AK21" s="386"/>
      <c r="AL21" s="386"/>
      <c r="AM21" s="386"/>
      <c r="AN21" s="386"/>
      <c r="AO21" s="386"/>
      <c r="AP21" s="386"/>
      <c r="AQ21" s="386"/>
    </row>
    <row r="22" spans="2:43">
      <c r="B22" s="794" t="s">
        <v>2886</v>
      </c>
      <c r="C22" s="795">
        <v>0</v>
      </c>
      <c r="D22" s="794"/>
      <c r="E22" s="797">
        <v>2023</v>
      </c>
      <c r="F22" s="798">
        <v>875000.00000000012</v>
      </c>
      <c r="G22" s="764"/>
      <c r="H22" s="764"/>
      <c r="I22" s="764"/>
      <c r="K22" s="668">
        <v>2022</v>
      </c>
      <c r="L22" s="768" t="s">
        <v>2651</v>
      </c>
      <c r="M22" s="768" t="s">
        <v>2651</v>
      </c>
      <c r="N22" s="768" t="s">
        <v>2651</v>
      </c>
      <c r="O22" s="768" t="s">
        <v>2651</v>
      </c>
      <c r="P22" s="768" t="s">
        <v>2651</v>
      </c>
      <c r="Q22" s="768" t="s">
        <v>2651</v>
      </c>
      <c r="R22" s="768" t="s">
        <v>2651</v>
      </c>
      <c r="S22" s="768" t="s">
        <v>2651</v>
      </c>
      <c r="T22" s="768" t="s">
        <v>2651</v>
      </c>
      <c r="U22" s="768" t="s">
        <v>2651</v>
      </c>
      <c r="V22" s="768" t="s">
        <v>2651</v>
      </c>
      <c r="W22" s="769">
        <v>0</v>
      </c>
      <c r="AC22" s="386"/>
      <c r="AD22" s="386"/>
      <c r="AE22" s="386"/>
      <c r="AF22" s="386"/>
      <c r="AG22" s="386"/>
      <c r="AH22" s="386"/>
      <c r="AI22" s="386"/>
      <c r="AJ22" s="386"/>
      <c r="AK22" s="386"/>
      <c r="AL22" s="386"/>
      <c r="AM22" s="386"/>
      <c r="AN22" s="386"/>
      <c r="AO22" s="386"/>
      <c r="AP22" s="386"/>
      <c r="AQ22" s="386"/>
    </row>
    <row r="23" spans="2:43">
      <c r="B23" s="794" t="s">
        <v>2887</v>
      </c>
      <c r="C23" s="795">
        <v>0</v>
      </c>
      <c r="D23" s="794"/>
      <c r="E23" s="799">
        <v>2024</v>
      </c>
      <c r="F23" s="800">
        <v>1093750.0000000002</v>
      </c>
      <c r="G23" s="764"/>
      <c r="H23" s="764"/>
      <c r="I23" s="764"/>
      <c r="K23" s="668">
        <v>2023</v>
      </c>
      <c r="L23" s="769">
        <v>2100000</v>
      </c>
      <c r="M23" s="769">
        <v>1838500</v>
      </c>
      <c r="N23" s="769">
        <v>261500</v>
      </c>
      <c r="O23" s="769">
        <v>0</v>
      </c>
      <c r="P23" s="769">
        <v>261500</v>
      </c>
      <c r="Q23" s="769">
        <v>73220</v>
      </c>
      <c r="R23" s="769">
        <v>188280</v>
      </c>
      <c r="S23" s="769">
        <v>188280</v>
      </c>
      <c r="T23" s="769">
        <v>175000</v>
      </c>
      <c r="U23" s="769">
        <v>175000</v>
      </c>
      <c r="V23" s="769">
        <v>13280</v>
      </c>
      <c r="W23" s="769">
        <v>13280</v>
      </c>
      <c r="AC23" s="386"/>
      <c r="AD23" s="386"/>
      <c r="AE23" s="386"/>
      <c r="AF23" s="386"/>
      <c r="AG23" s="386"/>
      <c r="AH23" s="386"/>
      <c r="AI23" s="386"/>
      <c r="AJ23" s="386"/>
      <c r="AK23" s="386"/>
      <c r="AL23" s="386"/>
      <c r="AM23" s="386"/>
      <c r="AN23" s="386"/>
      <c r="AO23" s="386"/>
      <c r="AP23" s="386"/>
      <c r="AQ23" s="386"/>
    </row>
    <row r="24" spans="2:43">
      <c r="B24" s="794" t="s">
        <v>2876</v>
      </c>
      <c r="C24" s="801">
        <v>0.05</v>
      </c>
      <c r="D24" s="794"/>
      <c r="E24" s="799">
        <v>2025</v>
      </c>
      <c r="F24" s="800">
        <v>1312500</v>
      </c>
      <c r="G24" s="764"/>
      <c r="H24" s="764"/>
      <c r="I24" s="764"/>
      <c r="K24" s="668">
        <v>2024</v>
      </c>
      <c r="L24" s="769">
        <v>2756250</v>
      </c>
      <c r="M24" s="769">
        <v>2388000</v>
      </c>
      <c r="N24" s="769">
        <v>368250</v>
      </c>
      <c r="O24" s="769">
        <v>0</v>
      </c>
      <c r="P24" s="769">
        <v>368250</v>
      </c>
      <c r="Q24" s="769">
        <v>103110.00000000001</v>
      </c>
      <c r="R24" s="769">
        <v>265140</v>
      </c>
      <c r="S24" s="769">
        <v>265140</v>
      </c>
      <c r="T24" s="769">
        <v>229687.5</v>
      </c>
      <c r="U24" s="769">
        <v>54687.5</v>
      </c>
      <c r="V24" s="769">
        <v>210452.5</v>
      </c>
      <c r="W24" s="769">
        <v>210452.5</v>
      </c>
      <c r="AC24" s="386"/>
      <c r="AD24" s="386"/>
      <c r="AE24" s="386"/>
      <c r="AF24" s="386"/>
      <c r="AG24" s="386"/>
      <c r="AH24" s="386"/>
      <c r="AI24" s="386"/>
      <c r="AJ24" s="386"/>
      <c r="AK24" s="386"/>
      <c r="AL24" s="386"/>
      <c r="AM24" s="386"/>
      <c r="AN24" s="386"/>
      <c r="AO24" s="386"/>
      <c r="AP24" s="386"/>
      <c r="AQ24" s="386"/>
    </row>
    <row r="25" spans="2:43">
      <c r="B25" s="794"/>
      <c r="C25" s="794"/>
      <c r="D25" s="794"/>
      <c r="E25" s="799">
        <v>2026</v>
      </c>
      <c r="F25" s="800">
        <v>1312500</v>
      </c>
      <c r="G25" s="764"/>
      <c r="H25" s="764"/>
      <c r="I25" s="764"/>
      <c r="K25" s="668">
        <v>2025</v>
      </c>
      <c r="L25" s="769">
        <v>3472875.0000000005</v>
      </c>
      <c r="M25" s="769">
        <v>2987943.7500000005</v>
      </c>
      <c r="N25" s="769">
        <v>484931.25</v>
      </c>
      <c r="O25" s="769">
        <v>0</v>
      </c>
      <c r="P25" s="769">
        <v>484931.25</v>
      </c>
      <c r="Q25" s="769">
        <v>135780.75</v>
      </c>
      <c r="R25" s="769">
        <v>349150.5</v>
      </c>
      <c r="S25" s="769">
        <v>349150.5</v>
      </c>
      <c r="T25" s="769">
        <v>289406.25000000006</v>
      </c>
      <c r="U25" s="769">
        <v>59718.750000000058</v>
      </c>
      <c r="V25" s="769">
        <v>289431.74999999994</v>
      </c>
      <c r="W25" s="769">
        <v>289431.74999999994</v>
      </c>
      <c r="AC25" s="386"/>
      <c r="AD25" s="386"/>
      <c r="AE25" s="386"/>
      <c r="AF25" s="386"/>
      <c r="AG25" s="386"/>
      <c r="AH25" s="386"/>
      <c r="AI25" s="386"/>
      <c r="AJ25" s="386"/>
      <c r="AK25" s="386"/>
      <c r="AL25" s="386"/>
      <c r="AM25" s="386"/>
      <c r="AN25" s="386"/>
      <c r="AO25" s="386"/>
      <c r="AP25" s="386"/>
      <c r="AQ25" s="386"/>
    </row>
    <row r="26" spans="2:43">
      <c r="B26" s="794"/>
      <c r="C26" s="794"/>
      <c r="D26" s="794"/>
      <c r="E26" s="802">
        <v>2027</v>
      </c>
      <c r="F26" s="803">
        <v>1312500</v>
      </c>
      <c r="G26" s="764"/>
      <c r="H26" s="764"/>
      <c r="I26" s="764"/>
      <c r="K26" s="668">
        <v>2026</v>
      </c>
      <c r="L26" s="769">
        <v>3646518.75</v>
      </c>
      <c r="M26" s="769">
        <v>3135540.9375</v>
      </c>
      <c r="N26" s="769">
        <v>510977.8125</v>
      </c>
      <c r="O26" s="769">
        <v>0</v>
      </c>
      <c r="P26" s="769">
        <v>510977.8125</v>
      </c>
      <c r="Q26" s="769">
        <v>143073.78750000001</v>
      </c>
      <c r="R26" s="769">
        <v>367904.02500000002</v>
      </c>
      <c r="S26" s="769">
        <v>367904.02500000002</v>
      </c>
      <c r="T26" s="769">
        <v>303876.5625</v>
      </c>
      <c r="U26" s="769">
        <v>14470.312499999942</v>
      </c>
      <c r="V26" s="769">
        <v>353433.71250000008</v>
      </c>
      <c r="W26" s="769">
        <v>353433.71250000008</v>
      </c>
      <c r="AC26" s="386"/>
      <c r="AD26" s="386"/>
      <c r="AE26" s="386"/>
      <c r="AF26" s="386"/>
      <c r="AG26" s="386"/>
      <c r="AH26" s="386"/>
      <c r="AI26" s="386"/>
      <c r="AJ26" s="386"/>
      <c r="AK26" s="386"/>
      <c r="AL26" s="386"/>
      <c r="AM26" s="386"/>
      <c r="AN26" s="386"/>
      <c r="AO26" s="386"/>
      <c r="AP26" s="386"/>
      <c r="AQ26" s="386"/>
    </row>
    <row r="27" spans="2:43">
      <c r="K27" s="668">
        <v>2027</v>
      </c>
      <c r="L27" s="769">
        <v>3828844.6875000005</v>
      </c>
      <c r="M27" s="769">
        <v>3290517.9843750005</v>
      </c>
      <c r="N27" s="769">
        <v>538326.703125</v>
      </c>
      <c r="O27" s="769">
        <v>0</v>
      </c>
      <c r="P27" s="769">
        <v>538326.703125</v>
      </c>
      <c r="Q27" s="769">
        <v>150731.47687500002</v>
      </c>
      <c r="R27" s="769">
        <v>387595.22624999995</v>
      </c>
      <c r="S27" s="769">
        <v>387595.22624999995</v>
      </c>
      <c r="T27" s="769">
        <v>319070.39062500006</v>
      </c>
      <c r="U27" s="769">
        <v>15193.828125000058</v>
      </c>
      <c r="V27" s="769">
        <v>372401.39812499989</v>
      </c>
      <c r="W27" s="769">
        <v>691471.78874999995</v>
      </c>
      <c r="AC27" s="386"/>
      <c r="AD27" s="386"/>
      <c r="AE27" s="386"/>
      <c r="AF27" s="386"/>
      <c r="AG27" s="386"/>
      <c r="AH27" s="386"/>
      <c r="AI27" s="386"/>
      <c r="AJ27" s="386"/>
      <c r="AK27" s="386"/>
      <c r="AL27" s="386"/>
      <c r="AM27" s="386"/>
      <c r="AN27" s="386"/>
      <c r="AO27" s="386"/>
      <c r="AP27" s="386"/>
      <c r="AQ27" s="386"/>
    </row>
    <row r="28" spans="2:43">
      <c r="AC28" s="386"/>
      <c r="AD28" s="386"/>
      <c r="AE28" s="386"/>
      <c r="AF28" s="386"/>
      <c r="AG28" s="386"/>
      <c r="AH28" s="386"/>
      <c r="AI28" s="386"/>
      <c r="AJ28" s="386"/>
      <c r="AK28" s="386"/>
      <c r="AL28" s="386"/>
      <c r="AM28" s="386"/>
      <c r="AN28" s="386"/>
      <c r="AO28" s="386"/>
      <c r="AP28" s="386"/>
      <c r="AQ28" s="386"/>
    </row>
    <row r="29" spans="2:43">
      <c r="K29" s="780" t="s">
        <v>2869</v>
      </c>
      <c r="L29" s="781">
        <v>0</v>
      </c>
      <c r="M29" s="765" t="s">
        <v>55</v>
      </c>
      <c r="N29" s="106" t="s">
        <v>2870</v>
      </c>
      <c r="O29" s="782">
        <v>0.11300000000000021</v>
      </c>
      <c r="P29" s="765" t="s">
        <v>55</v>
      </c>
      <c r="Q29" s="783"/>
      <c r="R29" s="783"/>
      <c r="S29" s="783"/>
      <c r="T29" s="783"/>
      <c r="U29" s="804" t="s">
        <v>2888</v>
      </c>
      <c r="V29" s="715"/>
      <c r="W29" s="765" t="str">
        <f>IF(V29="","",IF(NOT(ISNUMBER(V29)),"ERROR",IF(AND(INT(V29)=V29,V29&gt;=76,V29&lt;=142),"","ERROR")))</f>
        <v/>
      </c>
      <c r="AC29" s="386"/>
      <c r="AD29" s="386"/>
      <c r="AE29" s="386"/>
      <c r="AF29" s="386"/>
      <c r="AG29" s="386"/>
      <c r="AH29" s="386"/>
      <c r="AI29" s="386"/>
      <c r="AJ29" s="386"/>
      <c r="AK29" s="386"/>
      <c r="AL29" s="386"/>
      <c r="AM29" s="386"/>
      <c r="AN29" s="386"/>
      <c r="AO29" s="386"/>
      <c r="AP29" s="386"/>
      <c r="AQ29" s="386"/>
    </row>
    <row r="30" spans="2:43">
      <c r="K30" s="787" t="s">
        <v>3200</v>
      </c>
      <c r="L30" s="781">
        <v>0</v>
      </c>
      <c r="M30" s="765" t="s">
        <v>55</v>
      </c>
      <c r="O30" s="6"/>
      <c r="V30" s="707"/>
      <c r="AC30" s="386"/>
      <c r="AD30" s="386"/>
      <c r="AE30" s="386"/>
      <c r="AF30" s="386"/>
      <c r="AG30" s="386"/>
      <c r="AH30" s="386"/>
      <c r="AI30" s="386"/>
      <c r="AJ30" s="386"/>
      <c r="AK30" s="386"/>
      <c r="AL30" s="386"/>
      <c r="AM30" s="386"/>
      <c r="AN30" s="386"/>
      <c r="AO30" s="386"/>
      <c r="AP30" s="386"/>
      <c r="AQ30" s="386"/>
    </row>
    <row r="31" spans="2:43">
      <c r="K31" s="787" t="s">
        <v>2877</v>
      </c>
      <c r="L31" s="781">
        <v>319070.39062500006</v>
      </c>
      <c r="M31" s="765" t="s">
        <v>55</v>
      </c>
      <c r="N31" s="106" t="s">
        <v>13</v>
      </c>
      <c r="O31" s="781">
        <v>1026915.3411276439</v>
      </c>
      <c r="P31" s="765" t="s">
        <v>55</v>
      </c>
      <c r="AC31" s="386"/>
      <c r="AD31" s="386"/>
      <c r="AE31" s="386"/>
      <c r="AF31" s="386"/>
      <c r="AG31" s="386"/>
      <c r="AH31" s="386"/>
      <c r="AI31" s="386"/>
      <c r="AJ31" s="386"/>
      <c r="AK31" s="386"/>
      <c r="AL31" s="386"/>
      <c r="AM31" s="386"/>
      <c r="AN31" s="386"/>
      <c r="AO31" s="386"/>
      <c r="AP31" s="386"/>
      <c r="AQ31" s="386"/>
    </row>
    <row r="32" spans="2:43">
      <c r="K32" s="787" t="s">
        <v>2882</v>
      </c>
      <c r="L32" s="781">
        <v>319070.39062500006</v>
      </c>
      <c r="M32" s="765" t="s">
        <v>55</v>
      </c>
      <c r="AC32" s="386"/>
      <c r="AD32" s="386"/>
      <c r="AE32" s="386"/>
      <c r="AF32" s="386"/>
      <c r="AG32" s="386"/>
      <c r="AH32" s="386"/>
      <c r="AI32" s="386"/>
      <c r="AJ32" s="386"/>
      <c r="AK32" s="386"/>
      <c r="AL32" s="386"/>
      <c r="AM32" s="386"/>
      <c r="AN32" s="386"/>
      <c r="AO32" s="386"/>
      <c r="AP32" s="386"/>
      <c r="AQ32" s="386"/>
    </row>
    <row r="33" spans="11:43">
      <c r="O33" s="8" t="str">
        <f>IF(AND(NOT(V29=""),W29=""),CONCATENATE(VLOOKUP(V29,$K$156:$P$306,2,FALSE)),"")</f>
        <v/>
      </c>
      <c r="P33" s="793" t="str">
        <f>IF(AND(NOT(V29=""),W29=""),CONCATENATE("=",VLOOKUP(V29,$K$156:$P$364,6,FALSE)),"")</f>
        <v/>
      </c>
      <c r="AC33" s="386"/>
      <c r="AD33" s="386"/>
      <c r="AE33" s="386"/>
      <c r="AF33" s="386"/>
      <c r="AG33" s="386"/>
      <c r="AH33" s="386"/>
      <c r="AI33" s="386"/>
      <c r="AJ33" s="386"/>
      <c r="AK33" s="386"/>
      <c r="AL33" s="386"/>
      <c r="AM33" s="386"/>
      <c r="AN33" s="386"/>
      <c r="AO33" s="386"/>
      <c r="AP33" s="386"/>
      <c r="AQ33" s="386"/>
    </row>
    <row r="34" spans="11:43">
      <c r="P34" s="793" t="str">
        <f>IF(AND(NOT(V29=""),W29=""),CONCATENATE("=",VLOOKUP(V29,$K$156:$P$364,4,FALSE)),"")</f>
        <v/>
      </c>
      <c r="AC34" s="386"/>
      <c r="AD34" s="386"/>
      <c r="AE34" s="386"/>
      <c r="AF34" s="386"/>
      <c r="AG34" s="386"/>
      <c r="AH34" s="386"/>
      <c r="AI34" s="386"/>
      <c r="AJ34" s="386"/>
      <c r="AK34" s="386"/>
      <c r="AL34" s="386"/>
      <c r="AM34" s="386"/>
      <c r="AN34" s="386"/>
      <c r="AO34" s="386"/>
      <c r="AP34" s="386"/>
      <c r="AQ34" s="386"/>
    </row>
    <row r="35" spans="11:43">
      <c r="P35" s="793"/>
      <c r="AC35" s="386"/>
      <c r="AD35" s="386"/>
      <c r="AE35" s="386"/>
      <c r="AF35" s="386"/>
      <c r="AG35" s="386"/>
      <c r="AH35" s="386"/>
      <c r="AI35" s="386"/>
      <c r="AJ35" s="386"/>
      <c r="AK35" s="386"/>
      <c r="AL35" s="386"/>
      <c r="AM35" s="386"/>
      <c r="AN35" s="386"/>
      <c r="AO35" s="386"/>
      <c r="AP35" s="386"/>
      <c r="AQ35" s="386"/>
    </row>
    <row r="36" spans="11:43">
      <c r="K36" s="156" t="s">
        <v>2889</v>
      </c>
      <c r="L36" s="762"/>
      <c r="M36" s="762"/>
      <c r="N36" s="762"/>
      <c r="O36" s="762"/>
      <c r="P36" s="762"/>
      <c r="Q36" s="762"/>
      <c r="R36" s="762"/>
      <c r="S36" s="762"/>
      <c r="T36" s="762"/>
      <c r="U36" s="762"/>
      <c r="V36" s="762"/>
      <c r="W36" s="763" t="s">
        <v>2638</v>
      </c>
      <c r="AC36" s="386"/>
      <c r="AD36" s="386"/>
      <c r="AE36" s="386"/>
      <c r="AF36" s="386"/>
      <c r="AG36" s="386"/>
      <c r="AH36" s="386"/>
      <c r="AI36" s="386"/>
      <c r="AJ36" s="386"/>
      <c r="AK36" s="386"/>
      <c r="AL36" s="386"/>
      <c r="AM36" s="386"/>
      <c r="AN36" s="386"/>
      <c r="AO36" s="386"/>
      <c r="AP36" s="386"/>
      <c r="AQ36" s="386"/>
    </row>
    <row r="37" spans="11:43">
      <c r="L37" s="765" t="str">
        <f>IF(ISERROR(IF(OR(AND(NOT(L40=""),NOT(ISNUMBER(L40))),AND(NOT(L41=""),NOT(ISNUMBER(L41))),AND(NOT(L42=""),NOT(ISNUMBER(L42))),AND(NOT(L43=""),NOT(ISNUMBER(L43))),AND(NOT(L44=""),NOT(ISNUMBER(L44)))),"ERROR","")),"ERROR",IF(OR(AND(NOT(L40=""),NOT(ISNUMBER(L40))),AND(NOT(L41=""),NOT(ISNUMBER(L41))),AND(NOT(L42=""),NOT(ISNUMBER(L42))),AND(NOT(L43=""),NOT(ISNUMBER(L43))),AND(NOT(L44=""),NOT(ISNUMBER(L44)))),"ERROR",""))</f>
        <v/>
      </c>
      <c r="M37" s="765" t="str">
        <f t="shared" ref="M37:V37" si="2">IF(ISERROR(IF(OR(AND(NOT(M40=""),NOT(ISNUMBER(M40))),AND(NOT(M41=""),NOT(ISNUMBER(M41))),AND(NOT(M42=""),NOT(ISNUMBER(M42))),AND(NOT(M43=""),NOT(ISNUMBER(M43))),AND(NOT(M44=""),NOT(ISNUMBER(M44)))),"ERROR","")),"ERROR",IF(OR(AND(NOT(M40=""),NOT(ISNUMBER(M40))),AND(NOT(M41=""),NOT(ISNUMBER(M41))),AND(NOT(M42=""),NOT(ISNUMBER(M42))),AND(NOT(M43=""),NOT(ISNUMBER(M43))),AND(NOT(M44=""),NOT(ISNUMBER(M44)))),"ERROR",""))</f>
        <v/>
      </c>
      <c r="N37" s="765" t="str">
        <f t="shared" si="2"/>
        <v/>
      </c>
      <c r="O37" s="765" t="str">
        <f t="shared" si="2"/>
        <v/>
      </c>
      <c r="P37" s="765" t="str">
        <f t="shared" si="2"/>
        <v/>
      </c>
      <c r="Q37" s="765" t="str">
        <f t="shared" si="2"/>
        <v/>
      </c>
      <c r="R37" s="765" t="str">
        <f t="shared" si="2"/>
        <v/>
      </c>
      <c r="S37" s="765" t="str">
        <f t="shared" si="2"/>
        <v/>
      </c>
      <c r="T37" s="765" t="str">
        <f t="shared" si="2"/>
        <v/>
      </c>
      <c r="U37" s="765" t="str">
        <f t="shared" si="2"/>
        <v/>
      </c>
      <c r="V37" s="765" t="str">
        <f t="shared" si="2"/>
        <v/>
      </c>
      <c r="W37" s="765" t="str">
        <f>IF(ISERROR(IF(OR(AND(NOT(W39=""),NOT(ISNUMBER(W39))),AND(NOT(W40=""),NOT(ISNUMBER(W40))),AND(NOT(W41=""),NOT(ISNUMBER(W41))),AND(NOT(W42=""),NOT(ISNUMBER(W42))),AND(NOT(W43=""),NOT(ISNUMBER(W43))),AND(NOT(W44=""),NOT(ISNUMBER(W44)))),"ERROR","")),"ERROR",IF(OR(AND(NOT(W39=""),NOT(ISNUMBER(W39))),AND(NOT(W40=""),NOT(ISNUMBER(W40))),AND(NOT(W41=""),NOT(ISNUMBER(W41))),AND(NOT(W42=""),NOT(ISNUMBER(W42))),AND(NOT(W43=""),NOT(ISNUMBER(W43))),AND(NOT(W44=""),NOT(ISNUMBER(W44)))),"ERROR",""))</f>
        <v/>
      </c>
      <c r="AC37" s="386"/>
      <c r="AD37" s="386"/>
      <c r="AE37" s="386"/>
      <c r="AF37" s="386"/>
      <c r="AG37" s="386"/>
      <c r="AH37" s="386"/>
      <c r="AI37" s="386"/>
      <c r="AJ37" s="386"/>
      <c r="AK37" s="386"/>
      <c r="AL37" s="386"/>
      <c r="AM37" s="386"/>
      <c r="AN37" s="386"/>
      <c r="AO37" s="386"/>
      <c r="AP37" s="386"/>
      <c r="AQ37" s="386"/>
    </row>
    <row r="38" spans="11:43">
      <c r="K38" s="668" t="s">
        <v>0</v>
      </c>
      <c r="L38" s="668" t="s">
        <v>2885</v>
      </c>
      <c r="M38" s="668" t="s">
        <v>2855</v>
      </c>
      <c r="N38" s="668" t="s">
        <v>2856</v>
      </c>
      <c r="O38" s="668" t="s">
        <v>71</v>
      </c>
      <c r="P38" s="668" t="s">
        <v>72</v>
      </c>
      <c r="Q38" s="668" t="s">
        <v>2857</v>
      </c>
      <c r="R38" s="668" t="s">
        <v>74</v>
      </c>
      <c r="S38" s="668" t="s">
        <v>2858</v>
      </c>
      <c r="T38" s="668" t="s">
        <v>2859</v>
      </c>
      <c r="U38" s="668" t="s">
        <v>2860</v>
      </c>
      <c r="V38" s="668" t="s">
        <v>2861</v>
      </c>
      <c r="W38" s="668" t="s">
        <v>2862</v>
      </c>
      <c r="AC38" s="386"/>
      <c r="AD38" s="386"/>
      <c r="AE38" s="386"/>
      <c r="AF38" s="386"/>
      <c r="AG38" s="386"/>
      <c r="AH38" s="386"/>
      <c r="AI38" s="386"/>
      <c r="AJ38" s="386"/>
      <c r="AK38" s="386"/>
      <c r="AL38" s="386"/>
      <c r="AM38" s="386"/>
      <c r="AN38" s="386"/>
      <c r="AO38" s="386"/>
      <c r="AP38" s="386"/>
      <c r="AQ38" s="386"/>
    </row>
    <row r="39" spans="11:43">
      <c r="K39" s="668">
        <v>2022</v>
      </c>
      <c r="L39" s="768" t="s">
        <v>2651</v>
      </c>
      <c r="M39" s="768" t="s">
        <v>2651</v>
      </c>
      <c r="N39" s="768" t="s">
        <v>2651</v>
      </c>
      <c r="O39" s="768" t="s">
        <v>2651</v>
      </c>
      <c r="P39" s="768" t="s">
        <v>2651</v>
      </c>
      <c r="Q39" s="768" t="s">
        <v>2651</v>
      </c>
      <c r="R39" s="768" t="s">
        <v>2651</v>
      </c>
      <c r="S39" s="768" t="s">
        <v>2651</v>
      </c>
      <c r="T39" s="768" t="s">
        <v>2651</v>
      </c>
      <c r="U39" s="768" t="s">
        <v>2651</v>
      </c>
      <c r="V39" s="768" t="s">
        <v>2651</v>
      </c>
      <c r="W39" s="769">
        <v>0</v>
      </c>
      <c r="AC39" s="386"/>
      <c r="AD39" s="386"/>
      <c r="AE39" s="386"/>
      <c r="AF39" s="386"/>
      <c r="AG39" s="386"/>
      <c r="AH39" s="386"/>
      <c r="AI39" s="386"/>
      <c r="AJ39" s="386"/>
      <c r="AK39" s="386"/>
      <c r="AL39" s="386"/>
      <c r="AM39" s="386"/>
      <c r="AN39" s="386"/>
      <c r="AO39" s="386"/>
      <c r="AP39" s="386"/>
      <c r="AQ39" s="386"/>
    </row>
    <row r="40" spans="11:43">
      <c r="K40" s="668">
        <v>2023</v>
      </c>
      <c r="L40" s="769">
        <v>918750.00000000012</v>
      </c>
      <c r="M40" s="769">
        <v>875000.00000000012</v>
      </c>
      <c r="N40" s="769">
        <v>43750</v>
      </c>
      <c r="O40" s="769">
        <v>0</v>
      </c>
      <c r="P40" s="769">
        <v>43750</v>
      </c>
      <c r="Q40" s="769">
        <v>12250.000000000002</v>
      </c>
      <c r="R40" s="769">
        <v>31500</v>
      </c>
      <c r="S40" s="769">
        <v>31500</v>
      </c>
      <c r="T40" s="769">
        <v>0</v>
      </c>
      <c r="U40" s="769">
        <v>0</v>
      </c>
      <c r="V40" s="769">
        <v>31500</v>
      </c>
      <c r="W40" s="769">
        <v>31500</v>
      </c>
      <c r="AC40" s="386"/>
      <c r="AD40" s="386"/>
      <c r="AE40" s="386"/>
      <c r="AF40" s="386"/>
      <c r="AG40" s="386"/>
      <c r="AH40" s="386"/>
      <c r="AI40" s="386"/>
      <c r="AJ40" s="386"/>
      <c r="AK40" s="386"/>
      <c r="AL40" s="386"/>
      <c r="AM40" s="386"/>
      <c r="AN40" s="386"/>
      <c r="AO40" s="386"/>
      <c r="AP40" s="386"/>
      <c r="AQ40" s="386"/>
    </row>
    <row r="41" spans="11:43">
      <c r="K41" s="668">
        <v>2024</v>
      </c>
      <c r="L41" s="769">
        <v>1205859.3750000002</v>
      </c>
      <c r="M41" s="769">
        <v>1148437.5000000002</v>
      </c>
      <c r="N41" s="769">
        <v>57421.875</v>
      </c>
      <c r="O41" s="769">
        <v>0</v>
      </c>
      <c r="P41" s="769">
        <v>57421.875</v>
      </c>
      <c r="Q41" s="769">
        <v>16078.125000000002</v>
      </c>
      <c r="R41" s="769">
        <v>41343.75</v>
      </c>
      <c r="S41" s="769">
        <v>41343.75</v>
      </c>
      <c r="T41" s="769">
        <v>0</v>
      </c>
      <c r="U41" s="769">
        <v>0</v>
      </c>
      <c r="V41" s="769">
        <v>41343.75</v>
      </c>
      <c r="W41" s="769">
        <v>41343.75</v>
      </c>
      <c r="AC41" s="386"/>
      <c r="AD41" s="386"/>
      <c r="AE41" s="386"/>
      <c r="AF41" s="386"/>
      <c r="AG41" s="386"/>
      <c r="AH41" s="386"/>
      <c r="AI41" s="386"/>
      <c r="AJ41" s="386"/>
      <c r="AK41" s="386"/>
      <c r="AL41" s="386"/>
      <c r="AM41" s="386"/>
      <c r="AN41" s="386"/>
      <c r="AO41" s="386"/>
      <c r="AP41" s="386"/>
      <c r="AQ41" s="386"/>
    </row>
    <row r="42" spans="11:43">
      <c r="K42" s="668">
        <v>2025</v>
      </c>
      <c r="L42" s="769">
        <v>1519382.8125000002</v>
      </c>
      <c r="M42" s="769">
        <v>1447031.2500000002</v>
      </c>
      <c r="N42" s="769">
        <v>72351.5625</v>
      </c>
      <c r="O42" s="769">
        <v>0</v>
      </c>
      <c r="P42" s="769">
        <v>72351.5625</v>
      </c>
      <c r="Q42" s="769">
        <v>20258.437500000004</v>
      </c>
      <c r="R42" s="769">
        <v>52093.125</v>
      </c>
      <c r="S42" s="769">
        <v>52093.125</v>
      </c>
      <c r="T42" s="769">
        <v>0</v>
      </c>
      <c r="U42" s="769">
        <v>0</v>
      </c>
      <c r="V42" s="769">
        <v>52093.125</v>
      </c>
      <c r="W42" s="769">
        <v>52093.125</v>
      </c>
      <c r="AC42" s="386"/>
      <c r="AD42" s="386"/>
      <c r="AE42" s="386"/>
      <c r="AF42" s="386"/>
      <c r="AG42" s="386"/>
      <c r="AH42" s="386"/>
      <c r="AI42" s="386"/>
      <c r="AJ42" s="386"/>
      <c r="AK42" s="386"/>
      <c r="AL42" s="386"/>
      <c r="AM42" s="386"/>
      <c r="AN42" s="386"/>
      <c r="AO42" s="386"/>
      <c r="AP42" s="386"/>
      <c r="AQ42" s="386"/>
    </row>
    <row r="43" spans="11:43">
      <c r="K43" s="668">
        <v>2026</v>
      </c>
      <c r="L43" s="769">
        <v>1595351.953125</v>
      </c>
      <c r="M43" s="769">
        <v>1519382.8125</v>
      </c>
      <c r="N43" s="769">
        <v>75969.140625</v>
      </c>
      <c r="O43" s="769">
        <v>0</v>
      </c>
      <c r="P43" s="769">
        <v>75969.140625</v>
      </c>
      <c r="Q43" s="769">
        <v>21271.359375000004</v>
      </c>
      <c r="R43" s="769">
        <v>54697.78125</v>
      </c>
      <c r="S43" s="769">
        <v>54697.78125</v>
      </c>
      <c r="T43" s="769">
        <v>0</v>
      </c>
      <c r="U43" s="769">
        <v>0</v>
      </c>
      <c r="V43" s="769">
        <v>54697.78125</v>
      </c>
      <c r="W43" s="769">
        <v>54697.78125</v>
      </c>
      <c r="AC43" s="386"/>
      <c r="AD43" s="386"/>
      <c r="AE43" s="386"/>
      <c r="AF43" s="386"/>
      <c r="AG43" s="386"/>
      <c r="AH43" s="386"/>
      <c r="AI43" s="386"/>
      <c r="AJ43" s="386"/>
      <c r="AK43" s="386"/>
      <c r="AL43" s="386"/>
      <c r="AM43" s="386"/>
      <c r="AN43" s="386"/>
      <c r="AO43" s="386"/>
      <c r="AP43" s="386"/>
      <c r="AQ43" s="386"/>
    </row>
    <row r="44" spans="11:43">
      <c r="K44" s="668">
        <v>2027</v>
      </c>
      <c r="L44" s="769">
        <v>1675119.5507812502</v>
      </c>
      <c r="M44" s="769">
        <v>1595351.9531250002</v>
      </c>
      <c r="N44" s="769">
        <v>79767.59765625</v>
      </c>
      <c r="O44" s="769">
        <v>0</v>
      </c>
      <c r="P44" s="769">
        <v>79767.59765625</v>
      </c>
      <c r="Q44" s="769">
        <v>22334.927343750001</v>
      </c>
      <c r="R44" s="769">
        <v>57432.670312499999</v>
      </c>
      <c r="S44" s="769">
        <v>57432.670312499999</v>
      </c>
      <c r="T44" s="769">
        <v>0</v>
      </c>
      <c r="U44" s="769">
        <v>0</v>
      </c>
      <c r="V44" s="769">
        <v>57432.670312499999</v>
      </c>
      <c r="W44" s="769">
        <v>57432.670312499999</v>
      </c>
      <c r="AC44" s="386"/>
      <c r="AD44" s="386"/>
      <c r="AE44" s="386"/>
      <c r="AF44" s="386"/>
      <c r="AG44" s="386"/>
      <c r="AH44" s="386"/>
      <c r="AI44" s="386"/>
      <c r="AJ44" s="386"/>
      <c r="AK44" s="386"/>
      <c r="AL44" s="386"/>
      <c r="AM44" s="386"/>
      <c r="AN44" s="386"/>
      <c r="AO44" s="386"/>
      <c r="AP44" s="386"/>
      <c r="AQ44" s="386"/>
    </row>
    <row r="45" spans="11:43">
      <c r="AC45" s="386"/>
      <c r="AD45" s="386"/>
      <c r="AE45" s="386"/>
      <c r="AF45" s="386"/>
      <c r="AG45" s="386"/>
      <c r="AH45" s="386"/>
      <c r="AI45" s="386"/>
      <c r="AJ45" s="386"/>
      <c r="AK45" s="386"/>
      <c r="AL45" s="386"/>
      <c r="AM45" s="386"/>
      <c r="AN45" s="386"/>
      <c r="AO45" s="386"/>
      <c r="AP45" s="386"/>
      <c r="AQ45" s="386"/>
    </row>
    <row r="46" spans="11:43">
      <c r="K46" s="780" t="s">
        <v>2869</v>
      </c>
      <c r="L46" s="781">
        <v>0</v>
      </c>
      <c r="M46" s="765" t="s">
        <v>55</v>
      </c>
      <c r="N46" s="106" t="s">
        <v>2870</v>
      </c>
      <c r="O46" s="782">
        <v>0.11300000000000021</v>
      </c>
      <c r="P46" s="765" t="s">
        <v>55</v>
      </c>
      <c r="Q46" s="805"/>
      <c r="R46" s="805"/>
      <c r="S46" s="805"/>
      <c r="T46" s="805"/>
      <c r="U46" s="804" t="s">
        <v>2890</v>
      </c>
      <c r="V46" s="715"/>
      <c r="W46" s="765" t="str">
        <f>IF(V46="","",IF(NOT(ISNUMBER(V46)),"ERROR",IF(AND(INT(V46)=V46,V46&gt;=143,V46&lt;=209),"","ERROR")))</f>
        <v/>
      </c>
      <c r="AC46" s="386"/>
      <c r="AD46" s="386"/>
      <c r="AE46" s="386"/>
      <c r="AF46" s="386"/>
      <c r="AG46" s="386"/>
      <c r="AH46" s="386"/>
      <c r="AI46" s="386"/>
      <c r="AJ46" s="386"/>
      <c r="AK46" s="386"/>
      <c r="AL46" s="386"/>
      <c r="AM46" s="386"/>
      <c r="AN46" s="386"/>
      <c r="AO46" s="386"/>
      <c r="AP46" s="386"/>
      <c r="AQ46" s="386"/>
    </row>
    <row r="47" spans="11:43">
      <c r="K47" s="787" t="s">
        <v>3200</v>
      </c>
      <c r="L47" s="781">
        <v>0</v>
      </c>
      <c r="M47" s="765" t="s">
        <v>55</v>
      </c>
      <c r="O47" s="6"/>
      <c r="V47" s="707"/>
      <c r="AC47" s="386"/>
      <c r="AD47" s="386"/>
      <c r="AE47" s="386"/>
      <c r="AF47" s="386"/>
      <c r="AG47" s="386"/>
      <c r="AH47" s="386"/>
      <c r="AI47" s="386"/>
      <c r="AJ47" s="386"/>
      <c r="AK47" s="386"/>
      <c r="AL47" s="386"/>
      <c r="AM47" s="386"/>
      <c r="AN47" s="386"/>
      <c r="AO47" s="386"/>
      <c r="AP47" s="386"/>
      <c r="AQ47" s="386"/>
    </row>
    <row r="48" spans="11:43">
      <c r="K48" s="787" t="s">
        <v>2877</v>
      </c>
      <c r="L48" s="781">
        <v>0</v>
      </c>
      <c r="M48" s="765" t="s">
        <v>55</v>
      </c>
      <c r="N48" s="106" t="s">
        <v>13</v>
      </c>
      <c r="O48" s="781">
        <v>168730.45365412379</v>
      </c>
      <c r="P48" s="765" t="s">
        <v>55</v>
      </c>
      <c r="AC48" s="386"/>
      <c r="AD48" s="386"/>
      <c r="AE48" s="386"/>
      <c r="AF48" s="386"/>
      <c r="AG48" s="386"/>
      <c r="AH48" s="386"/>
      <c r="AI48" s="386"/>
      <c r="AJ48" s="386"/>
      <c r="AK48" s="386"/>
      <c r="AL48" s="386"/>
      <c r="AM48" s="386"/>
      <c r="AN48" s="386"/>
      <c r="AO48" s="386"/>
      <c r="AP48" s="386"/>
      <c r="AQ48" s="386"/>
    </row>
    <row r="49" spans="11:43">
      <c r="K49" s="787" t="s">
        <v>2882</v>
      </c>
      <c r="L49" s="781">
        <v>0</v>
      </c>
      <c r="M49" s="765" t="s">
        <v>55</v>
      </c>
      <c r="AC49" s="386"/>
      <c r="AD49" s="386"/>
      <c r="AE49" s="386"/>
      <c r="AF49" s="386"/>
      <c r="AG49" s="386"/>
      <c r="AH49" s="386"/>
      <c r="AI49" s="386"/>
      <c r="AJ49" s="386"/>
      <c r="AK49" s="386"/>
      <c r="AL49" s="386"/>
      <c r="AM49" s="386"/>
      <c r="AN49" s="386"/>
      <c r="AO49" s="386"/>
      <c r="AP49" s="386"/>
      <c r="AQ49" s="386"/>
    </row>
    <row r="50" spans="11:43">
      <c r="O50" s="8" t="str">
        <f>IF(AND(NOT(V46=""),W46=""),CONCATENATE(VLOOKUP(V46,$K$156:$P$364,2,FALSE)),"")</f>
        <v/>
      </c>
      <c r="P50" s="793" t="str">
        <f>IF(AND(NOT(V46=""),W46=""),CONCATENATE("=",VLOOKUP(V46,$K$156:$P$364,6,FALSE)),"")</f>
        <v/>
      </c>
      <c r="AC50" s="386"/>
      <c r="AD50" s="386"/>
      <c r="AE50" s="386"/>
      <c r="AF50" s="386"/>
      <c r="AG50" s="386"/>
      <c r="AH50" s="386"/>
      <c r="AI50" s="386"/>
      <c r="AJ50" s="386"/>
      <c r="AK50" s="386"/>
      <c r="AL50" s="386"/>
      <c r="AM50" s="386"/>
      <c r="AN50" s="386"/>
      <c r="AO50" s="386"/>
      <c r="AP50" s="386"/>
      <c r="AQ50" s="386"/>
    </row>
    <row r="51" spans="11:43">
      <c r="P51" s="793" t="str">
        <f>IF(AND(NOT(V46=""),W46=""),CONCATENATE("=",VLOOKUP(V46,$K$156:$P$364,4,FALSE)),"")</f>
        <v/>
      </c>
      <c r="AC51" s="386"/>
      <c r="AD51" s="386"/>
      <c r="AE51" s="386"/>
      <c r="AF51" s="386"/>
      <c r="AG51" s="386"/>
      <c r="AH51" s="386"/>
      <c r="AI51" s="386"/>
      <c r="AJ51" s="386"/>
      <c r="AK51" s="386"/>
      <c r="AL51" s="386"/>
      <c r="AM51" s="386"/>
      <c r="AN51" s="386"/>
      <c r="AO51" s="386"/>
      <c r="AP51" s="386"/>
      <c r="AQ51" s="386"/>
    </row>
    <row r="55" spans="11:43" s="132" customFormat="1" ht="15" customHeight="1"/>
    <row r="56" spans="11:43" s="132" customFormat="1" ht="15" customHeight="1"/>
    <row r="57" spans="11:43" s="806" customFormat="1" ht="15" customHeight="1"/>
    <row r="58" spans="11:43" s="806" customFormat="1" ht="15" customHeight="1"/>
    <row r="59" spans="11:43" s="806" customFormat="1" ht="15" customHeight="1"/>
    <row r="60" spans="11:43" s="806" customFormat="1" ht="15" customHeight="1"/>
    <row r="61" spans="11:43" s="806" customFormat="1" ht="15" customHeight="1"/>
    <row r="62" spans="11:43" s="806" customFormat="1" ht="15" hidden="1" customHeight="1"/>
    <row r="63" spans="11:43" s="328" customFormat="1" ht="0.65" hidden="1" customHeight="1"/>
    <row r="64" spans="11:43" s="328" customFormat="1" ht="0.65" hidden="1" customHeight="1"/>
    <row r="65" s="328" customFormat="1" ht="0.65" hidden="1" customHeight="1"/>
    <row r="66" s="328" customFormat="1" ht="0.65" hidden="1" customHeight="1"/>
    <row r="67" s="328" customFormat="1" ht="0.65" hidden="1" customHeight="1"/>
    <row r="68" s="328" customFormat="1" ht="0.65" hidden="1" customHeight="1"/>
    <row r="69" s="328" customFormat="1" ht="0.65" hidden="1" customHeight="1"/>
    <row r="70" s="328" customFormat="1" ht="0.65" hidden="1" customHeight="1"/>
    <row r="71" s="328" customFormat="1" ht="0.65" hidden="1" customHeight="1"/>
    <row r="72" s="328" customFormat="1" ht="0.65" hidden="1" customHeight="1"/>
    <row r="73" s="328" customFormat="1" ht="0.65" hidden="1" customHeight="1"/>
    <row r="74" s="328" customFormat="1" ht="0.65" hidden="1" customHeight="1"/>
    <row r="75" s="328" customFormat="1" ht="0.65" hidden="1" customHeight="1"/>
    <row r="76" s="328" customFormat="1" ht="0.65" hidden="1" customHeight="1"/>
    <row r="77" s="328" customFormat="1" ht="0.65" hidden="1" customHeight="1"/>
    <row r="78" s="328" customFormat="1" ht="0.65" hidden="1" customHeight="1"/>
    <row r="79" s="328" customFormat="1" ht="0.65" hidden="1" customHeight="1"/>
    <row r="80" s="328" customFormat="1" ht="0.65" hidden="1" customHeight="1"/>
    <row r="81" s="328" customFormat="1" ht="0.65" hidden="1" customHeight="1"/>
    <row r="82" s="328" customFormat="1" ht="0.65" hidden="1" customHeight="1"/>
    <row r="83" s="328" customFormat="1" ht="0.65" hidden="1" customHeight="1"/>
    <row r="84" s="328" customFormat="1" ht="0.65" hidden="1" customHeight="1"/>
    <row r="85" s="328" customFormat="1" ht="0.65" hidden="1" customHeight="1"/>
    <row r="86" s="328" customFormat="1" ht="0.65" hidden="1" customHeight="1"/>
    <row r="87" s="328" customFormat="1" ht="0.65" hidden="1" customHeight="1"/>
    <row r="88" s="328" customFormat="1" ht="0.65" hidden="1" customHeight="1"/>
    <row r="89" s="328" customFormat="1" ht="0.65" hidden="1" customHeight="1"/>
    <row r="90" s="328" customFormat="1" ht="0.65" hidden="1" customHeight="1"/>
    <row r="91" s="328" customFormat="1" ht="0.65" hidden="1" customHeight="1"/>
    <row r="92" s="328" customFormat="1" ht="0.65" hidden="1" customHeight="1"/>
    <row r="93" s="328" customFormat="1" ht="0.65" hidden="1" customHeight="1"/>
    <row r="94" s="328" customFormat="1" ht="0.65" hidden="1" customHeight="1"/>
    <row r="95" s="328" customFormat="1" ht="0.65" hidden="1" customHeight="1"/>
    <row r="96" s="328" customFormat="1" ht="0.65" hidden="1" customHeight="1"/>
    <row r="97" s="328" customFormat="1" ht="0.65" hidden="1" customHeight="1"/>
    <row r="98" s="328" customFormat="1" ht="0.65" hidden="1" customHeight="1"/>
    <row r="99" s="328" customFormat="1" ht="0.65" hidden="1" customHeight="1"/>
    <row r="100" s="328" customFormat="1" ht="0.65" hidden="1" customHeight="1"/>
    <row r="101" s="328" customFormat="1" ht="0.65" hidden="1" customHeight="1"/>
    <row r="102" s="328" customFormat="1" ht="0.65" hidden="1" customHeight="1"/>
    <row r="103" s="328" customFormat="1" ht="0.65" hidden="1" customHeight="1"/>
    <row r="104" s="328" customFormat="1" ht="0.65" hidden="1" customHeight="1"/>
    <row r="105" s="328" customFormat="1" ht="0.65" hidden="1" customHeight="1"/>
    <row r="106" s="328" customFormat="1" ht="0.65" hidden="1" customHeight="1"/>
    <row r="107" s="328" customFormat="1" ht="0.65" hidden="1" customHeight="1"/>
    <row r="108" s="328" customFormat="1" ht="0.65" hidden="1" customHeight="1"/>
    <row r="109" s="328" customFormat="1" ht="0.65" hidden="1" customHeight="1"/>
    <row r="110" s="328" customFormat="1" ht="0.65" hidden="1" customHeight="1"/>
    <row r="111" s="328" customFormat="1" ht="0.65" hidden="1" customHeight="1"/>
    <row r="112" s="328" customFormat="1" ht="0.65" hidden="1" customHeight="1"/>
    <row r="113" s="328" customFormat="1" ht="0.65" hidden="1" customHeight="1"/>
    <row r="114" s="328" customFormat="1" ht="0.65" hidden="1" customHeight="1"/>
    <row r="115" s="328" customFormat="1" ht="0.65" hidden="1" customHeight="1"/>
    <row r="116" s="328" customFormat="1" ht="0.65" hidden="1" customHeight="1"/>
    <row r="117" s="328" customFormat="1" ht="0.65" hidden="1" customHeight="1"/>
    <row r="118" s="328" customFormat="1" ht="0.65" hidden="1" customHeight="1"/>
    <row r="119" s="328" customFormat="1" ht="0.65" hidden="1" customHeight="1"/>
    <row r="120" s="328" customFormat="1" ht="0.65" hidden="1" customHeight="1"/>
    <row r="121" s="328" customFormat="1" ht="0.65" hidden="1" customHeight="1"/>
    <row r="122" s="328" customFormat="1" ht="0.65" hidden="1" customHeight="1"/>
    <row r="123" s="328" customFormat="1" ht="0.65" hidden="1" customHeight="1"/>
    <row r="124" s="328" customFormat="1" ht="0.65" hidden="1" customHeight="1"/>
    <row r="125" s="328" customFormat="1" ht="0.65" hidden="1" customHeight="1"/>
    <row r="126" s="328" customFormat="1" ht="0.65" hidden="1" customHeight="1"/>
    <row r="127" s="328" customFormat="1" ht="0.65" hidden="1" customHeight="1"/>
    <row r="128" s="328" customFormat="1" ht="0.65" hidden="1" customHeight="1"/>
    <row r="129" s="328" customFormat="1" ht="0.65" hidden="1" customHeight="1"/>
    <row r="130" s="328" customFormat="1" ht="0.65" hidden="1" customHeight="1"/>
    <row r="131" s="328" customFormat="1" ht="0.65" hidden="1" customHeight="1"/>
    <row r="132" s="328" customFormat="1" ht="0.65" hidden="1" customHeight="1"/>
    <row r="133" s="328" customFormat="1" ht="0.65" hidden="1" customHeight="1"/>
    <row r="134" s="328" customFormat="1" ht="0.65" hidden="1" customHeight="1"/>
    <row r="135" s="328" customFormat="1" ht="0.65" hidden="1" customHeight="1"/>
    <row r="136" s="328" customFormat="1" ht="0.65" hidden="1" customHeight="1"/>
    <row r="137" s="328" customFormat="1" ht="0.65" hidden="1" customHeight="1"/>
    <row r="138" s="328" customFormat="1" ht="0.65" hidden="1" customHeight="1"/>
    <row r="139" s="328" customFormat="1" ht="0.65" hidden="1" customHeight="1"/>
    <row r="140" s="328" customFormat="1" ht="0.65" hidden="1" customHeight="1"/>
    <row r="141" s="328" customFormat="1" ht="0.65" hidden="1" customHeight="1"/>
    <row r="142" s="328" customFormat="1" ht="0.65" hidden="1" customHeight="1"/>
    <row r="143" s="328" customFormat="1" ht="0.65" hidden="1" customHeight="1"/>
    <row r="144" s="328" customFormat="1" ht="0.65" hidden="1" customHeight="1"/>
    <row r="145" spans="10:16" s="328" customFormat="1" ht="0.65" hidden="1" customHeight="1"/>
    <row r="146" spans="10:16" s="328" customFormat="1" ht="0.65" hidden="1" customHeight="1"/>
    <row r="147" spans="10:16" s="328" customFormat="1" ht="0.65" hidden="1" customHeight="1"/>
    <row r="148" spans="10:16" s="328" customFormat="1" ht="0.65" hidden="1" customHeight="1"/>
    <row r="149" spans="10:16" s="328" customFormat="1" ht="0.65" hidden="1" customHeight="1"/>
    <row r="150" spans="10:16" s="328" customFormat="1" ht="0.65" hidden="1" customHeight="1"/>
    <row r="151" spans="10:16" s="328" customFormat="1" ht="0.65" hidden="1" customHeight="1"/>
    <row r="152" spans="10:16" s="328" customFormat="1" ht="0.65" hidden="1" customHeight="1"/>
    <row r="153" spans="10:16" s="328" customFormat="1" ht="0.65" hidden="1" customHeight="1"/>
    <row r="154" spans="10:16" s="328" customFormat="1" ht="0.65" hidden="1" customHeight="1"/>
    <row r="155" spans="10:16" s="328" customFormat="1" ht="0.65" hidden="1" customHeight="1"/>
    <row r="156" spans="10:16" s="328" customFormat="1" ht="0.65" hidden="1" customHeight="1">
      <c r="J156" s="328">
        <v>1</v>
      </c>
      <c r="K156" s="328">
        <v>1</v>
      </c>
      <c r="L156" s="807" t="s">
        <v>2891</v>
      </c>
      <c r="M156" s="808">
        <v>2100000</v>
      </c>
      <c r="N156" s="807" t="s">
        <v>2892</v>
      </c>
      <c r="P156" s="328" t="s">
        <v>2893</v>
      </c>
    </row>
    <row r="157" spans="10:16" s="328" customFormat="1" ht="0.65" hidden="1" customHeight="1">
      <c r="J157" s="328">
        <v>2</v>
      </c>
      <c r="K157" s="328">
        <v>2</v>
      </c>
      <c r="L157" s="807" t="s">
        <v>2894</v>
      </c>
      <c r="M157" s="808">
        <v>2756250</v>
      </c>
      <c r="N157" s="328" t="s">
        <v>2895</v>
      </c>
      <c r="P157" s="328" t="s">
        <v>2896</v>
      </c>
    </row>
    <row r="158" spans="10:16" s="328" customFormat="1" ht="0.65" hidden="1" customHeight="1">
      <c r="J158" s="328">
        <v>3</v>
      </c>
      <c r="K158" s="328">
        <v>3</v>
      </c>
      <c r="L158" s="807" t="s">
        <v>2897</v>
      </c>
      <c r="M158" s="808">
        <v>3472875.0000000005</v>
      </c>
      <c r="N158" s="328" t="s">
        <v>2898</v>
      </c>
      <c r="P158" s="328" t="s">
        <v>2899</v>
      </c>
    </row>
    <row r="159" spans="10:16" s="328" customFormat="1" ht="0.65" hidden="1" customHeight="1">
      <c r="J159" s="328">
        <v>4</v>
      </c>
      <c r="K159" s="328">
        <v>4</v>
      </c>
      <c r="L159" s="807" t="s">
        <v>2900</v>
      </c>
      <c r="M159" s="808">
        <v>3646518.75</v>
      </c>
      <c r="N159" s="328" t="s">
        <v>2901</v>
      </c>
      <c r="P159" s="328" t="s">
        <v>2902</v>
      </c>
    </row>
    <row r="160" spans="10:16" s="328" customFormat="1" ht="0.65" hidden="1" customHeight="1">
      <c r="J160" s="328">
        <v>5</v>
      </c>
      <c r="K160" s="328">
        <v>5</v>
      </c>
      <c r="L160" s="807" t="s">
        <v>2903</v>
      </c>
      <c r="M160" s="808">
        <v>3828844.6875000005</v>
      </c>
      <c r="N160" s="328" t="s">
        <v>2904</v>
      </c>
      <c r="P160" s="328" t="s">
        <v>2905</v>
      </c>
    </row>
    <row r="161" spans="10:16" s="328" customFormat="1" ht="0.65" hidden="1" customHeight="1">
      <c r="J161" s="328">
        <v>1</v>
      </c>
      <c r="K161" s="328">
        <v>6</v>
      </c>
      <c r="L161" s="807" t="s">
        <v>2906</v>
      </c>
      <c r="M161" s="808">
        <v>1802500</v>
      </c>
      <c r="N161" s="328" t="s">
        <v>2907</v>
      </c>
      <c r="P161" s="328" t="s">
        <v>2908</v>
      </c>
    </row>
    <row r="162" spans="10:16" s="328" customFormat="1" ht="0.65" hidden="1" customHeight="1">
      <c r="J162" s="328">
        <v>2</v>
      </c>
      <c r="K162" s="328">
        <v>7</v>
      </c>
      <c r="L162" s="807" t="s">
        <v>2909</v>
      </c>
      <c r="M162" s="808">
        <v>2352000</v>
      </c>
      <c r="N162" s="328" t="s">
        <v>2910</v>
      </c>
      <c r="P162" s="328" t="s">
        <v>2911</v>
      </c>
    </row>
    <row r="163" spans="10:16" s="328" customFormat="1" ht="0.65" hidden="1" customHeight="1">
      <c r="J163" s="328">
        <v>3</v>
      </c>
      <c r="K163" s="328">
        <v>8</v>
      </c>
      <c r="L163" s="807" t="s">
        <v>2912</v>
      </c>
      <c r="M163" s="808">
        <v>2951943.7500000005</v>
      </c>
      <c r="N163" s="328" t="s">
        <v>2913</v>
      </c>
      <c r="P163" s="328" t="s">
        <v>2914</v>
      </c>
    </row>
    <row r="164" spans="10:16" s="328" customFormat="1" ht="0.65" hidden="1" customHeight="1">
      <c r="J164" s="328">
        <v>4</v>
      </c>
      <c r="K164" s="328">
        <v>9</v>
      </c>
      <c r="L164" s="807" t="s">
        <v>2915</v>
      </c>
      <c r="M164" s="808">
        <v>3099540.9375</v>
      </c>
      <c r="N164" s="328" t="s">
        <v>2916</v>
      </c>
      <c r="P164" s="328" t="s">
        <v>2917</v>
      </c>
    </row>
    <row r="165" spans="10:16" s="328" customFormat="1" ht="0.65" hidden="1" customHeight="1">
      <c r="J165" s="328">
        <v>5</v>
      </c>
      <c r="K165" s="328">
        <v>10</v>
      </c>
      <c r="L165" s="807" t="s">
        <v>2918</v>
      </c>
      <c r="M165" s="808">
        <v>3254517.9843750005</v>
      </c>
      <c r="N165" s="328" t="s">
        <v>2919</v>
      </c>
      <c r="P165" s="328" t="s">
        <v>2920</v>
      </c>
    </row>
    <row r="166" spans="10:16" s="328" customFormat="1" ht="0.65" hidden="1" customHeight="1">
      <c r="K166" s="328">
        <v>11</v>
      </c>
      <c r="L166" s="807" t="s">
        <v>2921</v>
      </c>
      <c r="M166" s="808">
        <v>297500</v>
      </c>
      <c r="N166" s="328" t="s">
        <v>2922</v>
      </c>
      <c r="P166" s="328" t="s">
        <v>2923</v>
      </c>
    </row>
    <row r="167" spans="10:16" s="328" customFormat="1" ht="0.65" hidden="1" customHeight="1">
      <c r="K167" s="328">
        <v>12</v>
      </c>
      <c r="L167" s="807" t="s">
        <v>2924</v>
      </c>
      <c r="M167" s="808">
        <v>404250</v>
      </c>
      <c r="N167" s="328" t="s">
        <v>2925</v>
      </c>
      <c r="P167" s="328" t="s">
        <v>2926</v>
      </c>
    </row>
    <row r="168" spans="10:16" s="328" customFormat="1" ht="0.65" hidden="1" customHeight="1">
      <c r="K168" s="328">
        <v>13</v>
      </c>
      <c r="L168" s="807" t="s">
        <v>2927</v>
      </c>
      <c r="M168" s="808">
        <v>520931.25</v>
      </c>
      <c r="N168" s="328" t="s">
        <v>2928</v>
      </c>
      <c r="P168" s="328" t="s">
        <v>2929</v>
      </c>
    </row>
    <row r="169" spans="10:16" s="328" customFormat="1" ht="0.65" hidden="1" customHeight="1">
      <c r="K169" s="328">
        <v>14</v>
      </c>
      <c r="L169" s="807" t="s">
        <v>2930</v>
      </c>
      <c r="M169" s="808">
        <v>546977.8125</v>
      </c>
      <c r="N169" s="328" t="s">
        <v>2931</v>
      </c>
      <c r="P169" s="328" t="s">
        <v>2932</v>
      </c>
    </row>
    <row r="170" spans="10:16" s="328" customFormat="1" ht="0.65" hidden="1" customHeight="1">
      <c r="K170" s="328">
        <v>15</v>
      </c>
      <c r="L170" s="807" t="s">
        <v>2933</v>
      </c>
      <c r="M170" s="808">
        <v>574326.703125</v>
      </c>
      <c r="N170" s="328" t="s">
        <v>2934</v>
      </c>
      <c r="P170" s="328" t="s">
        <v>2935</v>
      </c>
    </row>
    <row r="171" spans="10:16" s="328" customFormat="1" ht="0.65" hidden="1" customHeight="1">
      <c r="K171" s="328">
        <v>16</v>
      </c>
      <c r="L171" s="807" t="s">
        <v>2936</v>
      </c>
      <c r="M171" s="808">
        <v>25000</v>
      </c>
      <c r="N171" s="328" t="s">
        <v>2937</v>
      </c>
      <c r="P171" s="328" t="s">
        <v>2938</v>
      </c>
    </row>
    <row r="172" spans="10:16" s="328" customFormat="1" ht="0.65" hidden="1" customHeight="1">
      <c r="K172" s="328">
        <v>17</v>
      </c>
      <c r="L172" s="807" t="s">
        <v>2939</v>
      </c>
      <c r="M172" s="808">
        <v>25000</v>
      </c>
      <c r="N172" s="328" t="s">
        <v>2937</v>
      </c>
      <c r="P172" s="328" t="s">
        <v>2938</v>
      </c>
    </row>
    <row r="173" spans="10:16" s="328" customFormat="1" ht="0.65" hidden="1" customHeight="1">
      <c r="K173" s="328">
        <v>18</v>
      </c>
      <c r="L173" s="807" t="s">
        <v>2940</v>
      </c>
      <c r="M173" s="808">
        <v>25000</v>
      </c>
      <c r="N173" s="328" t="s">
        <v>2937</v>
      </c>
      <c r="P173" s="328" t="s">
        <v>2938</v>
      </c>
    </row>
    <row r="174" spans="10:16" s="328" customFormat="1" ht="0.65" hidden="1" customHeight="1">
      <c r="K174" s="328">
        <v>19</v>
      </c>
      <c r="L174" s="807" t="s">
        <v>2941</v>
      </c>
      <c r="M174" s="808">
        <v>25000</v>
      </c>
      <c r="N174" s="328" t="s">
        <v>2937</v>
      </c>
      <c r="P174" s="328" t="s">
        <v>2938</v>
      </c>
    </row>
    <row r="175" spans="10:16" s="328" customFormat="1" ht="0.65" hidden="1" customHeight="1">
      <c r="K175" s="328">
        <v>20</v>
      </c>
      <c r="L175" s="807" t="s">
        <v>2942</v>
      </c>
      <c r="M175" s="808">
        <v>25000</v>
      </c>
      <c r="N175" s="328" t="s">
        <v>2937</v>
      </c>
      <c r="P175" s="328" t="s">
        <v>2938</v>
      </c>
    </row>
    <row r="176" spans="10:16" s="328" customFormat="1" ht="0.65" hidden="1" customHeight="1">
      <c r="K176" s="328">
        <v>21</v>
      </c>
      <c r="L176" s="807" t="s">
        <v>2943</v>
      </c>
      <c r="M176" s="808">
        <v>272500</v>
      </c>
      <c r="N176" s="328" t="s">
        <v>2944</v>
      </c>
      <c r="P176" s="328" t="s">
        <v>2945</v>
      </c>
    </row>
    <row r="177" spans="11:16" s="328" customFormat="1" ht="0.65" hidden="1" customHeight="1">
      <c r="K177" s="328">
        <v>22</v>
      </c>
      <c r="L177" s="807" t="s">
        <v>2946</v>
      </c>
      <c r="M177" s="808">
        <v>379250</v>
      </c>
      <c r="N177" s="328" t="s">
        <v>2947</v>
      </c>
      <c r="P177" s="328" t="s">
        <v>2948</v>
      </c>
    </row>
    <row r="178" spans="11:16" s="328" customFormat="1" ht="0.65" hidden="1" customHeight="1">
      <c r="K178" s="328">
        <v>23</v>
      </c>
      <c r="L178" s="807" t="s">
        <v>2949</v>
      </c>
      <c r="M178" s="808">
        <v>495931.25</v>
      </c>
      <c r="N178" s="328" t="s">
        <v>2950</v>
      </c>
      <c r="P178" s="328" t="s">
        <v>2951</v>
      </c>
    </row>
    <row r="179" spans="11:16" s="328" customFormat="1" ht="0.65" hidden="1" customHeight="1">
      <c r="K179" s="328">
        <v>24</v>
      </c>
      <c r="L179" s="807" t="s">
        <v>2952</v>
      </c>
      <c r="M179" s="808">
        <v>521977.8125</v>
      </c>
      <c r="N179" s="328" t="s">
        <v>2953</v>
      </c>
      <c r="P179" s="328" t="s">
        <v>2954</v>
      </c>
    </row>
    <row r="180" spans="11:16" s="328" customFormat="1" ht="0.65" hidden="1" customHeight="1">
      <c r="K180" s="328">
        <v>25</v>
      </c>
      <c r="L180" s="807" t="s">
        <v>2955</v>
      </c>
      <c r="M180" s="808">
        <v>549326.703125</v>
      </c>
      <c r="N180" s="328" t="s">
        <v>2956</v>
      </c>
      <c r="P180" s="328" t="s">
        <v>2957</v>
      </c>
    </row>
    <row r="181" spans="11:16" s="328" customFormat="1" ht="0.65" hidden="1" customHeight="1">
      <c r="K181" s="328">
        <v>26</v>
      </c>
      <c r="L181" s="807" t="s">
        <v>2958</v>
      </c>
      <c r="M181" s="808">
        <v>76300</v>
      </c>
      <c r="N181" s="328" t="s">
        <v>2959</v>
      </c>
      <c r="P181" s="328" t="s">
        <v>2960</v>
      </c>
    </row>
    <row r="182" spans="11:16" s="328" customFormat="1" ht="0.65" hidden="1" customHeight="1">
      <c r="K182" s="328">
        <v>27</v>
      </c>
      <c r="L182" s="807" t="s">
        <v>2961</v>
      </c>
      <c r="M182" s="808">
        <v>106190.00000000001</v>
      </c>
      <c r="N182" s="328" t="s">
        <v>2962</v>
      </c>
      <c r="P182" s="328" t="s">
        <v>2963</v>
      </c>
    </row>
    <row r="183" spans="11:16" s="328" customFormat="1" ht="0.65" hidden="1" customHeight="1">
      <c r="K183" s="328">
        <v>28</v>
      </c>
      <c r="L183" s="807" t="s">
        <v>2964</v>
      </c>
      <c r="M183" s="808">
        <v>138860.75</v>
      </c>
      <c r="N183" s="328" t="s">
        <v>2965</v>
      </c>
      <c r="P183" s="328" t="s">
        <v>2966</v>
      </c>
    </row>
    <row r="184" spans="11:16" s="328" customFormat="1" ht="0.65" hidden="1" customHeight="1">
      <c r="K184" s="328">
        <v>29</v>
      </c>
      <c r="L184" s="807" t="s">
        <v>2967</v>
      </c>
      <c r="M184" s="808">
        <v>146153.78750000001</v>
      </c>
      <c r="N184" s="328" t="s">
        <v>2968</v>
      </c>
      <c r="P184" s="328" t="s">
        <v>2969</v>
      </c>
    </row>
    <row r="185" spans="11:16" s="328" customFormat="1" ht="0.65" hidden="1" customHeight="1">
      <c r="K185" s="328">
        <v>30</v>
      </c>
      <c r="L185" s="807" t="s">
        <v>2970</v>
      </c>
      <c r="M185" s="808">
        <v>153811.47687500002</v>
      </c>
      <c r="N185" s="328" t="s">
        <v>2971</v>
      </c>
      <c r="P185" s="328" t="s">
        <v>2972</v>
      </c>
    </row>
    <row r="186" spans="11:16" s="328" customFormat="1" ht="0.65" hidden="1" customHeight="1">
      <c r="K186" s="328">
        <v>31</v>
      </c>
      <c r="L186" s="807" t="s">
        <v>2973</v>
      </c>
      <c r="M186" s="808">
        <v>196200</v>
      </c>
      <c r="N186" s="328" t="s">
        <v>2974</v>
      </c>
      <c r="P186" s="328" t="s">
        <v>2975</v>
      </c>
    </row>
    <row r="187" spans="11:16" s="328" customFormat="1" ht="0.65" hidden="1" customHeight="1">
      <c r="K187" s="328">
        <v>32</v>
      </c>
      <c r="L187" s="807" t="s">
        <v>2976</v>
      </c>
      <c r="M187" s="808">
        <v>273060</v>
      </c>
      <c r="N187" s="328" t="s">
        <v>2977</v>
      </c>
      <c r="P187" s="328" t="s">
        <v>2978</v>
      </c>
    </row>
    <row r="188" spans="11:16" s="328" customFormat="1" ht="0.65" hidden="1" customHeight="1">
      <c r="K188" s="328">
        <v>33</v>
      </c>
      <c r="L188" s="807" t="s">
        <v>2979</v>
      </c>
      <c r="M188" s="808">
        <v>357070.5</v>
      </c>
      <c r="N188" s="328" t="s">
        <v>2980</v>
      </c>
      <c r="P188" s="328" t="s">
        <v>2981</v>
      </c>
    </row>
    <row r="189" spans="11:16" s="328" customFormat="1" ht="0.65" hidden="1" customHeight="1">
      <c r="K189" s="328">
        <v>34</v>
      </c>
      <c r="L189" s="807" t="s">
        <v>2982</v>
      </c>
      <c r="M189" s="808">
        <v>375824.02500000002</v>
      </c>
      <c r="N189" s="328" t="s">
        <v>2983</v>
      </c>
      <c r="P189" s="328" t="s">
        <v>2984</v>
      </c>
    </row>
    <row r="190" spans="11:16" s="328" customFormat="1" ht="0.65" hidden="1" customHeight="1">
      <c r="K190" s="328">
        <v>35</v>
      </c>
      <c r="L190" s="807" t="s">
        <v>2985</v>
      </c>
      <c r="M190" s="808">
        <v>395515.22624999995</v>
      </c>
      <c r="N190" s="328" t="s">
        <v>2986</v>
      </c>
      <c r="P190" s="328" t="s">
        <v>2987</v>
      </c>
    </row>
    <row r="191" spans="11:16" s="328" customFormat="1" ht="0.65" hidden="1" customHeight="1">
      <c r="K191" s="328">
        <v>36</v>
      </c>
      <c r="L191" s="807" t="s">
        <v>2988</v>
      </c>
      <c r="M191" s="808">
        <v>221200</v>
      </c>
      <c r="N191" s="328" t="s">
        <v>2989</v>
      </c>
      <c r="P191" s="328" t="s">
        <v>2990</v>
      </c>
    </row>
    <row r="192" spans="11:16" s="328" customFormat="1" ht="0.65" hidden="1" customHeight="1">
      <c r="K192" s="328">
        <v>37</v>
      </c>
      <c r="L192" s="807" t="s">
        <v>2991</v>
      </c>
      <c r="M192" s="808">
        <v>298060</v>
      </c>
      <c r="N192" s="328" t="s">
        <v>2992</v>
      </c>
      <c r="P192" s="328" t="s">
        <v>2993</v>
      </c>
    </row>
    <row r="193" spans="10:16" s="328" customFormat="1" ht="0.65" hidden="1" customHeight="1">
      <c r="K193" s="328">
        <v>38</v>
      </c>
      <c r="L193" s="807" t="s">
        <v>2994</v>
      </c>
      <c r="M193" s="808">
        <v>382070.5</v>
      </c>
      <c r="N193" s="328" t="s">
        <v>2995</v>
      </c>
      <c r="P193" s="328" t="s">
        <v>2996</v>
      </c>
    </row>
    <row r="194" spans="10:16" s="328" customFormat="1" ht="0.65" hidden="1" customHeight="1">
      <c r="K194" s="328">
        <v>39</v>
      </c>
      <c r="L194" s="807" t="s">
        <v>2997</v>
      </c>
      <c r="M194" s="808">
        <v>400824.02500000002</v>
      </c>
      <c r="N194" s="328" t="s">
        <v>2998</v>
      </c>
      <c r="P194" s="328" t="s">
        <v>2999</v>
      </c>
    </row>
    <row r="195" spans="10:16" s="328" customFormat="1" ht="0.65" hidden="1" customHeight="1">
      <c r="K195" s="328">
        <v>40</v>
      </c>
      <c r="L195" s="807" t="s">
        <v>3000</v>
      </c>
      <c r="M195" s="808">
        <v>420515.22624999995</v>
      </c>
      <c r="N195" s="328" t="s">
        <v>3001</v>
      </c>
      <c r="P195" s="328" t="s">
        <v>3002</v>
      </c>
    </row>
    <row r="196" spans="10:16" s="328" customFormat="1" ht="0.65" hidden="1" customHeight="1">
      <c r="K196" s="328">
        <v>41</v>
      </c>
      <c r="L196" s="807" t="s">
        <v>3003</v>
      </c>
      <c r="M196" s="808">
        <v>175000</v>
      </c>
      <c r="N196" s="328" t="s">
        <v>3004</v>
      </c>
      <c r="P196" s="328" t="s">
        <v>3005</v>
      </c>
    </row>
    <row r="197" spans="10:16" s="328" customFormat="1" ht="0.65" hidden="1" customHeight="1">
      <c r="K197" s="328">
        <v>42</v>
      </c>
      <c r="L197" s="807" t="s">
        <v>3006</v>
      </c>
      <c r="M197" s="808">
        <v>229687.5</v>
      </c>
      <c r="N197" s="328" t="s">
        <v>3007</v>
      </c>
      <c r="P197" s="328" t="s">
        <v>3008</v>
      </c>
    </row>
    <row r="198" spans="10:16" s="328" customFormat="1" ht="0.65" hidden="1" customHeight="1">
      <c r="K198" s="328">
        <v>43</v>
      </c>
      <c r="L198" s="807" t="s">
        <v>3009</v>
      </c>
      <c r="M198" s="808">
        <v>289406.25000000006</v>
      </c>
      <c r="N198" s="328" t="s">
        <v>3010</v>
      </c>
      <c r="P198" s="328" t="s">
        <v>3011</v>
      </c>
    </row>
    <row r="199" spans="10:16" s="328" customFormat="1" ht="0.65" hidden="1" customHeight="1">
      <c r="K199" s="328">
        <v>44</v>
      </c>
      <c r="L199" s="807" t="s">
        <v>3012</v>
      </c>
      <c r="M199" s="808">
        <v>303876.5625</v>
      </c>
      <c r="N199" s="328" t="s">
        <v>3013</v>
      </c>
      <c r="P199" s="328" t="s">
        <v>3014</v>
      </c>
    </row>
    <row r="200" spans="10:16" s="328" customFormat="1" ht="0.65" hidden="1" customHeight="1">
      <c r="K200" s="328">
        <v>45</v>
      </c>
      <c r="L200" s="807" t="s">
        <v>3015</v>
      </c>
      <c r="M200" s="808">
        <v>319070.39062500006</v>
      </c>
      <c r="N200" s="328" t="s">
        <v>3016</v>
      </c>
      <c r="P200" s="328" t="s">
        <v>3017</v>
      </c>
    </row>
    <row r="201" spans="10:16" s="328" customFormat="1" ht="0.65" hidden="1" customHeight="1">
      <c r="J201" s="328">
        <v>1</v>
      </c>
      <c r="K201" s="328">
        <v>46</v>
      </c>
      <c r="L201" s="807" t="s">
        <v>3018</v>
      </c>
      <c r="M201" s="808">
        <v>175000</v>
      </c>
      <c r="N201" s="328" t="s">
        <v>3019</v>
      </c>
      <c r="P201" s="328" t="s">
        <v>3003</v>
      </c>
    </row>
    <row r="202" spans="10:16" s="328" customFormat="1" ht="0.65" hidden="1" customHeight="1">
      <c r="J202" s="328">
        <v>2</v>
      </c>
      <c r="K202" s="328">
        <v>47</v>
      </c>
      <c r="L202" s="807" t="s">
        <v>3020</v>
      </c>
      <c r="M202" s="808">
        <v>54687.5</v>
      </c>
      <c r="N202" s="328" t="s">
        <v>3021</v>
      </c>
      <c r="P202" s="328" t="s">
        <v>3022</v>
      </c>
    </row>
    <row r="203" spans="10:16" s="328" customFormat="1" ht="0.65" hidden="1" customHeight="1">
      <c r="J203" s="328">
        <v>3</v>
      </c>
      <c r="K203" s="328">
        <v>48</v>
      </c>
      <c r="L203" s="807" t="s">
        <v>3023</v>
      </c>
      <c r="M203" s="808">
        <v>59718.750000000058</v>
      </c>
      <c r="N203" s="328" t="s">
        <v>3024</v>
      </c>
      <c r="P203" s="328" t="s">
        <v>3025</v>
      </c>
    </row>
    <row r="204" spans="10:16" s="328" customFormat="1" ht="0.65" hidden="1" customHeight="1">
      <c r="J204" s="328">
        <v>4</v>
      </c>
      <c r="K204" s="328">
        <v>49</v>
      </c>
      <c r="L204" s="807" t="s">
        <v>3026</v>
      </c>
      <c r="M204" s="808">
        <v>14470.312499999942</v>
      </c>
      <c r="N204" s="328" t="s">
        <v>3027</v>
      </c>
      <c r="P204" s="328" t="s">
        <v>3028</v>
      </c>
    </row>
    <row r="205" spans="10:16" s="328" customFormat="1" ht="0.65" hidden="1" customHeight="1">
      <c r="J205" s="328">
        <v>5</v>
      </c>
      <c r="K205" s="328">
        <v>50</v>
      </c>
      <c r="L205" s="807" t="s">
        <v>3029</v>
      </c>
      <c r="M205" s="808">
        <v>15193.828125000058</v>
      </c>
      <c r="N205" s="328" t="s">
        <v>3030</v>
      </c>
      <c r="P205" s="328" t="s">
        <v>3031</v>
      </c>
    </row>
    <row r="206" spans="10:16" s="328" customFormat="1" ht="0.65" hidden="1" customHeight="1">
      <c r="K206" s="328">
        <v>51</v>
      </c>
      <c r="L206" s="807" t="s">
        <v>3032</v>
      </c>
      <c r="M206" s="808">
        <v>46200</v>
      </c>
      <c r="N206" s="328" t="s">
        <v>3033</v>
      </c>
      <c r="P206" s="328" t="s">
        <v>3034</v>
      </c>
    </row>
    <row r="207" spans="10:16" s="328" customFormat="1" ht="0.65" hidden="1" customHeight="1">
      <c r="K207" s="328">
        <v>52</v>
      </c>
      <c r="L207" s="807" t="s">
        <v>3035</v>
      </c>
      <c r="M207" s="808">
        <v>243372.5</v>
      </c>
      <c r="N207" s="328" t="s">
        <v>3036</v>
      </c>
      <c r="P207" s="328" t="s">
        <v>3037</v>
      </c>
    </row>
    <row r="208" spans="10:16" s="328" customFormat="1" ht="0.65" hidden="1" customHeight="1">
      <c r="K208" s="328">
        <v>53</v>
      </c>
      <c r="L208" s="807" t="s">
        <v>3038</v>
      </c>
      <c r="M208" s="808">
        <v>322351.74999999994</v>
      </c>
      <c r="N208" s="328" t="s">
        <v>3039</v>
      </c>
      <c r="P208" s="328" t="s">
        <v>3040</v>
      </c>
    </row>
    <row r="209" spans="10:16" s="328" customFormat="1" ht="0.65" hidden="1" customHeight="1">
      <c r="K209" s="328">
        <v>54</v>
      </c>
      <c r="L209" s="807" t="s">
        <v>3041</v>
      </c>
      <c r="M209" s="808">
        <v>386353.71250000008</v>
      </c>
      <c r="N209" s="328" t="s">
        <v>3042</v>
      </c>
      <c r="P209" s="328" t="s">
        <v>3043</v>
      </c>
    </row>
    <row r="210" spans="10:16" s="328" customFormat="1" ht="0.65" hidden="1" customHeight="1">
      <c r="K210" s="328">
        <v>55</v>
      </c>
      <c r="L210" s="807" t="s">
        <v>3044</v>
      </c>
      <c r="M210" s="808">
        <v>405321.39812499989</v>
      </c>
      <c r="N210" s="328" t="s">
        <v>3045</v>
      </c>
      <c r="P210" s="328" t="s">
        <v>3046</v>
      </c>
    </row>
    <row r="211" spans="10:16" s="328" customFormat="1" ht="0.65" hidden="1" customHeight="1">
      <c r="K211" s="328">
        <v>56</v>
      </c>
      <c r="L211" s="807" t="s">
        <v>3047</v>
      </c>
      <c r="M211" s="808">
        <v>-250000</v>
      </c>
      <c r="N211" s="328" t="s">
        <v>3048</v>
      </c>
      <c r="P211" s="328" t="s">
        <v>3049</v>
      </c>
    </row>
    <row r="212" spans="10:16" s="328" customFormat="1" ht="0.65" hidden="1" customHeight="1">
      <c r="K212" s="328">
        <v>57</v>
      </c>
      <c r="L212" s="807" t="s">
        <v>3050</v>
      </c>
      <c r="M212" s="808">
        <v>46200</v>
      </c>
      <c r="N212" s="328" t="s">
        <v>3051</v>
      </c>
      <c r="P212" s="328" t="s">
        <v>3032</v>
      </c>
    </row>
    <row r="213" spans="10:16" s="328" customFormat="1" ht="0.65" hidden="1" customHeight="1">
      <c r="K213" s="328">
        <v>58</v>
      </c>
      <c r="L213" s="807" t="s">
        <v>3052</v>
      </c>
      <c r="M213" s="808">
        <v>243372.5</v>
      </c>
      <c r="N213" s="328" t="s">
        <v>3053</v>
      </c>
      <c r="P213" s="328" t="s">
        <v>3035</v>
      </c>
    </row>
    <row r="214" spans="10:16" s="328" customFormat="1" ht="0.65" hidden="1" customHeight="1">
      <c r="K214" s="328">
        <v>59</v>
      </c>
      <c r="L214" s="807" t="s">
        <v>3054</v>
      </c>
      <c r="M214" s="808">
        <v>322351.74999999994</v>
      </c>
      <c r="N214" s="328" t="s">
        <v>3055</v>
      </c>
      <c r="P214" s="328" t="s">
        <v>3038</v>
      </c>
    </row>
    <row r="215" spans="10:16" s="328" customFormat="1" ht="0.65" hidden="1" customHeight="1">
      <c r="K215" s="328">
        <v>60</v>
      </c>
      <c r="L215" s="807" t="s">
        <v>3056</v>
      </c>
      <c r="M215" s="808">
        <v>386353.71250000008</v>
      </c>
      <c r="N215" s="328" t="s">
        <v>3057</v>
      </c>
      <c r="P215" s="328" t="s">
        <v>3041</v>
      </c>
    </row>
    <row r="216" spans="10:16" s="328" customFormat="1" ht="0.65" hidden="1" customHeight="1">
      <c r="K216" s="328">
        <v>61</v>
      </c>
      <c r="L216" s="807" t="s">
        <v>3058</v>
      </c>
      <c r="M216" s="808">
        <v>903391.78874999995</v>
      </c>
      <c r="N216" s="328" t="s">
        <v>3059</v>
      </c>
      <c r="P216" s="328" t="s">
        <v>3060</v>
      </c>
    </row>
    <row r="217" spans="10:16" s="328" customFormat="1" ht="0.65" hidden="1" customHeight="1">
      <c r="K217" s="328">
        <v>62</v>
      </c>
      <c r="L217" s="807" t="s">
        <v>3061</v>
      </c>
      <c r="M217" s="808">
        <v>250000</v>
      </c>
      <c r="N217" s="328" t="s">
        <v>1924</v>
      </c>
      <c r="P217" s="328" t="s">
        <v>2863</v>
      </c>
    </row>
    <row r="218" spans="10:16" s="328" customFormat="1" ht="0.65" hidden="1" customHeight="1">
      <c r="K218" s="328">
        <v>63</v>
      </c>
      <c r="L218" s="807" t="s">
        <v>3062</v>
      </c>
      <c r="M218" s="808">
        <v>179000</v>
      </c>
      <c r="N218" s="328" t="s">
        <v>3063</v>
      </c>
      <c r="P218" s="328" t="s">
        <v>3064</v>
      </c>
    </row>
    <row r="219" spans="10:16" s="328" customFormat="1" ht="0.65" hidden="1" customHeight="1">
      <c r="K219" s="328">
        <v>64</v>
      </c>
      <c r="L219" s="807" t="s">
        <v>3065</v>
      </c>
      <c r="M219" s="808">
        <v>319070.39062500006</v>
      </c>
      <c r="N219" s="328" t="s">
        <v>3066</v>
      </c>
      <c r="P219" s="328" t="s">
        <v>3015</v>
      </c>
    </row>
    <row r="220" spans="10:16" s="328" customFormat="1" ht="0.65" hidden="1" customHeight="1">
      <c r="K220" s="328">
        <v>65</v>
      </c>
      <c r="L220" s="807" t="s">
        <v>3067</v>
      </c>
      <c r="M220" s="808">
        <v>498070.39062500006</v>
      </c>
      <c r="N220" s="328" t="s">
        <v>3068</v>
      </c>
      <c r="P220" s="328" t="s">
        <v>3069</v>
      </c>
    </row>
    <row r="221" spans="10:16" s="328" customFormat="1" ht="0.65" hidden="1" customHeight="1">
      <c r="K221" s="328">
        <v>66</v>
      </c>
      <c r="L221" s="807" t="s">
        <v>2870</v>
      </c>
      <c r="M221" s="808">
        <v>0.11300000000000021</v>
      </c>
      <c r="N221" s="328" t="s">
        <v>3070</v>
      </c>
      <c r="P221" s="328" t="s">
        <v>3071</v>
      </c>
    </row>
    <row r="222" spans="10:16" s="328" customFormat="1" ht="0.65" hidden="1" customHeight="1">
      <c r="K222" s="328">
        <v>67</v>
      </c>
      <c r="L222" s="807" t="s">
        <v>13</v>
      </c>
      <c r="M222" s="808">
        <v>1002475.4744343841</v>
      </c>
      <c r="N222" s="328" t="s">
        <v>3072</v>
      </c>
      <c r="P222" s="328" t="s">
        <v>3073</v>
      </c>
    </row>
    <row r="223" spans="10:16" s="328" customFormat="1" ht="0.65" hidden="1" customHeight="1">
      <c r="J223" s="328">
        <v>0</v>
      </c>
      <c r="K223" s="328">
        <v>68</v>
      </c>
      <c r="L223" s="328" t="s">
        <v>3047</v>
      </c>
      <c r="M223" s="328">
        <v>-250000</v>
      </c>
      <c r="N223" s="328" t="s">
        <v>3074</v>
      </c>
      <c r="P223" s="328" t="s">
        <v>3075</v>
      </c>
    </row>
    <row r="224" spans="10:16" s="328" customFormat="1" ht="0.65" hidden="1" customHeight="1">
      <c r="J224" s="328">
        <v>1</v>
      </c>
      <c r="K224" s="328">
        <v>69</v>
      </c>
      <c r="L224" s="328" t="s">
        <v>3050</v>
      </c>
      <c r="M224" s="328">
        <v>44000</v>
      </c>
      <c r="N224" s="328" t="s">
        <v>3076</v>
      </c>
      <c r="P224" s="328" t="s">
        <v>3077</v>
      </c>
    </row>
    <row r="225" spans="10:16" s="328" customFormat="1" ht="0.65" hidden="1" customHeight="1">
      <c r="J225" s="328">
        <v>2</v>
      </c>
      <c r="K225" s="328">
        <v>70</v>
      </c>
      <c r="L225" s="328" t="s">
        <v>3052</v>
      </c>
      <c r="M225" s="328">
        <v>220746.03174603175</v>
      </c>
      <c r="N225" s="328" t="s">
        <v>3078</v>
      </c>
      <c r="P225" s="328" t="s">
        <v>3079</v>
      </c>
    </row>
    <row r="226" spans="10:16" s="328" customFormat="1" ht="0.65" hidden="1" customHeight="1">
      <c r="J226" s="328">
        <v>3</v>
      </c>
      <c r="K226" s="328">
        <v>71</v>
      </c>
      <c r="L226" s="328" t="s">
        <v>3054</v>
      </c>
      <c r="M226" s="328">
        <v>278459.56160241866</v>
      </c>
      <c r="N226" s="328" t="s">
        <v>3080</v>
      </c>
      <c r="P226" s="328" t="s">
        <v>3081</v>
      </c>
    </row>
    <row r="227" spans="10:16" s="328" customFormat="1" ht="0.65" hidden="1" customHeight="1">
      <c r="J227" s="328">
        <v>4</v>
      </c>
      <c r="K227" s="328">
        <v>72</v>
      </c>
      <c r="L227" s="328" t="s">
        <v>3056</v>
      </c>
      <c r="M227" s="328">
        <v>317854.15541878133</v>
      </c>
      <c r="N227" s="328" t="s">
        <v>3082</v>
      </c>
      <c r="P227" s="328" t="s">
        <v>3083</v>
      </c>
    </row>
    <row r="228" spans="10:16" s="328" customFormat="1" ht="0.65" hidden="1" customHeight="1">
      <c r="J228" s="328">
        <v>5</v>
      </c>
      <c r="K228" s="328">
        <v>73</v>
      </c>
      <c r="L228" s="328" t="s">
        <v>3058</v>
      </c>
      <c r="M228" s="328">
        <v>707831.10505837132</v>
      </c>
      <c r="N228" s="328" t="s">
        <v>3084</v>
      </c>
      <c r="P228" s="328" t="s">
        <v>3085</v>
      </c>
    </row>
    <row r="229" spans="10:16" s="328" customFormat="1" ht="0.65" hidden="1" customHeight="1">
      <c r="K229" s="328">
        <v>74</v>
      </c>
      <c r="L229" s="328" t="s">
        <v>2872</v>
      </c>
      <c r="M229" s="328">
        <v>0.06</v>
      </c>
      <c r="N229" s="328">
        <v>0.06</v>
      </c>
      <c r="P229" s="328" t="s">
        <v>2635</v>
      </c>
    </row>
    <row r="230" spans="10:16" s="328" customFormat="1" ht="0.65" hidden="1" customHeight="1">
      <c r="K230" s="328">
        <v>75</v>
      </c>
      <c r="L230" s="328" t="s">
        <v>13</v>
      </c>
      <c r="M230" s="328">
        <v>1002475.4744343846</v>
      </c>
      <c r="N230" s="328" t="s">
        <v>3086</v>
      </c>
      <c r="P230" s="328" t="s">
        <v>3087</v>
      </c>
    </row>
    <row r="231" spans="10:16" s="328" customFormat="1" ht="0.65" hidden="1" customHeight="1">
      <c r="J231" s="328">
        <v>1</v>
      </c>
      <c r="K231" s="328">
        <v>76</v>
      </c>
      <c r="L231" s="328" t="s">
        <v>2891</v>
      </c>
      <c r="M231" s="328">
        <v>2100000</v>
      </c>
      <c r="N231" s="328" t="s">
        <v>2892</v>
      </c>
      <c r="P231" s="328" t="s">
        <v>2893</v>
      </c>
    </row>
    <row r="232" spans="10:16" s="328" customFormat="1" ht="0.65" hidden="1" customHeight="1">
      <c r="J232" s="328">
        <v>2</v>
      </c>
      <c r="K232" s="328">
        <v>77</v>
      </c>
      <c r="L232" s="328" t="s">
        <v>2894</v>
      </c>
      <c r="M232" s="328">
        <v>2756250</v>
      </c>
      <c r="N232" s="328" t="s">
        <v>2895</v>
      </c>
      <c r="P232" s="328" t="s">
        <v>2896</v>
      </c>
    </row>
    <row r="233" spans="10:16" s="328" customFormat="1" ht="0.65" hidden="1" customHeight="1">
      <c r="J233" s="328">
        <v>3</v>
      </c>
      <c r="K233" s="328">
        <v>78</v>
      </c>
      <c r="L233" s="328" t="s">
        <v>2897</v>
      </c>
      <c r="M233" s="328">
        <v>3472875.0000000005</v>
      </c>
      <c r="N233" s="328" t="s">
        <v>2898</v>
      </c>
      <c r="P233" s="328" t="s">
        <v>2899</v>
      </c>
    </row>
    <row r="234" spans="10:16" s="328" customFormat="1" ht="0.65" hidden="1" customHeight="1">
      <c r="J234" s="328">
        <v>4</v>
      </c>
      <c r="K234" s="328">
        <v>79</v>
      </c>
      <c r="L234" s="328" t="s">
        <v>2900</v>
      </c>
      <c r="M234" s="328">
        <v>3646518.75</v>
      </c>
      <c r="N234" s="328" t="s">
        <v>2901</v>
      </c>
      <c r="P234" s="328" t="s">
        <v>2902</v>
      </c>
    </row>
    <row r="235" spans="10:16" s="328" customFormat="1" ht="0.65" hidden="1" customHeight="1">
      <c r="J235" s="328">
        <v>5</v>
      </c>
      <c r="K235" s="328">
        <v>80</v>
      </c>
      <c r="L235" s="328" t="s">
        <v>2903</v>
      </c>
      <c r="M235" s="328">
        <v>3828844.6875000005</v>
      </c>
      <c r="N235" s="328" t="s">
        <v>2904</v>
      </c>
      <c r="P235" s="328" t="s">
        <v>2905</v>
      </c>
    </row>
    <row r="236" spans="10:16" s="328" customFormat="1" ht="0.65" hidden="1" customHeight="1">
      <c r="J236" s="328">
        <v>1</v>
      </c>
      <c r="K236" s="328">
        <v>81</v>
      </c>
      <c r="L236" s="328" t="s">
        <v>2906</v>
      </c>
      <c r="M236" s="328">
        <v>1838500</v>
      </c>
      <c r="N236" s="328" t="s">
        <v>3088</v>
      </c>
      <c r="P236" s="328" t="s">
        <v>3089</v>
      </c>
    </row>
    <row r="237" spans="10:16" s="328" customFormat="1" ht="0.65" hidden="1" customHeight="1">
      <c r="J237" s="328">
        <v>2</v>
      </c>
      <c r="K237" s="328">
        <v>82</v>
      </c>
      <c r="L237" s="328" t="s">
        <v>2909</v>
      </c>
      <c r="M237" s="328">
        <v>2388000</v>
      </c>
      <c r="N237" s="328" t="s">
        <v>3090</v>
      </c>
      <c r="P237" s="328" t="s">
        <v>3091</v>
      </c>
    </row>
    <row r="238" spans="10:16" s="328" customFormat="1" ht="0.65" hidden="1" customHeight="1">
      <c r="J238" s="328">
        <v>3</v>
      </c>
      <c r="K238" s="328">
        <v>83</v>
      </c>
      <c r="L238" s="328" t="s">
        <v>2912</v>
      </c>
      <c r="M238" s="328">
        <v>2987943.7500000005</v>
      </c>
      <c r="N238" s="328" t="s">
        <v>3092</v>
      </c>
      <c r="P238" s="328" t="s">
        <v>3093</v>
      </c>
    </row>
    <row r="239" spans="10:16" s="328" customFormat="1" ht="0.65" hidden="1" customHeight="1">
      <c r="J239" s="328">
        <v>4</v>
      </c>
      <c r="K239" s="328">
        <v>84</v>
      </c>
      <c r="L239" s="328" t="s">
        <v>2915</v>
      </c>
      <c r="M239" s="328">
        <v>3135540.9375</v>
      </c>
      <c r="N239" s="328" t="s">
        <v>3094</v>
      </c>
      <c r="P239" s="328" t="s">
        <v>3095</v>
      </c>
    </row>
    <row r="240" spans="10:16" s="328" customFormat="1" ht="0.65" hidden="1" customHeight="1">
      <c r="J240" s="328">
        <v>5</v>
      </c>
      <c r="K240" s="328">
        <v>85</v>
      </c>
      <c r="L240" s="328" t="s">
        <v>2918</v>
      </c>
      <c r="M240" s="328">
        <v>3290517.9843750005</v>
      </c>
      <c r="N240" s="328" t="s">
        <v>3096</v>
      </c>
      <c r="P240" s="328" t="s">
        <v>3097</v>
      </c>
    </row>
    <row r="241" spans="11:16" s="328" customFormat="1" ht="0.65" hidden="1" customHeight="1">
      <c r="K241" s="328">
        <v>86</v>
      </c>
      <c r="L241" s="328" t="s">
        <v>2921</v>
      </c>
      <c r="M241" s="328">
        <v>261500</v>
      </c>
      <c r="N241" s="328" t="s">
        <v>3098</v>
      </c>
      <c r="P241" s="328" t="s">
        <v>2923</v>
      </c>
    </row>
    <row r="242" spans="11:16" s="328" customFormat="1" ht="0.65" hidden="1" customHeight="1">
      <c r="K242" s="328">
        <v>87</v>
      </c>
      <c r="L242" s="328" t="s">
        <v>2924</v>
      </c>
      <c r="M242" s="328">
        <v>368250</v>
      </c>
      <c r="N242" s="328" t="s">
        <v>3099</v>
      </c>
      <c r="P242" s="328" t="s">
        <v>2926</v>
      </c>
    </row>
    <row r="243" spans="11:16" s="328" customFormat="1" ht="0.65" hidden="1" customHeight="1">
      <c r="K243" s="328">
        <v>88</v>
      </c>
      <c r="L243" s="328" t="s">
        <v>2927</v>
      </c>
      <c r="M243" s="328">
        <v>484931.25</v>
      </c>
      <c r="N243" s="328" t="s">
        <v>3100</v>
      </c>
      <c r="P243" s="328" t="s">
        <v>2929</v>
      </c>
    </row>
    <row r="244" spans="11:16" s="328" customFormat="1" ht="0.65" hidden="1" customHeight="1">
      <c r="K244" s="328">
        <v>89</v>
      </c>
      <c r="L244" s="328" t="s">
        <v>2930</v>
      </c>
      <c r="M244" s="328">
        <v>510977.8125</v>
      </c>
      <c r="N244" s="328" t="s">
        <v>3101</v>
      </c>
      <c r="P244" s="328" t="s">
        <v>2932</v>
      </c>
    </row>
    <row r="245" spans="11:16" s="328" customFormat="1" ht="0.65" hidden="1" customHeight="1">
      <c r="K245" s="328">
        <v>90</v>
      </c>
      <c r="L245" s="328" t="s">
        <v>2933</v>
      </c>
      <c r="M245" s="328">
        <v>538326.703125</v>
      </c>
      <c r="N245" s="328" t="s">
        <v>3102</v>
      </c>
      <c r="P245" s="328" t="s">
        <v>2935</v>
      </c>
    </row>
    <row r="246" spans="11:16" s="328" customFormat="1" ht="0.65" hidden="1" customHeight="1">
      <c r="K246" s="328">
        <v>91</v>
      </c>
      <c r="L246" s="328" t="s">
        <v>2936</v>
      </c>
      <c r="M246" s="328">
        <v>0</v>
      </c>
      <c r="N246" s="328">
        <v>0</v>
      </c>
      <c r="P246" s="328" t="s">
        <v>3103</v>
      </c>
    </row>
    <row r="247" spans="11:16" s="328" customFormat="1" ht="0.65" hidden="1" customHeight="1">
      <c r="K247" s="328">
        <v>92</v>
      </c>
      <c r="L247" s="328" t="s">
        <v>2939</v>
      </c>
      <c r="M247" s="328">
        <v>0</v>
      </c>
      <c r="N247" s="328">
        <v>0</v>
      </c>
      <c r="P247" s="328" t="s">
        <v>3103</v>
      </c>
    </row>
    <row r="248" spans="11:16" s="328" customFormat="1" ht="0.65" hidden="1" customHeight="1">
      <c r="K248" s="328">
        <v>93</v>
      </c>
      <c r="L248" s="328" t="s">
        <v>2940</v>
      </c>
      <c r="M248" s="328">
        <v>0</v>
      </c>
      <c r="N248" s="328">
        <v>0</v>
      </c>
      <c r="P248" s="328" t="s">
        <v>3103</v>
      </c>
    </row>
    <row r="249" spans="11:16" s="328" customFormat="1" ht="0.65" hidden="1" customHeight="1">
      <c r="K249" s="328">
        <v>94</v>
      </c>
      <c r="L249" s="328" t="s">
        <v>2941</v>
      </c>
      <c r="M249" s="328">
        <v>0</v>
      </c>
      <c r="N249" s="328">
        <v>0</v>
      </c>
      <c r="P249" s="328" t="s">
        <v>3103</v>
      </c>
    </row>
    <row r="250" spans="11:16" s="328" customFormat="1" ht="0.65" hidden="1" customHeight="1">
      <c r="K250" s="328">
        <v>95</v>
      </c>
      <c r="L250" s="328" t="s">
        <v>2942</v>
      </c>
      <c r="M250" s="328">
        <v>0</v>
      </c>
      <c r="N250" s="328">
        <v>0</v>
      </c>
      <c r="P250" s="328" t="s">
        <v>3103</v>
      </c>
    </row>
    <row r="251" spans="11:16" s="328" customFormat="1" ht="0.65" hidden="1" customHeight="1">
      <c r="K251" s="328">
        <v>96</v>
      </c>
      <c r="L251" s="328" t="s">
        <v>2943</v>
      </c>
      <c r="M251" s="328">
        <v>261500</v>
      </c>
      <c r="N251" s="328" t="s">
        <v>3104</v>
      </c>
      <c r="P251" s="328" t="s">
        <v>2945</v>
      </c>
    </row>
    <row r="252" spans="11:16" s="328" customFormat="1" ht="0.65" hidden="1" customHeight="1">
      <c r="K252" s="328">
        <v>97</v>
      </c>
      <c r="L252" s="328" t="s">
        <v>2946</v>
      </c>
      <c r="M252" s="328">
        <v>368250</v>
      </c>
      <c r="N252" s="328" t="s">
        <v>3105</v>
      </c>
      <c r="P252" s="328" t="s">
        <v>2948</v>
      </c>
    </row>
    <row r="253" spans="11:16" s="328" customFormat="1" ht="0.65" hidden="1" customHeight="1">
      <c r="K253" s="328">
        <v>98</v>
      </c>
      <c r="L253" s="328" t="s">
        <v>2949</v>
      </c>
      <c r="M253" s="328">
        <v>484931.25</v>
      </c>
      <c r="N253" s="328" t="s">
        <v>3106</v>
      </c>
      <c r="P253" s="328" t="s">
        <v>2951</v>
      </c>
    </row>
    <row r="254" spans="11:16" s="328" customFormat="1" ht="0.65" hidden="1" customHeight="1">
      <c r="K254" s="328">
        <v>99</v>
      </c>
      <c r="L254" s="328" t="s">
        <v>2952</v>
      </c>
      <c r="M254" s="328">
        <v>510977.8125</v>
      </c>
      <c r="N254" s="328" t="s">
        <v>3107</v>
      </c>
      <c r="P254" s="328" t="s">
        <v>2954</v>
      </c>
    </row>
    <row r="255" spans="11:16" s="328" customFormat="1" ht="0.65" hidden="1" customHeight="1">
      <c r="K255" s="328">
        <v>100</v>
      </c>
      <c r="L255" s="328" t="s">
        <v>2955</v>
      </c>
      <c r="M255" s="328">
        <v>538326.703125</v>
      </c>
      <c r="N255" s="328" t="s">
        <v>3108</v>
      </c>
      <c r="P255" s="328" t="s">
        <v>2957</v>
      </c>
    </row>
    <row r="256" spans="11:16" s="328" customFormat="1" ht="0.65" hidden="1" customHeight="1">
      <c r="K256" s="328">
        <v>101</v>
      </c>
      <c r="L256" s="328" t="s">
        <v>2958</v>
      </c>
      <c r="M256" s="328">
        <v>73220</v>
      </c>
      <c r="N256" s="328" t="s">
        <v>3109</v>
      </c>
      <c r="P256" s="328" t="s">
        <v>2960</v>
      </c>
    </row>
    <row r="257" spans="11:16" s="328" customFormat="1" ht="0.65" hidden="1" customHeight="1">
      <c r="K257" s="328">
        <v>102</v>
      </c>
      <c r="L257" s="328" t="s">
        <v>2961</v>
      </c>
      <c r="M257" s="328">
        <v>103110.00000000001</v>
      </c>
      <c r="N257" s="328" t="s">
        <v>3110</v>
      </c>
      <c r="P257" s="328" t="s">
        <v>2963</v>
      </c>
    </row>
    <row r="258" spans="11:16" s="328" customFormat="1" ht="0.65" hidden="1" customHeight="1">
      <c r="K258" s="328">
        <v>103</v>
      </c>
      <c r="L258" s="328" t="s">
        <v>2964</v>
      </c>
      <c r="M258" s="328">
        <v>135780.75</v>
      </c>
      <c r="N258" s="328" t="s">
        <v>3111</v>
      </c>
      <c r="P258" s="328" t="s">
        <v>2966</v>
      </c>
    </row>
    <row r="259" spans="11:16" s="328" customFormat="1" ht="0.65" hidden="1" customHeight="1">
      <c r="K259" s="328">
        <v>104</v>
      </c>
      <c r="L259" s="328" t="s">
        <v>2967</v>
      </c>
      <c r="M259" s="328">
        <v>143073.78750000001</v>
      </c>
      <c r="N259" s="328" t="s">
        <v>3112</v>
      </c>
      <c r="P259" s="328" t="s">
        <v>2969</v>
      </c>
    </row>
    <row r="260" spans="11:16" s="328" customFormat="1" ht="0.65" hidden="1" customHeight="1">
      <c r="K260" s="328">
        <v>105</v>
      </c>
      <c r="L260" s="328" t="s">
        <v>2970</v>
      </c>
      <c r="M260" s="328">
        <v>150731.47687500002</v>
      </c>
      <c r="N260" s="328" t="s">
        <v>3113</v>
      </c>
      <c r="P260" s="328" t="s">
        <v>2972</v>
      </c>
    </row>
    <row r="261" spans="11:16" s="328" customFormat="1" ht="0.65" hidden="1" customHeight="1">
      <c r="K261" s="328">
        <v>106</v>
      </c>
      <c r="L261" s="328" t="s">
        <v>2973</v>
      </c>
      <c r="M261" s="328">
        <v>188280</v>
      </c>
      <c r="N261" s="328" t="s">
        <v>3114</v>
      </c>
      <c r="P261" s="328" t="s">
        <v>2975</v>
      </c>
    </row>
    <row r="262" spans="11:16" s="328" customFormat="1" ht="0.65" hidden="1" customHeight="1">
      <c r="K262" s="328">
        <v>107</v>
      </c>
      <c r="L262" s="328" t="s">
        <v>2976</v>
      </c>
      <c r="M262" s="328">
        <v>265140</v>
      </c>
      <c r="N262" s="328" t="s">
        <v>3115</v>
      </c>
      <c r="P262" s="328" t="s">
        <v>2978</v>
      </c>
    </row>
    <row r="263" spans="11:16" s="328" customFormat="1" ht="0.65" hidden="1" customHeight="1">
      <c r="K263" s="328">
        <v>108</v>
      </c>
      <c r="L263" s="328" t="s">
        <v>2979</v>
      </c>
      <c r="M263" s="328">
        <v>349150.5</v>
      </c>
      <c r="N263" s="328" t="s">
        <v>3116</v>
      </c>
      <c r="P263" s="328" t="s">
        <v>2981</v>
      </c>
    </row>
    <row r="264" spans="11:16" s="328" customFormat="1" ht="0.65" hidden="1" customHeight="1">
      <c r="K264" s="328">
        <v>109</v>
      </c>
      <c r="L264" s="328" t="s">
        <v>2982</v>
      </c>
      <c r="M264" s="328">
        <v>367904.02500000002</v>
      </c>
      <c r="N264" s="328" t="s">
        <v>3117</v>
      </c>
      <c r="P264" s="328" t="s">
        <v>2984</v>
      </c>
    </row>
    <row r="265" spans="11:16" s="328" customFormat="1" ht="0.65" hidden="1" customHeight="1">
      <c r="K265" s="328">
        <v>110</v>
      </c>
      <c r="L265" s="328" t="s">
        <v>2985</v>
      </c>
      <c r="M265" s="328">
        <v>387595.22624999995</v>
      </c>
      <c r="N265" s="328" t="s">
        <v>3118</v>
      </c>
      <c r="P265" s="328" t="s">
        <v>2987</v>
      </c>
    </row>
    <row r="266" spans="11:16" s="328" customFormat="1" ht="0.65" hidden="1" customHeight="1">
      <c r="K266" s="328">
        <v>111</v>
      </c>
      <c r="L266" s="328" t="s">
        <v>2988</v>
      </c>
      <c r="M266" s="328">
        <v>188280</v>
      </c>
      <c r="N266" s="328" t="s">
        <v>3119</v>
      </c>
      <c r="P266" s="328" t="s">
        <v>2990</v>
      </c>
    </row>
    <row r="267" spans="11:16" s="328" customFormat="1" ht="0.65" hidden="1" customHeight="1">
      <c r="K267" s="328">
        <v>112</v>
      </c>
      <c r="L267" s="328" t="s">
        <v>2991</v>
      </c>
      <c r="M267" s="328">
        <v>265140</v>
      </c>
      <c r="N267" s="328" t="s">
        <v>3120</v>
      </c>
      <c r="P267" s="328" t="s">
        <v>2993</v>
      </c>
    </row>
    <row r="268" spans="11:16" s="328" customFormat="1" ht="0.65" hidden="1" customHeight="1">
      <c r="K268" s="328">
        <v>113</v>
      </c>
      <c r="L268" s="328" t="s">
        <v>2994</v>
      </c>
      <c r="M268" s="328">
        <v>349150.5</v>
      </c>
      <c r="N268" s="328" t="s">
        <v>3121</v>
      </c>
      <c r="P268" s="328" t="s">
        <v>2996</v>
      </c>
    </row>
    <row r="269" spans="11:16" s="328" customFormat="1" ht="0.65" hidden="1" customHeight="1">
      <c r="K269" s="328">
        <v>114</v>
      </c>
      <c r="L269" s="328" t="s">
        <v>2997</v>
      </c>
      <c r="M269" s="328">
        <v>367904.02500000002</v>
      </c>
      <c r="N269" s="328" t="s">
        <v>3122</v>
      </c>
      <c r="P269" s="328" t="s">
        <v>2999</v>
      </c>
    </row>
    <row r="270" spans="11:16" s="328" customFormat="1" ht="0.65" hidden="1" customHeight="1">
      <c r="K270" s="328">
        <v>115</v>
      </c>
      <c r="L270" s="328" t="s">
        <v>3000</v>
      </c>
      <c r="M270" s="328">
        <v>387595.22624999995</v>
      </c>
      <c r="N270" s="328" t="s">
        <v>3123</v>
      </c>
      <c r="P270" s="328" t="s">
        <v>3002</v>
      </c>
    </row>
    <row r="271" spans="11:16" s="328" customFormat="1" ht="0.65" hidden="1" customHeight="1">
      <c r="K271" s="328">
        <v>116</v>
      </c>
      <c r="L271" s="328" t="s">
        <v>3003</v>
      </c>
      <c r="M271" s="328">
        <v>175000</v>
      </c>
      <c r="N271" s="328" t="s">
        <v>3004</v>
      </c>
      <c r="P271" s="328" t="s">
        <v>3005</v>
      </c>
    </row>
    <row r="272" spans="11:16" s="328" customFormat="1" ht="0.65" hidden="1" customHeight="1">
      <c r="K272" s="328">
        <v>117</v>
      </c>
      <c r="L272" s="328" t="s">
        <v>3006</v>
      </c>
      <c r="M272" s="328">
        <v>229687.5</v>
      </c>
      <c r="N272" s="328" t="s">
        <v>3007</v>
      </c>
      <c r="P272" s="328" t="s">
        <v>3008</v>
      </c>
    </row>
    <row r="273" spans="10:16" s="328" customFormat="1" ht="0.65" hidden="1" customHeight="1">
      <c r="K273" s="328">
        <v>118</v>
      </c>
      <c r="L273" s="328" t="s">
        <v>3009</v>
      </c>
      <c r="M273" s="328">
        <v>289406.25000000006</v>
      </c>
      <c r="N273" s="328" t="s">
        <v>3010</v>
      </c>
      <c r="P273" s="328" t="s">
        <v>3011</v>
      </c>
    </row>
    <row r="274" spans="10:16" s="328" customFormat="1" ht="0.65" hidden="1" customHeight="1">
      <c r="K274" s="328">
        <v>119</v>
      </c>
      <c r="L274" s="328" t="s">
        <v>3012</v>
      </c>
      <c r="M274" s="328">
        <v>303876.5625</v>
      </c>
      <c r="N274" s="328" t="s">
        <v>3013</v>
      </c>
      <c r="P274" s="328" t="s">
        <v>3014</v>
      </c>
    </row>
    <row r="275" spans="10:16" s="328" customFormat="1" ht="0.65" hidden="1" customHeight="1">
      <c r="K275" s="328">
        <v>120</v>
      </c>
      <c r="L275" s="328" t="s">
        <v>3015</v>
      </c>
      <c r="M275" s="328">
        <v>319070.39062500006</v>
      </c>
      <c r="N275" s="328" t="s">
        <v>3016</v>
      </c>
      <c r="P275" s="328" t="s">
        <v>3017</v>
      </c>
    </row>
    <row r="276" spans="10:16" s="328" customFormat="1" ht="0.65" hidden="1" customHeight="1">
      <c r="J276" s="328">
        <v>1</v>
      </c>
      <c r="K276" s="328">
        <v>121</v>
      </c>
      <c r="L276" s="328" t="s">
        <v>3018</v>
      </c>
      <c r="M276" s="328">
        <v>175000</v>
      </c>
      <c r="N276" s="328" t="s">
        <v>3019</v>
      </c>
      <c r="P276" s="328" t="s">
        <v>3003</v>
      </c>
    </row>
    <row r="277" spans="10:16" s="328" customFormat="1" ht="0.65" hidden="1" customHeight="1">
      <c r="J277" s="328">
        <v>2</v>
      </c>
      <c r="K277" s="328">
        <v>122</v>
      </c>
      <c r="L277" s="328" t="s">
        <v>3020</v>
      </c>
      <c r="M277" s="328">
        <v>54687.5</v>
      </c>
      <c r="N277" s="328" t="s">
        <v>3021</v>
      </c>
      <c r="P277" s="328" t="s">
        <v>3022</v>
      </c>
    </row>
    <row r="278" spans="10:16" s="328" customFormat="1" ht="0.65" hidden="1" customHeight="1">
      <c r="J278" s="328">
        <v>3</v>
      </c>
      <c r="K278" s="328">
        <v>123</v>
      </c>
      <c r="L278" s="328" t="s">
        <v>3023</v>
      </c>
      <c r="M278" s="328">
        <v>59718.750000000058</v>
      </c>
      <c r="N278" s="328" t="s">
        <v>3024</v>
      </c>
      <c r="P278" s="328" t="s">
        <v>3025</v>
      </c>
    </row>
    <row r="279" spans="10:16" s="328" customFormat="1" ht="0.65" hidden="1" customHeight="1">
      <c r="J279" s="328">
        <v>4</v>
      </c>
      <c r="K279" s="328">
        <v>124</v>
      </c>
      <c r="L279" s="328" t="s">
        <v>3026</v>
      </c>
      <c r="M279" s="328">
        <v>14470.312499999942</v>
      </c>
      <c r="N279" s="328" t="s">
        <v>3027</v>
      </c>
      <c r="P279" s="328" t="s">
        <v>3028</v>
      </c>
    </row>
    <row r="280" spans="10:16" s="328" customFormat="1" ht="0.65" hidden="1" customHeight="1">
      <c r="J280" s="328">
        <v>5</v>
      </c>
      <c r="K280" s="328">
        <v>125</v>
      </c>
      <c r="L280" s="328" t="s">
        <v>3029</v>
      </c>
      <c r="M280" s="328">
        <v>15193.828125000058</v>
      </c>
      <c r="N280" s="328" t="s">
        <v>3030</v>
      </c>
      <c r="P280" s="328" t="s">
        <v>3031</v>
      </c>
    </row>
    <row r="281" spans="10:16" s="328" customFormat="1" ht="0.65" hidden="1" customHeight="1">
      <c r="K281" s="328">
        <v>126</v>
      </c>
      <c r="L281" s="328" t="s">
        <v>3032</v>
      </c>
      <c r="M281" s="328">
        <v>13280</v>
      </c>
      <c r="N281" s="328" t="s">
        <v>3124</v>
      </c>
      <c r="P281" s="328" t="s">
        <v>3034</v>
      </c>
    </row>
    <row r="282" spans="10:16" s="328" customFormat="1" ht="0.65" hidden="1" customHeight="1">
      <c r="K282" s="328">
        <v>127</v>
      </c>
      <c r="L282" s="328" t="s">
        <v>3035</v>
      </c>
      <c r="M282" s="328">
        <v>210452.5</v>
      </c>
      <c r="N282" s="328" t="s">
        <v>3125</v>
      </c>
      <c r="P282" s="328" t="s">
        <v>3037</v>
      </c>
    </row>
    <row r="283" spans="10:16" s="328" customFormat="1" ht="0.65" hidden="1" customHeight="1">
      <c r="K283" s="328">
        <v>128</v>
      </c>
      <c r="L283" s="328" t="s">
        <v>3038</v>
      </c>
      <c r="M283" s="328">
        <v>289431.74999999994</v>
      </c>
      <c r="N283" s="328" t="s">
        <v>3126</v>
      </c>
      <c r="P283" s="328" t="s">
        <v>3040</v>
      </c>
    </row>
    <row r="284" spans="10:16" s="328" customFormat="1" ht="0.65" hidden="1" customHeight="1">
      <c r="K284" s="328">
        <v>129</v>
      </c>
      <c r="L284" s="328" t="s">
        <v>3041</v>
      </c>
      <c r="M284" s="328">
        <v>353433.71250000008</v>
      </c>
      <c r="N284" s="328" t="s">
        <v>3127</v>
      </c>
      <c r="P284" s="328" t="s">
        <v>3043</v>
      </c>
    </row>
    <row r="285" spans="10:16" s="328" customFormat="1" ht="0.65" hidden="1" customHeight="1">
      <c r="K285" s="328">
        <v>130</v>
      </c>
      <c r="L285" s="328" t="s">
        <v>3044</v>
      </c>
      <c r="M285" s="328">
        <v>372401.39812499989</v>
      </c>
      <c r="N285" s="328" t="s">
        <v>3128</v>
      </c>
      <c r="P285" s="328" t="s">
        <v>3046</v>
      </c>
    </row>
    <row r="286" spans="10:16" s="328" customFormat="1" ht="0.65" hidden="1" customHeight="1">
      <c r="K286" s="328">
        <v>131</v>
      </c>
      <c r="L286" s="328" t="s">
        <v>3047</v>
      </c>
      <c r="M286" s="328">
        <v>0</v>
      </c>
      <c r="N286" s="328">
        <v>0</v>
      </c>
      <c r="P286" s="328" t="s">
        <v>3049</v>
      </c>
    </row>
    <row r="287" spans="10:16" s="328" customFormat="1" ht="0.65" hidden="1" customHeight="1">
      <c r="K287" s="328">
        <v>132</v>
      </c>
      <c r="L287" s="328" t="s">
        <v>3050</v>
      </c>
      <c r="M287" s="328">
        <v>13280</v>
      </c>
      <c r="N287" s="328" t="s">
        <v>3129</v>
      </c>
      <c r="P287" s="328" t="s">
        <v>3032</v>
      </c>
    </row>
    <row r="288" spans="10:16" s="328" customFormat="1" ht="0.65" hidden="1" customHeight="1">
      <c r="K288" s="328">
        <v>133</v>
      </c>
      <c r="L288" s="328" t="s">
        <v>3052</v>
      </c>
      <c r="M288" s="328">
        <v>210452.5</v>
      </c>
      <c r="N288" s="328" t="s">
        <v>3130</v>
      </c>
      <c r="P288" s="328" t="s">
        <v>3035</v>
      </c>
    </row>
    <row r="289" spans="10:16" s="328" customFormat="1" ht="0.65" hidden="1" customHeight="1">
      <c r="K289" s="328">
        <v>134</v>
      </c>
      <c r="L289" s="328" t="s">
        <v>3054</v>
      </c>
      <c r="M289" s="328">
        <v>289431.74999999994</v>
      </c>
      <c r="N289" s="328" t="s">
        <v>3131</v>
      </c>
      <c r="P289" s="328" t="s">
        <v>3038</v>
      </c>
    </row>
    <row r="290" spans="10:16" s="328" customFormat="1" ht="0.65" hidden="1" customHeight="1">
      <c r="K290" s="328">
        <v>135</v>
      </c>
      <c r="L290" s="328" t="s">
        <v>3056</v>
      </c>
      <c r="M290" s="328">
        <v>353433.71250000008</v>
      </c>
      <c r="N290" s="328" t="s">
        <v>3132</v>
      </c>
      <c r="P290" s="328" t="s">
        <v>3041</v>
      </c>
    </row>
    <row r="291" spans="10:16" s="328" customFormat="1" ht="0.65" hidden="1" customHeight="1">
      <c r="K291" s="328">
        <v>136</v>
      </c>
      <c r="L291" s="328" t="s">
        <v>3058</v>
      </c>
      <c r="M291" s="328">
        <v>691471.78874999995</v>
      </c>
      <c r="N291" s="328" t="s">
        <v>3133</v>
      </c>
      <c r="P291" s="328" t="s">
        <v>3060</v>
      </c>
    </row>
    <row r="292" spans="10:16" s="328" customFormat="1" ht="0.65" hidden="1" customHeight="1">
      <c r="K292" s="328">
        <v>137</v>
      </c>
      <c r="L292" s="328" t="s">
        <v>3061</v>
      </c>
      <c r="M292" s="328">
        <v>0</v>
      </c>
      <c r="N292" s="328">
        <v>0</v>
      </c>
      <c r="P292" s="328">
        <v>0</v>
      </c>
    </row>
    <row r="293" spans="10:16" s="328" customFormat="1" ht="0.65" hidden="1" customHeight="1">
      <c r="K293" s="328">
        <v>138</v>
      </c>
      <c r="L293" s="328" t="s">
        <v>3062</v>
      </c>
      <c r="M293" s="328">
        <v>0</v>
      </c>
      <c r="N293" s="328">
        <v>0</v>
      </c>
      <c r="P293" s="328">
        <v>0</v>
      </c>
    </row>
    <row r="294" spans="10:16" s="328" customFormat="1" ht="0.65" hidden="1" customHeight="1">
      <c r="K294" s="328">
        <v>139</v>
      </c>
      <c r="L294" s="328" t="s">
        <v>3065</v>
      </c>
      <c r="M294" s="328">
        <v>319070.39062500006</v>
      </c>
      <c r="N294" s="328" t="s">
        <v>3066</v>
      </c>
      <c r="P294" s="328" t="s">
        <v>3015</v>
      </c>
    </row>
    <row r="295" spans="10:16" s="328" customFormat="1" ht="0.65" hidden="1" customHeight="1">
      <c r="K295" s="328">
        <v>140</v>
      </c>
      <c r="L295" s="328" t="s">
        <v>3067</v>
      </c>
      <c r="M295" s="328">
        <v>319070.39062500006</v>
      </c>
      <c r="N295" s="328" t="s">
        <v>3134</v>
      </c>
      <c r="P295" s="328" t="s">
        <v>3069</v>
      </c>
    </row>
    <row r="296" spans="10:16" s="328" customFormat="1" ht="0.65" hidden="1" customHeight="1">
      <c r="K296" s="328">
        <v>141</v>
      </c>
      <c r="L296" s="328" t="s">
        <v>2870</v>
      </c>
      <c r="M296" s="328">
        <v>0.11300000000000021</v>
      </c>
      <c r="N296" s="328" t="s">
        <v>3070</v>
      </c>
      <c r="P296" s="328" t="s">
        <v>3071</v>
      </c>
    </row>
    <row r="297" spans="10:16" s="328" customFormat="1" ht="0.65" hidden="1" customHeight="1">
      <c r="K297" s="328">
        <v>142</v>
      </c>
      <c r="L297" s="328" t="s">
        <v>13</v>
      </c>
      <c r="M297" s="328">
        <v>1026915.3411276439</v>
      </c>
      <c r="N297" s="328" t="s">
        <v>3135</v>
      </c>
      <c r="P297" s="328" t="s">
        <v>3073</v>
      </c>
    </row>
    <row r="298" spans="10:16" s="328" customFormat="1" ht="0.65" hidden="1" customHeight="1">
      <c r="J298" s="328">
        <v>1</v>
      </c>
      <c r="K298" s="328">
        <v>143</v>
      </c>
      <c r="L298" s="328" t="s">
        <v>2891</v>
      </c>
      <c r="M298" s="328">
        <v>918750.00000000012</v>
      </c>
      <c r="N298" s="328" t="s">
        <v>3136</v>
      </c>
      <c r="P298" s="328" t="s">
        <v>3137</v>
      </c>
    </row>
    <row r="299" spans="10:16" s="328" customFormat="1" ht="0.65" hidden="1" customHeight="1">
      <c r="J299" s="328">
        <v>2</v>
      </c>
      <c r="K299" s="328">
        <v>144</v>
      </c>
      <c r="L299" s="328" t="s">
        <v>2894</v>
      </c>
      <c r="M299" s="328">
        <v>1205859.3750000002</v>
      </c>
      <c r="N299" s="328" t="s">
        <v>3138</v>
      </c>
      <c r="P299" s="328" t="s">
        <v>3139</v>
      </c>
    </row>
    <row r="300" spans="10:16" s="328" customFormat="1" ht="0.65" hidden="1" customHeight="1">
      <c r="J300" s="328">
        <v>3</v>
      </c>
      <c r="K300" s="328">
        <v>145</v>
      </c>
      <c r="L300" s="328" t="s">
        <v>2897</v>
      </c>
      <c r="M300" s="328">
        <v>1519382.8125000002</v>
      </c>
      <c r="N300" s="328" t="s">
        <v>3140</v>
      </c>
      <c r="P300" s="328" t="s">
        <v>3141</v>
      </c>
    </row>
    <row r="301" spans="10:16" s="328" customFormat="1" ht="0.65" hidden="1" customHeight="1">
      <c r="J301" s="328">
        <v>4</v>
      </c>
      <c r="K301" s="328">
        <v>146</v>
      </c>
      <c r="L301" s="328" t="s">
        <v>2900</v>
      </c>
      <c r="M301" s="328">
        <v>1595351.953125</v>
      </c>
      <c r="N301" s="328" t="s">
        <v>3142</v>
      </c>
      <c r="P301" s="328" t="s">
        <v>3143</v>
      </c>
    </row>
    <row r="302" spans="10:16" s="328" customFormat="1" ht="0.65" hidden="1" customHeight="1">
      <c r="J302" s="328">
        <v>5</v>
      </c>
      <c r="K302" s="328">
        <v>147</v>
      </c>
      <c r="L302" s="328" t="s">
        <v>2903</v>
      </c>
      <c r="M302" s="328">
        <v>1675119.5507812502</v>
      </c>
      <c r="N302" s="328" t="s">
        <v>3144</v>
      </c>
      <c r="P302" s="328" t="s">
        <v>3145</v>
      </c>
    </row>
    <row r="303" spans="10:16" s="328" customFormat="1" ht="0.65" hidden="1" customHeight="1">
      <c r="J303" s="328">
        <v>1</v>
      </c>
      <c r="K303" s="328">
        <v>148</v>
      </c>
      <c r="L303" s="328" t="s">
        <v>2906</v>
      </c>
      <c r="M303" s="328">
        <v>875000.00000000012</v>
      </c>
      <c r="N303" s="328" t="s">
        <v>3146</v>
      </c>
      <c r="P303" s="328" t="s">
        <v>3147</v>
      </c>
    </row>
    <row r="304" spans="10:16" s="328" customFormat="1" ht="0.65" hidden="1" customHeight="1">
      <c r="J304" s="328">
        <v>2</v>
      </c>
      <c r="K304" s="328">
        <v>149</v>
      </c>
      <c r="L304" s="328" t="s">
        <v>2909</v>
      </c>
      <c r="M304" s="328">
        <v>1148437.5000000002</v>
      </c>
      <c r="N304" s="328" t="s">
        <v>3148</v>
      </c>
      <c r="P304" s="328" t="s">
        <v>3149</v>
      </c>
    </row>
    <row r="305" spans="10:16" s="328" customFormat="1" ht="0.65" hidden="1" customHeight="1">
      <c r="J305" s="328">
        <v>3</v>
      </c>
      <c r="K305" s="328">
        <v>150</v>
      </c>
      <c r="L305" s="328" t="s">
        <v>2912</v>
      </c>
      <c r="M305" s="328">
        <v>1447031.2500000002</v>
      </c>
      <c r="N305" s="328" t="s">
        <v>3150</v>
      </c>
      <c r="P305" s="328" t="s">
        <v>3151</v>
      </c>
    </row>
    <row r="306" spans="10:16" s="328" customFormat="1" ht="0.65" hidden="1" customHeight="1">
      <c r="J306" s="328">
        <v>4</v>
      </c>
      <c r="K306" s="328">
        <v>151</v>
      </c>
      <c r="L306" s="328" t="s">
        <v>2915</v>
      </c>
      <c r="M306" s="328">
        <v>1519382.8125</v>
      </c>
      <c r="N306" s="328" t="s">
        <v>3152</v>
      </c>
      <c r="P306" s="328" t="s">
        <v>3153</v>
      </c>
    </row>
    <row r="307" spans="10:16" s="328" customFormat="1" ht="0.65" hidden="1" customHeight="1">
      <c r="J307" s="328">
        <v>5</v>
      </c>
      <c r="K307" s="328">
        <v>152</v>
      </c>
      <c r="L307" s="328" t="s">
        <v>2918</v>
      </c>
      <c r="M307" s="328">
        <v>1595351.9531250002</v>
      </c>
      <c r="N307" s="328" t="s">
        <v>3154</v>
      </c>
      <c r="P307" s="328" t="s">
        <v>3155</v>
      </c>
    </row>
    <row r="308" spans="10:16" s="328" customFormat="1" ht="0.65" hidden="1" customHeight="1">
      <c r="K308" s="328">
        <v>153</v>
      </c>
      <c r="L308" s="328" t="s">
        <v>2921</v>
      </c>
      <c r="M308" s="328">
        <v>43750</v>
      </c>
      <c r="N308" s="328" t="s">
        <v>3156</v>
      </c>
      <c r="P308" s="328" t="s">
        <v>2923</v>
      </c>
    </row>
    <row r="309" spans="10:16" s="328" customFormat="1" ht="0.65" hidden="1" customHeight="1">
      <c r="K309" s="328">
        <v>154</v>
      </c>
      <c r="L309" s="328" t="s">
        <v>2924</v>
      </c>
      <c r="M309" s="328">
        <v>57421.875</v>
      </c>
      <c r="N309" s="328" t="s">
        <v>3157</v>
      </c>
      <c r="P309" s="328" t="s">
        <v>2926</v>
      </c>
    </row>
    <row r="310" spans="10:16" s="328" customFormat="1" ht="0.65" hidden="1" customHeight="1">
      <c r="K310" s="328">
        <v>155</v>
      </c>
      <c r="L310" s="328" t="s">
        <v>2927</v>
      </c>
      <c r="M310" s="328">
        <v>72351.5625</v>
      </c>
      <c r="N310" s="328" t="s">
        <v>3158</v>
      </c>
      <c r="P310" s="328" t="s">
        <v>2929</v>
      </c>
    </row>
    <row r="311" spans="10:16" s="328" customFormat="1" ht="0.65" hidden="1" customHeight="1">
      <c r="K311" s="328">
        <v>156</v>
      </c>
      <c r="L311" s="328" t="s">
        <v>2930</v>
      </c>
      <c r="M311" s="328">
        <v>75969.140625</v>
      </c>
      <c r="N311" s="328" t="s">
        <v>3159</v>
      </c>
      <c r="P311" s="328" t="s">
        <v>2932</v>
      </c>
    </row>
    <row r="312" spans="10:16" s="328" customFormat="1" ht="0.65" hidden="1" customHeight="1">
      <c r="K312" s="328">
        <v>157</v>
      </c>
      <c r="L312" s="328" t="s">
        <v>2933</v>
      </c>
      <c r="M312" s="328">
        <v>79767.59765625</v>
      </c>
      <c r="N312" s="328" t="s">
        <v>3160</v>
      </c>
      <c r="P312" s="328" t="s">
        <v>2935</v>
      </c>
    </row>
    <row r="313" spans="10:16" s="328" customFormat="1" ht="0.65" hidden="1" customHeight="1">
      <c r="K313" s="328">
        <v>158</v>
      </c>
      <c r="L313" s="328" t="s">
        <v>2936</v>
      </c>
      <c r="M313" s="328">
        <v>0</v>
      </c>
      <c r="N313" s="328">
        <v>0</v>
      </c>
      <c r="P313" s="328" t="s">
        <v>3161</v>
      </c>
    </row>
    <row r="314" spans="10:16" s="328" customFormat="1" ht="0.65" hidden="1" customHeight="1">
      <c r="K314" s="328">
        <v>159</v>
      </c>
      <c r="L314" s="328" t="s">
        <v>2939</v>
      </c>
      <c r="M314" s="328">
        <v>0</v>
      </c>
      <c r="N314" s="328">
        <v>0</v>
      </c>
      <c r="P314" s="328" t="s">
        <v>3161</v>
      </c>
    </row>
    <row r="315" spans="10:16" s="328" customFormat="1" ht="0.65" hidden="1" customHeight="1">
      <c r="K315" s="328">
        <v>160</v>
      </c>
      <c r="L315" s="328" t="s">
        <v>2940</v>
      </c>
      <c r="M315" s="328">
        <v>0</v>
      </c>
      <c r="N315" s="328">
        <v>0</v>
      </c>
      <c r="P315" s="328" t="s">
        <v>3161</v>
      </c>
    </row>
    <row r="316" spans="10:16" s="328" customFormat="1" ht="0.65" hidden="1" customHeight="1">
      <c r="K316" s="328">
        <v>161</v>
      </c>
      <c r="L316" s="328" t="s">
        <v>2941</v>
      </c>
      <c r="M316" s="328">
        <v>0</v>
      </c>
      <c r="N316" s="328">
        <v>0</v>
      </c>
      <c r="P316" s="328" t="s">
        <v>3161</v>
      </c>
    </row>
    <row r="317" spans="10:16" s="328" customFormat="1" ht="0.65" hidden="1" customHeight="1">
      <c r="K317" s="328">
        <v>162</v>
      </c>
      <c r="L317" s="328" t="s">
        <v>2942</v>
      </c>
      <c r="M317" s="328">
        <v>0</v>
      </c>
      <c r="N317" s="328">
        <v>0</v>
      </c>
      <c r="P317" s="328" t="s">
        <v>3161</v>
      </c>
    </row>
    <row r="318" spans="10:16" s="328" customFormat="1" ht="0.65" hidden="1" customHeight="1">
      <c r="K318" s="328">
        <v>163</v>
      </c>
      <c r="L318" s="328" t="s">
        <v>2943</v>
      </c>
      <c r="M318" s="328">
        <v>43750</v>
      </c>
      <c r="N318" s="328" t="s">
        <v>3162</v>
      </c>
      <c r="P318" s="328" t="s">
        <v>2945</v>
      </c>
    </row>
    <row r="319" spans="10:16" s="328" customFormat="1" ht="0.65" hidden="1" customHeight="1">
      <c r="K319" s="328">
        <v>164</v>
      </c>
      <c r="L319" s="328" t="s">
        <v>2946</v>
      </c>
      <c r="M319" s="328">
        <v>57421.875</v>
      </c>
      <c r="N319" s="328" t="s">
        <v>3163</v>
      </c>
      <c r="P319" s="328" t="s">
        <v>2948</v>
      </c>
    </row>
    <row r="320" spans="10:16" s="328" customFormat="1" ht="0.65" hidden="1" customHeight="1">
      <c r="K320" s="328">
        <v>165</v>
      </c>
      <c r="L320" s="328" t="s">
        <v>2949</v>
      </c>
      <c r="M320" s="328">
        <v>72351.5625</v>
      </c>
      <c r="N320" s="328" t="s">
        <v>3164</v>
      </c>
      <c r="P320" s="328" t="s">
        <v>2951</v>
      </c>
    </row>
    <row r="321" spans="11:16" s="328" customFormat="1" ht="0.65" hidden="1" customHeight="1">
      <c r="K321" s="328">
        <v>166</v>
      </c>
      <c r="L321" s="328" t="s">
        <v>2952</v>
      </c>
      <c r="M321" s="328">
        <v>75969.140625</v>
      </c>
      <c r="N321" s="328" t="s">
        <v>3165</v>
      </c>
      <c r="P321" s="328" t="s">
        <v>2954</v>
      </c>
    </row>
    <row r="322" spans="11:16" s="328" customFormat="1" ht="0.65" hidden="1" customHeight="1">
      <c r="K322" s="328">
        <v>167</v>
      </c>
      <c r="L322" s="328" t="s">
        <v>2955</v>
      </c>
      <c r="M322" s="328">
        <v>79767.59765625</v>
      </c>
      <c r="N322" s="328" t="s">
        <v>3166</v>
      </c>
      <c r="P322" s="328" t="s">
        <v>2957</v>
      </c>
    </row>
    <row r="323" spans="11:16" s="328" customFormat="1" ht="0.65" hidden="1" customHeight="1">
      <c r="K323" s="328">
        <v>168</v>
      </c>
      <c r="L323" s="328" t="s">
        <v>2958</v>
      </c>
      <c r="M323" s="328">
        <v>12250.000000000002</v>
      </c>
      <c r="N323" s="328" t="s">
        <v>3167</v>
      </c>
      <c r="P323" s="328" t="s">
        <v>2960</v>
      </c>
    </row>
    <row r="324" spans="11:16" s="328" customFormat="1" ht="0.65" hidden="1" customHeight="1">
      <c r="K324" s="328">
        <v>169</v>
      </c>
      <c r="L324" s="328" t="s">
        <v>2961</v>
      </c>
      <c r="M324" s="328">
        <v>16078.125000000002</v>
      </c>
      <c r="N324" s="328" t="s">
        <v>3168</v>
      </c>
      <c r="P324" s="328" t="s">
        <v>2963</v>
      </c>
    </row>
    <row r="325" spans="11:16" s="328" customFormat="1" ht="0.65" hidden="1" customHeight="1">
      <c r="K325" s="328">
        <v>170</v>
      </c>
      <c r="L325" s="328" t="s">
        <v>2964</v>
      </c>
      <c r="M325" s="328">
        <v>20258.437500000004</v>
      </c>
      <c r="N325" s="328" t="s">
        <v>3169</v>
      </c>
      <c r="P325" s="328" t="s">
        <v>2966</v>
      </c>
    </row>
    <row r="326" spans="11:16" s="328" customFormat="1" ht="0.65" hidden="1" customHeight="1">
      <c r="K326" s="328">
        <v>171</v>
      </c>
      <c r="L326" s="328" t="s">
        <v>2967</v>
      </c>
      <c r="M326" s="328">
        <v>21271.359375000004</v>
      </c>
      <c r="N326" s="328" t="s">
        <v>3170</v>
      </c>
      <c r="P326" s="328" t="s">
        <v>2969</v>
      </c>
    </row>
    <row r="327" spans="11:16" s="328" customFormat="1" ht="0.65" hidden="1" customHeight="1">
      <c r="K327" s="328">
        <v>172</v>
      </c>
      <c r="L327" s="328" t="s">
        <v>2970</v>
      </c>
      <c r="M327" s="328">
        <v>22334.927343750001</v>
      </c>
      <c r="N327" s="328" t="s">
        <v>3171</v>
      </c>
      <c r="P327" s="328" t="s">
        <v>2972</v>
      </c>
    </row>
    <row r="328" spans="11:16" s="328" customFormat="1" ht="0.65" hidden="1" customHeight="1">
      <c r="K328" s="328">
        <v>173</v>
      </c>
      <c r="L328" s="328" t="s">
        <v>2973</v>
      </c>
      <c r="M328" s="328">
        <v>31500</v>
      </c>
      <c r="N328" s="328" t="s">
        <v>3172</v>
      </c>
      <c r="P328" s="328" t="s">
        <v>2975</v>
      </c>
    </row>
    <row r="329" spans="11:16" s="328" customFormat="1" ht="0.65" hidden="1" customHeight="1">
      <c r="K329" s="328">
        <v>174</v>
      </c>
      <c r="L329" s="328" t="s">
        <v>2976</v>
      </c>
      <c r="M329" s="328">
        <v>41343.75</v>
      </c>
      <c r="N329" s="328" t="s">
        <v>3173</v>
      </c>
      <c r="P329" s="328" t="s">
        <v>2978</v>
      </c>
    </row>
    <row r="330" spans="11:16" s="328" customFormat="1" ht="0.65" hidden="1" customHeight="1">
      <c r="K330" s="328">
        <v>175</v>
      </c>
      <c r="L330" s="328" t="s">
        <v>2979</v>
      </c>
      <c r="M330" s="328">
        <v>52093.125</v>
      </c>
      <c r="N330" s="328" t="s">
        <v>3174</v>
      </c>
      <c r="P330" s="328" t="s">
        <v>2981</v>
      </c>
    </row>
    <row r="331" spans="11:16" s="328" customFormat="1" ht="0.65" hidden="1" customHeight="1">
      <c r="K331" s="328">
        <v>176</v>
      </c>
      <c r="L331" s="328" t="s">
        <v>2982</v>
      </c>
      <c r="M331" s="328">
        <v>54697.78125</v>
      </c>
      <c r="N331" s="328" t="s">
        <v>3175</v>
      </c>
      <c r="P331" s="328" t="s">
        <v>2984</v>
      </c>
    </row>
    <row r="332" spans="11:16" s="328" customFormat="1" ht="0.65" hidden="1" customHeight="1">
      <c r="K332" s="328">
        <v>177</v>
      </c>
      <c r="L332" s="328" t="s">
        <v>2985</v>
      </c>
      <c r="M332" s="328">
        <v>57432.670312499999</v>
      </c>
      <c r="N332" s="328" t="s">
        <v>3176</v>
      </c>
      <c r="P332" s="328" t="s">
        <v>2987</v>
      </c>
    </row>
    <row r="333" spans="11:16" s="328" customFormat="1" ht="0.65" hidden="1" customHeight="1">
      <c r="K333" s="328">
        <v>178</v>
      </c>
      <c r="L333" s="328" t="s">
        <v>2988</v>
      </c>
      <c r="M333" s="328">
        <v>31500</v>
      </c>
      <c r="N333" s="328" t="s">
        <v>3177</v>
      </c>
      <c r="P333" s="328" t="s">
        <v>2990</v>
      </c>
    </row>
    <row r="334" spans="11:16" s="328" customFormat="1" ht="0.65" hidden="1" customHeight="1">
      <c r="K334" s="328">
        <v>179</v>
      </c>
      <c r="L334" s="328" t="s">
        <v>2991</v>
      </c>
      <c r="M334" s="328">
        <v>41343.75</v>
      </c>
      <c r="N334" s="328" t="s">
        <v>3178</v>
      </c>
      <c r="P334" s="328" t="s">
        <v>2993</v>
      </c>
    </row>
    <row r="335" spans="11:16" s="328" customFormat="1" ht="0.65" hidden="1" customHeight="1">
      <c r="K335" s="328">
        <v>180</v>
      </c>
      <c r="L335" s="328" t="s">
        <v>2994</v>
      </c>
      <c r="M335" s="328">
        <v>52093.125</v>
      </c>
      <c r="N335" s="328" t="s">
        <v>3179</v>
      </c>
      <c r="P335" s="328" t="s">
        <v>2996</v>
      </c>
    </row>
    <row r="336" spans="11:16" s="328" customFormat="1" ht="0.65" hidden="1" customHeight="1">
      <c r="K336" s="328">
        <v>181</v>
      </c>
      <c r="L336" s="328" t="s">
        <v>2997</v>
      </c>
      <c r="M336" s="328">
        <v>54697.78125</v>
      </c>
      <c r="N336" s="328" t="s">
        <v>3180</v>
      </c>
      <c r="P336" s="328" t="s">
        <v>2999</v>
      </c>
    </row>
    <row r="337" spans="10:16" s="328" customFormat="1" ht="0.65" hidden="1" customHeight="1">
      <c r="K337" s="328">
        <v>182</v>
      </c>
      <c r="L337" s="328" t="s">
        <v>3000</v>
      </c>
      <c r="M337" s="328">
        <v>57432.670312499999</v>
      </c>
      <c r="N337" s="328" t="s">
        <v>3181</v>
      </c>
      <c r="P337" s="328" t="s">
        <v>3002</v>
      </c>
    </row>
    <row r="338" spans="10:16" s="328" customFormat="1" ht="0.65" hidden="1" customHeight="1">
      <c r="K338" s="328">
        <v>183</v>
      </c>
      <c r="L338" s="328" t="s">
        <v>3003</v>
      </c>
      <c r="M338" s="328">
        <v>0</v>
      </c>
      <c r="N338" s="328">
        <v>0</v>
      </c>
      <c r="P338" s="328" t="s">
        <v>3182</v>
      </c>
    </row>
    <row r="339" spans="10:16" s="328" customFormat="1" ht="0.65" hidden="1" customHeight="1">
      <c r="K339" s="328">
        <v>184</v>
      </c>
      <c r="L339" s="328" t="s">
        <v>3006</v>
      </c>
      <c r="M339" s="328">
        <v>0</v>
      </c>
      <c r="N339" s="328">
        <v>0</v>
      </c>
      <c r="P339" s="328" t="s">
        <v>3182</v>
      </c>
    </row>
    <row r="340" spans="10:16" s="328" customFormat="1" ht="0.65" hidden="1" customHeight="1">
      <c r="K340" s="328">
        <v>185</v>
      </c>
      <c r="L340" s="328" t="s">
        <v>3009</v>
      </c>
      <c r="M340" s="328">
        <v>0</v>
      </c>
      <c r="N340" s="328">
        <v>0</v>
      </c>
      <c r="P340" s="328" t="s">
        <v>3182</v>
      </c>
    </row>
    <row r="341" spans="10:16" s="328" customFormat="1" ht="0.65" hidden="1" customHeight="1">
      <c r="K341" s="328">
        <v>186</v>
      </c>
      <c r="L341" s="328" t="s">
        <v>3012</v>
      </c>
      <c r="M341" s="328">
        <v>0</v>
      </c>
      <c r="N341" s="328">
        <v>0</v>
      </c>
      <c r="P341" s="328" t="s">
        <v>3182</v>
      </c>
    </row>
    <row r="342" spans="10:16" s="328" customFormat="1" ht="0.65" hidden="1" customHeight="1">
      <c r="K342" s="328">
        <v>187</v>
      </c>
      <c r="L342" s="328" t="s">
        <v>3015</v>
      </c>
      <c r="M342" s="328">
        <v>0</v>
      </c>
      <c r="N342" s="328">
        <v>0</v>
      </c>
      <c r="P342" s="328" t="s">
        <v>3182</v>
      </c>
    </row>
    <row r="343" spans="10:16" s="328" customFormat="1" ht="0.65" hidden="1" customHeight="1">
      <c r="J343" s="328">
        <v>1</v>
      </c>
      <c r="K343" s="328">
        <v>188</v>
      </c>
      <c r="L343" s="328" t="s">
        <v>3018</v>
      </c>
      <c r="M343" s="328">
        <v>0</v>
      </c>
      <c r="N343" s="328" t="s">
        <v>3183</v>
      </c>
      <c r="P343" s="328" t="s">
        <v>3184</v>
      </c>
    </row>
    <row r="344" spans="10:16" s="328" customFormat="1" ht="0.65" hidden="1" customHeight="1">
      <c r="J344" s="328">
        <v>2</v>
      </c>
      <c r="K344" s="328">
        <v>189</v>
      </c>
      <c r="L344" s="328" t="s">
        <v>3020</v>
      </c>
      <c r="M344" s="328">
        <v>0</v>
      </c>
      <c r="N344" s="328" t="s">
        <v>3183</v>
      </c>
      <c r="P344" s="328" t="s">
        <v>3184</v>
      </c>
    </row>
    <row r="345" spans="10:16" s="328" customFormat="1" ht="0.65" hidden="1" customHeight="1">
      <c r="J345" s="328">
        <v>3</v>
      </c>
      <c r="K345" s="328">
        <v>190</v>
      </c>
      <c r="L345" s="328" t="s">
        <v>3023</v>
      </c>
      <c r="M345" s="328">
        <v>0</v>
      </c>
      <c r="N345" s="328" t="s">
        <v>3183</v>
      </c>
      <c r="P345" s="328" t="s">
        <v>3184</v>
      </c>
    </row>
    <row r="346" spans="10:16" s="328" customFormat="1" ht="0.65" hidden="1" customHeight="1">
      <c r="J346" s="328">
        <v>4</v>
      </c>
      <c r="K346" s="328">
        <v>191</v>
      </c>
      <c r="L346" s="328" t="s">
        <v>3026</v>
      </c>
      <c r="M346" s="328">
        <v>0</v>
      </c>
      <c r="N346" s="328" t="s">
        <v>3183</v>
      </c>
      <c r="P346" s="328" t="s">
        <v>3184</v>
      </c>
    </row>
    <row r="347" spans="10:16" s="328" customFormat="1" ht="0.65" hidden="1" customHeight="1">
      <c r="J347" s="328">
        <v>5</v>
      </c>
      <c r="K347" s="328">
        <v>192</v>
      </c>
      <c r="L347" s="328" t="s">
        <v>3029</v>
      </c>
      <c r="M347" s="328">
        <v>0</v>
      </c>
      <c r="N347" s="328" t="s">
        <v>3183</v>
      </c>
      <c r="P347" s="328" t="s">
        <v>3184</v>
      </c>
    </row>
    <row r="348" spans="10:16" s="328" customFormat="1" ht="0.65" hidden="1" customHeight="1">
      <c r="K348" s="328">
        <v>193</v>
      </c>
      <c r="L348" s="328" t="s">
        <v>3032</v>
      </c>
      <c r="M348" s="328">
        <v>31500</v>
      </c>
      <c r="N348" s="328" t="s">
        <v>3185</v>
      </c>
      <c r="P348" s="328" t="s">
        <v>3034</v>
      </c>
    </row>
    <row r="349" spans="10:16" s="328" customFormat="1" ht="0.65" hidden="1" customHeight="1">
      <c r="K349" s="328">
        <v>194</v>
      </c>
      <c r="L349" s="328" t="s">
        <v>3035</v>
      </c>
      <c r="M349" s="328">
        <v>41343.75</v>
      </c>
      <c r="N349" s="328" t="s">
        <v>3186</v>
      </c>
      <c r="P349" s="328" t="s">
        <v>3037</v>
      </c>
    </row>
    <row r="350" spans="10:16" s="328" customFormat="1" ht="0.65" hidden="1" customHeight="1">
      <c r="K350" s="328">
        <v>195</v>
      </c>
      <c r="L350" s="328" t="s">
        <v>3038</v>
      </c>
      <c r="M350" s="328">
        <v>52093.125</v>
      </c>
      <c r="N350" s="328" t="s">
        <v>3187</v>
      </c>
      <c r="P350" s="328" t="s">
        <v>3040</v>
      </c>
    </row>
    <row r="351" spans="10:16" s="328" customFormat="1" ht="0.65" hidden="1" customHeight="1">
      <c r="K351" s="328">
        <v>196</v>
      </c>
      <c r="L351" s="328" t="s">
        <v>3041</v>
      </c>
      <c r="M351" s="328">
        <v>54697.78125</v>
      </c>
      <c r="N351" s="328" t="s">
        <v>3188</v>
      </c>
      <c r="P351" s="328" t="s">
        <v>3043</v>
      </c>
    </row>
    <row r="352" spans="10:16" s="328" customFormat="1" ht="0.65" hidden="1" customHeight="1">
      <c r="K352" s="328">
        <v>197</v>
      </c>
      <c r="L352" s="328" t="s">
        <v>3044</v>
      </c>
      <c r="M352" s="328">
        <v>57432.670312499999</v>
      </c>
      <c r="N352" s="328" t="s">
        <v>3189</v>
      </c>
      <c r="P352" s="328" t="s">
        <v>3046</v>
      </c>
    </row>
    <row r="353" spans="11:16" s="328" customFormat="1" ht="0.65" hidden="1" customHeight="1">
      <c r="K353" s="328">
        <v>198</v>
      </c>
      <c r="L353" s="328" t="s">
        <v>3047</v>
      </c>
      <c r="M353" s="328">
        <v>0</v>
      </c>
      <c r="N353" s="328">
        <v>0</v>
      </c>
      <c r="P353" s="328" t="s">
        <v>3049</v>
      </c>
    </row>
    <row r="354" spans="11:16" s="328" customFormat="1" ht="0.65" hidden="1" customHeight="1">
      <c r="K354" s="328">
        <v>199</v>
      </c>
      <c r="L354" s="328" t="s">
        <v>3050</v>
      </c>
      <c r="M354" s="328">
        <v>31500</v>
      </c>
      <c r="N354" s="328" t="s">
        <v>3190</v>
      </c>
      <c r="P354" s="328" t="s">
        <v>3032</v>
      </c>
    </row>
    <row r="355" spans="11:16" s="328" customFormat="1" ht="0.65" hidden="1" customHeight="1">
      <c r="K355" s="328">
        <v>200</v>
      </c>
      <c r="L355" s="328" t="s">
        <v>3052</v>
      </c>
      <c r="M355" s="328">
        <v>41343.75</v>
      </c>
      <c r="N355" s="328" t="s">
        <v>3191</v>
      </c>
      <c r="P355" s="328" t="s">
        <v>3035</v>
      </c>
    </row>
    <row r="356" spans="11:16" s="328" customFormat="1" ht="0.65" hidden="1" customHeight="1">
      <c r="K356" s="328">
        <v>201</v>
      </c>
      <c r="L356" s="328" t="s">
        <v>3054</v>
      </c>
      <c r="M356" s="328">
        <v>52093.125</v>
      </c>
      <c r="N356" s="328" t="s">
        <v>3192</v>
      </c>
      <c r="P356" s="328" t="s">
        <v>3038</v>
      </c>
    </row>
    <row r="357" spans="11:16" s="328" customFormat="1" ht="0.65" hidden="1" customHeight="1">
      <c r="K357" s="328">
        <v>202</v>
      </c>
      <c r="L357" s="328" t="s">
        <v>3056</v>
      </c>
      <c r="M357" s="328">
        <v>54697.78125</v>
      </c>
      <c r="N357" s="328" t="s">
        <v>3193</v>
      </c>
      <c r="P357" s="328" t="s">
        <v>3041</v>
      </c>
    </row>
    <row r="358" spans="11:16" s="328" customFormat="1" ht="0.65" hidden="1" customHeight="1">
      <c r="K358" s="328">
        <v>203</v>
      </c>
      <c r="L358" s="328" t="s">
        <v>3058</v>
      </c>
      <c r="M358" s="328">
        <v>57432.670312499999</v>
      </c>
      <c r="N358" s="328" t="s">
        <v>3181</v>
      </c>
      <c r="P358" s="328" t="s">
        <v>3060</v>
      </c>
    </row>
    <row r="359" spans="11:16" s="328" customFormat="1" ht="0.65" hidden="1" customHeight="1">
      <c r="K359" s="328">
        <v>204</v>
      </c>
      <c r="L359" s="328" t="s">
        <v>3061</v>
      </c>
      <c r="M359" s="328">
        <v>0</v>
      </c>
      <c r="N359" s="328">
        <v>0</v>
      </c>
      <c r="P359" s="328" t="s">
        <v>3194</v>
      </c>
    </row>
    <row r="360" spans="11:16" s="328" customFormat="1" ht="0.65" hidden="1" customHeight="1">
      <c r="K360" s="328">
        <v>205</v>
      </c>
      <c r="L360" s="328" t="s">
        <v>3062</v>
      </c>
      <c r="M360" s="328">
        <v>0</v>
      </c>
      <c r="N360" s="328">
        <v>0</v>
      </c>
      <c r="P360" s="328" t="s">
        <v>3195</v>
      </c>
    </row>
    <row r="361" spans="11:16" s="328" customFormat="1" ht="0.65" hidden="1" customHeight="1">
      <c r="K361" s="328">
        <v>206</v>
      </c>
      <c r="L361" s="328" t="s">
        <v>3065</v>
      </c>
      <c r="M361" s="328">
        <v>0</v>
      </c>
      <c r="N361" s="328" t="s">
        <v>498</v>
      </c>
      <c r="P361" s="328" t="s">
        <v>3196</v>
      </c>
    </row>
    <row r="362" spans="11:16" s="328" customFormat="1" ht="0.65" hidden="1" customHeight="1">
      <c r="K362" s="328">
        <v>207</v>
      </c>
      <c r="L362" s="328" t="s">
        <v>3067</v>
      </c>
      <c r="M362" s="328">
        <v>0</v>
      </c>
      <c r="N362" s="328" t="s">
        <v>3197</v>
      </c>
      <c r="P362" s="328" t="s">
        <v>3198</v>
      </c>
    </row>
    <row r="363" spans="11:16" s="328" customFormat="1" ht="0.65" hidden="1" customHeight="1">
      <c r="K363" s="328">
        <v>208</v>
      </c>
      <c r="L363" s="328" t="s">
        <v>2870</v>
      </c>
      <c r="M363" s="328">
        <v>0.11300000000000021</v>
      </c>
      <c r="N363" s="328" t="s">
        <v>3070</v>
      </c>
      <c r="P363" s="328" t="s">
        <v>3071</v>
      </c>
    </row>
    <row r="364" spans="11:16" s="328" customFormat="1" ht="0.65" hidden="1" customHeight="1">
      <c r="K364" s="328">
        <v>209</v>
      </c>
      <c r="L364" s="328" t="s">
        <v>13</v>
      </c>
      <c r="M364" s="328">
        <v>168730.45365412379</v>
      </c>
      <c r="N364" s="328" t="s">
        <v>3199</v>
      </c>
      <c r="P364" s="328" t="s">
        <v>3073</v>
      </c>
    </row>
    <row r="365" spans="11:16" s="806" customFormat="1" ht="15" hidden="1" customHeight="1"/>
    <row r="366" spans="11:16" s="132" customFormat="1" ht="15" customHeight="1"/>
    <row r="367" spans="11:16" s="132" customFormat="1" ht="15" customHeight="1"/>
  </sheetData>
  <sheetProtection algorithmName="SHA-512" hashValue="ipcK3Vjt75zMA/goVwtDHXecOchCSiqoo2rtB13wK3P9DO4auRQJ0dzymqEm9bBCAtAbmMlj3ZbEnA3Ow7kDng==" saltValue="7j3vhqEMqTAOPwRtRYJqdg==" spinCount="100000" sheet="1" selectLockedCells="1"/>
  <mergeCells count="1">
    <mergeCell ref="B2:I2"/>
  </mergeCells>
  <conditionalFormatting sqref="A1:XFD1048576">
    <cfRule type="expression" dxfId="65" priority="1">
      <formula>OR(NOT($A$2="SI"),NOT($A$1=$A$3))</formula>
    </cfRule>
  </conditionalFormatting>
  <conditionalFormatting sqref="N16:W16">
    <cfRule type="expression" dxfId="64" priority="8">
      <formula>NOT($O$16="")</formula>
    </cfRule>
  </conditionalFormatting>
  <conditionalFormatting sqref="P17:W17">
    <cfRule type="expression" dxfId="63" priority="7">
      <formula>NOT($P$17="")</formula>
    </cfRule>
  </conditionalFormatting>
  <conditionalFormatting sqref="P34:W34">
    <cfRule type="expression" dxfId="62" priority="6">
      <formula>NOT($P$34="")</formula>
    </cfRule>
  </conditionalFormatting>
  <conditionalFormatting sqref="P51:W51">
    <cfRule type="expression" dxfId="61" priority="5">
      <formula>NOT($P$51="")</formula>
    </cfRule>
  </conditionalFormatting>
  <conditionalFormatting sqref="N33:W33">
    <cfRule type="expression" dxfId="60" priority="4">
      <formula>NOT($O$33="")</formula>
    </cfRule>
  </conditionalFormatting>
  <conditionalFormatting sqref="N50:W50">
    <cfRule type="expression" dxfId="59" priority="3">
      <formula>NOT($O$50="")</formula>
    </cfRule>
  </conditionalFormatting>
  <conditionalFormatting sqref="A1:A4 A154:XFD368">
    <cfRule type="expression" dxfId="58" priority="2">
      <formula>NOT($V$13="javi")</formula>
    </cfRule>
  </conditionalFormatting>
  <pageMargins left="0.70866141732283472" right="0.70866141732283472" top="0.74803149606299213" bottom="0.74803149606299213" header="0.31496062992125984" footer="0.31496062992125984"/>
  <pageSetup paperSize="9" scale="65" orientation="landscape" r:id="rId1"/>
  <headerFooter>
    <oddHeader>&amp;CEmpresa DISVISA - Caso práctico de inversión en condiciones de certeza: Incrementalidad, FM, inflación - Solución correcta</oddHeader>
    <oddFooter>&amp;CPágina &amp;P de &amp;N</oddFooter>
  </headerFooter>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C3D3-F759-4E22-971C-97F950CF59F9}">
  <dimension ref="A1:Z367"/>
  <sheetViews>
    <sheetView showGridLines="0" zoomScaleNormal="100" workbookViewId="0">
      <selection activeCell="L6" sqref="L6"/>
    </sheetView>
  </sheetViews>
  <sheetFormatPr baseColWidth="10" defaultColWidth="11.453125" defaultRowHeight="14.5"/>
  <cols>
    <col min="1" max="1" width="11.453125" style="684"/>
    <col min="2" max="2" width="18.54296875" style="684" customWidth="1"/>
    <col min="3" max="3" width="12.54296875" style="684" bestFit="1" customWidth="1"/>
    <col min="4" max="4" width="11.453125" style="684"/>
    <col min="5" max="5" width="20.453125" style="684" customWidth="1"/>
    <col min="6" max="6" width="14.1796875" style="684" customWidth="1"/>
    <col min="7" max="23" width="11.453125" style="684"/>
    <col min="24" max="24" width="12.54296875" style="684" customWidth="1"/>
    <col min="25" max="16384" width="11.453125" style="684"/>
  </cols>
  <sheetData>
    <row r="1" spans="1:26">
      <c r="A1" s="682" t="str">
        <f>'Instrucciones de uso'!$H$15</f>
        <v>contraseña</v>
      </c>
      <c r="B1" s="683" t="s">
        <v>3951</v>
      </c>
      <c r="K1" s="683" t="s">
        <v>3951</v>
      </c>
      <c r="N1" s="1050" t="str">
        <f>IF(D88="NO","","Deshaga operación (Ctrl-Z)")</f>
        <v/>
      </c>
      <c r="O1" s="1050"/>
      <c r="P1" s="1050"/>
    </row>
    <row r="2" spans="1:26">
      <c r="A2" s="682" t="str">
        <f>IF(AND('Instrucciones de uso'!$J$14="x",'Instrucciones de uso'!$I$33="SI"),"SI","NO")</f>
        <v>NO</v>
      </c>
      <c r="B2" s="686" t="s">
        <v>2850</v>
      </c>
      <c r="C2" s="686"/>
      <c r="D2" s="686"/>
      <c r="E2" s="686"/>
      <c r="F2" s="686"/>
      <c r="G2" s="686"/>
      <c r="H2" s="686"/>
      <c r="I2" s="686"/>
      <c r="K2" s="687" t="str">
        <f>'Solución alternativa DISVISA'!K2</f>
        <v>MONEDA CORRIENTE: Compra frente a no afrontar</v>
      </c>
      <c r="L2" s="688"/>
      <c r="M2" s="688"/>
      <c r="N2" s="688"/>
      <c r="O2" s="688"/>
      <c r="P2" s="688"/>
      <c r="Q2" s="688"/>
      <c r="R2" s="688"/>
      <c r="S2" s="688"/>
      <c r="T2" s="688"/>
      <c r="U2" s="688"/>
      <c r="V2" s="688"/>
      <c r="W2" s="689" t="s">
        <v>2638</v>
      </c>
      <c r="Y2" s="689" t="s">
        <v>2639</v>
      </c>
    </row>
    <row r="3" spans="1:26">
      <c r="A3" s="682" t="str">
        <f>'Instrucciones de uso'!$J$15</f>
        <v>contraseña</v>
      </c>
      <c r="B3" s="690"/>
      <c r="C3" s="690"/>
      <c r="D3" s="690"/>
      <c r="E3" s="690"/>
      <c r="F3" s="690"/>
      <c r="G3" s="690"/>
      <c r="H3" s="690"/>
      <c r="I3" s="690"/>
      <c r="L3" s="691" t="str">
        <f>IF(ISERROR(IF(OR(AND(NOT(L6=""),NOT(ISNUMBER(L6))),AND(NOT(L7=""),NOT(ISNUMBER(L7))),AND(NOT(L8=""),NOT(ISNUMBER(L8))),AND(NOT(L9=""),NOT(ISNUMBER(L9))),AND(NOT(L10=""),NOT(ISNUMBER(L10)))),"ERROR","")),"ERROR",IF(OR(AND(NOT(L6=""),NOT(ISNUMBER(L6))),AND(NOT(L7=""),NOT(ISNUMBER(L7))),AND(NOT(L8=""),NOT(ISNUMBER(L8))),AND(NOT(L9=""),NOT(ISNUMBER(L9))),AND(NOT(L10=""),NOT(ISNUMBER(L10)))),"ERROR",""))</f>
        <v/>
      </c>
      <c r="M3" s="691" t="str">
        <f t="shared" ref="M3:V3" si="0">IF(ISERROR(IF(OR(AND(NOT(M6=""),NOT(ISNUMBER(M6))),AND(NOT(M7=""),NOT(ISNUMBER(M7))),AND(NOT(M8=""),NOT(ISNUMBER(M8))),AND(NOT(M9=""),NOT(ISNUMBER(M9))),AND(NOT(M10=""),NOT(ISNUMBER(M10)))),"ERROR","")),"ERROR",IF(OR(AND(NOT(M6=""),NOT(ISNUMBER(M6))),AND(NOT(M7=""),NOT(ISNUMBER(M7))),AND(NOT(M8=""),NOT(ISNUMBER(M8))),AND(NOT(M9=""),NOT(ISNUMBER(M9))),AND(NOT(M10=""),NOT(ISNUMBER(M10)))),"ERROR",""))</f>
        <v/>
      </c>
      <c r="N3" s="691" t="str">
        <f t="shared" si="0"/>
        <v/>
      </c>
      <c r="O3" s="691" t="str">
        <f t="shared" si="0"/>
        <v/>
      </c>
      <c r="P3" s="691" t="str">
        <f t="shared" si="0"/>
        <v/>
      </c>
      <c r="Q3" s="691" t="str">
        <f t="shared" si="0"/>
        <v/>
      </c>
      <c r="R3" s="691" t="str">
        <f t="shared" si="0"/>
        <v/>
      </c>
      <c r="S3" s="691" t="str">
        <f t="shared" si="0"/>
        <v/>
      </c>
      <c r="T3" s="691" t="str">
        <f t="shared" si="0"/>
        <v/>
      </c>
      <c r="U3" s="691" t="str">
        <f t="shared" si="0"/>
        <v/>
      </c>
      <c r="V3" s="691" t="str">
        <f t="shared" si="0"/>
        <v/>
      </c>
      <c r="W3" s="691" t="str">
        <f>IF(ISERROR(IF(OR(AND(NOT(W5=""),NOT(ISNUMBER(W5))),AND(NOT(W6=""),NOT(ISNUMBER(W6))),AND(NOT(W7=""),NOT(ISNUMBER(W7))),AND(NOT(W8=""),NOT(ISNUMBER(W8))),AND(NOT(W9=""),NOT(ISNUMBER(W9))),AND(NOT(W10=""),NOT(ISNUMBER(W10)))),"ERROR","")),"ERROR",IF(OR(AND(NOT(W5=""),NOT(ISNUMBER(W5))),AND(NOT(W6=""),NOT(ISNUMBER(W6))),AND(NOT(W7=""),NOT(ISNUMBER(W7))),AND(NOT(W8=""),NOT(ISNUMBER(W8))),AND(NOT(W9=""),NOT(ISNUMBER(W9))),AND(NOT(W10=""),NOT(ISNUMBER(W10)))),"ERROR",""))</f>
        <v/>
      </c>
      <c r="Y3" s="691" t="str">
        <f>IF(ISERROR(IF(OR(AND(NOT(Y5=""),NOT(ISNUMBER(Y5))),AND(NOT(Y6=""),NOT(ISNUMBER(Y6))),AND(NOT(Y7=""),NOT(ISNUMBER(Y7))),AND(NOT(Y8=""),NOT(ISNUMBER(Y8))),AND(NOT(Y9=""),NOT(ISNUMBER(Y9))),AND(NOT(Y10=""),NOT(ISNUMBER(Y10)))),"ERROR","")),"ERROR",IF(OR(AND(NOT(Y5=""),NOT(ISNUMBER(Y5))),AND(NOT(Y6=""),NOT(ISNUMBER(Y6))),AND(NOT(Y7=""),NOT(ISNUMBER(Y7))),AND(NOT(Y8=""),NOT(ISNUMBER(Y8))),AND(NOT(Y9=""),NOT(ISNUMBER(Y9))),AND(NOT(Y10=""),NOT(ISNUMBER(Y10)))),"ERROR",""))</f>
        <v/>
      </c>
    </row>
    <row r="4" spans="1:26">
      <c r="A4" s="685">
        <v>0.05</v>
      </c>
      <c r="B4" s="687" t="s">
        <v>2852</v>
      </c>
      <c r="C4" s="687"/>
      <c r="D4" s="690"/>
      <c r="E4" s="687" t="s">
        <v>2853</v>
      </c>
      <c r="F4" s="687"/>
      <c r="G4" s="690"/>
      <c r="H4" s="1050" t="str">
        <f>IF(D88="NO","","Deshaga operación
(Ctrl-Z)")</f>
        <v/>
      </c>
      <c r="I4" s="1050"/>
      <c r="K4" s="692" t="s">
        <v>0</v>
      </c>
      <c r="L4" s="692" t="s">
        <v>2885</v>
      </c>
      <c r="M4" s="692" t="s">
        <v>2855</v>
      </c>
      <c r="N4" s="692" t="s">
        <v>2856</v>
      </c>
      <c r="O4" s="692" t="s">
        <v>71</v>
      </c>
      <c r="P4" s="692" t="s">
        <v>72</v>
      </c>
      <c r="Q4" s="692" t="s">
        <v>2857</v>
      </c>
      <c r="R4" s="692" t="s">
        <v>74</v>
      </c>
      <c r="S4" s="692" t="s">
        <v>2858</v>
      </c>
      <c r="T4" s="692" t="s">
        <v>2859</v>
      </c>
      <c r="U4" s="692" t="s">
        <v>2860</v>
      </c>
      <c r="V4" s="692" t="s">
        <v>2861</v>
      </c>
      <c r="W4" s="692" t="s">
        <v>2862</v>
      </c>
      <c r="Y4" s="692" t="s">
        <v>2862</v>
      </c>
    </row>
    <row r="5" spans="1:26">
      <c r="B5" s="693"/>
      <c r="C5" s="693"/>
      <c r="D5" s="690"/>
      <c r="E5" s="694"/>
      <c r="F5" s="694"/>
      <c r="G5" s="690"/>
      <c r="H5" s="1050"/>
      <c r="I5" s="1050"/>
      <c r="K5" s="695">
        <v>2022</v>
      </c>
      <c r="L5" s="696" t="s">
        <v>2651</v>
      </c>
      <c r="M5" s="696" t="s">
        <v>2651</v>
      </c>
      <c r="N5" s="696" t="s">
        <v>2651</v>
      </c>
      <c r="O5" s="696" t="s">
        <v>2651</v>
      </c>
      <c r="P5" s="696" t="s">
        <v>2651</v>
      </c>
      <c r="Q5" s="696" t="s">
        <v>2651</v>
      </c>
      <c r="R5" s="696" t="s">
        <v>2651</v>
      </c>
      <c r="S5" s="696" t="s">
        <v>2651</v>
      </c>
      <c r="T5" s="696" t="s">
        <v>2651</v>
      </c>
      <c r="U5" s="696" t="s">
        <v>2651</v>
      </c>
      <c r="V5" s="696" t="s">
        <v>2651</v>
      </c>
      <c r="W5" s="697"/>
      <c r="Y5" s="697"/>
    </row>
    <row r="6" spans="1:26">
      <c r="B6" s="693" t="s">
        <v>2863</v>
      </c>
      <c r="C6" s="698">
        <v>250000</v>
      </c>
      <c r="D6" s="690"/>
      <c r="E6" s="699" t="s">
        <v>2832</v>
      </c>
      <c r="F6" s="699" t="s">
        <v>2864</v>
      </c>
      <c r="G6" s="690"/>
      <c r="H6" s="1050"/>
      <c r="I6" s="1050"/>
      <c r="K6" s="695">
        <v>2023</v>
      </c>
      <c r="L6" s="697"/>
      <c r="M6" s="697"/>
      <c r="N6" s="697"/>
      <c r="O6" s="697"/>
      <c r="P6" s="697"/>
      <c r="Q6" s="697"/>
      <c r="R6" s="697"/>
      <c r="S6" s="697"/>
      <c r="T6" s="697"/>
      <c r="U6" s="697"/>
      <c r="V6" s="697"/>
      <c r="W6" s="697"/>
      <c r="Y6" s="697"/>
    </row>
    <row r="7" spans="1:26">
      <c r="B7" s="693" t="s">
        <v>2865</v>
      </c>
      <c r="C7" s="698">
        <v>200000</v>
      </c>
      <c r="D7" s="690"/>
      <c r="E7" s="700">
        <v>2023</v>
      </c>
      <c r="F7" s="701">
        <v>2000000</v>
      </c>
      <c r="G7" s="690"/>
      <c r="H7" s="690"/>
      <c r="I7" s="690"/>
      <c r="K7" s="695">
        <v>2024</v>
      </c>
      <c r="L7" s="697"/>
      <c r="M7" s="697"/>
      <c r="N7" s="697"/>
      <c r="O7" s="697"/>
      <c r="P7" s="697"/>
      <c r="Q7" s="697"/>
      <c r="R7" s="697"/>
      <c r="S7" s="697"/>
      <c r="T7" s="697"/>
      <c r="U7" s="697"/>
      <c r="V7" s="697"/>
      <c r="W7" s="697"/>
      <c r="Y7" s="697"/>
    </row>
    <row r="8" spans="1:26">
      <c r="B8" s="693" t="s">
        <v>2866</v>
      </c>
      <c r="C8" s="698">
        <v>10</v>
      </c>
      <c r="D8" s="690"/>
      <c r="E8" s="702">
        <v>2024</v>
      </c>
      <c r="F8" s="703">
        <v>2500000</v>
      </c>
      <c r="G8" s="690"/>
      <c r="H8" s="690"/>
      <c r="I8" s="690"/>
      <c r="K8" s="695">
        <v>2025</v>
      </c>
      <c r="L8" s="697"/>
      <c r="M8" s="697"/>
      <c r="N8" s="697"/>
      <c r="O8" s="697"/>
      <c r="P8" s="697"/>
      <c r="Q8" s="697"/>
      <c r="R8" s="697"/>
      <c r="S8" s="697"/>
      <c r="T8" s="697"/>
      <c r="U8" s="697"/>
      <c r="V8" s="697"/>
      <c r="W8" s="697"/>
      <c r="Y8" s="697"/>
    </row>
    <row r="9" spans="1:26">
      <c r="B9" s="693"/>
      <c r="C9" s="693"/>
      <c r="D9" s="690"/>
      <c r="E9" s="702">
        <v>2025</v>
      </c>
      <c r="F9" s="703">
        <v>3000000</v>
      </c>
      <c r="G9" s="690"/>
      <c r="H9" s="690"/>
      <c r="I9" s="690"/>
      <c r="K9" s="695">
        <v>2026</v>
      </c>
      <c r="L9" s="697"/>
      <c r="M9" s="697"/>
      <c r="N9" s="697"/>
      <c r="O9" s="697"/>
      <c r="P9" s="697"/>
      <c r="Q9" s="697"/>
      <c r="R9" s="697"/>
      <c r="S9" s="697"/>
      <c r="T9" s="697"/>
      <c r="U9" s="697"/>
      <c r="V9" s="697"/>
      <c r="W9" s="697"/>
      <c r="Y9" s="697"/>
    </row>
    <row r="10" spans="1:26">
      <c r="B10" s="693"/>
      <c r="C10" s="693"/>
      <c r="D10" s="690"/>
      <c r="E10" s="702">
        <v>2026</v>
      </c>
      <c r="F10" s="703">
        <v>3000000</v>
      </c>
      <c r="G10" s="690"/>
      <c r="H10" s="687" t="s">
        <v>2867</v>
      </c>
      <c r="I10" s="687"/>
      <c r="K10" s="695">
        <v>2027</v>
      </c>
      <c r="L10" s="697"/>
      <c r="M10" s="697"/>
      <c r="N10" s="697"/>
      <c r="O10" s="697"/>
      <c r="P10" s="697"/>
      <c r="Q10" s="697"/>
      <c r="R10" s="697"/>
      <c r="S10" s="697"/>
      <c r="T10" s="697"/>
      <c r="U10" s="697"/>
      <c r="V10" s="697"/>
      <c r="W10" s="697"/>
      <c r="Y10" s="697"/>
    </row>
    <row r="11" spans="1:26">
      <c r="B11" s="693"/>
      <c r="C11" s="693"/>
      <c r="D11" s="690"/>
      <c r="E11" s="704">
        <v>2027</v>
      </c>
      <c r="F11" s="705">
        <v>3000000</v>
      </c>
      <c r="G11" s="690"/>
      <c r="H11" s="706"/>
      <c r="I11" s="706"/>
      <c r="L11" s="707"/>
      <c r="M11" s="707"/>
      <c r="N11" s="707"/>
      <c r="O11" s="707"/>
      <c r="P11" s="707"/>
      <c r="Q11" s="707"/>
      <c r="R11" s="707"/>
      <c r="S11" s="707"/>
      <c r="T11" s="707"/>
      <c r="U11" s="707"/>
      <c r="V11" s="707"/>
      <c r="W11" s="707"/>
      <c r="Y11" s="707"/>
    </row>
    <row r="12" spans="1:26">
      <c r="B12" s="693"/>
      <c r="C12" s="693"/>
      <c r="D12" s="690"/>
      <c r="E12" s="694"/>
      <c r="F12" s="694"/>
      <c r="G12" s="690"/>
      <c r="H12" s="706" t="s">
        <v>2868</v>
      </c>
      <c r="I12" s="708">
        <v>2022</v>
      </c>
      <c r="K12" s="709" t="s">
        <v>2869</v>
      </c>
      <c r="L12" s="710"/>
      <c r="M12" s="691" t="str">
        <f>IF(ISERROR(IF(AND(NOT(L12=""),NOT(ISNUMBER(L12))),"ERROR","")),"ERROR",IF(AND(NOT(L12=""),NOT(ISNUMBER(L12))),"ERROR",""))</f>
        <v/>
      </c>
      <c r="N12" s="711" t="s">
        <v>2870</v>
      </c>
      <c r="O12" s="712"/>
      <c r="P12" s="691" t="str">
        <f>IF(ISERROR(IF(AND(NOT(O12=""),NOT(ISNUMBER(O12))),"ERROR","")),"ERROR",IF(AND(NOT(O12=""),NOT(ISNUMBER(O12))),"ERROR",""))</f>
        <v/>
      </c>
      <c r="Q12" s="713"/>
      <c r="R12" s="713"/>
      <c r="S12" s="713"/>
      <c r="T12" s="713"/>
      <c r="U12" s="745" t="s">
        <v>2871</v>
      </c>
      <c r="V12" s="715"/>
      <c r="W12" s="691" t="str">
        <f>IF(V12="","",IF(NOT(ISNUMBER(V12)),"ERROR",IF(AND(INT(V12)=V12,V12&gt;=1,V12&lt;=75),"","ERROR")))</f>
        <v/>
      </c>
      <c r="X12" s="711" t="s">
        <v>2872</v>
      </c>
      <c r="Y12" s="712"/>
      <c r="Z12" s="691" t="str">
        <f>IF(ISERROR(IF(AND(NOT(Y12=""),NOT(ISNUMBER(Y12))),"ERROR","")),"ERROR",IF(AND(NOT(Y12=""),NOT(ISNUMBER(Y12))),"ERROR",""))</f>
        <v/>
      </c>
    </row>
    <row r="13" spans="1:26">
      <c r="B13" s="687" t="s">
        <v>2873</v>
      </c>
      <c r="C13" s="687"/>
      <c r="D13" s="690"/>
      <c r="E13" s="716" t="s">
        <v>2874</v>
      </c>
      <c r="F13" s="717">
        <v>50000</v>
      </c>
      <c r="G13" s="690"/>
      <c r="H13" s="706"/>
      <c r="I13" s="706"/>
      <c r="K13" s="718" t="s">
        <v>3200</v>
      </c>
      <c r="L13" s="710"/>
      <c r="M13" s="691" t="str">
        <f t="shared" ref="M13:M15" si="1">IF(ISERROR(IF(AND(NOT(L13=""),NOT(ISNUMBER(L13))),"ERROR","")),"ERROR",IF(AND(NOT(L13=""),NOT(ISNUMBER(L13))),"ERROR",""))</f>
        <v/>
      </c>
      <c r="O13" s="682"/>
      <c r="Q13" s="1050" t="str">
        <f>$H$4</f>
        <v/>
      </c>
      <c r="R13" s="1050"/>
      <c r="V13" s="809"/>
      <c r="Y13" s="682"/>
    </row>
    <row r="14" spans="1:26">
      <c r="B14" s="719"/>
      <c r="C14" s="719"/>
      <c r="D14" s="690"/>
      <c r="E14" s="694" t="s">
        <v>2876</v>
      </c>
      <c r="F14" s="720">
        <v>0.2</v>
      </c>
      <c r="G14" s="690"/>
      <c r="H14" s="706" t="s">
        <v>2630</v>
      </c>
      <c r="I14" s="721">
        <v>0.05</v>
      </c>
      <c r="K14" s="718" t="s">
        <v>2877</v>
      </c>
      <c r="L14" s="710"/>
      <c r="M14" s="691" t="str">
        <f t="shared" si="1"/>
        <v/>
      </c>
      <c r="N14" s="711" t="s">
        <v>13</v>
      </c>
      <c r="O14" s="710"/>
      <c r="P14" s="691" t="str">
        <f>IF(ISERROR(IF(AND(NOT(O14=""),NOT(ISNUMBER(O14))),"ERROR","")),"ERROR",IF(AND(NOT(O14=""),NOT(ISNUMBER(O14))),"ERROR",""))</f>
        <v/>
      </c>
      <c r="Q14" s="1050"/>
      <c r="R14" s="1050"/>
      <c r="U14" s="722" t="s">
        <v>2878</v>
      </c>
      <c r="V14" s="715"/>
      <c r="W14" s="691" t="str">
        <f>IF(OR(V14="",V14="x"),"","ERROR")</f>
        <v/>
      </c>
      <c r="X14" s="711" t="s">
        <v>13</v>
      </c>
      <c r="Y14" s="710"/>
      <c r="Z14" s="691" t="str">
        <f>IF(ISERROR(IF(AND(NOT(Y14=""),NOT(ISNUMBER(Y14))),"ERROR","")),"ERROR",IF(AND(NOT(Y14=""),NOT(ISNUMBER(Y14))),"ERROR",""))</f>
        <v/>
      </c>
    </row>
    <row r="15" spans="1:26">
      <c r="B15" s="719" t="s">
        <v>2879</v>
      </c>
      <c r="C15" s="810">
        <v>3000</v>
      </c>
      <c r="D15" s="690"/>
      <c r="E15" s="694" t="s">
        <v>2880</v>
      </c>
      <c r="F15" s="717">
        <v>30</v>
      </c>
      <c r="G15" s="690"/>
      <c r="H15" s="706" t="s">
        <v>2881</v>
      </c>
      <c r="I15" s="724">
        <v>5</v>
      </c>
      <c r="K15" s="718" t="s">
        <v>2882</v>
      </c>
      <c r="L15" s="710"/>
      <c r="M15" s="691" t="str">
        <f t="shared" si="1"/>
        <v/>
      </c>
      <c r="O15" s="707"/>
      <c r="Q15" s="1050"/>
      <c r="R15" s="1050"/>
      <c r="V15" s="707"/>
      <c r="Y15" s="707"/>
    </row>
    <row r="16" spans="1:26">
      <c r="B16" s="690"/>
      <c r="C16" s="1050" t="str">
        <f>$H$4</f>
        <v/>
      </c>
      <c r="D16" s="1050"/>
      <c r="E16" s="690"/>
      <c r="F16" s="690"/>
      <c r="G16" s="690"/>
      <c r="H16" s="706"/>
      <c r="I16" s="706"/>
      <c r="L16" s="707"/>
      <c r="O16" s="746" t="str">
        <f>IF(AND(NOT(V12=""),W12=""),CONCATENATE(VLOOKUP(V12,$K$156:$P$364,2,FALSE)),"")</f>
        <v/>
      </c>
      <c r="P16" s="747" t="str">
        <f>IF(AND(NOT(V12=""),W12=""),CONCATENATE("=",VLOOKUP(V12,$K$156:$P$364,6,FALSE)),"")</f>
        <v/>
      </c>
    </row>
    <row r="17" spans="2:24">
      <c r="B17" s="690"/>
      <c r="C17" s="1050"/>
      <c r="D17" s="1050"/>
      <c r="E17" s="690"/>
      <c r="F17" s="690"/>
      <c r="G17" s="690"/>
      <c r="H17" s="706" t="s">
        <v>4</v>
      </c>
      <c r="I17" s="721">
        <v>0.28000000000000003</v>
      </c>
      <c r="P17" s="747" t="str">
        <f>IF(AND(NOT(V12=""),W12=""),CONCATENATE("=",VLOOKUP(V12,$K$156:$P$364,4,FALSE)),"")</f>
        <v/>
      </c>
      <c r="X17" s="728">
        <f>COUNTIF(K2:Y16,"ERROR")-COUNTIF(W12:W12,"ERROR")</f>
        <v>0</v>
      </c>
    </row>
    <row r="18" spans="2:24">
      <c r="B18" s="690"/>
      <c r="C18" s="1050"/>
      <c r="D18" s="1050"/>
      <c r="E18" s="690"/>
      <c r="F18" s="690"/>
      <c r="G18" s="690"/>
      <c r="H18" s="706" t="s">
        <v>2635</v>
      </c>
      <c r="I18" s="721">
        <v>0.06</v>
      </c>
      <c r="P18" s="747"/>
      <c r="X18" s="728"/>
    </row>
    <row r="19" spans="2:24">
      <c r="B19" s="687" t="s">
        <v>2883</v>
      </c>
      <c r="C19" s="687"/>
      <c r="D19" s="687"/>
      <c r="E19" s="687"/>
      <c r="F19" s="687"/>
      <c r="G19" s="690"/>
      <c r="H19" s="732" t="s">
        <v>3201</v>
      </c>
      <c r="I19" s="733"/>
      <c r="K19" s="687" t="str">
        <f>'Solución alternativa DISVISA'!K19</f>
        <v>MONEDA CORRIENTE: Alquiler frente a Compra</v>
      </c>
      <c r="L19" s="688"/>
      <c r="M19" s="688"/>
      <c r="N19" s="688"/>
      <c r="O19" s="688"/>
      <c r="P19" s="688"/>
      <c r="Q19" s="688"/>
      <c r="R19" s="688"/>
      <c r="S19" s="688"/>
      <c r="T19" s="688"/>
      <c r="U19" s="688"/>
      <c r="V19" s="688"/>
      <c r="W19" s="689" t="s">
        <v>2638</v>
      </c>
    </row>
    <row r="20" spans="2:24">
      <c r="B20" s="734"/>
      <c r="C20" s="734"/>
      <c r="D20" s="734"/>
      <c r="E20" s="734"/>
      <c r="F20" s="734"/>
      <c r="G20" s="690"/>
      <c r="H20" s="690"/>
      <c r="I20" s="690"/>
      <c r="L20" s="691" t="str">
        <f>IF(ISERROR(IF(OR(AND(NOT(L23=""),NOT(ISNUMBER(L23))),AND(NOT(L24=""),NOT(ISNUMBER(L24))),AND(NOT(L25=""),NOT(ISNUMBER(L25))),AND(NOT(L26=""),NOT(ISNUMBER(L26))),AND(NOT(L27=""),NOT(ISNUMBER(L27)))),"ERROR","")),"ERROR",IF(OR(AND(NOT(L23=""),NOT(ISNUMBER(L23))),AND(NOT(L24=""),NOT(ISNUMBER(L24))),AND(NOT(L25=""),NOT(ISNUMBER(L25))),AND(NOT(L26=""),NOT(ISNUMBER(L26))),AND(NOT(L27=""),NOT(ISNUMBER(L27)))),"ERROR",""))</f>
        <v/>
      </c>
      <c r="M20" s="691" t="str">
        <f t="shared" ref="M20:V20" si="2">IF(ISERROR(IF(OR(AND(NOT(M23=""),NOT(ISNUMBER(M23))),AND(NOT(M24=""),NOT(ISNUMBER(M24))),AND(NOT(M25=""),NOT(ISNUMBER(M25))),AND(NOT(M26=""),NOT(ISNUMBER(M26))),AND(NOT(M27=""),NOT(ISNUMBER(M27)))),"ERROR","")),"ERROR",IF(OR(AND(NOT(M23=""),NOT(ISNUMBER(M23))),AND(NOT(M24=""),NOT(ISNUMBER(M24))),AND(NOT(M25=""),NOT(ISNUMBER(M25))),AND(NOT(M26=""),NOT(ISNUMBER(M26))),AND(NOT(M27=""),NOT(ISNUMBER(M27)))),"ERROR",""))</f>
        <v/>
      </c>
      <c r="N20" s="691" t="str">
        <f t="shared" si="2"/>
        <v/>
      </c>
      <c r="O20" s="691" t="str">
        <f t="shared" si="2"/>
        <v/>
      </c>
      <c r="P20" s="691" t="str">
        <f t="shared" si="2"/>
        <v/>
      </c>
      <c r="Q20" s="691" t="str">
        <f t="shared" si="2"/>
        <v/>
      </c>
      <c r="R20" s="691" t="str">
        <f t="shared" si="2"/>
        <v/>
      </c>
      <c r="S20" s="691" t="str">
        <f t="shared" si="2"/>
        <v/>
      </c>
      <c r="T20" s="691" t="str">
        <f t="shared" si="2"/>
        <v/>
      </c>
      <c r="U20" s="691" t="str">
        <f t="shared" si="2"/>
        <v/>
      </c>
      <c r="V20" s="691" t="str">
        <f t="shared" si="2"/>
        <v/>
      </c>
      <c r="W20" s="691" t="str">
        <f>IF(ISERROR(IF(OR(AND(NOT(W22=""),NOT(ISNUMBER(W22))),AND(NOT(W23=""),NOT(ISNUMBER(W23))),AND(NOT(W24=""),NOT(ISNUMBER(W24))),AND(NOT(W25=""),NOT(ISNUMBER(W25))),AND(NOT(W26=""),NOT(ISNUMBER(W26))),AND(NOT(W27=""),NOT(ISNUMBER(W27)))),"ERROR","")),"ERROR",IF(OR(AND(NOT(W22=""),NOT(ISNUMBER(W22))),AND(NOT(W23=""),NOT(ISNUMBER(W23))),AND(NOT(W24=""),NOT(ISNUMBER(W24))),AND(NOT(W25=""),NOT(ISNUMBER(W25))),AND(NOT(W26=""),NOT(ISNUMBER(W26))),AND(NOT(W27=""),NOT(ISNUMBER(W27)))),"ERROR",""))</f>
        <v/>
      </c>
    </row>
    <row r="21" spans="2:24">
      <c r="B21" s="734" t="s">
        <v>2863</v>
      </c>
      <c r="C21" s="735">
        <v>0</v>
      </c>
      <c r="D21" s="734"/>
      <c r="E21" s="736" t="s">
        <v>2832</v>
      </c>
      <c r="F21" s="736" t="s">
        <v>2864</v>
      </c>
      <c r="G21" s="690"/>
      <c r="H21" s="1050" t="str">
        <f>$H$4</f>
        <v/>
      </c>
      <c r="I21" s="1050"/>
      <c r="K21" s="692" t="s">
        <v>0</v>
      </c>
      <c r="L21" s="692" t="s">
        <v>2885</v>
      </c>
      <c r="M21" s="692" t="s">
        <v>2855</v>
      </c>
      <c r="N21" s="692" t="s">
        <v>2856</v>
      </c>
      <c r="O21" s="692" t="s">
        <v>71</v>
      </c>
      <c r="P21" s="692" t="s">
        <v>72</v>
      </c>
      <c r="Q21" s="692" t="s">
        <v>2857</v>
      </c>
      <c r="R21" s="692" t="s">
        <v>74</v>
      </c>
      <c r="S21" s="692" t="s">
        <v>2858</v>
      </c>
      <c r="T21" s="692" t="s">
        <v>2859</v>
      </c>
      <c r="U21" s="692" t="s">
        <v>2860</v>
      </c>
      <c r="V21" s="692" t="s">
        <v>2861</v>
      </c>
      <c r="W21" s="692" t="s">
        <v>2862</v>
      </c>
    </row>
    <row r="22" spans="2:24">
      <c r="B22" s="734" t="s">
        <v>2886</v>
      </c>
      <c r="C22" s="735">
        <v>0</v>
      </c>
      <c r="D22" s="734"/>
      <c r="E22" s="737">
        <v>2023</v>
      </c>
      <c r="F22" s="738">
        <v>875000.00000000012</v>
      </c>
      <c r="G22" s="690"/>
      <c r="H22" s="1050"/>
      <c r="I22" s="1050"/>
      <c r="K22" s="695">
        <v>2022</v>
      </c>
      <c r="L22" s="696" t="s">
        <v>2651</v>
      </c>
      <c r="M22" s="696" t="s">
        <v>2651</v>
      </c>
      <c r="N22" s="696" t="s">
        <v>2651</v>
      </c>
      <c r="O22" s="696" t="s">
        <v>2651</v>
      </c>
      <c r="P22" s="696" t="s">
        <v>2651</v>
      </c>
      <c r="Q22" s="696" t="s">
        <v>2651</v>
      </c>
      <c r="R22" s="696" t="s">
        <v>2651</v>
      </c>
      <c r="S22" s="696" t="s">
        <v>2651</v>
      </c>
      <c r="T22" s="696" t="s">
        <v>2651</v>
      </c>
      <c r="U22" s="696" t="s">
        <v>2651</v>
      </c>
      <c r="V22" s="696" t="s">
        <v>2651</v>
      </c>
      <c r="W22" s="697"/>
    </row>
    <row r="23" spans="2:24">
      <c r="B23" s="734" t="s">
        <v>2887</v>
      </c>
      <c r="C23" s="735">
        <v>0</v>
      </c>
      <c r="D23" s="734"/>
      <c r="E23" s="739">
        <v>2024</v>
      </c>
      <c r="F23" s="740">
        <v>1093750.0000000002</v>
      </c>
      <c r="G23" s="690"/>
      <c r="H23" s="1050"/>
      <c r="I23" s="1050"/>
      <c r="K23" s="695">
        <v>2023</v>
      </c>
      <c r="L23" s="697"/>
      <c r="M23" s="697"/>
      <c r="N23" s="697"/>
      <c r="O23" s="697"/>
      <c r="P23" s="697"/>
      <c r="Q23" s="697"/>
      <c r="R23" s="697"/>
      <c r="S23" s="697"/>
      <c r="T23" s="697"/>
      <c r="U23" s="697"/>
      <c r="V23" s="697"/>
      <c r="W23" s="697"/>
    </row>
    <row r="24" spans="2:24">
      <c r="B24" s="734" t="s">
        <v>2876</v>
      </c>
      <c r="C24" s="741">
        <v>0.05</v>
      </c>
      <c r="D24" s="734"/>
      <c r="E24" s="739">
        <v>2025</v>
      </c>
      <c r="F24" s="740">
        <v>1312500</v>
      </c>
      <c r="G24" s="690"/>
      <c r="H24" s="690"/>
      <c r="I24" s="690"/>
      <c r="K24" s="695">
        <v>2024</v>
      </c>
      <c r="L24" s="697"/>
      <c r="M24" s="697"/>
      <c r="N24" s="697"/>
      <c r="O24" s="697"/>
      <c r="P24" s="697"/>
      <c r="Q24" s="697"/>
      <c r="R24" s="697"/>
      <c r="S24" s="697"/>
      <c r="T24" s="697"/>
      <c r="U24" s="697"/>
      <c r="V24" s="697"/>
      <c r="W24" s="697"/>
    </row>
    <row r="25" spans="2:24">
      <c r="B25" s="734"/>
      <c r="C25" s="734"/>
      <c r="D25" s="734"/>
      <c r="E25" s="739">
        <v>2026</v>
      </c>
      <c r="F25" s="740">
        <v>1312500</v>
      </c>
      <c r="G25" s="690"/>
      <c r="H25" s="690"/>
      <c r="I25" s="690"/>
      <c r="K25" s="695">
        <v>2025</v>
      </c>
      <c r="L25" s="697"/>
      <c r="M25" s="697"/>
      <c r="N25" s="697"/>
      <c r="O25" s="697"/>
      <c r="P25" s="697"/>
      <c r="Q25" s="697"/>
      <c r="R25" s="697"/>
      <c r="S25" s="697"/>
      <c r="T25" s="697"/>
      <c r="U25" s="697"/>
      <c r="V25" s="697"/>
      <c r="W25" s="697"/>
    </row>
    <row r="26" spans="2:24">
      <c r="B26" s="734"/>
      <c r="C26" s="734"/>
      <c r="D26" s="734"/>
      <c r="E26" s="742">
        <v>2027</v>
      </c>
      <c r="F26" s="743">
        <v>1312500</v>
      </c>
      <c r="G26" s="690"/>
      <c r="H26" s="690"/>
      <c r="I26" s="690"/>
      <c r="K26" s="695">
        <v>2026</v>
      </c>
      <c r="L26" s="697"/>
      <c r="M26" s="697"/>
      <c r="N26" s="697"/>
      <c r="O26" s="697"/>
      <c r="P26" s="697"/>
      <c r="Q26" s="697"/>
      <c r="R26" s="697"/>
      <c r="S26" s="697"/>
      <c r="T26" s="697"/>
      <c r="U26" s="697"/>
      <c r="V26" s="697"/>
      <c r="W26" s="697"/>
    </row>
    <row r="27" spans="2:24">
      <c r="K27" s="695">
        <v>2027</v>
      </c>
      <c r="L27" s="697"/>
      <c r="M27" s="697"/>
      <c r="N27" s="697"/>
      <c r="O27" s="697"/>
      <c r="P27" s="697"/>
      <c r="Q27" s="697"/>
      <c r="R27" s="697"/>
      <c r="S27" s="697"/>
      <c r="T27" s="697"/>
      <c r="U27" s="697"/>
      <c r="V27" s="697"/>
      <c r="W27" s="697"/>
    </row>
    <row r="28" spans="2:24">
      <c r="L28" s="707"/>
      <c r="M28" s="707"/>
      <c r="N28" s="707"/>
      <c r="O28" s="707"/>
      <c r="P28" s="707"/>
      <c r="Q28" s="707"/>
      <c r="R28" s="707"/>
      <c r="S28" s="707"/>
      <c r="T28" s="707"/>
      <c r="U28" s="707"/>
      <c r="V28" s="707"/>
      <c r="W28" s="707"/>
    </row>
    <row r="29" spans="2:24">
      <c r="K29" s="709" t="s">
        <v>2869</v>
      </c>
      <c r="L29" s="710"/>
      <c r="M29" s="691" t="str">
        <f t="shared" ref="M29:M32" si="3">IF(ISERROR(IF(AND(NOT(L29=""),NOT(ISNUMBER(L29))),"ERROR","")),"ERROR",IF(AND(NOT(L29=""),NOT(ISNUMBER(L29))),"ERROR",""))</f>
        <v/>
      </c>
      <c r="N29" s="711" t="s">
        <v>2870</v>
      </c>
      <c r="O29" s="712"/>
      <c r="P29" s="691" t="str">
        <f>IF(ISERROR(IF(AND(NOT(O29=""),NOT(ISNUMBER(O29))),"ERROR","")),"ERROR",IF(AND(NOT(O29=""),NOT(ISNUMBER(O29))),"ERROR",""))</f>
        <v/>
      </c>
      <c r="Q29" s="713"/>
      <c r="R29" s="713"/>
      <c r="S29" s="713"/>
      <c r="T29" s="713"/>
      <c r="U29" s="745" t="s">
        <v>2888</v>
      </c>
      <c r="V29" s="715"/>
      <c r="W29" s="691" t="str">
        <f>IF(V29="","",IF(NOT(ISNUMBER(V29)),"ERROR",IF(AND(INT(V29)=V29,V29&gt;=76,V29&lt;=142),"","ERROR")))</f>
        <v/>
      </c>
    </row>
    <row r="30" spans="2:24">
      <c r="K30" s="718" t="s">
        <v>3200</v>
      </c>
      <c r="L30" s="710"/>
      <c r="M30" s="691" t="str">
        <f t="shared" si="3"/>
        <v/>
      </c>
      <c r="O30" s="682"/>
      <c r="Q30" s="1050" t="str">
        <f>$H$4</f>
        <v/>
      </c>
      <c r="R30" s="1050"/>
      <c r="V30" s="809"/>
    </row>
    <row r="31" spans="2:24">
      <c r="K31" s="718" t="s">
        <v>2877</v>
      </c>
      <c r="L31" s="710"/>
      <c r="M31" s="691" t="str">
        <f t="shared" si="3"/>
        <v/>
      </c>
      <c r="N31" s="711" t="s">
        <v>13</v>
      </c>
      <c r="O31" s="710"/>
      <c r="P31" s="691" t="str">
        <f>IF(ISERROR(IF(AND(NOT(O31=""),NOT(ISNUMBER(O31))),"ERROR","")),"ERROR",IF(AND(NOT(O31=""),NOT(ISNUMBER(O31))),"ERROR",""))</f>
        <v/>
      </c>
      <c r="Q31" s="1050"/>
      <c r="R31" s="1050"/>
      <c r="U31" s="722" t="s">
        <v>2878</v>
      </c>
      <c r="V31" s="715"/>
      <c r="W31" s="691" t="str">
        <f>IF(OR(V31="",V31="x"),"","ERROR")</f>
        <v/>
      </c>
    </row>
    <row r="32" spans="2:24">
      <c r="K32" s="718" t="s">
        <v>2882</v>
      </c>
      <c r="L32" s="710"/>
      <c r="M32" s="691" t="str">
        <f t="shared" si="3"/>
        <v/>
      </c>
      <c r="O32" s="707"/>
      <c r="Q32" s="1050"/>
      <c r="R32" s="1050"/>
      <c r="V32" s="707"/>
    </row>
    <row r="33" spans="8:24">
      <c r="L33" s="707"/>
      <c r="O33" s="746" t="str">
        <f>IF(AND(NOT(V29=""),W29=""),CONCATENATE(VLOOKUP(V29,$K$156:$P$306,2,FALSE)),"")</f>
        <v/>
      </c>
      <c r="P33" s="747" t="str">
        <f>IF(AND(NOT(V29=""),W29=""),CONCATENATE("=",VLOOKUP(V29,$K$156:$P$364,6,FALSE)),"")</f>
        <v/>
      </c>
    </row>
    <row r="34" spans="8:24">
      <c r="P34" s="747" t="str">
        <f>IF(AND(NOT(V29=""),W29=""),CONCATENATE("=",VLOOKUP(V29,$K$156:$P$364,4,FALSE)),"")</f>
        <v/>
      </c>
      <c r="X34" s="728">
        <f>COUNTIF(K19:Y33,"ERROR")-COUNTIF(W29:W29,"ERROR")</f>
        <v>0</v>
      </c>
    </row>
    <row r="35" spans="8:24">
      <c r="H35" s="1050" t="str">
        <f>$H$4</f>
        <v/>
      </c>
      <c r="I35" s="1050"/>
      <c r="P35" s="747"/>
      <c r="X35" s="728"/>
    </row>
    <row r="36" spans="8:24">
      <c r="H36" s="1050"/>
      <c r="I36" s="1050"/>
      <c r="K36" s="687" t="str">
        <f>'Solución alternativa DISVISA'!K36</f>
        <v>MONEDA CORRIENTE: Autoventistas frente a Alquiler</v>
      </c>
      <c r="L36" s="688"/>
      <c r="M36" s="688"/>
      <c r="N36" s="688"/>
      <c r="O36" s="688"/>
      <c r="P36" s="688"/>
      <c r="Q36" s="688"/>
      <c r="R36" s="688"/>
      <c r="S36" s="688"/>
      <c r="T36" s="688"/>
      <c r="U36" s="688"/>
      <c r="V36" s="688"/>
      <c r="W36" s="689" t="s">
        <v>2638</v>
      </c>
    </row>
    <row r="37" spans="8:24">
      <c r="H37" s="1050"/>
      <c r="I37" s="1050"/>
      <c r="L37" s="691" t="str">
        <f>IF(ISERROR(IF(OR(AND(NOT(L40=""),NOT(ISNUMBER(L40))),AND(NOT(L41=""),NOT(ISNUMBER(L41))),AND(NOT(L42=""),NOT(ISNUMBER(L42))),AND(NOT(L43=""),NOT(ISNUMBER(L43))),AND(NOT(L44=""),NOT(ISNUMBER(L44)))),"ERROR","")),"ERROR",IF(OR(AND(NOT(L40=""),NOT(ISNUMBER(L40))),AND(NOT(L41=""),NOT(ISNUMBER(L41))),AND(NOT(L42=""),NOT(ISNUMBER(L42))),AND(NOT(L43=""),NOT(ISNUMBER(L43))),AND(NOT(L44=""),NOT(ISNUMBER(L44)))),"ERROR",""))</f>
        <v/>
      </c>
      <c r="M37" s="691" t="str">
        <f t="shared" ref="M37:V37" si="4">IF(ISERROR(IF(OR(AND(NOT(M40=""),NOT(ISNUMBER(M40))),AND(NOT(M41=""),NOT(ISNUMBER(M41))),AND(NOT(M42=""),NOT(ISNUMBER(M42))),AND(NOT(M43=""),NOT(ISNUMBER(M43))),AND(NOT(M44=""),NOT(ISNUMBER(M44)))),"ERROR","")),"ERROR",IF(OR(AND(NOT(M40=""),NOT(ISNUMBER(M40))),AND(NOT(M41=""),NOT(ISNUMBER(M41))),AND(NOT(M42=""),NOT(ISNUMBER(M42))),AND(NOT(M43=""),NOT(ISNUMBER(M43))),AND(NOT(M44=""),NOT(ISNUMBER(M44)))),"ERROR",""))</f>
        <v/>
      </c>
      <c r="N37" s="691" t="str">
        <f t="shared" si="4"/>
        <v/>
      </c>
      <c r="O37" s="691" t="str">
        <f t="shared" si="4"/>
        <v/>
      </c>
      <c r="P37" s="691" t="str">
        <f t="shared" si="4"/>
        <v/>
      </c>
      <c r="Q37" s="691" t="str">
        <f t="shared" si="4"/>
        <v/>
      </c>
      <c r="R37" s="691" t="str">
        <f t="shared" si="4"/>
        <v/>
      </c>
      <c r="S37" s="691" t="str">
        <f t="shared" si="4"/>
        <v/>
      </c>
      <c r="T37" s="691" t="str">
        <f t="shared" si="4"/>
        <v/>
      </c>
      <c r="U37" s="691" t="str">
        <f t="shared" si="4"/>
        <v/>
      </c>
      <c r="V37" s="691" t="str">
        <f t="shared" si="4"/>
        <v/>
      </c>
      <c r="W37" s="691" t="str">
        <f>IF(ISERROR(IF(OR(AND(NOT(W39=""),NOT(ISNUMBER(W39))),AND(NOT(W40=""),NOT(ISNUMBER(W40))),AND(NOT(W41=""),NOT(ISNUMBER(W41))),AND(NOT(W42=""),NOT(ISNUMBER(W42))),AND(NOT(W43=""),NOT(ISNUMBER(W43))),AND(NOT(W44=""),NOT(ISNUMBER(W44)))),"ERROR","")),"ERROR",IF(OR(AND(NOT(W39=""),NOT(ISNUMBER(W39))),AND(NOT(W40=""),NOT(ISNUMBER(W40))),AND(NOT(W41=""),NOT(ISNUMBER(W41))),AND(NOT(W42=""),NOT(ISNUMBER(W42))),AND(NOT(W43=""),NOT(ISNUMBER(W43))),AND(NOT(W44=""),NOT(ISNUMBER(W44)))),"ERROR",""))</f>
        <v/>
      </c>
    </row>
    <row r="38" spans="8:24">
      <c r="K38" s="692" t="s">
        <v>0</v>
      </c>
      <c r="L38" s="692" t="s">
        <v>2885</v>
      </c>
      <c r="M38" s="692" t="s">
        <v>2855</v>
      </c>
      <c r="N38" s="692" t="s">
        <v>2856</v>
      </c>
      <c r="O38" s="692" t="s">
        <v>71</v>
      </c>
      <c r="P38" s="692" t="s">
        <v>72</v>
      </c>
      <c r="Q38" s="692" t="s">
        <v>2857</v>
      </c>
      <c r="R38" s="692" t="s">
        <v>74</v>
      </c>
      <c r="S38" s="692" t="s">
        <v>2858</v>
      </c>
      <c r="T38" s="692" t="s">
        <v>2859</v>
      </c>
      <c r="U38" s="692" t="s">
        <v>2860</v>
      </c>
      <c r="V38" s="692" t="s">
        <v>2861</v>
      </c>
      <c r="W38" s="692" t="s">
        <v>2862</v>
      </c>
    </row>
    <row r="39" spans="8:24">
      <c r="K39" s="695">
        <v>2022</v>
      </c>
      <c r="L39" s="696" t="s">
        <v>2651</v>
      </c>
      <c r="M39" s="696" t="s">
        <v>2651</v>
      </c>
      <c r="N39" s="696" t="s">
        <v>2651</v>
      </c>
      <c r="O39" s="696" t="s">
        <v>2651</v>
      </c>
      <c r="P39" s="696" t="s">
        <v>2651</v>
      </c>
      <c r="Q39" s="696" t="s">
        <v>2651</v>
      </c>
      <c r="R39" s="696" t="s">
        <v>2651</v>
      </c>
      <c r="S39" s="696" t="s">
        <v>2651</v>
      </c>
      <c r="T39" s="696" t="s">
        <v>2651</v>
      </c>
      <c r="U39" s="696" t="s">
        <v>2651</v>
      </c>
      <c r="V39" s="696" t="s">
        <v>2651</v>
      </c>
      <c r="W39" s="697"/>
    </row>
    <row r="40" spans="8:24">
      <c r="K40" s="695">
        <v>2023</v>
      </c>
      <c r="L40" s="697"/>
      <c r="M40" s="697"/>
      <c r="N40" s="697"/>
      <c r="O40" s="697"/>
      <c r="P40" s="697"/>
      <c r="Q40" s="697"/>
      <c r="R40" s="697"/>
      <c r="S40" s="697"/>
      <c r="T40" s="697"/>
      <c r="U40" s="697"/>
      <c r="V40" s="697"/>
      <c r="W40" s="697"/>
    </row>
    <row r="41" spans="8:24">
      <c r="K41" s="695">
        <v>2024</v>
      </c>
      <c r="L41" s="697"/>
      <c r="M41" s="697"/>
      <c r="N41" s="697"/>
      <c r="O41" s="697"/>
      <c r="P41" s="697"/>
      <c r="Q41" s="697"/>
      <c r="R41" s="697"/>
      <c r="S41" s="697"/>
      <c r="T41" s="697"/>
      <c r="U41" s="697"/>
      <c r="V41" s="697"/>
      <c r="W41" s="697"/>
    </row>
    <row r="42" spans="8:24">
      <c r="K42" s="695">
        <v>2025</v>
      </c>
      <c r="L42" s="697"/>
      <c r="M42" s="697"/>
      <c r="N42" s="697"/>
      <c r="O42" s="697"/>
      <c r="P42" s="697"/>
      <c r="Q42" s="697"/>
      <c r="R42" s="697"/>
      <c r="S42" s="697"/>
      <c r="T42" s="697"/>
      <c r="U42" s="697"/>
      <c r="V42" s="697"/>
      <c r="W42" s="697"/>
    </row>
    <row r="43" spans="8:24">
      <c r="K43" s="695">
        <v>2026</v>
      </c>
      <c r="L43" s="697"/>
      <c r="M43" s="697"/>
      <c r="N43" s="697"/>
      <c r="O43" s="697"/>
      <c r="P43" s="697"/>
      <c r="Q43" s="697"/>
      <c r="R43" s="697"/>
      <c r="S43" s="697"/>
      <c r="T43" s="697"/>
      <c r="U43" s="697"/>
      <c r="V43" s="697"/>
      <c r="W43" s="697"/>
    </row>
    <row r="44" spans="8:24">
      <c r="K44" s="695">
        <v>2027</v>
      </c>
      <c r="L44" s="697"/>
      <c r="M44" s="697"/>
      <c r="N44" s="697"/>
      <c r="O44" s="697"/>
      <c r="P44" s="697"/>
      <c r="Q44" s="697"/>
      <c r="R44" s="697"/>
      <c r="S44" s="697"/>
      <c r="T44" s="697"/>
      <c r="U44" s="697"/>
      <c r="V44" s="697"/>
      <c r="W44" s="697"/>
    </row>
    <row r="45" spans="8:24">
      <c r="L45" s="707"/>
      <c r="M45" s="707"/>
      <c r="N45" s="707"/>
      <c r="O45" s="707"/>
      <c r="P45" s="707"/>
      <c r="Q45" s="707"/>
      <c r="R45" s="707"/>
      <c r="S45" s="707"/>
      <c r="T45" s="707"/>
      <c r="U45" s="707"/>
      <c r="V45" s="707"/>
      <c r="W45" s="707"/>
    </row>
    <row r="46" spans="8:24">
      <c r="K46" s="709" t="s">
        <v>2869</v>
      </c>
      <c r="L46" s="710"/>
      <c r="M46" s="691" t="str">
        <f t="shared" ref="M46:M49" si="5">IF(ISERROR(IF(AND(NOT(L46=""),NOT(ISNUMBER(L46))),"ERROR","")),"ERROR",IF(AND(NOT(L46=""),NOT(ISNUMBER(L46))),"ERROR",""))</f>
        <v/>
      </c>
      <c r="N46" s="711" t="s">
        <v>2870</v>
      </c>
      <c r="O46" s="712"/>
      <c r="P46" s="691" t="str">
        <f>IF(ISERROR(IF(AND(NOT(O46=""),NOT(ISNUMBER(O46))),"ERROR","")),"ERROR",IF(AND(NOT(O46=""),NOT(ISNUMBER(O46))),"ERROR",""))</f>
        <v/>
      </c>
      <c r="Q46" s="713"/>
      <c r="R46" s="713"/>
      <c r="S46" s="713"/>
      <c r="T46" s="713"/>
      <c r="U46" s="745" t="s">
        <v>2890</v>
      </c>
      <c r="V46" s="715"/>
      <c r="W46" s="691" t="str">
        <f>IF(V46="","",IF(NOT(ISNUMBER(V46)),"ERROR",IF(AND(INT(V46)=V46,V46&gt;=143,V46&lt;=209),"","ERROR")))</f>
        <v/>
      </c>
    </row>
    <row r="47" spans="8:24">
      <c r="K47" s="718" t="s">
        <v>3200</v>
      </c>
      <c r="L47" s="710"/>
      <c r="M47" s="691" t="str">
        <f t="shared" si="5"/>
        <v/>
      </c>
      <c r="O47" s="682"/>
      <c r="Q47" s="1050" t="str">
        <f>$H$4</f>
        <v/>
      </c>
      <c r="R47" s="1050"/>
      <c r="V47" s="809"/>
    </row>
    <row r="48" spans="8:24">
      <c r="K48" s="718" t="s">
        <v>2877</v>
      </c>
      <c r="L48" s="710"/>
      <c r="M48" s="691" t="str">
        <f t="shared" si="5"/>
        <v/>
      </c>
      <c r="N48" s="711" t="s">
        <v>13</v>
      </c>
      <c r="O48" s="710"/>
      <c r="P48" s="691" t="str">
        <f>IF(ISERROR(IF(AND(NOT(O48=""),NOT(ISNUMBER(O48))),"ERROR","")),"ERROR",IF(AND(NOT(O48=""),NOT(ISNUMBER(O48))),"ERROR",""))</f>
        <v/>
      </c>
      <c r="Q48" s="1050"/>
      <c r="R48" s="1050"/>
      <c r="U48" s="722" t="s">
        <v>2878</v>
      </c>
      <c r="V48" s="715"/>
      <c r="W48" s="691" t="str">
        <f>IF(OR(V48="",V48="x"),"","ERROR")</f>
        <v/>
      </c>
    </row>
    <row r="49" spans="1:25">
      <c r="H49" s="1050" t="str">
        <f>$H$4</f>
        <v/>
      </c>
      <c r="I49" s="1050"/>
      <c r="K49" s="718" t="s">
        <v>2882</v>
      </c>
      <c r="L49" s="710"/>
      <c r="M49" s="691" t="str">
        <f t="shared" si="5"/>
        <v/>
      </c>
      <c r="O49" s="707"/>
      <c r="Q49" s="1050"/>
      <c r="R49" s="1050"/>
      <c r="V49" s="707"/>
    </row>
    <row r="50" spans="1:25">
      <c r="H50" s="1050"/>
      <c r="I50" s="1050"/>
      <c r="L50" s="707"/>
      <c r="O50" s="746" t="str">
        <f>IF(AND(NOT(V46=""),W46=""),CONCATENATE(VLOOKUP(V46,$K$156:$P$364,2,FALSE)),"")</f>
        <v/>
      </c>
      <c r="P50" s="811" t="str">
        <f>IF(AND(NOT(V46=""),W46=""),CONCATENATE("=",VLOOKUP(V46,$K$156:$P$364,6,FALSE)),"")</f>
        <v/>
      </c>
    </row>
    <row r="51" spans="1:25">
      <c r="H51" s="1050"/>
      <c r="I51" s="1050"/>
      <c r="P51" s="747" t="str">
        <f>IF(AND(NOT(V46=""),W46=""),CONCATENATE("=",VLOOKUP(V46,$K$156:$P$364,4,FALSE)),"")</f>
        <v/>
      </c>
      <c r="X51" s="728">
        <f>COUNTIF(K36:Y50,"ERROR")-COUNTIF(W46:W46,"ERROR")</f>
        <v>0</v>
      </c>
    </row>
    <row r="55" spans="1:25" s="750" customFormat="1" ht="15" customHeight="1"/>
    <row r="56" spans="1:25" s="750" customFormat="1" ht="15" customHeight="1">
      <c r="K56" s="812"/>
    </row>
    <row r="57" spans="1:25" s="751" customFormat="1" ht="15" customHeight="1"/>
    <row r="58" spans="1:25" s="751" customFormat="1" ht="15" customHeight="1"/>
    <row r="59" spans="1:25" s="751" customFormat="1" ht="15" customHeight="1"/>
    <row r="60" spans="1:25" s="751" customFormat="1" ht="15" customHeight="1"/>
    <row r="61" spans="1:25" s="751" customFormat="1" ht="15" hidden="1" customHeight="1">
      <c r="W61" s="752"/>
      <c r="Y61" s="752"/>
    </row>
    <row r="62" spans="1:25" s="363" customFormat="1" ht="0.65" hidden="1" customHeight="1">
      <c r="A62" s="753">
        <v>250000</v>
      </c>
      <c r="B62" s="753">
        <f>IF(C6="","",C6)</f>
        <v>250000</v>
      </c>
      <c r="C62" s="753">
        <f>IF(A62=B62,1,0)</f>
        <v>1</v>
      </c>
      <c r="D62" s="753"/>
      <c r="E62" s="753"/>
      <c r="F62" s="753"/>
      <c r="G62" s="753"/>
      <c r="H62" s="753"/>
      <c r="K62" s="362"/>
      <c r="L62" s="362"/>
      <c r="M62" s="362"/>
      <c r="N62" s="362"/>
      <c r="O62" s="362"/>
      <c r="P62" s="362"/>
      <c r="Q62" s="362"/>
      <c r="R62" s="362"/>
      <c r="S62" s="362"/>
      <c r="T62" s="362"/>
      <c r="U62" s="362"/>
      <c r="V62" s="362"/>
      <c r="W62" s="362"/>
      <c r="Y62" s="362"/>
    </row>
    <row r="63" spans="1:25" s="363" customFormat="1" ht="0.65" hidden="1" customHeight="1">
      <c r="A63" s="753">
        <v>200000</v>
      </c>
      <c r="B63" s="753">
        <f t="shared" ref="B63:B64" si="6">IF(C7="","",C7)</f>
        <v>200000</v>
      </c>
      <c r="C63" s="753">
        <f t="shared" ref="C63:C64" si="7">IF(A63=B63,1,0)</f>
        <v>1</v>
      </c>
      <c r="D63" s="753">
        <v>2000000</v>
      </c>
      <c r="E63" s="753">
        <f t="shared" ref="E63:E67" si="8">IF(F7="","",F7)</f>
        <v>2000000</v>
      </c>
      <c r="F63" s="753">
        <f t="shared" ref="F63:F67" si="9">IF(D63=E63,1,0)</f>
        <v>1</v>
      </c>
      <c r="G63" s="753"/>
      <c r="H63" s="753"/>
      <c r="K63" s="362"/>
      <c r="L63" s="753" t="s">
        <v>2651</v>
      </c>
      <c r="M63" s="753" t="s">
        <v>2651</v>
      </c>
      <c r="N63" s="753" t="s">
        <v>2651</v>
      </c>
      <c r="O63" s="753" t="s">
        <v>2651</v>
      </c>
      <c r="P63" s="753" t="s">
        <v>2651</v>
      </c>
      <c r="Q63" s="753" t="s">
        <v>2651</v>
      </c>
      <c r="R63" s="753" t="s">
        <v>2651</v>
      </c>
      <c r="S63" s="753" t="s">
        <v>2651</v>
      </c>
      <c r="T63" s="753" t="s">
        <v>2651</v>
      </c>
      <c r="U63" s="753" t="s">
        <v>2651</v>
      </c>
      <c r="V63" s="753" t="s">
        <v>2651</v>
      </c>
      <c r="W63" s="754">
        <v>-250000</v>
      </c>
      <c r="Y63" s="754">
        <v>-250000</v>
      </c>
    </row>
    <row r="64" spans="1:25" s="363" customFormat="1" ht="0.65" hidden="1" customHeight="1">
      <c r="A64" s="753">
        <v>10</v>
      </c>
      <c r="B64" s="753">
        <f t="shared" si="6"/>
        <v>10</v>
      </c>
      <c r="C64" s="753">
        <f t="shared" si="7"/>
        <v>1</v>
      </c>
      <c r="D64" s="753">
        <v>2500000</v>
      </c>
      <c r="E64" s="753">
        <f t="shared" si="8"/>
        <v>2500000</v>
      </c>
      <c r="F64" s="753">
        <f t="shared" si="9"/>
        <v>1</v>
      </c>
      <c r="G64" s="753"/>
      <c r="H64" s="753"/>
      <c r="K64" s="362"/>
      <c r="L64" s="754">
        <v>2100000</v>
      </c>
      <c r="M64" s="754">
        <v>1802500</v>
      </c>
      <c r="N64" s="754">
        <v>297500</v>
      </c>
      <c r="O64" s="754">
        <v>25000</v>
      </c>
      <c r="P64" s="754">
        <v>272500</v>
      </c>
      <c r="Q64" s="754">
        <v>76300</v>
      </c>
      <c r="R64" s="754">
        <v>196200</v>
      </c>
      <c r="S64" s="754">
        <v>221200</v>
      </c>
      <c r="T64" s="754">
        <v>175000</v>
      </c>
      <c r="U64" s="754">
        <v>175000</v>
      </c>
      <c r="V64" s="754">
        <v>46200</v>
      </c>
      <c r="W64" s="754">
        <v>46200</v>
      </c>
      <c r="Y64" s="754">
        <v>44000</v>
      </c>
    </row>
    <row r="65" spans="1:25" s="363" customFormat="1" ht="0.65" hidden="1" customHeight="1">
      <c r="A65" s="753"/>
      <c r="B65" s="753"/>
      <c r="C65" s="753"/>
      <c r="D65" s="753">
        <v>3000000</v>
      </c>
      <c r="E65" s="753">
        <f t="shared" si="8"/>
        <v>3000000</v>
      </c>
      <c r="F65" s="753">
        <f t="shared" si="9"/>
        <v>1</v>
      </c>
      <c r="G65" s="753"/>
      <c r="H65" s="753"/>
      <c r="K65" s="362"/>
      <c r="L65" s="754">
        <v>2756250</v>
      </c>
      <c r="M65" s="754">
        <v>2352000</v>
      </c>
      <c r="N65" s="754">
        <v>404250</v>
      </c>
      <c r="O65" s="754">
        <v>25000</v>
      </c>
      <c r="P65" s="754">
        <v>379250</v>
      </c>
      <c r="Q65" s="754">
        <v>106190.00000000001</v>
      </c>
      <c r="R65" s="754">
        <v>273060</v>
      </c>
      <c r="S65" s="754">
        <v>298060</v>
      </c>
      <c r="T65" s="754">
        <v>229687.5</v>
      </c>
      <c r="U65" s="754">
        <v>54687.5</v>
      </c>
      <c r="V65" s="754">
        <v>243372.5</v>
      </c>
      <c r="W65" s="754">
        <v>243372.5</v>
      </c>
      <c r="Y65" s="754">
        <v>220746.03174603175</v>
      </c>
    </row>
    <row r="66" spans="1:25" s="363" customFormat="1" ht="0.65" hidden="1" customHeight="1">
      <c r="A66" s="753"/>
      <c r="B66" s="753"/>
      <c r="C66" s="753"/>
      <c r="D66" s="753">
        <v>3000000</v>
      </c>
      <c r="E66" s="753">
        <f t="shared" si="8"/>
        <v>3000000</v>
      </c>
      <c r="F66" s="753">
        <f t="shared" si="9"/>
        <v>1</v>
      </c>
      <c r="G66" s="753"/>
      <c r="H66" s="753"/>
      <c r="K66" s="362"/>
      <c r="L66" s="754">
        <v>3472875.0000000005</v>
      </c>
      <c r="M66" s="754">
        <v>2951943.7500000005</v>
      </c>
      <c r="N66" s="754">
        <v>520931.25</v>
      </c>
      <c r="O66" s="754">
        <v>25000</v>
      </c>
      <c r="P66" s="754">
        <v>495931.25</v>
      </c>
      <c r="Q66" s="754">
        <v>138860.75</v>
      </c>
      <c r="R66" s="754">
        <v>357070.5</v>
      </c>
      <c r="S66" s="754">
        <v>382070.5</v>
      </c>
      <c r="T66" s="754">
        <v>289406.25000000006</v>
      </c>
      <c r="U66" s="754">
        <v>59718.750000000058</v>
      </c>
      <c r="V66" s="754">
        <v>322351.74999999994</v>
      </c>
      <c r="W66" s="754">
        <v>322351.74999999994</v>
      </c>
      <c r="Y66" s="754">
        <v>278459.56160241866</v>
      </c>
    </row>
    <row r="67" spans="1:25" s="363" customFormat="1" ht="0.65" hidden="1" customHeight="1">
      <c r="A67" s="753"/>
      <c r="B67" s="753"/>
      <c r="C67" s="753"/>
      <c r="D67" s="753">
        <v>3000000</v>
      </c>
      <c r="E67" s="753">
        <f t="shared" si="8"/>
        <v>3000000</v>
      </c>
      <c r="F67" s="753">
        <f t="shared" si="9"/>
        <v>1</v>
      </c>
      <c r="G67" s="753"/>
      <c r="H67" s="753"/>
      <c r="K67" s="362"/>
      <c r="L67" s="754">
        <v>3646518.75</v>
      </c>
      <c r="M67" s="754">
        <v>3099540.9375</v>
      </c>
      <c r="N67" s="754">
        <v>546977.8125</v>
      </c>
      <c r="O67" s="754">
        <v>25000</v>
      </c>
      <c r="P67" s="754">
        <v>521977.8125</v>
      </c>
      <c r="Q67" s="754">
        <v>146153.78750000001</v>
      </c>
      <c r="R67" s="754">
        <v>375824.02500000002</v>
      </c>
      <c r="S67" s="754">
        <v>400824.02500000002</v>
      </c>
      <c r="T67" s="754">
        <v>303876.5625</v>
      </c>
      <c r="U67" s="754">
        <v>14470.312499999942</v>
      </c>
      <c r="V67" s="754">
        <v>386353.71250000008</v>
      </c>
      <c r="W67" s="754">
        <v>386353.71250000008</v>
      </c>
      <c r="Y67" s="754">
        <v>317854.15541878133</v>
      </c>
    </row>
    <row r="68" spans="1:25" s="363" customFormat="1" ht="0.65" hidden="1" customHeight="1">
      <c r="A68" s="753"/>
      <c r="B68" s="753"/>
      <c r="C68" s="753"/>
      <c r="D68" s="753"/>
      <c r="E68" s="753"/>
      <c r="F68" s="753"/>
      <c r="G68" s="753">
        <v>2022</v>
      </c>
      <c r="H68" s="753">
        <f>IF(I12="","",I12)</f>
        <v>2022</v>
      </c>
      <c r="I68" s="753">
        <f>IF(G68=H68,1,0)</f>
        <v>1</v>
      </c>
      <c r="K68" s="362"/>
      <c r="L68" s="754">
        <v>3828844.6875000005</v>
      </c>
      <c r="M68" s="754">
        <v>3254517.9843750005</v>
      </c>
      <c r="N68" s="754">
        <v>574326.703125</v>
      </c>
      <c r="O68" s="754">
        <v>25000</v>
      </c>
      <c r="P68" s="754">
        <v>549326.703125</v>
      </c>
      <c r="Q68" s="754">
        <v>153811.47687500002</v>
      </c>
      <c r="R68" s="754">
        <v>395515.22624999995</v>
      </c>
      <c r="S68" s="754">
        <v>420515.22624999995</v>
      </c>
      <c r="T68" s="754">
        <v>319070.39062500006</v>
      </c>
      <c r="U68" s="754">
        <v>15193.828125000058</v>
      </c>
      <c r="V68" s="754">
        <v>405321.39812499989</v>
      </c>
      <c r="W68" s="754">
        <v>903391.78874999995</v>
      </c>
      <c r="Y68" s="754">
        <v>707831.10505837132</v>
      </c>
    </row>
    <row r="69" spans="1:25" s="363" customFormat="1" ht="0.65" hidden="1" customHeight="1">
      <c r="A69" s="753"/>
      <c r="B69" s="753"/>
      <c r="C69" s="753"/>
      <c r="D69" s="753">
        <v>50000</v>
      </c>
      <c r="E69" s="753">
        <f t="shared" ref="E69:E71" si="10">IF(F13="","",F13)</f>
        <v>50000</v>
      </c>
      <c r="F69" s="753">
        <f t="shared" ref="F69:F71" si="11">IF(D69=E69,1,0)</f>
        <v>1</v>
      </c>
      <c r="G69" s="753"/>
      <c r="H69" s="753"/>
    </row>
    <row r="70" spans="1:25" s="363" customFormat="1" ht="0.65" hidden="1" customHeight="1">
      <c r="A70" s="753"/>
      <c r="B70" s="753"/>
      <c r="C70" s="753"/>
      <c r="D70" s="755">
        <v>0.2</v>
      </c>
      <c r="E70" s="755">
        <f t="shared" si="10"/>
        <v>0.2</v>
      </c>
      <c r="F70" s="753">
        <f t="shared" si="11"/>
        <v>1</v>
      </c>
      <c r="G70" s="755">
        <v>0.05</v>
      </c>
      <c r="H70" s="755">
        <f t="shared" ref="H70:H71" si="12">IF(I14="","",I14)</f>
        <v>0.05</v>
      </c>
      <c r="I70" s="753">
        <f t="shared" ref="I70:I71" si="13">IF(G70=H70,1,0)</f>
        <v>1</v>
      </c>
      <c r="K70" s="753"/>
      <c r="L70" s="754">
        <v>250000</v>
      </c>
      <c r="O70" s="756">
        <v>0.11300000000000021</v>
      </c>
      <c r="Y70" s="756">
        <v>0.06</v>
      </c>
    </row>
    <row r="71" spans="1:25" s="363" customFormat="1" ht="0.65" hidden="1" customHeight="1">
      <c r="A71" s="755">
        <v>3000</v>
      </c>
      <c r="B71" s="755">
        <f>IF(C15="","",C15)</f>
        <v>3000</v>
      </c>
      <c r="C71" s="753">
        <f>IF(A71=B71,1,0)</f>
        <v>1</v>
      </c>
      <c r="D71" s="753">
        <v>30</v>
      </c>
      <c r="E71" s="753">
        <f t="shared" si="10"/>
        <v>30</v>
      </c>
      <c r="F71" s="753">
        <f t="shared" si="11"/>
        <v>1</v>
      </c>
      <c r="G71" s="753">
        <v>5</v>
      </c>
      <c r="H71" s="753">
        <f t="shared" si="12"/>
        <v>5</v>
      </c>
      <c r="I71" s="753">
        <f t="shared" si="13"/>
        <v>1</v>
      </c>
      <c r="K71" s="362"/>
      <c r="L71" s="754">
        <v>179000</v>
      </c>
      <c r="O71" s="753"/>
      <c r="Y71" s="753"/>
    </row>
    <row r="72" spans="1:25" s="363" customFormat="1" ht="0.65" hidden="1" customHeight="1">
      <c r="A72" s="753"/>
      <c r="B72" s="753"/>
      <c r="C72" s="753"/>
      <c r="D72" s="753"/>
      <c r="E72" s="753"/>
      <c r="F72" s="753"/>
      <c r="G72" s="753"/>
      <c r="H72" s="753"/>
      <c r="K72" s="362"/>
      <c r="L72" s="754">
        <v>319070.39062500006</v>
      </c>
      <c r="O72" s="754">
        <v>1002475.4744343841</v>
      </c>
      <c r="Y72" s="754">
        <v>1002475.4744343846</v>
      </c>
    </row>
    <row r="73" spans="1:25" s="363" customFormat="1" ht="0.65" hidden="1" customHeight="1">
      <c r="A73" s="753"/>
      <c r="B73" s="753"/>
      <c r="C73" s="753"/>
      <c r="D73" s="753"/>
      <c r="E73" s="753"/>
      <c r="F73" s="753"/>
      <c r="G73" s="755">
        <v>0.28000000000000003</v>
      </c>
      <c r="H73" s="755">
        <f t="shared" ref="H73:H74" si="14">IF(I17="","",I17)</f>
        <v>0.28000000000000003</v>
      </c>
      <c r="I73" s="753">
        <f t="shared" ref="I73:I74" si="15">IF(G73=H73,1,0)</f>
        <v>1</v>
      </c>
      <c r="K73" s="362"/>
      <c r="L73" s="754">
        <v>498070.39062500006</v>
      </c>
    </row>
    <row r="74" spans="1:25" s="363" customFormat="1" ht="0.65" hidden="1" customHeight="1">
      <c r="A74" s="753"/>
      <c r="B74" s="753"/>
      <c r="C74" s="753"/>
      <c r="D74" s="753"/>
      <c r="E74" s="753"/>
      <c r="F74" s="753"/>
      <c r="G74" s="755">
        <v>0.06</v>
      </c>
      <c r="H74" s="755">
        <f t="shared" si="14"/>
        <v>0.06</v>
      </c>
      <c r="I74" s="753">
        <f t="shared" si="15"/>
        <v>1</v>
      </c>
    </row>
    <row r="75" spans="1:25" s="363" customFormat="1" ht="0.65" hidden="1" customHeight="1">
      <c r="A75" s="753"/>
      <c r="B75" s="753"/>
      <c r="C75" s="753"/>
      <c r="D75" s="753"/>
      <c r="E75" s="753"/>
      <c r="F75" s="753"/>
      <c r="G75" s="753"/>
      <c r="H75" s="753"/>
    </row>
    <row r="76" spans="1:25" s="363" customFormat="1" ht="0.65" hidden="1" customHeight="1">
      <c r="A76" s="753"/>
      <c r="B76" s="753"/>
      <c r="C76" s="753"/>
      <c r="D76" s="753"/>
      <c r="E76" s="753"/>
      <c r="F76" s="753"/>
      <c r="G76" s="753"/>
      <c r="H76" s="753"/>
    </row>
    <row r="77" spans="1:25" s="363" customFormat="1" ht="0.65" hidden="1" customHeight="1">
      <c r="A77" s="753">
        <v>0</v>
      </c>
      <c r="B77" s="753">
        <f t="shared" ref="B77:B80" si="16">IF(C21="","",C21)</f>
        <v>0</v>
      </c>
      <c r="C77" s="753">
        <f t="shared" ref="C77:C80" si="17">IF(A77=B77,1,0)</f>
        <v>1</v>
      </c>
      <c r="D77" s="753"/>
      <c r="E77" s="753"/>
      <c r="F77" s="753"/>
      <c r="G77" s="753"/>
      <c r="H77" s="753"/>
    </row>
    <row r="78" spans="1:25" s="363" customFormat="1" ht="0.65" hidden="1" customHeight="1">
      <c r="A78" s="753">
        <v>0</v>
      </c>
      <c r="B78" s="753">
        <f t="shared" si="16"/>
        <v>0</v>
      </c>
      <c r="C78" s="753">
        <f t="shared" si="17"/>
        <v>1</v>
      </c>
      <c r="D78" s="753">
        <v>875000.00000000012</v>
      </c>
      <c r="E78" s="753">
        <f t="shared" ref="E78:E82" si="18">IF(F22="","",F22)</f>
        <v>875000.00000000012</v>
      </c>
      <c r="F78" s="753">
        <f t="shared" ref="F78:F82" si="19">IF(D78=E78,1,0)</f>
        <v>1</v>
      </c>
      <c r="G78" s="753"/>
      <c r="H78" s="753"/>
      <c r="K78" s="362"/>
      <c r="L78" s="362"/>
      <c r="M78" s="362"/>
      <c r="N78" s="362"/>
      <c r="O78" s="362"/>
      <c r="P78" s="362"/>
      <c r="Q78" s="362"/>
      <c r="R78" s="362"/>
      <c r="S78" s="362"/>
      <c r="T78" s="362"/>
      <c r="U78" s="362"/>
      <c r="V78" s="362"/>
      <c r="W78" s="362"/>
    </row>
    <row r="79" spans="1:25" s="363" customFormat="1" ht="0.65" hidden="1" customHeight="1">
      <c r="A79" s="753">
        <v>0</v>
      </c>
      <c r="B79" s="753">
        <f t="shared" si="16"/>
        <v>0</v>
      </c>
      <c r="C79" s="753">
        <f t="shared" si="17"/>
        <v>1</v>
      </c>
      <c r="D79" s="753">
        <v>1093750.0000000002</v>
      </c>
      <c r="E79" s="753">
        <f t="shared" si="18"/>
        <v>1093750.0000000002</v>
      </c>
      <c r="F79" s="753">
        <f t="shared" si="19"/>
        <v>1</v>
      </c>
      <c r="G79" s="753"/>
      <c r="H79" s="753"/>
      <c r="K79" s="362"/>
      <c r="L79" s="753" t="s">
        <v>2651</v>
      </c>
      <c r="M79" s="753" t="s">
        <v>2651</v>
      </c>
      <c r="N79" s="753" t="s">
        <v>2651</v>
      </c>
      <c r="O79" s="753" t="s">
        <v>2651</v>
      </c>
      <c r="P79" s="753" t="s">
        <v>2651</v>
      </c>
      <c r="Q79" s="753" t="s">
        <v>2651</v>
      </c>
      <c r="R79" s="753" t="s">
        <v>2651</v>
      </c>
      <c r="S79" s="753" t="s">
        <v>2651</v>
      </c>
      <c r="T79" s="753" t="s">
        <v>2651</v>
      </c>
      <c r="U79" s="753" t="s">
        <v>2651</v>
      </c>
      <c r="V79" s="753" t="s">
        <v>2651</v>
      </c>
      <c r="W79" s="754">
        <v>250000</v>
      </c>
    </row>
    <row r="80" spans="1:25" s="363" customFormat="1" ht="0.65" hidden="1" customHeight="1">
      <c r="A80" s="755">
        <v>0.05</v>
      </c>
      <c r="B80" s="755">
        <f t="shared" si="16"/>
        <v>0.05</v>
      </c>
      <c r="C80" s="753">
        <f t="shared" si="17"/>
        <v>1</v>
      </c>
      <c r="D80" s="753">
        <v>1312500</v>
      </c>
      <c r="E80" s="753">
        <f t="shared" si="18"/>
        <v>1312500</v>
      </c>
      <c r="F80" s="753">
        <f t="shared" si="19"/>
        <v>1</v>
      </c>
      <c r="G80" s="753"/>
      <c r="H80" s="753"/>
      <c r="K80" s="362"/>
      <c r="L80" s="754">
        <v>0</v>
      </c>
      <c r="M80" s="754">
        <v>36000</v>
      </c>
      <c r="N80" s="754">
        <v>-36000</v>
      </c>
      <c r="O80" s="754">
        <v>-25000</v>
      </c>
      <c r="P80" s="754">
        <v>-11000</v>
      </c>
      <c r="Q80" s="754">
        <v>-3080.0000000000005</v>
      </c>
      <c r="R80" s="754">
        <v>-7920</v>
      </c>
      <c r="S80" s="754">
        <v>-32920</v>
      </c>
      <c r="T80" s="754">
        <v>0</v>
      </c>
      <c r="U80" s="754">
        <v>0</v>
      </c>
      <c r="V80" s="754">
        <v>-32920</v>
      </c>
      <c r="W80" s="754">
        <v>-32920</v>
      </c>
    </row>
    <row r="81" spans="1:23" s="363" customFormat="1" ht="0.65" hidden="1" customHeight="1">
      <c r="A81" s="753"/>
      <c r="B81" s="753"/>
      <c r="C81" s="753"/>
      <c r="D81" s="753">
        <v>1312500</v>
      </c>
      <c r="E81" s="753">
        <f t="shared" si="18"/>
        <v>1312500</v>
      </c>
      <c r="F81" s="753">
        <f t="shared" si="19"/>
        <v>1</v>
      </c>
      <c r="G81" s="753"/>
      <c r="H81" s="753"/>
      <c r="K81" s="362"/>
      <c r="L81" s="754">
        <v>0</v>
      </c>
      <c r="M81" s="754">
        <v>36000</v>
      </c>
      <c r="N81" s="754">
        <v>-36000</v>
      </c>
      <c r="O81" s="754">
        <v>-25000</v>
      </c>
      <c r="P81" s="754">
        <v>-11000</v>
      </c>
      <c r="Q81" s="754">
        <v>-3080.0000000000005</v>
      </c>
      <c r="R81" s="754">
        <v>-7920</v>
      </c>
      <c r="S81" s="754">
        <v>-32920</v>
      </c>
      <c r="T81" s="754">
        <v>0</v>
      </c>
      <c r="U81" s="754">
        <v>0</v>
      </c>
      <c r="V81" s="754">
        <v>-32920</v>
      </c>
      <c r="W81" s="754">
        <v>-32920</v>
      </c>
    </row>
    <row r="82" spans="1:23" s="363" customFormat="1" ht="0.65" hidden="1" customHeight="1">
      <c r="A82" s="753"/>
      <c r="B82" s="753"/>
      <c r="C82" s="753"/>
      <c r="D82" s="753">
        <v>1312500</v>
      </c>
      <c r="E82" s="753">
        <f t="shared" si="18"/>
        <v>1312500</v>
      </c>
      <c r="F82" s="753">
        <f t="shared" si="19"/>
        <v>1</v>
      </c>
      <c r="G82" s="753"/>
      <c r="H82" s="753"/>
      <c r="K82" s="362"/>
      <c r="L82" s="754">
        <v>0</v>
      </c>
      <c r="M82" s="754">
        <v>36000</v>
      </c>
      <c r="N82" s="754">
        <v>-36000</v>
      </c>
      <c r="O82" s="754">
        <v>-25000</v>
      </c>
      <c r="P82" s="754">
        <v>-11000</v>
      </c>
      <c r="Q82" s="754">
        <v>-3080.0000000000005</v>
      </c>
      <c r="R82" s="754">
        <v>-7920</v>
      </c>
      <c r="S82" s="754">
        <v>-32920</v>
      </c>
      <c r="T82" s="754">
        <v>0</v>
      </c>
      <c r="U82" s="754">
        <v>0</v>
      </c>
      <c r="V82" s="754">
        <v>-32920</v>
      </c>
      <c r="W82" s="754">
        <v>-32920</v>
      </c>
    </row>
    <row r="83" spans="1:23" s="363" customFormat="1" ht="0.65" hidden="1" customHeight="1">
      <c r="A83" s="753"/>
      <c r="B83" s="753"/>
      <c r="C83" s="753"/>
      <c r="D83" s="753"/>
      <c r="E83" s="753"/>
      <c r="F83" s="753"/>
      <c r="G83" s="753"/>
      <c r="H83" s="753"/>
      <c r="K83" s="362"/>
      <c r="L83" s="754">
        <v>0</v>
      </c>
      <c r="M83" s="754">
        <v>36000</v>
      </c>
      <c r="N83" s="754">
        <v>-36000</v>
      </c>
      <c r="O83" s="754">
        <v>-25000</v>
      </c>
      <c r="P83" s="754">
        <v>-11000</v>
      </c>
      <c r="Q83" s="754">
        <v>-3080.0000000000005</v>
      </c>
      <c r="R83" s="754">
        <v>-7920</v>
      </c>
      <c r="S83" s="754">
        <v>-32920</v>
      </c>
      <c r="T83" s="754">
        <v>0</v>
      </c>
      <c r="U83" s="754">
        <v>0</v>
      </c>
      <c r="V83" s="754">
        <v>-32920</v>
      </c>
      <c r="W83" s="754">
        <v>-32920</v>
      </c>
    </row>
    <row r="84" spans="1:23" s="363" customFormat="1" ht="0.65" hidden="1" customHeight="1">
      <c r="A84" s="753"/>
      <c r="B84" s="753"/>
      <c r="C84" s="753"/>
      <c r="D84" s="753"/>
      <c r="E84" s="753"/>
      <c r="F84" s="753"/>
      <c r="G84" s="753"/>
      <c r="H84" s="753"/>
      <c r="K84" s="362"/>
      <c r="L84" s="754">
        <v>0</v>
      </c>
      <c r="M84" s="754">
        <v>36000</v>
      </c>
      <c r="N84" s="754">
        <v>-36000</v>
      </c>
      <c r="O84" s="754">
        <v>-25000</v>
      </c>
      <c r="P84" s="754">
        <v>-11000</v>
      </c>
      <c r="Q84" s="754">
        <v>-3080.0000000000005</v>
      </c>
      <c r="R84" s="754">
        <v>-7920</v>
      </c>
      <c r="S84" s="754">
        <v>-32920</v>
      </c>
      <c r="T84" s="754">
        <v>0</v>
      </c>
      <c r="U84" s="754">
        <v>0</v>
      </c>
      <c r="V84" s="754">
        <v>-32920</v>
      </c>
      <c r="W84" s="754">
        <v>-211920</v>
      </c>
    </row>
    <row r="85" spans="1:23" s="363" customFormat="1" ht="0.65" hidden="1" customHeight="1"/>
    <row r="86" spans="1:23" s="363" customFormat="1" ht="0.65" hidden="1" customHeight="1">
      <c r="K86" s="753"/>
      <c r="L86" s="754">
        <v>-250000</v>
      </c>
      <c r="O86" s="756">
        <v>0.11300000000000021</v>
      </c>
    </row>
    <row r="87" spans="1:23" s="363" customFormat="1" ht="0.65" hidden="1" customHeight="1">
      <c r="C87" s="757"/>
      <c r="D87" s="753">
        <f>SUM(C62:C80)+SUM(F63:F82)+SUM(I68:I74)+SUM(D93:D112)</f>
        <v>44</v>
      </c>
      <c r="K87" s="362"/>
      <c r="L87" s="754">
        <v>-179000</v>
      </c>
      <c r="O87" s="753"/>
    </row>
    <row r="88" spans="1:23" s="363" customFormat="1" ht="0.65" hidden="1" customHeight="1">
      <c r="C88" s="757"/>
      <c r="D88" s="753" t="str">
        <f>IF(OR(I19="*",D87=44),"NO","SI")</f>
        <v>NO</v>
      </c>
      <c r="K88" s="362"/>
      <c r="L88" s="754">
        <v>0</v>
      </c>
      <c r="O88" s="754">
        <v>24439.866693259828</v>
      </c>
    </row>
    <row r="89" spans="1:23" s="363" customFormat="1" ht="0.65" hidden="1" customHeight="1">
      <c r="K89" s="362"/>
      <c r="L89" s="754">
        <v>-179000</v>
      </c>
    </row>
    <row r="90" spans="1:23" s="363" customFormat="1" ht="0.65" hidden="1" customHeight="1"/>
    <row r="91" spans="1:23" s="363" customFormat="1" ht="0.65" hidden="1" customHeight="1"/>
    <row r="92" spans="1:23" s="363" customFormat="1" ht="0.65" hidden="1" customHeight="1"/>
    <row r="93" spans="1:23" s="363" customFormat="1" ht="0.65" hidden="1" customHeight="1">
      <c r="B93" s="758">
        <v>2022</v>
      </c>
      <c r="C93" s="758">
        <f>K5</f>
        <v>2022</v>
      </c>
      <c r="D93" s="753">
        <f>IF(B$93=C93,1,0)</f>
        <v>1</v>
      </c>
    </row>
    <row r="94" spans="1:23" s="363" customFormat="1" ht="0.65" hidden="1" customHeight="1">
      <c r="B94" s="758">
        <v>2023</v>
      </c>
      <c r="C94" s="758">
        <f t="shared" ref="C94:C98" si="20">K6</f>
        <v>2023</v>
      </c>
      <c r="D94" s="753">
        <f>IF(B$94=C94,1,0)</f>
        <v>1</v>
      </c>
      <c r="K94" s="362"/>
      <c r="L94" s="362"/>
      <c r="M94" s="362"/>
      <c r="N94" s="362"/>
      <c r="O94" s="362"/>
      <c r="P94" s="362"/>
      <c r="Q94" s="362"/>
      <c r="R94" s="362"/>
      <c r="S94" s="362"/>
      <c r="T94" s="362"/>
      <c r="U94" s="362"/>
      <c r="V94" s="362"/>
      <c r="W94" s="362"/>
    </row>
    <row r="95" spans="1:23" s="363" customFormat="1" ht="0.65" hidden="1" customHeight="1">
      <c r="B95" s="758">
        <v>2024</v>
      </c>
      <c r="C95" s="758">
        <f t="shared" si="20"/>
        <v>2024</v>
      </c>
      <c r="D95" s="753">
        <f>IF(B$95=C95,1,0)</f>
        <v>1</v>
      </c>
      <c r="K95" s="362"/>
      <c r="L95" s="753" t="s">
        <v>2651</v>
      </c>
      <c r="M95" s="753" t="s">
        <v>2651</v>
      </c>
      <c r="N95" s="753" t="s">
        <v>2651</v>
      </c>
      <c r="O95" s="753" t="s">
        <v>2651</v>
      </c>
      <c r="P95" s="753" t="s">
        <v>2651</v>
      </c>
      <c r="Q95" s="753" t="s">
        <v>2651</v>
      </c>
      <c r="R95" s="753" t="s">
        <v>2651</v>
      </c>
      <c r="S95" s="753" t="s">
        <v>2651</v>
      </c>
      <c r="T95" s="753" t="s">
        <v>2651</v>
      </c>
      <c r="U95" s="753" t="s">
        <v>2651</v>
      </c>
      <c r="V95" s="753" t="s">
        <v>2651</v>
      </c>
      <c r="W95" s="754">
        <v>0</v>
      </c>
    </row>
    <row r="96" spans="1:23" s="363" customFormat="1" ht="0.65" hidden="1" customHeight="1">
      <c r="B96" s="758">
        <v>2025</v>
      </c>
      <c r="C96" s="758">
        <f t="shared" si="20"/>
        <v>2025</v>
      </c>
      <c r="D96" s="753">
        <f>IF(B$96=C96,1,0)</f>
        <v>1</v>
      </c>
      <c r="K96" s="362"/>
      <c r="L96" s="754">
        <v>-1181250</v>
      </c>
      <c r="M96" s="754">
        <v>-963500.00000000012</v>
      </c>
      <c r="N96" s="754">
        <v>-217749.99999999988</v>
      </c>
      <c r="O96" s="754">
        <v>0</v>
      </c>
      <c r="P96" s="754">
        <v>-217749.99999999988</v>
      </c>
      <c r="Q96" s="754">
        <v>-60969.999999999971</v>
      </c>
      <c r="R96" s="754">
        <v>-156779.99999999991</v>
      </c>
      <c r="S96" s="754">
        <v>-156779.99999999991</v>
      </c>
      <c r="T96" s="754">
        <v>-175000</v>
      </c>
      <c r="U96" s="754">
        <v>-175000</v>
      </c>
      <c r="V96" s="754">
        <v>18220.000000000087</v>
      </c>
      <c r="W96" s="754">
        <v>18220.000000000087</v>
      </c>
    </row>
    <row r="97" spans="2:25" s="363" customFormat="1" ht="0.65" hidden="1" customHeight="1">
      <c r="B97" s="758">
        <v>2026</v>
      </c>
      <c r="C97" s="758">
        <f t="shared" si="20"/>
        <v>2026</v>
      </c>
      <c r="D97" s="753">
        <f>IF(B$97=C97,1,0)</f>
        <v>1</v>
      </c>
      <c r="K97" s="362"/>
      <c r="L97" s="754">
        <v>-1550390.6249999998</v>
      </c>
      <c r="M97" s="754">
        <v>-1239562.5000000002</v>
      </c>
      <c r="N97" s="754">
        <v>-310828.12499999953</v>
      </c>
      <c r="O97" s="754">
        <v>0</v>
      </c>
      <c r="P97" s="754">
        <v>-310828.12499999953</v>
      </c>
      <c r="Q97" s="754">
        <v>-87031.874999999884</v>
      </c>
      <c r="R97" s="754">
        <v>-223796.24999999965</v>
      </c>
      <c r="S97" s="754">
        <v>-223796.24999999965</v>
      </c>
      <c r="T97" s="754">
        <v>-229687.5</v>
      </c>
      <c r="U97" s="754">
        <v>-54687.5</v>
      </c>
      <c r="V97" s="754">
        <v>-169108.74999999965</v>
      </c>
      <c r="W97" s="754">
        <v>-169108.74999999965</v>
      </c>
    </row>
    <row r="98" spans="2:25" s="363" customFormat="1" ht="0.65" hidden="1" customHeight="1">
      <c r="B98" s="758">
        <v>2027</v>
      </c>
      <c r="C98" s="758">
        <f t="shared" si="20"/>
        <v>2027</v>
      </c>
      <c r="D98" s="753">
        <f>IF(B$98=C98,1,0)</f>
        <v>1</v>
      </c>
      <c r="K98" s="362"/>
      <c r="L98" s="754">
        <v>-1953492.1875000002</v>
      </c>
      <c r="M98" s="754">
        <v>-1540912.5000000002</v>
      </c>
      <c r="N98" s="754">
        <v>-412579.6875</v>
      </c>
      <c r="O98" s="754">
        <v>0</v>
      </c>
      <c r="P98" s="754">
        <v>-412579.6875</v>
      </c>
      <c r="Q98" s="754">
        <v>-115522.31250000001</v>
      </c>
      <c r="R98" s="754">
        <v>-297057.375</v>
      </c>
      <c r="S98" s="754">
        <v>-297057.375</v>
      </c>
      <c r="T98" s="754">
        <v>-289406.25000000006</v>
      </c>
      <c r="U98" s="754">
        <v>-59718.750000000058</v>
      </c>
      <c r="V98" s="754">
        <v>-237338.62499999994</v>
      </c>
      <c r="W98" s="754">
        <v>-237338.62499999994</v>
      </c>
    </row>
    <row r="99" spans="2:25" s="363" customFormat="1" ht="0.65" hidden="1" customHeight="1">
      <c r="C99" s="758"/>
      <c r="K99" s="362"/>
      <c r="L99" s="754">
        <v>-2051166.796875</v>
      </c>
      <c r="M99" s="754">
        <v>-1616158.125</v>
      </c>
      <c r="N99" s="754">
        <v>-435008.671875</v>
      </c>
      <c r="O99" s="754">
        <v>0</v>
      </c>
      <c r="P99" s="754">
        <v>-435008.671875</v>
      </c>
      <c r="Q99" s="754">
        <v>-121802.42812500001</v>
      </c>
      <c r="R99" s="754">
        <v>-313206.24375000002</v>
      </c>
      <c r="S99" s="754">
        <v>-313206.24375000002</v>
      </c>
      <c r="T99" s="754">
        <v>-303876.5625</v>
      </c>
      <c r="U99" s="754">
        <v>-14470.312499999942</v>
      </c>
      <c r="V99" s="754">
        <v>-298735.93125000008</v>
      </c>
      <c r="W99" s="754">
        <v>-298735.93125000008</v>
      </c>
    </row>
    <row r="100" spans="2:25" s="363" customFormat="1" ht="0.65" hidden="1" customHeight="1">
      <c r="C100" s="758">
        <f>K22</f>
        <v>2022</v>
      </c>
      <c r="D100" s="753">
        <f>IF(B$93=C100,1,0)</f>
        <v>1</v>
      </c>
      <c r="K100" s="362"/>
      <c r="L100" s="754">
        <v>-2153725.13671875</v>
      </c>
      <c r="M100" s="754">
        <v>-1695166.0312500002</v>
      </c>
      <c r="N100" s="754">
        <v>-458559.10546874977</v>
      </c>
      <c r="O100" s="754">
        <v>0</v>
      </c>
      <c r="P100" s="754">
        <v>-458559.10546874977</v>
      </c>
      <c r="Q100" s="754">
        <v>-128396.54953124994</v>
      </c>
      <c r="R100" s="754">
        <v>-330162.55593749986</v>
      </c>
      <c r="S100" s="754">
        <v>-330162.55593749986</v>
      </c>
      <c r="T100" s="754">
        <v>-319070.39062500006</v>
      </c>
      <c r="U100" s="754">
        <v>-15193.828125000058</v>
      </c>
      <c r="V100" s="754">
        <v>-314968.7278124998</v>
      </c>
      <c r="W100" s="754">
        <v>-634039.11843749986</v>
      </c>
    </row>
    <row r="101" spans="2:25" s="363" customFormat="1" ht="0.65" hidden="1" customHeight="1">
      <c r="C101" s="758">
        <f t="shared" ref="C101:C105" si="21">K23</f>
        <v>2023</v>
      </c>
      <c r="D101" s="753">
        <f>IF(B$94=C101,1,0)</f>
        <v>1</v>
      </c>
    </row>
    <row r="102" spans="2:25" s="363" customFormat="1" ht="0.65" hidden="1" customHeight="1">
      <c r="C102" s="758">
        <f t="shared" si="21"/>
        <v>2024</v>
      </c>
      <c r="D102" s="753">
        <f>IF(B$95=C102,1,0)</f>
        <v>1</v>
      </c>
      <c r="K102" s="753"/>
      <c r="L102" s="754">
        <v>0</v>
      </c>
      <c r="O102" s="756">
        <v>0.11300000000000021</v>
      </c>
    </row>
    <row r="103" spans="2:25" s="363" customFormat="1" ht="0.65" hidden="1" customHeight="1">
      <c r="C103" s="758">
        <f t="shared" si="21"/>
        <v>2025</v>
      </c>
      <c r="D103" s="753">
        <f>IF(B$96=C103,1,0)</f>
        <v>1</v>
      </c>
      <c r="K103" s="362"/>
      <c r="L103" s="754">
        <v>0</v>
      </c>
      <c r="O103" s="753"/>
    </row>
    <row r="104" spans="2:25" s="363" customFormat="1" ht="0.65" hidden="1" customHeight="1">
      <c r="C104" s="758">
        <f t="shared" si="21"/>
        <v>2026</v>
      </c>
      <c r="D104" s="753">
        <f>IF(B$97=C104,1,0)</f>
        <v>1</v>
      </c>
      <c r="K104" s="362"/>
      <c r="L104" s="754">
        <v>-319070.39062500006</v>
      </c>
      <c r="O104" s="754">
        <v>-858184.88747351978</v>
      </c>
    </row>
    <row r="105" spans="2:25" s="363" customFormat="1" ht="0.65" hidden="1" customHeight="1">
      <c r="C105" s="758">
        <f t="shared" si="21"/>
        <v>2027</v>
      </c>
      <c r="D105" s="753">
        <f>IF(B$98=C105,1,0)</f>
        <v>1</v>
      </c>
      <c r="K105" s="362"/>
      <c r="L105" s="754">
        <v>-319070.39062500006</v>
      </c>
    </row>
    <row r="106" spans="2:25" s="363" customFormat="1" ht="0.65" hidden="1" customHeight="1">
      <c r="C106" s="758"/>
    </row>
    <row r="107" spans="2:25" s="363" customFormat="1" ht="0.65" hidden="1" customHeight="1">
      <c r="C107" s="758">
        <f>K39</f>
        <v>2022</v>
      </c>
      <c r="D107" s="753">
        <f>IF(B$93=C107,1,0)</f>
        <v>1</v>
      </c>
    </row>
    <row r="108" spans="2:25" s="363" customFormat="1" ht="0.65" hidden="1" customHeight="1">
      <c r="C108" s="758">
        <f t="shared" ref="C108:C112" si="22">K40</f>
        <v>2023</v>
      </c>
      <c r="D108" s="753">
        <f>IF(B$94=C108,1,0)</f>
        <v>1</v>
      </c>
    </row>
    <row r="109" spans="2:25" s="363" customFormat="1" ht="0.65" hidden="1" customHeight="1">
      <c r="C109" s="758">
        <f t="shared" si="22"/>
        <v>2024</v>
      </c>
      <c r="D109" s="753">
        <f>IF(B$95=C109,1,0)</f>
        <v>1</v>
      </c>
    </row>
    <row r="110" spans="2:25" s="363" customFormat="1" ht="0.65" hidden="1" customHeight="1">
      <c r="C110" s="758">
        <f t="shared" si="22"/>
        <v>2025</v>
      </c>
      <c r="D110" s="753">
        <f>IF(B$96=C110,1,0)</f>
        <v>1</v>
      </c>
      <c r="K110" s="753">
        <v>9.9999999999999995E-7</v>
      </c>
      <c r="L110" s="753"/>
      <c r="M110" s="753"/>
      <c r="N110" s="753"/>
      <c r="O110" s="753"/>
      <c r="P110" s="753"/>
      <c r="Q110" s="753"/>
      <c r="R110" s="753"/>
      <c r="S110" s="753"/>
      <c r="T110" s="753"/>
      <c r="U110" s="753"/>
      <c r="V110" s="753"/>
      <c r="W110" s="753"/>
      <c r="X110" s="753"/>
      <c r="Y110" s="753"/>
    </row>
    <row r="111" spans="2:25" s="363" customFormat="1" ht="0.65" hidden="1" customHeight="1">
      <c r="C111" s="758">
        <f t="shared" si="22"/>
        <v>2026</v>
      </c>
      <c r="D111" s="753">
        <f>IF(B$97=C111,1,0)</f>
        <v>1</v>
      </c>
      <c r="K111" s="753"/>
      <c r="L111" s="753"/>
      <c r="M111" s="753"/>
      <c r="N111" s="753"/>
      <c r="O111" s="753"/>
      <c r="P111" s="753"/>
      <c r="Q111" s="753"/>
      <c r="R111" s="753"/>
      <c r="S111" s="753"/>
      <c r="T111" s="753"/>
      <c r="U111" s="753"/>
      <c r="V111" s="753"/>
      <c r="W111" s="753" t="str">
        <f t="shared" ref="W111:W116" si="23">IF(ABS(W5-W63)&lt;$K$110,"CORRECTO","INCORRECTO")</f>
        <v>INCORRECTO</v>
      </c>
      <c r="X111" s="753"/>
      <c r="Y111" s="753" t="str">
        <f t="shared" ref="Y111:Y116" si="24">IF(ABS(Y5-Y63)&lt;$K$110,"CORRECTO","INCORRECTO")</f>
        <v>INCORRECTO</v>
      </c>
    </row>
    <row r="112" spans="2:25" s="363" customFormat="1" ht="0.65" hidden="1" customHeight="1">
      <c r="C112" s="758">
        <f t="shared" si="22"/>
        <v>2027</v>
      </c>
      <c r="D112" s="753">
        <f>IF(B$98=C112,1,0)</f>
        <v>1</v>
      </c>
      <c r="K112" s="753"/>
      <c r="L112" s="753" t="str">
        <f t="shared" ref="L112:V116" si="25">IF(ABS(L6-L64)&lt;$K$110,"CORRECTO","INCORRECTO")</f>
        <v>INCORRECTO</v>
      </c>
      <c r="M112" s="753" t="str">
        <f t="shared" si="25"/>
        <v>INCORRECTO</v>
      </c>
      <c r="N112" s="753" t="str">
        <f t="shared" si="25"/>
        <v>INCORRECTO</v>
      </c>
      <c r="O112" s="753" t="str">
        <f t="shared" si="25"/>
        <v>INCORRECTO</v>
      </c>
      <c r="P112" s="753" t="str">
        <f t="shared" si="25"/>
        <v>INCORRECTO</v>
      </c>
      <c r="Q112" s="753" t="str">
        <f t="shared" si="25"/>
        <v>INCORRECTO</v>
      </c>
      <c r="R112" s="753" t="str">
        <f t="shared" si="25"/>
        <v>INCORRECTO</v>
      </c>
      <c r="S112" s="753" t="str">
        <f t="shared" si="25"/>
        <v>INCORRECTO</v>
      </c>
      <c r="T112" s="753" t="str">
        <f t="shared" si="25"/>
        <v>INCORRECTO</v>
      </c>
      <c r="U112" s="753" t="str">
        <f t="shared" si="25"/>
        <v>INCORRECTO</v>
      </c>
      <c r="V112" s="753" t="str">
        <f t="shared" si="25"/>
        <v>INCORRECTO</v>
      </c>
      <c r="W112" s="753" t="str">
        <f t="shared" si="23"/>
        <v>INCORRECTO</v>
      </c>
      <c r="X112" s="753"/>
      <c r="Y112" s="753" t="str">
        <f t="shared" si="24"/>
        <v>INCORRECTO</v>
      </c>
    </row>
    <row r="113" spans="11:25" s="363" customFormat="1" ht="0.65" hidden="1" customHeight="1">
      <c r="K113" s="753"/>
      <c r="L113" s="753" t="str">
        <f t="shared" si="25"/>
        <v>INCORRECTO</v>
      </c>
      <c r="M113" s="753" t="str">
        <f t="shared" si="25"/>
        <v>INCORRECTO</v>
      </c>
      <c r="N113" s="753" t="str">
        <f t="shared" si="25"/>
        <v>INCORRECTO</v>
      </c>
      <c r="O113" s="753" t="str">
        <f t="shared" si="25"/>
        <v>INCORRECTO</v>
      </c>
      <c r="P113" s="753" t="str">
        <f t="shared" si="25"/>
        <v>INCORRECTO</v>
      </c>
      <c r="Q113" s="753" t="str">
        <f t="shared" si="25"/>
        <v>INCORRECTO</v>
      </c>
      <c r="R113" s="753" t="str">
        <f t="shared" si="25"/>
        <v>INCORRECTO</v>
      </c>
      <c r="S113" s="753" t="str">
        <f t="shared" si="25"/>
        <v>INCORRECTO</v>
      </c>
      <c r="T113" s="753" t="str">
        <f t="shared" si="25"/>
        <v>INCORRECTO</v>
      </c>
      <c r="U113" s="753" t="str">
        <f t="shared" si="25"/>
        <v>INCORRECTO</v>
      </c>
      <c r="V113" s="753" t="str">
        <f t="shared" si="25"/>
        <v>INCORRECTO</v>
      </c>
      <c r="W113" s="753" t="str">
        <f t="shared" si="23"/>
        <v>INCORRECTO</v>
      </c>
      <c r="X113" s="753"/>
      <c r="Y113" s="753" t="str">
        <f t="shared" si="24"/>
        <v>INCORRECTO</v>
      </c>
    </row>
    <row r="114" spans="11:25" s="363" customFormat="1" ht="0.65" hidden="1" customHeight="1">
      <c r="K114" s="753"/>
      <c r="L114" s="753" t="str">
        <f t="shared" si="25"/>
        <v>INCORRECTO</v>
      </c>
      <c r="M114" s="753" t="str">
        <f t="shared" si="25"/>
        <v>INCORRECTO</v>
      </c>
      <c r="N114" s="753" t="str">
        <f t="shared" si="25"/>
        <v>INCORRECTO</v>
      </c>
      <c r="O114" s="753" t="str">
        <f t="shared" si="25"/>
        <v>INCORRECTO</v>
      </c>
      <c r="P114" s="753" t="str">
        <f t="shared" si="25"/>
        <v>INCORRECTO</v>
      </c>
      <c r="Q114" s="753" t="str">
        <f t="shared" si="25"/>
        <v>INCORRECTO</v>
      </c>
      <c r="R114" s="753" t="str">
        <f t="shared" si="25"/>
        <v>INCORRECTO</v>
      </c>
      <c r="S114" s="753" t="str">
        <f t="shared" si="25"/>
        <v>INCORRECTO</v>
      </c>
      <c r="T114" s="753" t="str">
        <f t="shared" si="25"/>
        <v>INCORRECTO</v>
      </c>
      <c r="U114" s="753" t="str">
        <f t="shared" si="25"/>
        <v>INCORRECTO</v>
      </c>
      <c r="V114" s="753" t="str">
        <f t="shared" si="25"/>
        <v>INCORRECTO</v>
      </c>
      <c r="W114" s="753" t="str">
        <f t="shared" si="23"/>
        <v>INCORRECTO</v>
      </c>
      <c r="X114" s="753"/>
      <c r="Y114" s="753" t="str">
        <f t="shared" si="24"/>
        <v>INCORRECTO</v>
      </c>
    </row>
    <row r="115" spans="11:25" s="363" customFormat="1" ht="0.65" hidden="1" customHeight="1">
      <c r="K115" s="753"/>
      <c r="L115" s="753" t="str">
        <f t="shared" si="25"/>
        <v>INCORRECTO</v>
      </c>
      <c r="M115" s="753" t="str">
        <f t="shared" si="25"/>
        <v>INCORRECTO</v>
      </c>
      <c r="N115" s="753" t="str">
        <f t="shared" si="25"/>
        <v>INCORRECTO</v>
      </c>
      <c r="O115" s="753" t="str">
        <f t="shared" si="25"/>
        <v>INCORRECTO</v>
      </c>
      <c r="P115" s="753" t="str">
        <f t="shared" si="25"/>
        <v>INCORRECTO</v>
      </c>
      <c r="Q115" s="753" t="str">
        <f t="shared" si="25"/>
        <v>INCORRECTO</v>
      </c>
      <c r="R115" s="753" t="str">
        <f t="shared" si="25"/>
        <v>INCORRECTO</v>
      </c>
      <c r="S115" s="753" t="str">
        <f t="shared" si="25"/>
        <v>INCORRECTO</v>
      </c>
      <c r="T115" s="753" t="str">
        <f t="shared" si="25"/>
        <v>INCORRECTO</v>
      </c>
      <c r="U115" s="753" t="str">
        <f t="shared" si="25"/>
        <v>INCORRECTO</v>
      </c>
      <c r="V115" s="753" t="str">
        <f t="shared" si="25"/>
        <v>INCORRECTO</v>
      </c>
      <c r="W115" s="753" t="str">
        <f t="shared" si="23"/>
        <v>INCORRECTO</v>
      </c>
      <c r="X115" s="753"/>
      <c r="Y115" s="753" t="str">
        <f t="shared" si="24"/>
        <v>INCORRECTO</v>
      </c>
    </row>
    <row r="116" spans="11:25" s="363" customFormat="1" ht="0.65" hidden="1" customHeight="1">
      <c r="K116" s="753"/>
      <c r="L116" s="753" t="str">
        <f t="shared" si="25"/>
        <v>INCORRECTO</v>
      </c>
      <c r="M116" s="753" t="str">
        <f t="shared" si="25"/>
        <v>INCORRECTO</v>
      </c>
      <c r="N116" s="753" t="str">
        <f t="shared" si="25"/>
        <v>INCORRECTO</v>
      </c>
      <c r="O116" s="753" t="str">
        <f t="shared" si="25"/>
        <v>INCORRECTO</v>
      </c>
      <c r="P116" s="753" t="str">
        <f t="shared" si="25"/>
        <v>INCORRECTO</v>
      </c>
      <c r="Q116" s="753" t="str">
        <f t="shared" si="25"/>
        <v>INCORRECTO</v>
      </c>
      <c r="R116" s="753" t="str">
        <f t="shared" si="25"/>
        <v>INCORRECTO</v>
      </c>
      <c r="S116" s="753" t="str">
        <f t="shared" si="25"/>
        <v>INCORRECTO</v>
      </c>
      <c r="T116" s="753" t="str">
        <f t="shared" si="25"/>
        <v>INCORRECTO</v>
      </c>
      <c r="U116" s="753" t="str">
        <f t="shared" si="25"/>
        <v>INCORRECTO</v>
      </c>
      <c r="V116" s="753" t="str">
        <f t="shared" si="25"/>
        <v>INCORRECTO</v>
      </c>
      <c r="W116" s="753" t="str">
        <f t="shared" si="23"/>
        <v>INCORRECTO</v>
      </c>
      <c r="X116" s="753"/>
      <c r="Y116" s="753" t="str">
        <f t="shared" si="24"/>
        <v>INCORRECTO</v>
      </c>
    </row>
    <row r="117" spans="11:25" s="363" customFormat="1" ht="0.65" hidden="1" customHeight="1">
      <c r="K117" s="753"/>
      <c r="L117" s="753"/>
      <c r="M117" s="753"/>
      <c r="N117" s="753"/>
      <c r="O117" s="753"/>
      <c r="P117" s="753"/>
      <c r="Q117" s="753"/>
      <c r="R117" s="753"/>
      <c r="S117" s="753"/>
      <c r="T117" s="753"/>
      <c r="U117" s="753"/>
      <c r="V117" s="753"/>
      <c r="W117" s="753"/>
      <c r="X117" s="753"/>
      <c r="Y117" s="753"/>
    </row>
    <row r="118" spans="11:25" s="363" customFormat="1" ht="0.65" hidden="1" customHeight="1">
      <c r="K118" s="753"/>
      <c r="L118" s="753" t="str">
        <f>IF(ABS(L12-L70)&lt;$K$110,"CORRECTO","INCORRECTO")</f>
        <v>INCORRECTO</v>
      </c>
      <c r="M118" s="753"/>
      <c r="N118" s="753"/>
      <c r="O118" s="753" t="str">
        <f>IF(ABS(O12-O70)&lt;$K$110,"CORRECTO","INCORRECTO")</f>
        <v>INCORRECTO</v>
      </c>
      <c r="P118" s="753"/>
      <c r="Q118" s="753"/>
      <c r="R118" s="753"/>
      <c r="S118" s="753"/>
      <c r="T118" s="753"/>
      <c r="U118" s="753"/>
      <c r="V118" s="753"/>
      <c r="W118" s="753"/>
      <c r="X118" s="753"/>
      <c r="Y118" s="753" t="str">
        <f>IF(ABS(Y12-Y70)&lt;$K$110,"CORRECTO","INCORRECTO")</f>
        <v>INCORRECTO</v>
      </c>
    </row>
    <row r="119" spans="11:25" s="363" customFormat="1" ht="0.65" hidden="1" customHeight="1">
      <c r="K119" s="753"/>
      <c r="L119" s="753" t="str">
        <f>IF(ABS(L13-L71)&lt;$K$110,"CORRECTO","INCORRECTO")</f>
        <v>INCORRECTO</v>
      </c>
      <c r="M119" s="753"/>
      <c r="N119" s="753"/>
      <c r="O119" s="753"/>
      <c r="P119" s="753"/>
      <c r="Q119" s="753"/>
      <c r="R119" s="753"/>
      <c r="S119" s="753"/>
      <c r="T119" s="753"/>
      <c r="U119" s="753"/>
      <c r="V119" s="753"/>
      <c r="W119" s="753"/>
      <c r="X119" s="753"/>
      <c r="Y119" s="753"/>
    </row>
    <row r="120" spans="11:25" s="363" customFormat="1" ht="0.65" hidden="1" customHeight="1">
      <c r="K120" s="753"/>
      <c r="L120" s="753" t="str">
        <f>IF(ABS(L14-L72)&lt;$K$110,"CORRECTO","INCORRECTO")</f>
        <v>INCORRECTO</v>
      </c>
      <c r="M120" s="753"/>
      <c r="N120" s="753"/>
      <c r="O120" s="753" t="str">
        <f>IF(ABS(O14-O72)&lt;$K$110,"CORRECTO","INCORRECTO")</f>
        <v>INCORRECTO</v>
      </c>
      <c r="P120" s="753"/>
      <c r="Q120" s="753"/>
      <c r="R120" s="753"/>
      <c r="S120" s="753"/>
      <c r="T120" s="753"/>
      <c r="U120" s="753"/>
      <c r="V120" s="753"/>
      <c r="W120" s="753"/>
      <c r="X120" s="753"/>
      <c r="Y120" s="753" t="str">
        <f>IF(ABS(Y14-Y72)&lt;$K$110,"CORRECTO","INCORRECTO")</f>
        <v>INCORRECTO</v>
      </c>
    </row>
    <row r="121" spans="11:25" s="363" customFormat="1" ht="0.65" hidden="1" customHeight="1">
      <c r="K121" s="753"/>
      <c r="L121" s="753" t="str">
        <f>IF(ABS(L15-L73)&lt;$K$110,"CORRECTO","INCORRECTO")</f>
        <v>INCORRECTO</v>
      </c>
      <c r="M121" s="753"/>
      <c r="N121" s="753"/>
      <c r="O121" s="753"/>
      <c r="P121" s="753"/>
      <c r="Q121" s="753"/>
      <c r="R121" s="753"/>
      <c r="S121" s="753"/>
      <c r="T121" s="753"/>
      <c r="U121" s="753"/>
      <c r="V121" s="753"/>
      <c r="W121" s="753"/>
      <c r="X121" s="753"/>
      <c r="Y121" s="753"/>
    </row>
    <row r="122" spans="11:25" s="363" customFormat="1" ht="0.65" hidden="1" customHeight="1">
      <c r="K122" s="753"/>
      <c r="L122" s="753"/>
      <c r="M122" s="753"/>
      <c r="N122" s="753"/>
      <c r="O122" s="753"/>
      <c r="P122" s="753"/>
      <c r="Q122" s="753"/>
      <c r="R122" s="753"/>
      <c r="S122" s="753"/>
      <c r="T122" s="753"/>
      <c r="U122" s="753"/>
      <c r="V122" s="753"/>
      <c r="W122" s="753"/>
      <c r="X122" s="753"/>
      <c r="Y122" s="753"/>
    </row>
    <row r="123" spans="11:25" s="363" customFormat="1" ht="0.65" hidden="1" customHeight="1">
      <c r="K123" s="753"/>
      <c r="L123" s="753"/>
      <c r="M123" s="753"/>
      <c r="N123" s="753"/>
      <c r="O123" s="753"/>
      <c r="P123" s="753"/>
      <c r="Q123" s="753"/>
      <c r="R123" s="753"/>
      <c r="S123" s="753"/>
      <c r="T123" s="753"/>
      <c r="U123" s="753"/>
      <c r="V123" s="753"/>
      <c r="W123" s="753"/>
      <c r="X123" s="753"/>
      <c r="Y123" s="753"/>
    </row>
    <row r="124" spans="11:25" s="363" customFormat="1" ht="0.65" hidden="1" customHeight="1">
      <c r="K124" s="753"/>
      <c r="L124" s="753"/>
      <c r="M124" s="753"/>
      <c r="N124" s="753"/>
      <c r="O124" s="753"/>
      <c r="P124" s="753"/>
      <c r="Q124" s="753"/>
      <c r="R124" s="753"/>
      <c r="S124" s="753"/>
      <c r="T124" s="753"/>
      <c r="U124" s="753"/>
      <c r="V124" s="753"/>
      <c r="W124" s="753"/>
      <c r="X124" s="753"/>
      <c r="Y124" s="753"/>
    </row>
    <row r="125" spans="11:25" s="363" customFormat="1" ht="0.65" hidden="1" customHeight="1">
      <c r="K125" s="753"/>
      <c r="L125" s="753"/>
      <c r="M125" s="753"/>
      <c r="N125" s="753"/>
      <c r="O125" s="753"/>
      <c r="P125" s="753"/>
      <c r="Q125" s="753"/>
      <c r="R125" s="753"/>
      <c r="S125" s="753"/>
      <c r="T125" s="753"/>
      <c r="U125" s="753"/>
      <c r="V125" s="753"/>
      <c r="W125" s="753"/>
      <c r="X125" s="753"/>
      <c r="Y125" s="753"/>
    </row>
    <row r="126" spans="11:25" s="363" customFormat="1" ht="0.65" hidden="1" customHeight="1">
      <c r="K126" s="753"/>
      <c r="L126" s="753"/>
      <c r="M126" s="753"/>
      <c r="N126" s="753"/>
      <c r="O126" s="753"/>
      <c r="P126" s="753"/>
      <c r="Q126" s="753"/>
      <c r="R126" s="753"/>
      <c r="S126" s="753"/>
      <c r="T126" s="753"/>
      <c r="U126" s="753"/>
      <c r="V126" s="753"/>
      <c r="W126" s="753"/>
      <c r="X126" s="753"/>
      <c r="Y126" s="753"/>
    </row>
    <row r="127" spans="11:25" s="363" customFormat="1" ht="0.65" hidden="1" customHeight="1">
      <c r="K127" s="753"/>
      <c r="L127" s="753"/>
      <c r="M127" s="753"/>
      <c r="N127" s="753"/>
      <c r="O127" s="753"/>
      <c r="P127" s="753"/>
      <c r="Q127" s="753"/>
      <c r="R127" s="753"/>
      <c r="S127" s="753"/>
      <c r="T127" s="753"/>
      <c r="U127" s="753"/>
      <c r="V127" s="753"/>
      <c r="W127" s="753" t="str">
        <f t="shared" ref="W127:W132" si="26">IF(ABS(W22-W79)&lt;$K$110,"CORRECTO","INCORRECTO")</f>
        <v>INCORRECTO</v>
      </c>
      <c r="X127" s="753"/>
      <c r="Y127" s="753"/>
    </row>
    <row r="128" spans="11:25" s="363" customFormat="1" ht="0.65" hidden="1" customHeight="1">
      <c r="K128" s="753"/>
      <c r="L128" s="753" t="str">
        <f t="shared" ref="L128:V132" si="27">IF(ABS(L23-L80)&lt;$K$110,"CORRECTO","INCORRECTO")</f>
        <v>CORRECTO</v>
      </c>
      <c r="M128" s="753" t="str">
        <f t="shared" si="27"/>
        <v>INCORRECTO</v>
      </c>
      <c r="N128" s="753" t="str">
        <f t="shared" si="27"/>
        <v>INCORRECTO</v>
      </c>
      <c r="O128" s="753" t="str">
        <f t="shared" si="27"/>
        <v>INCORRECTO</v>
      </c>
      <c r="P128" s="753" t="str">
        <f t="shared" si="27"/>
        <v>INCORRECTO</v>
      </c>
      <c r="Q128" s="753" t="str">
        <f t="shared" si="27"/>
        <v>INCORRECTO</v>
      </c>
      <c r="R128" s="753" t="str">
        <f t="shared" si="27"/>
        <v>INCORRECTO</v>
      </c>
      <c r="S128" s="753" t="str">
        <f t="shared" si="27"/>
        <v>INCORRECTO</v>
      </c>
      <c r="T128" s="753" t="str">
        <f t="shared" si="27"/>
        <v>CORRECTO</v>
      </c>
      <c r="U128" s="753" t="str">
        <f t="shared" si="27"/>
        <v>CORRECTO</v>
      </c>
      <c r="V128" s="753" t="str">
        <f t="shared" si="27"/>
        <v>INCORRECTO</v>
      </c>
      <c r="W128" s="753" t="str">
        <f t="shared" si="26"/>
        <v>INCORRECTO</v>
      </c>
      <c r="X128" s="753"/>
      <c r="Y128" s="753"/>
    </row>
    <row r="129" spans="11:25" s="363" customFormat="1" ht="0.65" hidden="1" customHeight="1">
      <c r="K129" s="753"/>
      <c r="L129" s="753" t="str">
        <f t="shared" si="27"/>
        <v>CORRECTO</v>
      </c>
      <c r="M129" s="753" t="str">
        <f t="shared" si="27"/>
        <v>INCORRECTO</v>
      </c>
      <c r="N129" s="753" t="str">
        <f t="shared" si="27"/>
        <v>INCORRECTO</v>
      </c>
      <c r="O129" s="753" t="str">
        <f t="shared" si="27"/>
        <v>INCORRECTO</v>
      </c>
      <c r="P129" s="753" t="str">
        <f t="shared" si="27"/>
        <v>INCORRECTO</v>
      </c>
      <c r="Q129" s="753" t="str">
        <f t="shared" si="27"/>
        <v>INCORRECTO</v>
      </c>
      <c r="R129" s="753" t="str">
        <f t="shared" si="27"/>
        <v>INCORRECTO</v>
      </c>
      <c r="S129" s="753" t="str">
        <f t="shared" si="27"/>
        <v>INCORRECTO</v>
      </c>
      <c r="T129" s="753" t="str">
        <f t="shared" si="27"/>
        <v>CORRECTO</v>
      </c>
      <c r="U129" s="753" t="str">
        <f t="shared" si="27"/>
        <v>CORRECTO</v>
      </c>
      <c r="V129" s="753" t="str">
        <f t="shared" si="27"/>
        <v>INCORRECTO</v>
      </c>
      <c r="W129" s="753" t="str">
        <f t="shared" si="26"/>
        <v>INCORRECTO</v>
      </c>
      <c r="X129" s="753"/>
      <c r="Y129" s="753"/>
    </row>
    <row r="130" spans="11:25" s="363" customFormat="1" ht="0.65" hidden="1" customHeight="1">
      <c r="K130" s="753"/>
      <c r="L130" s="753" t="str">
        <f t="shared" si="27"/>
        <v>CORRECTO</v>
      </c>
      <c r="M130" s="753" t="str">
        <f t="shared" si="27"/>
        <v>INCORRECTO</v>
      </c>
      <c r="N130" s="753" t="str">
        <f t="shared" si="27"/>
        <v>INCORRECTO</v>
      </c>
      <c r="O130" s="753" t="str">
        <f t="shared" si="27"/>
        <v>INCORRECTO</v>
      </c>
      <c r="P130" s="753" t="str">
        <f t="shared" si="27"/>
        <v>INCORRECTO</v>
      </c>
      <c r="Q130" s="753" t="str">
        <f t="shared" si="27"/>
        <v>INCORRECTO</v>
      </c>
      <c r="R130" s="753" t="str">
        <f t="shared" si="27"/>
        <v>INCORRECTO</v>
      </c>
      <c r="S130" s="753" t="str">
        <f t="shared" si="27"/>
        <v>INCORRECTO</v>
      </c>
      <c r="T130" s="753" t="str">
        <f t="shared" si="27"/>
        <v>CORRECTO</v>
      </c>
      <c r="U130" s="753" t="str">
        <f t="shared" si="27"/>
        <v>CORRECTO</v>
      </c>
      <c r="V130" s="753" t="str">
        <f t="shared" si="27"/>
        <v>INCORRECTO</v>
      </c>
      <c r="W130" s="753" t="str">
        <f t="shared" si="26"/>
        <v>INCORRECTO</v>
      </c>
      <c r="X130" s="753"/>
      <c r="Y130" s="753"/>
    </row>
    <row r="131" spans="11:25" s="363" customFormat="1" ht="0.65" hidden="1" customHeight="1">
      <c r="K131" s="753"/>
      <c r="L131" s="753" t="str">
        <f t="shared" si="27"/>
        <v>CORRECTO</v>
      </c>
      <c r="M131" s="753" t="str">
        <f t="shared" si="27"/>
        <v>INCORRECTO</v>
      </c>
      <c r="N131" s="753" t="str">
        <f t="shared" si="27"/>
        <v>INCORRECTO</v>
      </c>
      <c r="O131" s="753" t="str">
        <f t="shared" si="27"/>
        <v>INCORRECTO</v>
      </c>
      <c r="P131" s="753" t="str">
        <f t="shared" si="27"/>
        <v>INCORRECTO</v>
      </c>
      <c r="Q131" s="753" t="str">
        <f t="shared" si="27"/>
        <v>INCORRECTO</v>
      </c>
      <c r="R131" s="753" t="str">
        <f t="shared" si="27"/>
        <v>INCORRECTO</v>
      </c>
      <c r="S131" s="753" t="str">
        <f t="shared" si="27"/>
        <v>INCORRECTO</v>
      </c>
      <c r="T131" s="753" t="str">
        <f t="shared" si="27"/>
        <v>CORRECTO</v>
      </c>
      <c r="U131" s="753" t="str">
        <f t="shared" si="27"/>
        <v>CORRECTO</v>
      </c>
      <c r="V131" s="753" t="str">
        <f t="shared" si="27"/>
        <v>INCORRECTO</v>
      </c>
      <c r="W131" s="753" t="str">
        <f t="shared" si="26"/>
        <v>INCORRECTO</v>
      </c>
      <c r="X131" s="753"/>
      <c r="Y131" s="753"/>
    </row>
    <row r="132" spans="11:25" s="363" customFormat="1" ht="0.65" hidden="1" customHeight="1">
      <c r="K132" s="753"/>
      <c r="L132" s="753" t="str">
        <f t="shared" si="27"/>
        <v>CORRECTO</v>
      </c>
      <c r="M132" s="753" t="str">
        <f t="shared" si="27"/>
        <v>INCORRECTO</v>
      </c>
      <c r="N132" s="753" t="str">
        <f t="shared" si="27"/>
        <v>INCORRECTO</v>
      </c>
      <c r="O132" s="753" t="str">
        <f t="shared" si="27"/>
        <v>INCORRECTO</v>
      </c>
      <c r="P132" s="753" t="str">
        <f t="shared" si="27"/>
        <v>INCORRECTO</v>
      </c>
      <c r="Q132" s="753" t="str">
        <f t="shared" si="27"/>
        <v>INCORRECTO</v>
      </c>
      <c r="R132" s="753" t="str">
        <f t="shared" si="27"/>
        <v>INCORRECTO</v>
      </c>
      <c r="S132" s="753" t="str">
        <f t="shared" si="27"/>
        <v>INCORRECTO</v>
      </c>
      <c r="T132" s="753" t="str">
        <f t="shared" si="27"/>
        <v>CORRECTO</v>
      </c>
      <c r="U132" s="753" t="str">
        <f t="shared" si="27"/>
        <v>CORRECTO</v>
      </c>
      <c r="V132" s="753" t="str">
        <f t="shared" si="27"/>
        <v>INCORRECTO</v>
      </c>
      <c r="W132" s="753" t="str">
        <f t="shared" si="26"/>
        <v>INCORRECTO</v>
      </c>
      <c r="X132" s="753"/>
      <c r="Y132" s="753"/>
    </row>
    <row r="133" spans="11:25" s="363" customFormat="1" ht="0.65" hidden="1" customHeight="1">
      <c r="K133" s="753"/>
      <c r="L133" s="753"/>
      <c r="M133" s="753"/>
      <c r="N133" s="753"/>
      <c r="O133" s="753"/>
      <c r="P133" s="753"/>
      <c r="Q133" s="753"/>
      <c r="R133" s="753"/>
      <c r="S133" s="753"/>
      <c r="T133" s="753"/>
      <c r="U133" s="753"/>
      <c r="V133" s="753"/>
      <c r="W133" s="753"/>
      <c r="X133" s="753"/>
      <c r="Y133" s="753"/>
    </row>
    <row r="134" spans="11:25" s="363" customFormat="1" ht="0.65" hidden="1" customHeight="1">
      <c r="K134" s="753"/>
      <c r="L134" s="753" t="str">
        <f>IF(ABS(L29-L86)&lt;$K$110,"CORRECTO","INCORRECTO")</f>
        <v>INCORRECTO</v>
      </c>
      <c r="M134" s="753"/>
      <c r="N134" s="753"/>
      <c r="O134" s="753" t="str">
        <f>IF(ABS(O29-O86)&lt;$K$110,"CORRECTO","INCORRECTO")</f>
        <v>INCORRECTO</v>
      </c>
      <c r="P134" s="753"/>
      <c r="Q134" s="753"/>
      <c r="R134" s="753"/>
      <c r="S134" s="753"/>
      <c r="T134" s="753"/>
      <c r="U134" s="753"/>
      <c r="V134" s="753"/>
      <c r="W134" s="753"/>
      <c r="X134" s="753"/>
      <c r="Y134" s="753"/>
    </row>
    <row r="135" spans="11:25" s="363" customFormat="1" ht="0.65" hidden="1" customHeight="1">
      <c r="K135" s="753"/>
      <c r="L135" s="753" t="str">
        <f>IF(ABS(L30-L87)&lt;$K$110,"CORRECTO","INCORRECTO")</f>
        <v>INCORRECTO</v>
      </c>
      <c r="M135" s="753"/>
      <c r="N135" s="753"/>
      <c r="O135" s="753"/>
      <c r="P135" s="753"/>
      <c r="Q135" s="753"/>
      <c r="R135" s="753"/>
      <c r="S135" s="753"/>
      <c r="T135" s="753"/>
      <c r="U135" s="753"/>
      <c r="V135" s="753"/>
      <c r="W135" s="753"/>
      <c r="X135" s="753"/>
      <c r="Y135" s="753"/>
    </row>
    <row r="136" spans="11:25" s="363" customFormat="1" ht="0.65" hidden="1" customHeight="1">
      <c r="K136" s="753"/>
      <c r="L136" s="753" t="str">
        <f>IF(ABS(L31-L88)&lt;$K$110,"CORRECTO","INCORRECTO")</f>
        <v>CORRECTO</v>
      </c>
      <c r="M136" s="753"/>
      <c r="N136" s="753"/>
      <c r="O136" s="753" t="str">
        <f>IF(ABS(O31-O88)&lt;$K$110,"CORRECTO","INCORRECTO")</f>
        <v>INCORRECTO</v>
      </c>
      <c r="P136" s="753"/>
      <c r="Q136" s="753"/>
      <c r="R136" s="753"/>
      <c r="S136" s="753"/>
      <c r="T136" s="753"/>
      <c r="U136" s="753"/>
      <c r="V136" s="753"/>
      <c r="W136" s="753"/>
      <c r="X136" s="753"/>
      <c r="Y136" s="753"/>
    </row>
    <row r="137" spans="11:25" s="363" customFormat="1" ht="0.65" hidden="1" customHeight="1">
      <c r="K137" s="753"/>
      <c r="L137" s="753" t="str">
        <f>IF(ABS(L32-L89)&lt;$K$110,"CORRECTO","INCORRECTO")</f>
        <v>INCORRECTO</v>
      </c>
      <c r="M137" s="753"/>
      <c r="N137" s="753"/>
      <c r="O137" s="753"/>
      <c r="P137" s="753"/>
      <c r="Q137" s="753"/>
      <c r="R137" s="753"/>
      <c r="S137" s="753"/>
      <c r="T137" s="753"/>
      <c r="U137" s="753"/>
      <c r="V137" s="753"/>
      <c r="W137" s="753"/>
      <c r="X137" s="753"/>
      <c r="Y137" s="753"/>
    </row>
    <row r="138" spans="11:25" s="363" customFormat="1" ht="0.65" hidden="1" customHeight="1">
      <c r="K138" s="753"/>
      <c r="L138" s="753"/>
      <c r="M138" s="753"/>
      <c r="N138" s="753"/>
      <c r="O138" s="753"/>
      <c r="P138" s="753"/>
      <c r="Q138" s="753"/>
      <c r="R138" s="753"/>
      <c r="S138" s="753"/>
      <c r="T138" s="753"/>
      <c r="U138" s="753"/>
      <c r="V138" s="753"/>
      <c r="W138" s="753"/>
      <c r="X138" s="753"/>
      <c r="Y138" s="753"/>
    </row>
    <row r="139" spans="11:25" s="363" customFormat="1" ht="0.65" hidden="1" customHeight="1">
      <c r="K139" s="753"/>
      <c r="L139" s="753"/>
      <c r="M139" s="753"/>
      <c r="N139" s="753"/>
      <c r="O139" s="753"/>
      <c r="P139" s="753"/>
      <c r="Q139" s="753"/>
      <c r="R139" s="753"/>
      <c r="S139" s="753"/>
      <c r="T139" s="753"/>
      <c r="U139" s="753"/>
      <c r="V139" s="753"/>
      <c r="W139" s="753"/>
      <c r="X139" s="753"/>
      <c r="Y139" s="753"/>
    </row>
    <row r="140" spans="11:25" s="363" customFormat="1" ht="0.65" hidden="1" customHeight="1">
      <c r="K140" s="753"/>
      <c r="L140" s="753"/>
      <c r="M140" s="753"/>
      <c r="N140" s="753"/>
      <c r="O140" s="753"/>
      <c r="P140" s="753"/>
      <c r="Q140" s="753"/>
      <c r="R140" s="753"/>
      <c r="S140" s="753"/>
      <c r="T140" s="753"/>
      <c r="U140" s="753"/>
      <c r="V140" s="753"/>
      <c r="W140" s="753"/>
      <c r="X140" s="753"/>
      <c r="Y140" s="753"/>
    </row>
    <row r="141" spans="11:25" s="363" customFormat="1" ht="0.65" hidden="1" customHeight="1">
      <c r="K141" s="753"/>
      <c r="L141" s="753"/>
      <c r="M141" s="753"/>
      <c r="N141" s="753"/>
      <c r="O141" s="753"/>
      <c r="P141" s="753"/>
      <c r="Q141" s="753"/>
      <c r="R141" s="753"/>
      <c r="S141" s="753"/>
      <c r="T141" s="753"/>
      <c r="U141" s="753"/>
      <c r="V141" s="753"/>
      <c r="W141" s="753"/>
      <c r="X141" s="753"/>
      <c r="Y141" s="753"/>
    </row>
    <row r="142" spans="11:25" s="363" customFormat="1" ht="0.65" hidden="1" customHeight="1">
      <c r="K142" s="753"/>
      <c r="L142" s="753"/>
      <c r="M142" s="753"/>
      <c r="N142" s="753"/>
      <c r="O142" s="753"/>
      <c r="P142" s="753"/>
      <c r="Q142" s="753"/>
      <c r="R142" s="753"/>
      <c r="S142" s="753"/>
      <c r="T142" s="753"/>
      <c r="U142" s="753"/>
      <c r="V142" s="753"/>
      <c r="W142" s="753"/>
      <c r="X142" s="753"/>
      <c r="Y142" s="753"/>
    </row>
    <row r="143" spans="11:25" s="363" customFormat="1" ht="0.65" hidden="1" customHeight="1">
      <c r="K143" s="753"/>
      <c r="L143" s="753"/>
      <c r="M143" s="753"/>
      <c r="N143" s="753"/>
      <c r="O143" s="753"/>
      <c r="P143" s="753"/>
      <c r="Q143" s="753"/>
      <c r="R143" s="753"/>
      <c r="S143" s="753"/>
      <c r="T143" s="753"/>
      <c r="U143" s="753"/>
      <c r="V143" s="753"/>
      <c r="W143" s="753" t="str">
        <f>IF(ABS(W39-W95)&lt;$K$110,"CORRECTO","INCORRECTO")</f>
        <v>CORRECTO</v>
      </c>
      <c r="X143" s="753"/>
      <c r="Y143" s="753"/>
    </row>
    <row r="144" spans="11:25" s="363" customFormat="1" ht="0.65" hidden="1" customHeight="1">
      <c r="K144" s="753"/>
      <c r="L144" s="753" t="str">
        <f t="shared" ref="L144:W148" si="28">IF(ABS(L40-L96)&lt;$K$110,"CORRECTO","INCORRECTO")</f>
        <v>INCORRECTO</v>
      </c>
      <c r="M144" s="753" t="str">
        <f t="shared" si="28"/>
        <v>INCORRECTO</v>
      </c>
      <c r="N144" s="753" t="str">
        <f t="shared" si="28"/>
        <v>INCORRECTO</v>
      </c>
      <c r="O144" s="753" t="str">
        <f t="shared" si="28"/>
        <v>CORRECTO</v>
      </c>
      <c r="P144" s="753" t="str">
        <f t="shared" si="28"/>
        <v>INCORRECTO</v>
      </c>
      <c r="Q144" s="753" t="str">
        <f t="shared" si="28"/>
        <v>INCORRECTO</v>
      </c>
      <c r="R144" s="753" t="str">
        <f t="shared" si="28"/>
        <v>INCORRECTO</v>
      </c>
      <c r="S144" s="753" t="str">
        <f t="shared" si="28"/>
        <v>INCORRECTO</v>
      </c>
      <c r="T144" s="753" t="str">
        <f t="shared" si="28"/>
        <v>INCORRECTO</v>
      </c>
      <c r="U144" s="753" t="str">
        <f t="shared" si="28"/>
        <v>INCORRECTO</v>
      </c>
      <c r="V144" s="753" t="str">
        <f t="shared" si="28"/>
        <v>INCORRECTO</v>
      </c>
      <c r="W144" s="753" t="str">
        <f t="shared" si="28"/>
        <v>INCORRECTO</v>
      </c>
      <c r="X144" s="753"/>
      <c r="Y144" s="753"/>
    </row>
    <row r="145" spans="10:25" s="363" customFormat="1" ht="0.65" hidden="1" customHeight="1">
      <c r="K145" s="753"/>
      <c r="L145" s="753" t="str">
        <f t="shared" si="28"/>
        <v>INCORRECTO</v>
      </c>
      <c r="M145" s="753" t="str">
        <f t="shared" si="28"/>
        <v>INCORRECTO</v>
      </c>
      <c r="N145" s="753" t="str">
        <f t="shared" si="28"/>
        <v>INCORRECTO</v>
      </c>
      <c r="O145" s="753" t="str">
        <f t="shared" si="28"/>
        <v>CORRECTO</v>
      </c>
      <c r="P145" s="753" t="str">
        <f t="shared" si="28"/>
        <v>INCORRECTO</v>
      </c>
      <c r="Q145" s="753" t="str">
        <f t="shared" si="28"/>
        <v>INCORRECTO</v>
      </c>
      <c r="R145" s="753" t="str">
        <f t="shared" si="28"/>
        <v>INCORRECTO</v>
      </c>
      <c r="S145" s="753" t="str">
        <f t="shared" si="28"/>
        <v>INCORRECTO</v>
      </c>
      <c r="T145" s="753" t="str">
        <f t="shared" si="28"/>
        <v>INCORRECTO</v>
      </c>
      <c r="U145" s="753" t="str">
        <f t="shared" si="28"/>
        <v>INCORRECTO</v>
      </c>
      <c r="V145" s="753" t="str">
        <f t="shared" si="28"/>
        <v>INCORRECTO</v>
      </c>
      <c r="W145" s="753" t="str">
        <f t="shared" si="28"/>
        <v>INCORRECTO</v>
      </c>
      <c r="X145" s="753"/>
      <c r="Y145" s="753"/>
    </row>
    <row r="146" spans="10:25" s="363" customFormat="1" ht="0.65" hidden="1" customHeight="1">
      <c r="K146" s="753"/>
      <c r="L146" s="753" t="str">
        <f t="shared" si="28"/>
        <v>INCORRECTO</v>
      </c>
      <c r="M146" s="753" t="str">
        <f t="shared" si="28"/>
        <v>INCORRECTO</v>
      </c>
      <c r="N146" s="753" t="str">
        <f t="shared" si="28"/>
        <v>INCORRECTO</v>
      </c>
      <c r="O146" s="753" t="str">
        <f t="shared" si="28"/>
        <v>CORRECTO</v>
      </c>
      <c r="P146" s="753" t="str">
        <f t="shared" si="28"/>
        <v>INCORRECTO</v>
      </c>
      <c r="Q146" s="753" t="str">
        <f t="shared" si="28"/>
        <v>INCORRECTO</v>
      </c>
      <c r="R146" s="753" t="str">
        <f t="shared" si="28"/>
        <v>INCORRECTO</v>
      </c>
      <c r="S146" s="753" t="str">
        <f t="shared" si="28"/>
        <v>INCORRECTO</v>
      </c>
      <c r="T146" s="753" t="str">
        <f t="shared" si="28"/>
        <v>INCORRECTO</v>
      </c>
      <c r="U146" s="753" t="str">
        <f t="shared" si="28"/>
        <v>INCORRECTO</v>
      </c>
      <c r="V146" s="753" t="str">
        <f t="shared" si="28"/>
        <v>INCORRECTO</v>
      </c>
      <c r="W146" s="753" t="str">
        <f t="shared" si="28"/>
        <v>INCORRECTO</v>
      </c>
      <c r="X146" s="753"/>
      <c r="Y146" s="753"/>
    </row>
    <row r="147" spans="10:25" s="363" customFormat="1" ht="0.65" hidden="1" customHeight="1">
      <c r="K147" s="753"/>
      <c r="L147" s="753" t="str">
        <f t="shared" si="28"/>
        <v>INCORRECTO</v>
      </c>
      <c r="M147" s="753" t="str">
        <f t="shared" si="28"/>
        <v>INCORRECTO</v>
      </c>
      <c r="N147" s="753" t="str">
        <f t="shared" si="28"/>
        <v>INCORRECTO</v>
      </c>
      <c r="O147" s="753" t="str">
        <f t="shared" si="28"/>
        <v>CORRECTO</v>
      </c>
      <c r="P147" s="753" t="str">
        <f t="shared" si="28"/>
        <v>INCORRECTO</v>
      </c>
      <c r="Q147" s="753" t="str">
        <f t="shared" si="28"/>
        <v>INCORRECTO</v>
      </c>
      <c r="R147" s="753" t="str">
        <f t="shared" si="28"/>
        <v>INCORRECTO</v>
      </c>
      <c r="S147" s="753" t="str">
        <f t="shared" si="28"/>
        <v>INCORRECTO</v>
      </c>
      <c r="T147" s="753" t="str">
        <f t="shared" si="28"/>
        <v>INCORRECTO</v>
      </c>
      <c r="U147" s="753" t="str">
        <f t="shared" si="28"/>
        <v>INCORRECTO</v>
      </c>
      <c r="V147" s="753" t="str">
        <f t="shared" si="28"/>
        <v>INCORRECTO</v>
      </c>
      <c r="W147" s="753" t="str">
        <f t="shared" si="28"/>
        <v>INCORRECTO</v>
      </c>
      <c r="X147" s="753"/>
      <c r="Y147" s="753"/>
    </row>
    <row r="148" spans="10:25" s="363" customFormat="1" ht="0.65" hidden="1" customHeight="1">
      <c r="K148" s="753"/>
      <c r="L148" s="753" t="str">
        <f t="shared" si="28"/>
        <v>INCORRECTO</v>
      </c>
      <c r="M148" s="753" t="str">
        <f t="shared" si="28"/>
        <v>INCORRECTO</v>
      </c>
      <c r="N148" s="753" t="str">
        <f t="shared" si="28"/>
        <v>INCORRECTO</v>
      </c>
      <c r="O148" s="753" t="str">
        <f t="shared" si="28"/>
        <v>CORRECTO</v>
      </c>
      <c r="P148" s="753" t="str">
        <f t="shared" si="28"/>
        <v>INCORRECTO</v>
      </c>
      <c r="Q148" s="753" t="str">
        <f t="shared" si="28"/>
        <v>INCORRECTO</v>
      </c>
      <c r="R148" s="753" t="str">
        <f t="shared" si="28"/>
        <v>INCORRECTO</v>
      </c>
      <c r="S148" s="753" t="str">
        <f t="shared" si="28"/>
        <v>INCORRECTO</v>
      </c>
      <c r="T148" s="753" t="str">
        <f t="shared" si="28"/>
        <v>INCORRECTO</v>
      </c>
      <c r="U148" s="753" t="str">
        <f t="shared" si="28"/>
        <v>INCORRECTO</v>
      </c>
      <c r="V148" s="753" t="str">
        <f t="shared" si="28"/>
        <v>INCORRECTO</v>
      </c>
      <c r="W148" s="753" t="str">
        <f t="shared" si="28"/>
        <v>INCORRECTO</v>
      </c>
      <c r="X148" s="753"/>
      <c r="Y148" s="753"/>
    </row>
    <row r="149" spans="10:25" s="363" customFormat="1" ht="0.65" hidden="1" customHeight="1">
      <c r="K149" s="753"/>
      <c r="L149" s="753"/>
      <c r="M149" s="753"/>
      <c r="N149" s="753"/>
      <c r="O149" s="753"/>
      <c r="P149" s="753"/>
      <c r="Q149" s="753"/>
      <c r="R149" s="753"/>
      <c r="S149" s="753"/>
      <c r="T149" s="753"/>
      <c r="U149" s="753"/>
      <c r="V149" s="753"/>
      <c r="W149" s="753"/>
      <c r="X149" s="753"/>
      <c r="Y149" s="753"/>
    </row>
    <row r="150" spans="10:25" s="363" customFormat="1" ht="0.65" hidden="1" customHeight="1">
      <c r="K150" s="753"/>
      <c r="L150" s="753" t="str">
        <f t="shared" ref="L150:L153" si="29">IF(ABS(L46-L102)&lt;$K$110,"CORRECTO","INCORRECTO")</f>
        <v>CORRECTO</v>
      </c>
      <c r="M150" s="753"/>
      <c r="N150" s="753"/>
      <c r="O150" s="753" t="str">
        <f>IF(ABS(O46-O102)&lt;$K$110,"CORRECTO","INCORRECTO")</f>
        <v>INCORRECTO</v>
      </c>
      <c r="P150" s="753"/>
      <c r="Q150" s="753"/>
      <c r="R150" s="753"/>
      <c r="S150" s="753"/>
      <c r="T150" s="753"/>
      <c r="U150" s="753"/>
      <c r="V150" s="753"/>
      <c r="W150" s="753"/>
      <c r="X150" s="753"/>
      <c r="Y150" s="753"/>
    </row>
    <row r="151" spans="10:25" s="363" customFormat="1" ht="0.65" hidden="1" customHeight="1">
      <c r="K151" s="753"/>
      <c r="L151" s="753" t="str">
        <f t="shared" si="29"/>
        <v>CORRECTO</v>
      </c>
      <c r="M151" s="753"/>
      <c r="N151" s="753"/>
      <c r="O151" s="753"/>
      <c r="P151" s="753"/>
      <c r="Q151" s="753"/>
      <c r="R151" s="753"/>
      <c r="S151" s="753"/>
      <c r="T151" s="753"/>
      <c r="U151" s="753"/>
      <c r="V151" s="753"/>
      <c r="W151" s="753"/>
      <c r="X151" s="753"/>
      <c r="Y151" s="753"/>
    </row>
    <row r="152" spans="10:25" s="363" customFormat="1" ht="0.65" hidden="1" customHeight="1">
      <c r="K152" s="753"/>
      <c r="L152" s="753" t="str">
        <f t="shared" si="29"/>
        <v>INCORRECTO</v>
      </c>
      <c r="M152" s="753"/>
      <c r="N152" s="753"/>
      <c r="O152" s="753" t="str">
        <f>IF(ABS(O48-O104)&lt;$K$110,"CORRECTO","INCORRECTO")</f>
        <v>INCORRECTO</v>
      </c>
      <c r="P152" s="753"/>
      <c r="Q152" s="753"/>
      <c r="R152" s="753"/>
      <c r="S152" s="753"/>
      <c r="T152" s="753"/>
      <c r="U152" s="753"/>
      <c r="V152" s="753"/>
      <c r="W152" s="753"/>
      <c r="X152" s="753"/>
      <c r="Y152" s="753"/>
    </row>
    <row r="153" spans="10:25" s="363" customFormat="1" ht="0.65" hidden="1" customHeight="1">
      <c r="K153" s="753"/>
      <c r="L153" s="753" t="str">
        <f t="shared" si="29"/>
        <v>INCORRECTO</v>
      </c>
      <c r="M153" s="753"/>
      <c r="N153" s="753"/>
      <c r="O153" s="753"/>
      <c r="P153" s="753"/>
      <c r="Q153" s="753"/>
      <c r="R153" s="753"/>
      <c r="S153" s="753"/>
      <c r="T153" s="753"/>
      <c r="U153" s="753"/>
      <c r="V153" s="753"/>
      <c r="W153" s="753"/>
      <c r="X153" s="753"/>
      <c r="Y153" s="753"/>
    </row>
    <row r="154" spans="10:25" s="363" customFormat="1" ht="0.65" hidden="1" customHeight="1">
      <c r="K154" s="753"/>
      <c r="L154" s="753"/>
      <c r="M154" s="753"/>
      <c r="N154" s="753"/>
      <c r="O154" s="753"/>
      <c r="P154" s="753"/>
      <c r="Q154" s="753"/>
      <c r="R154" s="753"/>
      <c r="S154" s="753"/>
      <c r="T154" s="753"/>
      <c r="U154" s="753"/>
      <c r="V154" s="753"/>
      <c r="W154" s="753"/>
      <c r="X154" s="753"/>
      <c r="Y154" s="753"/>
    </row>
    <row r="155" spans="10:25" s="363" customFormat="1" ht="0.65" hidden="1" customHeight="1">
      <c r="K155" s="753"/>
      <c r="L155" s="753"/>
      <c r="M155" s="753"/>
      <c r="N155" s="753"/>
      <c r="O155" s="753"/>
      <c r="P155" s="753"/>
      <c r="Q155" s="753"/>
      <c r="R155" s="753"/>
      <c r="S155" s="753"/>
      <c r="T155" s="753"/>
      <c r="U155" s="753"/>
      <c r="V155" s="753"/>
      <c r="W155" s="753"/>
      <c r="X155" s="753"/>
      <c r="Y155" s="753"/>
    </row>
    <row r="156" spans="10:25" s="363" customFormat="1" ht="0.65" hidden="1" customHeight="1">
      <c r="J156" s="363">
        <v>1</v>
      </c>
      <c r="K156" s="753">
        <v>1</v>
      </c>
      <c r="L156" s="754" t="s">
        <v>2891</v>
      </c>
      <c r="M156" s="754">
        <v>2100000</v>
      </c>
      <c r="N156" s="754" t="s">
        <v>2892</v>
      </c>
      <c r="O156" s="754"/>
      <c r="P156" s="754" t="s">
        <v>2893</v>
      </c>
      <c r="Q156" s="753"/>
      <c r="R156" s="753"/>
      <c r="S156" s="753"/>
      <c r="T156" s="753"/>
      <c r="U156" s="753"/>
      <c r="V156" s="753"/>
      <c r="W156" s="753"/>
      <c r="X156" s="753"/>
      <c r="Y156" s="753"/>
    </row>
    <row r="157" spans="10:25" s="363" customFormat="1" ht="0.65" hidden="1" customHeight="1">
      <c r="J157" s="363">
        <v>2</v>
      </c>
      <c r="K157" s="753">
        <v>2</v>
      </c>
      <c r="L157" s="754" t="s">
        <v>2894</v>
      </c>
      <c r="M157" s="754">
        <v>2756250</v>
      </c>
      <c r="N157" s="754" t="s">
        <v>2895</v>
      </c>
      <c r="O157" s="754"/>
      <c r="P157" s="754" t="s">
        <v>2896</v>
      </c>
      <c r="Q157" s="753"/>
      <c r="R157" s="753"/>
      <c r="S157" s="753"/>
      <c r="T157" s="753"/>
      <c r="U157" s="753"/>
      <c r="V157" s="753"/>
      <c r="W157" s="753"/>
      <c r="X157" s="753"/>
      <c r="Y157" s="753"/>
    </row>
    <row r="158" spans="10:25" s="363" customFormat="1" ht="0.65" hidden="1" customHeight="1">
      <c r="J158" s="363">
        <v>3</v>
      </c>
      <c r="K158" s="363">
        <v>3</v>
      </c>
      <c r="L158" s="754" t="s">
        <v>2897</v>
      </c>
      <c r="M158" s="754">
        <v>3472875.0000000005</v>
      </c>
      <c r="N158" s="754" t="s">
        <v>2898</v>
      </c>
      <c r="O158" s="754"/>
      <c r="P158" s="754" t="s">
        <v>2899</v>
      </c>
    </row>
    <row r="159" spans="10:25" s="363" customFormat="1" ht="0.65" hidden="1" customHeight="1">
      <c r="J159" s="363">
        <v>4</v>
      </c>
      <c r="K159" s="363">
        <v>4</v>
      </c>
      <c r="L159" s="754" t="s">
        <v>2900</v>
      </c>
      <c r="M159" s="754">
        <v>3646518.75</v>
      </c>
      <c r="N159" s="754" t="s">
        <v>2901</v>
      </c>
      <c r="O159" s="754"/>
      <c r="P159" s="754" t="s">
        <v>2902</v>
      </c>
    </row>
    <row r="160" spans="10:25" s="363" customFormat="1" ht="0.65" hidden="1" customHeight="1">
      <c r="J160" s="363">
        <v>5</v>
      </c>
      <c r="K160" s="363">
        <v>5</v>
      </c>
      <c r="L160" s="754" t="s">
        <v>2903</v>
      </c>
      <c r="M160" s="754">
        <v>3828844.6875000005</v>
      </c>
      <c r="N160" s="754" t="s">
        <v>2904</v>
      </c>
      <c r="O160" s="754"/>
      <c r="P160" s="754" t="s">
        <v>2905</v>
      </c>
    </row>
    <row r="161" spans="10:16" s="363" customFormat="1" ht="0.65" hidden="1" customHeight="1">
      <c r="J161" s="363">
        <v>1</v>
      </c>
      <c r="K161" s="363">
        <v>6</v>
      </c>
      <c r="L161" s="754" t="s">
        <v>2906</v>
      </c>
      <c r="M161" s="754">
        <v>1802500</v>
      </c>
      <c r="N161" s="754" t="s">
        <v>2907</v>
      </c>
      <c r="O161" s="754"/>
      <c r="P161" s="754" t="s">
        <v>2908</v>
      </c>
    </row>
    <row r="162" spans="10:16" s="363" customFormat="1" ht="0.65" hidden="1" customHeight="1">
      <c r="J162" s="363">
        <v>2</v>
      </c>
      <c r="K162" s="363">
        <v>7</v>
      </c>
      <c r="L162" s="754" t="s">
        <v>2909</v>
      </c>
      <c r="M162" s="754">
        <v>2352000</v>
      </c>
      <c r="N162" s="754" t="s">
        <v>2910</v>
      </c>
      <c r="O162" s="754"/>
      <c r="P162" s="754" t="s">
        <v>2911</v>
      </c>
    </row>
    <row r="163" spans="10:16" s="363" customFormat="1" ht="0.65" hidden="1" customHeight="1">
      <c r="J163" s="363">
        <v>3</v>
      </c>
      <c r="K163" s="363">
        <v>8</v>
      </c>
      <c r="L163" s="754" t="s">
        <v>2912</v>
      </c>
      <c r="M163" s="754">
        <v>2951943.7500000005</v>
      </c>
      <c r="N163" s="754" t="s">
        <v>2913</v>
      </c>
      <c r="O163" s="754"/>
      <c r="P163" s="754" t="s">
        <v>2914</v>
      </c>
    </row>
    <row r="164" spans="10:16" s="363" customFormat="1" ht="0.65" hidden="1" customHeight="1">
      <c r="J164" s="363">
        <v>4</v>
      </c>
      <c r="K164" s="363">
        <v>9</v>
      </c>
      <c r="L164" s="754" t="s">
        <v>2915</v>
      </c>
      <c r="M164" s="754">
        <v>3099540.9375</v>
      </c>
      <c r="N164" s="754" t="s">
        <v>2916</v>
      </c>
      <c r="O164" s="754"/>
      <c r="P164" s="754" t="s">
        <v>2917</v>
      </c>
    </row>
    <row r="165" spans="10:16" s="363" customFormat="1" ht="0.65" hidden="1" customHeight="1">
      <c r="J165" s="363">
        <v>5</v>
      </c>
      <c r="K165" s="363">
        <v>10</v>
      </c>
      <c r="L165" s="754" t="s">
        <v>2918</v>
      </c>
      <c r="M165" s="754">
        <v>3254517.9843750005</v>
      </c>
      <c r="N165" s="754" t="s">
        <v>2919</v>
      </c>
      <c r="O165" s="754"/>
      <c r="P165" s="754" t="s">
        <v>2920</v>
      </c>
    </row>
    <row r="166" spans="10:16" s="363" customFormat="1" ht="0.65" hidden="1" customHeight="1">
      <c r="K166" s="363">
        <v>11</v>
      </c>
      <c r="L166" s="754" t="s">
        <v>2921</v>
      </c>
      <c r="M166" s="754">
        <v>297500</v>
      </c>
      <c r="N166" s="754" t="s">
        <v>2922</v>
      </c>
      <c r="O166" s="754"/>
      <c r="P166" s="754" t="s">
        <v>2923</v>
      </c>
    </row>
    <row r="167" spans="10:16" s="363" customFormat="1" ht="0.65" hidden="1" customHeight="1">
      <c r="K167" s="363">
        <v>12</v>
      </c>
      <c r="L167" s="754" t="s">
        <v>2924</v>
      </c>
      <c r="M167" s="754">
        <v>404250</v>
      </c>
      <c r="N167" s="754" t="s">
        <v>2925</v>
      </c>
      <c r="O167" s="754"/>
      <c r="P167" s="754" t="s">
        <v>2926</v>
      </c>
    </row>
    <row r="168" spans="10:16" s="363" customFormat="1" ht="0.65" hidden="1" customHeight="1">
      <c r="K168" s="363">
        <v>13</v>
      </c>
      <c r="L168" s="754" t="s">
        <v>2927</v>
      </c>
      <c r="M168" s="754">
        <v>520931.25</v>
      </c>
      <c r="N168" s="754" t="s">
        <v>2928</v>
      </c>
      <c r="O168" s="754"/>
      <c r="P168" s="754" t="s">
        <v>2929</v>
      </c>
    </row>
    <row r="169" spans="10:16" s="363" customFormat="1" ht="0.65" hidden="1" customHeight="1">
      <c r="K169" s="363">
        <v>14</v>
      </c>
      <c r="L169" s="754" t="s">
        <v>2930</v>
      </c>
      <c r="M169" s="754">
        <v>546977.8125</v>
      </c>
      <c r="N169" s="754" t="s">
        <v>2931</v>
      </c>
      <c r="O169" s="754"/>
      <c r="P169" s="754" t="s">
        <v>2932</v>
      </c>
    </row>
    <row r="170" spans="10:16" s="363" customFormat="1" ht="0.65" hidden="1" customHeight="1">
      <c r="K170" s="363">
        <v>15</v>
      </c>
      <c r="L170" s="754" t="s">
        <v>2933</v>
      </c>
      <c r="M170" s="754">
        <v>574326.703125</v>
      </c>
      <c r="N170" s="754" t="s">
        <v>2934</v>
      </c>
      <c r="O170" s="754"/>
      <c r="P170" s="754" t="s">
        <v>2935</v>
      </c>
    </row>
    <row r="171" spans="10:16" s="363" customFormat="1" ht="0.65" hidden="1" customHeight="1">
      <c r="K171" s="363">
        <v>16</v>
      </c>
      <c r="L171" s="754" t="s">
        <v>2936</v>
      </c>
      <c r="M171" s="754">
        <v>25000</v>
      </c>
      <c r="N171" s="754" t="s">
        <v>2937</v>
      </c>
      <c r="O171" s="754"/>
      <c r="P171" s="754" t="s">
        <v>2938</v>
      </c>
    </row>
    <row r="172" spans="10:16" s="363" customFormat="1" ht="0.65" hidden="1" customHeight="1">
      <c r="K172" s="363">
        <v>17</v>
      </c>
      <c r="L172" s="754" t="s">
        <v>2939</v>
      </c>
      <c r="M172" s="754">
        <v>25000</v>
      </c>
      <c r="N172" s="754" t="s">
        <v>2937</v>
      </c>
      <c r="O172" s="754"/>
      <c r="P172" s="754" t="s">
        <v>2938</v>
      </c>
    </row>
    <row r="173" spans="10:16" s="363" customFormat="1" ht="0.65" hidden="1" customHeight="1">
      <c r="K173" s="363">
        <v>18</v>
      </c>
      <c r="L173" s="754" t="s">
        <v>2940</v>
      </c>
      <c r="M173" s="754">
        <v>25000</v>
      </c>
      <c r="N173" s="754" t="s">
        <v>2937</v>
      </c>
      <c r="O173" s="754"/>
      <c r="P173" s="754" t="s">
        <v>2938</v>
      </c>
    </row>
    <row r="174" spans="10:16" s="363" customFormat="1" ht="0.65" hidden="1" customHeight="1">
      <c r="K174" s="363">
        <v>19</v>
      </c>
      <c r="L174" s="754" t="s">
        <v>2941</v>
      </c>
      <c r="M174" s="754">
        <v>25000</v>
      </c>
      <c r="N174" s="754" t="s">
        <v>2937</v>
      </c>
      <c r="O174" s="754"/>
      <c r="P174" s="754" t="s">
        <v>2938</v>
      </c>
    </row>
    <row r="175" spans="10:16" s="363" customFormat="1" ht="0.65" hidden="1" customHeight="1">
      <c r="K175" s="363">
        <v>20</v>
      </c>
      <c r="L175" s="754" t="s">
        <v>2942</v>
      </c>
      <c r="M175" s="754">
        <v>25000</v>
      </c>
      <c r="N175" s="754" t="s">
        <v>2937</v>
      </c>
      <c r="O175" s="754"/>
      <c r="P175" s="754" t="s">
        <v>2938</v>
      </c>
    </row>
    <row r="176" spans="10:16" s="363" customFormat="1" ht="0.65" hidden="1" customHeight="1">
      <c r="K176" s="363">
        <v>21</v>
      </c>
      <c r="L176" s="754" t="s">
        <v>2943</v>
      </c>
      <c r="M176" s="754">
        <v>272500</v>
      </c>
      <c r="N176" s="754" t="s">
        <v>2944</v>
      </c>
      <c r="O176" s="754"/>
      <c r="P176" s="754" t="s">
        <v>2945</v>
      </c>
    </row>
    <row r="177" spans="11:16" s="363" customFormat="1" ht="0.65" hidden="1" customHeight="1">
      <c r="K177" s="363">
        <v>22</v>
      </c>
      <c r="L177" s="754" t="s">
        <v>2946</v>
      </c>
      <c r="M177" s="754">
        <v>379250</v>
      </c>
      <c r="N177" s="754" t="s">
        <v>2947</v>
      </c>
      <c r="O177" s="754"/>
      <c r="P177" s="754" t="s">
        <v>2948</v>
      </c>
    </row>
    <row r="178" spans="11:16" s="363" customFormat="1" ht="0.65" hidden="1" customHeight="1">
      <c r="K178" s="363">
        <v>23</v>
      </c>
      <c r="L178" s="754" t="s">
        <v>2949</v>
      </c>
      <c r="M178" s="754">
        <v>495931.25</v>
      </c>
      <c r="N178" s="754" t="s">
        <v>2950</v>
      </c>
      <c r="O178" s="754"/>
      <c r="P178" s="754" t="s">
        <v>2951</v>
      </c>
    </row>
    <row r="179" spans="11:16" s="363" customFormat="1" ht="0.65" hidden="1" customHeight="1">
      <c r="K179" s="363">
        <v>24</v>
      </c>
      <c r="L179" s="754" t="s">
        <v>2952</v>
      </c>
      <c r="M179" s="754">
        <v>521977.8125</v>
      </c>
      <c r="N179" s="754" t="s">
        <v>2953</v>
      </c>
      <c r="O179" s="754"/>
      <c r="P179" s="754" t="s">
        <v>2954</v>
      </c>
    </row>
    <row r="180" spans="11:16" s="363" customFormat="1" ht="0.65" hidden="1" customHeight="1">
      <c r="K180" s="363">
        <v>25</v>
      </c>
      <c r="L180" s="754" t="s">
        <v>2955</v>
      </c>
      <c r="M180" s="754">
        <v>549326.703125</v>
      </c>
      <c r="N180" s="754" t="s">
        <v>2956</v>
      </c>
      <c r="O180" s="754"/>
      <c r="P180" s="754" t="s">
        <v>2957</v>
      </c>
    </row>
    <row r="181" spans="11:16" s="363" customFormat="1" ht="0.65" hidden="1" customHeight="1">
      <c r="K181" s="363">
        <v>26</v>
      </c>
      <c r="L181" s="754" t="s">
        <v>2958</v>
      </c>
      <c r="M181" s="754">
        <v>76300</v>
      </c>
      <c r="N181" s="754" t="s">
        <v>2959</v>
      </c>
      <c r="O181" s="754"/>
      <c r="P181" s="754" t="s">
        <v>2960</v>
      </c>
    </row>
    <row r="182" spans="11:16" s="363" customFormat="1" ht="0.65" hidden="1" customHeight="1">
      <c r="K182" s="363">
        <v>27</v>
      </c>
      <c r="L182" s="754" t="s">
        <v>2961</v>
      </c>
      <c r="M182" s="754">
        <v>106190.00000000001</v>
      </c>
      <c r="N182" s="754" t="s">
        <v>2962</v>
      </c>
      <c r="O182" s="754"/>
      <c r="P182" s="754" t="s">
        <v>2963</v>
      </c>
    </row>
    <row r="183" spans="11:16" s="363" customFormat="1" ht="0.65" hidden="1" customHeight="1">
      <c r="K183" s="363">
        <v>28</v>
      </c>
      <c r="L183" s="754" t="s">
        <v>2964</v>
      </c>
      <c r="M183" s="754">
        <v>138860.75</v>
      </c>
      <c r="N183" s="754" t="s">
        <v>2965</v>
      </c>
      <c r="O183" s="754"/>
      <c r="P183" s="754" t="s">
        <v>2966</v>
      </c>
    </row>
    <row r="184" spans="11:16" s="363" customFormat="1" ht="0.65" hidden="1" customHeight="1">
      <c r="K184" s="363">
        <v>29</v>
      </c>
      <c r="L184" s="754" t="s">
        <v>2967</v>
      </c>
      <c r="M184" s="754">
        <v>146153.78750000001</v>
      </c>
      <c r="N184" s="754" t="s">
        <v>2968</v>
      </c>
      <c r="O184" s="754"/>
      <c r="P184" s="754" t="s">
        <v>2969</v>
      </c>
    </row>
    <row r="185" spans="11:16" s="363" customFormat="1" ht="0.65" hidden="1" customHeight="1">
      <c r="K185" s="363">
        <v>30</v>
      </c>
      <c r="L185" s="754" t="s">
        <v>2970</v>
      </c>
      <c r="M185" s="754">
        <v>153811.47687500002</v>
      </c>
      <c r="N185" s="754" t="s">
        <v>2971</v>
      </c>
      <c r="O185" s="754"/>
      <c r="P185" s="754" t="s">
        <v>2972</v>
      </c>
    </row>
    <row r="186" spans="11:16" s="363" customFormat="1" ht="0.65" hidden="1" customHeight="1">
      <c r="K186" s="363">
        <v>31</v>
      </c>
      <c r="L186" s="754" t="s">
        <v>2973</v>
      </c>
      <c r="M186" s="754">
        <v>196200</v>
      </c>
      <c r="N186" s="754" t="s">
        <v>2974</v>
      </c>
      <c r="O186" s="754"/>
      <c r="P186" s="754" t="s">
        <v>2975</v>
      </c>
    </row>
    <row r="187" spans="11:16" s="363" customFormat="1" ht="0.65" hidden="1" customHeight="1">
      <c r="K187" s="363">
        <v>32</v>
      </c>
      <c r="L187" s="754" t="s">
        <v>2976</v>
      </c>
      <c r="M187" s="754">
        <v>273060</v>
      </c>
      <c r="N187" s="754" t="s">
        <v>2977</v>
      </c>
      <c r="O187" s="754"/>
      <c r="P187" s="754" t="s">
        <v>2978</v>
      </c>
    </row>
    <row r="188" spans="11:16" s="363" customFormat="1" ht="0.65" hidden="1" customHeight="1">
      <c r="K188" s="363">
        <v>33</v>
      </c>
      <c r="L188" s="754" t="s">
        <v>2979</v>
      </c>
      <c r="M188" s="754">
        <v>357070.5</v>
      </c>
      <c r="N188" s="754" t="s">
        <v>2980</v>
      </c>
      <c r="O188" s="754"/>
      <c r="P188" s="754" t="s">
        <v>2981</v>
      </c>
    </row>
    <row r="189" spans="11:16" s="363" customFormat="1" ht="0.65" hidden="1" customHeight="1">
      <c r="K189" s="363">
        <v>34</v>
      </c>
      <c r="L189" s="754" t="s">
        <v>2982</v>
      </c>
      <c r="M189" s="754">
        <v>375824.02500000002</v>
      </c>
      <c r="N189" s="754" t="s">
        <v>2983</v>
      </c>
      <c r="O189" s="754"/>
      <c r="P189" s="754" t="s">
        <v>2984</v>
      </c>
    </row>
    <row r="190" spans="11:16" s="363" customFormat="1" ht="0.65" hidden="1" customHeight="1">
      <c r="K190" s="363">
        <v>35</v>
      </c>
      <c r="L190" s="754" t="s">
        <v>2985</v>
      </c>
      <c r="M190" s="754">
        <v>395515.22624999995</v>
      </c>
      <c r="N190" s="754" t="s">
        <v>2986</v>
      </c>
      <c r="O190" s="754"/>
      <c r="P190" s="754" t="s">
        <v>2987</v>
      </c>
    </row>
    <row r="191" spans="11:16" s="363" customFormat="1" ht="0.65" hidden="1" customHeight="1">
      <c r="K191" s="363">
        <v>36</v>
      </c>
      <c r="L191" s="754" t="s">
        <v>2988</v>
      </c>
      <c r="M191" s="754">
        <v>221200</v>
      </c>
      <c r="N191" s="754" t="s">
        <v>2989</v>
      </c>
      <c r="O191" s="754"/>
      <c r="P191" s="754" t="s">
        <v>2990</v>
      </c>
    </row>
    <row r="192" spans="11:16" s="363" customFormat="1" ht="0.65" hidden="1" customHeight="1">
      <c r="K192" s="363">
        <v>37</v>
      </c>
      <c r="L192" s="754" t="s">
        <v>2991</v>
      </c>
      <c r="M192" s="754">
        <v>298060</v>
      </c>
      <c r="N192" s="754" t="s">
        <v>2992</v>
      </c>
      <c r="O192" s="754"/>
      <c r="P192" s="754" t="s">
        <v>2993</v>
      </c>
    </row>
    <row r="193" spans="10:16" s="363" customFormat="1" ht="0.65" hidden="1" customHeight="1">
      <c r="K193" s="363">
        <v>38</v>
      </c>
      <c r="L193" s="754" t="s">
        <v>2994</v>
      </c>
      <c r="M193" s="754">
        <v>382070.5</v>
      </c>
      <c r="N193" s="754" t="s">
        <v>2995</v>
      </c>
      <c r="O193" s="754"/>
      <c r="P193" s="754" t="s">
        <v>2996</v>
      </c>
    </row>
    <row r="194" spans="10:16" s="363" customFormat="1" ht="0.65" hidden="1" customHeight="1">
      <c r="K194" s="363">
        <v>39</v>
      </c>
      <c r="L194" s="754" t="s">
        <v>2997</v>
      </c>
      <c r="M194" s="754">
        <v>400824.02500000002</v>
      </c>
      <c r="N194" s="754" t="s">
        <v>2998</v>
      </c>
      <c r="O194" s="754"/>
      <c r="P194" s="754" t="s">
        <v>2999</v>
      </c>
    </row>
    <row r="195" spans="10:16" s="363" customFormat="1" ht="0.65" hidden="1" customHeight="1">
      <c r="K195" s="363">
        <v>40</v>
      </c>
      <c r="L195" s="754" t="s">
        <v>3000</v>
      </c>
      <c r="M195" s="754">
        <v>420515.22624999995</v>
      </c>
      <c r="N195" s="754" t="s">
        <v>3001</v>
      </c>
      <c r="O195" s="754"/>
      <c r="P195" s="754" t="s">
        <v>3002</v>
      </c>
    </row>
    <row r="196" spans="10:16" s="363" customFormat="1" ht="0.65" hidden="1" customHeight="1">
      <c r="K196" s="363">
        <v>41</v>
      </c>
      <c r="L196" s="754" t="s">
        <v>3003</v>
      </c>
      <c r="M196" s="754">
        <v>175000</v>
      </c>
      <c r="N196" s="754" t="s">
        <v>3004</v>
      </c>
      <c r="O196" s="754"/>
      <c r="P196" s="754" t="s">
        <v>3005</v>
      </c>
    </row>
    <row r="197" spans="10:16" s="363" customFormat="1" ht="0.65" hidden="1" customHeight="1">
      <c r="K197" s="363">
        <v>42</v>
      </c>
      <c r="L197" s="754" t="s">
        <v>3006</v>
      </c>
      <c r="M197" s="754">
        <v>229687.5</v>
      </c>
      <c r="N197" s="754" t="s">
        <v>3007</v>
      </c>
      <c r="O197" s="754"/>
      <c r="P197" s="754" t="s">
        <v>3008</v>
      </c>
    </row>
    <row r="198" spans="10:16" s="363" customFormat="1" ht="0.65" hidden="1" customHeight="1">
      <c r="K198" s="363">
        <v>43</v>
      </c>
      <c r="L198" s="754" t="s">
        <v>3009</v>
      </c>
      <c r="M198" s="754">
        <v>289406.25000000006</v>
      </c>
      <c r="N198" s="754" t="s">
        <v>3010</v>
      </c>
      <c r="O198" s="754"/>
      <c r="P198" s="754" t="s">
        <v>3011</v>
      </c>
    </row>
    <row r="199" spans="10:16" s="363" customFormat="1" ht="0.65" hidden="1" customHeight="1">
      <c r="K199" s="363">
        <v>44</v>
      </c>
      <c r="L199" s="754" t="s">
        <v>3012</v>
      </c>
      <c r="M199" s="754">
        <v>303876.5625</v>
      </c>
      <c r="N199" s="754" t="s">
        <v>3013</v>
      </c>
      <c r="O199" s="754"/>
      <c r="P199" s="754" t="s">
        <v>3014</v>
      </c>
    </row>
    <row r="200" spans="10:16" s="363" customFormat="1" ht="0.65" hidden="1" customHeight="1">
      <c r="K200" s="363">
        <v>45</v>
      </c>
      <c r="L200" s="754" t="s">
        <v>3015</v>
      </c>
      <c r="M200" s="754">
        <v>319070.39062500006</v>
      </c>
      <c r="N200" s="754" t="s">
        <v>3016</v>
      </c>
      <c r="O200" s="754"/>
      <c r="P200" s="754" t="s">
        <v>3017</v>
      </c>
    </row>
    <row r="201" spans="10:16" s="363" customFormat="1" ht="0.65" hidden="1" customHeight="1">
      <c r="J201" s="363">
        <v>1</v>
      </c>
      <c r="K201" s="363">
        <v>46</v>
      </c>
      <c r="L201" s="754" t="s">
        <v>3018</v>
      </c>
      <c r="M201" s="754">
        <v>175000</v>
      </c>
      <c r="N201" s="754" t="s">
        <v>3019</v>
      </c>
      <c r="O201" s="754"/>
      <c r="P201" s="754" t="s">
        <v>3003</v>
      </c>
    </row>
    <row r="202" spans="10:16" s="363" customFormat="1" ht="0.65" hidden="1" customHeight="1">
      <c r="J202" s="363">
        <v>2</v>
      </c>
      <c r="K202" s="363">
        <v>47</v>
      </c>
      <c r="L202" s="754" t="s">
        <v>3020</v>
      </c>
      <c r="M202" s="754">
        <v>54687.5</v>
      </c>
      <c r="N202" s="754" t="s">
        <v>3021</v>
      </c>
      <c r="O202" s="754"/>
      <c r="P202" s="754" t="s">
        <v>3022</v>
      </c>
    </row>
    <row r="203" spans="10:16" s="363" customFormat="1" ht="0.65" hidden="1" customHeight="1">
      <c r="J203" s="363">
        <v>3</v>
      </c>
      <c r="K203" s="363">
        <v>48</v>
      </c>
      <c r="L203" s="754" t="s">
        <v>3023</v>
      </c>
      <c r="M203" s="754">
        <v>59718.750000000058</v>
      </c>
      <c r="N203" s="754" t="s">
        <v>3024</v>
      </c>
      <c r="O203" s="754"/>
      <c r="P203" s="754" t="s">
        <v>3025</v>
      </c>
    </row>
    <row r="204" spans="10:16" s="363" customFormat="1" ht="0.65" hidden="1" customHeight="1">
      <c r="J204" s="363">
        <v>4</v>
      </c>
      <c r="K204" s="363">
        <v>49</v>
      </c>
      <c r="L204" s="754" t="s">
        <v>3026</v>
      </c>
      <c r="M204" s="754">
        <v>14470.312499999942</v>
      </c>
      <c r="N204" s="754" t="s">
        <v>3027</v>
      </c>
      <c r="O204" s="754"/>
      <c r="P204" s="754" t="s">
        <v>3028</v>
      </c>
    </row>
    <row r="205" spans="10:16" s="363" customFormat="1" ht="0.65" hidden="1" customHeight="1">
      <c r="J205" s="363">
        <v>5</v>
      </c>
      <c r="K205" s="363">
        <v>50</v>
      </c>
      <c r="L205" s="754" t="s">
        <v>3029</v>
      </c>
      <c r="M205" s="754">
        <v>15193.828125000058</v>
      </c>
      <c r="N205" s="754" t="s">
        <v>3030</v>
      </c>
      <c r="O205" s="754"/>
      <c r="P205" s="754" t="s">
        <v>3031</v>
      </c>
    </row>
    <row r="206" spans="10:16" s="363" customFormat="1" ht="0.65" hidden="1" customHeight="1">
      <c r="K206" s="363">
        <v>51</v>
      </c>
      <c r="L206" s="754" t="s">
        <v>3032</v>
      </c>
      <c r="M206" s="754">
        <v>46200</v>
      </c>
      <c r="N206" s="754" t="s">
        <v>3033</v>
      </c>
      <c r="O206" s="754"/>
      <c r="P206" s="754" t="s">
        <v>3034</v>
      </c>
    </row>
    <row r="207" spans="10:16" s="363" customFormat="1" ht="0.65" hidden="1" customHeight="1">
      <c r="K207" s="363">
        <v>52</v>
      </c>
      <c r="L207" s="754" t="s">
        <v>3035</v>
      </c>
      <c r="M207" s="754">
        <v>243372.5</v>
      </c>
      <c r="N207" s="754" t="s">
        <v>3036</v>
      </c>
      <c r="O207" s="754"/>
      <c r="P207" s="754" t="s">
        <v>3037</v>
      </c>
    </row>
    <row r="208" spans="10:16" s="363" customFormat="1" ht="0.65" hidden="1" customHeight="1">
      <c r="K208" s="363">
        <v>53</v>
      </c>
      <c r="L208" s="754" t="s">
        <v>3038</v>
      </c>
      <c r="M208" s="754">
        <v>322351.74999999994</v>
      </c>
      <c r="N208" s="754" t="s">
        <v>3039</v>
      </c>
      <c r="O208" s="754"/>
      <c r="P208" s="754" t="s">
        <v>3040</v>
      </c>
    </row>
    <row r="209" spans="10:16" s="363" customFormat="1" ht="0.65" hidden="1" customHeight="1">
      <c r="K209" s="363">
        <v>54</v>
      </c>
      <c r="L209" s="754" t="s">
        <v>3041</v>
      </c>
      <c r="M209" s="754">
        <v>386353.71250000008</v>
      </c>
      <c r="N209" s="754" t="s">
        <v>3042</v>
      </c>
      <c r="O209" s="754"/>
      <c r="P209" s="754" t="s">
        <v>3043</v>
      </c>
    </row>
    <row r="210" spans="10:16" s="363" customFormat="1" ht="0.65" hidden="1" customHeight="1">
      <c r="K210" s="363">
        <v>55</v>
      </c>
      <c r="L210" s="754" t="s">
        <v>3044</v>
      </c>
      <c r="M210" s="754">
        <v>405321.39812499989</v>
      </c>
      <c r="N210" s="754" t="s">
        <v>3045</v>
      </c>
      <c r="O210" s="754"/>
      <c r="P210" s="754" t="s">
        <v>3046</v>
      </c>
    </row>
    <row r="211" spans="10:16" s="363" customFormat="1" ht="0.65" hidden="1" customHeight="1">
      <c r="K211" s="363">
        <v>56</v>
      </c>
      <c r="L211" s="754" t="s">
        <v>3047</v>
      </c>
      <c r="M211" s="754">
        <v>-250000</v>
      </c>
      <c r="N211" s="754" t="s">
        <v>3048</v>
      </c>
      <c r="O211" s="754"/>
      <c r="P211" s="754" t="s">
        <v>3049</v>
      </c>
    </row>
    <row r="212" spans="10:16" s="363" customFormat="1" ht="0.65" hidden="1" customHeight="1">
      <c r="K212" s="363">
        <v>57</v>
      </c>
      <c r="L212" s="754" t="s">
        <v>3050</v>
      </c>
      <c r="M212" s="754">
        <v>46200</v>
      </c>
      <c r="N212" s="754" t="s">
        <v>3051</v>
      </c>
      <c r="O212" s="754"/>
      <c r="P212" s="754" t="s">
        <v>3032</v>
      </c>
    </row>
    <row r="213" spans="10:16" s="363" customFormat="1" ht="0.65" hidden="1" customHeight="1">
      <c r="K213" s="363">
        <v>58</v>
      </c>
      <c r="L213" s="754" t="s">
        <v>3052</v>
      </c>
      <c r="M213" s="754">
        <v>243372.5</v>
      </c>
      <c r="N213" s="754" t="s">
        <v>3053</v>
      </c>
      <c r="O213" s="754"/>
      <c r="P213" s="754" t="s">
        <v>3035</v>
      </c>
    </row>
    <row r="214" spans="10:16" s="363" customFormat="1" ht="0.65" hidden="1" customHeight="1">
      <c r="K214" s="363">
        <v>59</v>
      </c>
      <c r="L214" s="754" t="s">
        <v>3054</v>
      </c>
      <c r="M214" s="754">
        <v>322351.74999999994</v>
      </c>
      <c r="N214" s="754" t="s">
        <v>3055</v>
      </c>
      <c r="O214" s="754"/>
      <c r="P214" s="754" t="s">
        <v>3038</v>
      </c>
    </row>
    <row r="215" spans="10:16" s="363" customFormat="1" ht="0.65" hidden="1" customHeight="1">
      <c r="K215" s="363">
        <v>60</v>
      </c>
      <c r="L215" s="754" t="s">
        <v>3056</v>
      </c>
      <c r="M215" s="754">
        <v>386353.71250000008</v>
      </c>
      <c r="N215" s="754" t="s">
        <v>3057</v>
      </c>
      <c r="O215" s="754"/>
      <c r="P215" s="754" t="s">
        <v>3041</v>
      </c>
    </row>
    <row r="216" spans="10:16" s="363" customFormat="1" ht="0.65" hidden="1" customHeight="1">
      <c r="K216" s="363">
        <v>61</v>
      </c>
      <c r="L216" s="754" t="s">
        <v>3058</v>
      </c>
      <c r="M216" s="754">
        <v>903391.78874999995</v>
      </c>
      <c r="N216" s="754" t="s">
        <v>3059</v>
      </c>
      <c r="O216" s="754"/>
      <c r="P216" s="754" t="s">
        <v>3060</v>
      </c>
    </row>
    <row r="217" spans="10:16" s="363" customFormat="1" ht="0.65" hidden="1" customHeight="1">
      <c r="K217" s="363">
        <v>62</v>
      </c>
      <c r="L217" s="754" t="s">
        <v>3061</v>
      </c>
      <c r="M217" s="754">
        <v>250000</v>
      </c>
      <c r="N217" s="754" t="s">
        <v>1924</v>
      </c>
      <c r="O217" s="754"/>
      <c r="P217" s="754" t="s">
        <v>2863</v>
      </c>
    </row>
    <row r="218" spans="10:16" s="363" customFormat="1" ht="0.65" hidden="1" customHeight="1">
      <c r="K218" s="363">
        <v>63</v>
      </c>
      <c r="L218" s="754" t="s">
        <v>3062</v>
      </c>
      <c r="M218" s="754">
        <v>179000</v>
      </c>
      <c r="N218" s="754" t="s">
        <v>3063</v>
      </c>
      <c r="O218" s="754"/>
      <c r="P218" s="754" t="s">
        <v>3064</v>
      </c>
    </row>
    <row r="219" spans="10:16" s="363" customFormat="1" ht="0.65" hidden="1" customHeight="1">
      <c r="K219" s="363">
        <v>64</v>
      </c>
      <c r="L219" s="754" t="s">
        <v>3065</v>
      </c>
      <c r="M219" s="754">
        <v>319070.39062500006</v>
      </c>
      <c r="N219" s="754" t="s">
        <v>3066</v>
      </c>
      <c r="O219" s="754"/>
      <c r="P219" s="754" t="s">
        <v>3015</v>
      </c>
    </row>
    <row r="220" spans="10:16" s="363" customFormat="1" ht="0.65" hidden="1" customHeight="1">
      <c r="K220" s="363">
        <v>65</v>
      </c>
      <c r="L220" s="754" t="s">
        <v>3067</v>
      </c>
      <c r="M220" s="754">
        <v>498070.39062500006</v>
      </c>
      <c r="N220" s="754" t="s">
        <v>3068</v>
      </c>
      <c r="O220" s="754"/>
      <c r="P220" s="754" t="s">
        <v>3069</v>
      </c>
    </row>
    <row r="221" spans="10:16" s="363" customFormat="1" ht="0.65" hidden="1" customHeight="1">
      <c r="K221" s="363">
        <v>66</v>
      </c>
      <c r="L221" s="754" t="s">
        <v>2870</v>
      </c>
      <c r="M221" s="754">
        <v>0.11300000000000021</v>
      </c>
      <c r="N221" s="754" t="s">
        <v>3070</v>
      </c>
      <c r="O221" s="754"/>
      <c r="P221" s="754" t="s">
        <v>3071</v>
      </c>
    </row>
    <row r="222" spans="10:16" s="363" customFormat="1" ht="0.65" hidden="1" customHeight="1">
      <c r="K222" s="363">
        <v>67</v>
      </c>
      <c r="L222" s="754" t="s">
        <v>13</v>
      </c>
      <c r="M222" s="754">
        <v>1002475.4744343841</v>
      </c>
      <c r="N222" s="754" t="s">
        <v>3072</v>
      </c>
      <c r="O222" s="754"/>
      <c r="P222" s="754" t="s">
        <v>3073</v>
      </c>
    </row>
    <row r="223" spans="10:16" s="363" customFormat="1" ht="0.65" hidden="1" customHeight="1">
      <c r="J223" s="363">
        <v>0</v>
      </c>
      <c r="K223" s="363">
        <v>68</v>
      </c>
      <c r="L223" s="754" t="s">
        <v>3047</v>
      </c>
      <c r="M223" s="754">
        <v>-250000</v>
      </c>
      <c r="N223" s="754" t="s">
        <v>3074</v>
      </c>
      <c r="O223" s="754"/>
      <c r="P223" s="754" t="s">
        <v>3075</v>
      </c>
    </row>
    <row r="224" spans="10:16" s="363" customFormat="1" ht="0.65" hidden="1" customHeight="1">
      <c r="J224" s="363">
        <v>1</v>
      </c>
      <c r="K224" s="363">
        <v>69</v>
      </c>
      <c r="L224" s="754" t="s">
        <v>3050</v>
      </c>
      <c r="M224" s="754">
        <v>44000</v>
      </c>
      <c r="N224" s="754" t="s">
        <v>3076</v>
      </c>
      <c r="O224" s="754"/>
      <c r="P224" s="754" t="s">
        <v>3077</v>
      </c>
    </row>
    <row r="225" spans="10:16" s="363" customFormat="1" ht="0.65" hidden="1" customHeight="1">
      <c r="J225" s="363">
        <v>2</v>
      </c>
      <c r="K225" s="363">
        <v>70</v>
      </c>
      <c r="L225" s="754" t="s">
        <v>3052</v>
      </c>
      <c r="M225" s="754">
        <v>220746.03174603175</v>
      </c>
      <c r="N225" s="754" t="s">
        <v>3078</v>
      </c>
      <c r="O225" s="754"/>
      <c r="P225" s="754" t="s">
        <v>3079</v>
      </c>
    </row>
    <row r="226" spans="10:16" s="363" customFormat="1" ht="0.65" hidden="1" customHeight="1">
      <c r="J226" s="363">
        <v>3</v>
      </c>
      <c r="K226" s="363">
        <v>71</v>
      </c>
      <c r="L226" s="754" t="s">
        <v>3054</v>
      </c>
      <c r="M226" s="754">
        <v>278459.56160241866</v>
      </c>
      <c r="N226" s="754" t="s">
        <v>3080</v>
      </c>
      <c r="O226" s="754"/>
      <c r="P226" s="754" t="s">
        <v>3081</v>
      </c>
    </row>
    <row r="227" spans="10:16" s="363" customFormat="1" ht="0.65" hidden="1" customHeight="1">
      <c r="J227" s="363">
        <v>4</v>
      </c>
      <c r="K227" s="363">
        <v>72</v>
      </c>
      <c r="L227" s="754" t="s">
        <v>3056</v>
      </c>
      <c r="M227" s="754">
        <v>317854.15541878133</v>
      </c>
      <c r="N227" s="754" t="s">
        <v>3082</v>
      </c>
      <c r="O227" s="754"/>
      <c r="P227" s="754" t="s">
        <v>3083</v>
      </c>
    </row>
    <row r="228" spans="10:16" s="363" customFormat="1" ht="0.65" hidden="1" customHeight="1">
      <c r="J228" s="363">
        <v>5</v>
      </c>
      <c r="K228" s="363">
        <v>73</v>
      </c>
      <c r="L228" s="754" t="s">
        <v>3058</v>
      </c>
      <c r="M228" s="754">
        <v>707831.10505837132</v>
      </c>
      <c r="N228" s="754" t="s">
        <v>3084</v>
      </c>
      <c r="O228" s="754"/>
      <c r="P228" s="754" t="s">
        <v>3085</v>
      </c>
    </row>
    <row r="229" spans="10:16" s="363" customFormat="1" ht="0.65" hidden="1" customHeight="1">
      <c r="K229" s="363">
        <v>74</v>
      </c>
      <c r="L229" s="754" t="s">
        <v>2872</v>
      </c>
      <c r="M229" s="754">
        <v>0.06</v>
      </c>
      <c r="N229" s="754">
        <v>0.06</v>
      </c>
      <c r="O229" s="754"/>
      <c r="P229" s="754" t="s">
        <v>2635</v>
      </c>
    </row>
    <row r="230" spans="10:16" s="363" customFormat="1" ht="0.65" hidden="1" customHeight="1">
      <c r="K230" s="363">
        <v>75</v>
      </c>
      <c r="L230" s="754" t="s">
        <v>13</v>
      </c>
      <c r="M230" s="754">
        <v>1002475.4744343846</v>
      </c>
      <c r="N230" s="754" t="s">
        <v>3086</v>
      </c>
      <c r="O230" s="754"/>
      <c r="P230" s="754" t="s">
        <v>3087</v>
      </c>
    </row>
    <row r="231" spans="10:16" s="363" customFormat="1" ht="0.65" hidden="1" customHeight="1">
      <c r="J231" s="363">
        <v>1</v>
      </c>
      <c r="K231" s="363">
        <v>76</v>
      </c>
      <c r="L231" s="754" t="s">
        <v>2891</v>
      </c>
      <c r="M231" s="754">
        <v>0</v>
      </c>
      <c r="N231" s="754">
        <v>0</v>
      </c>
      <c r="O231" s="754"/>
      <c r="P231" s="754" t="s">
        <v>3202</v>
      </c>
    </row>
    <row r="232" spans="10:16" s="363" customFormat="1" ht="0.65" hidden="1" customHeight="1">
      <c r="J232" s="363">
        <v>2</v>
      </c>
      <c r="K232" s="363">
        <v>77</v>
      </c>
      <c r="L232" s="754" t="s">
        <v>2894</v>
      </c>
      <c r="M232" s="754">
        <v>0</v>
      </c>
      <c r="N232" s="754">
        <v>0</v>
      </c>
      <c r="O232" s="754"/>
      <c r="P232" s="754" t="s">
        <v>3202</v>
      </c>
    </row>
    <row r="233" spans="10:16" s="363" customFormat="1" ht="0.65" hidden="1" customHeight="1">
      <c r="J233" s="363">
        <v>3</v>
      </c>
      <c r="K233" s="363">
        <v>78</v>
      </c>
      <c r="L233" s="754" t="s">
        <v>2897</v>
      </c>
      <c r="M233" s="754">
        <v>0</v>
      </c>
      <c r="N233" s="754">
        <v>0</v>
      </c>
      <c r="O233" s="754"/>
      <c r="P233" s="754" t="s">
        <v>3202</v>
      </c>
    </row>
    <row r="234" spans="10:16" s="363" customFormat="1" ht="0.65" hidden="1" customHeight="1">
      <c r="J234" s="363">
        <v>4</v>
      </c>
      <c r="K234" s="363">
        <v>79</v>
      </c>
      <c r="L234" s="754" t="s">
        <v>2900</v>
      </c>
      <c r="M234" s="754">
        <v>0</v>
      </c>
      <c r="N234" s="754">
        <v>0</v>
      </c>
      <c r="O234" s="754"/>
      <c r="P234" s="754" t="s">
        <v>3202</v>
      </c>
    </row>
    <row r="235" spans="10:16" s="363" customFormat="1" ht="0.65" hidden="1" customHeight="1">
      <c r="J235" s="363">
        <v>5</v>
      </c>
      <c r="K235" s="363">
        <v>80</v>
      </c>
      <c r="L235" s="754" t="s">
        <v>2903</v>
      </c>
      <c r="M235" s="754">
        <v>0</v>
      </c>
      <c r="N235" s="754">
        <v>0</v>
      </c>
      <c r="O235" s="754"/>
      <c r="P235" s="754" t="s">
        <v>3202</v>
      </c>
    </row>
    <row r="236" spans="10:16" s="363" customFormat="1" ht="0.65" hidden="1" customHeight="1">
      <c r="J236" s="363">
        <v>1</v>
      </c>
      <c r="K236" s="363">
        <v>81</v>
      </c>
      <c r="L236" s="754" t="s">
        <v>2906</v>
      </c>
      <c r="M236" s="754">
        <v>36000</v>
      </c>
      <c r="N236" s="754" t="s">
        <v>3203</v>
      </c>
      <c r="O236" s="754"/>
      <c r="P236" s="754" t="s">
        <v>3204</v>
      </c>
    </row>
    <row r="237" spans="10:16" s="363" customFormat="1" ht="0.65" hidden="1" customHeight="1">
      <c r="J237" s="363">
        <v>2</v>
      </c>
      <c r="K237" s="363">
        <v>82</v>
      </c>
      <c r="L237" s="754" t="s">
        <v>2909</v>
      </c>
      <c r="M237" s="754">
        <v>36000</v>
      </c>
      <c r="N237" s="754" t="s">
        <v>3203</v>
      </c>
      <c r="O237" s="754"/>
      <c r="P237" s="754" t="s">
        <v>3204</v>
      </c>
    </row>
    <row r="238" spans="10:16" s="363" customFormat="1" ht="0.65" hidden="1" customHeight="1">
      <c r="J238" s="363">
        <v>3</v>
      </c>
      <c r="K238" s="363">
        <v>83</v>
      </c>
      <c r="L238" s="754" t="s">
        <v>2912</v>
      </c>
      <c r="M238" s="754">
        <v>36000</v>
      </c>
      <c r="N238" s="754" t="s">
        <v>3203</v>
      </c>
      <c r="O238" s="754"/>
      <c r="P238" s="754" t="s">
        <v>3204</v>
      </c>
    </row>
    <row r="239" spans="10:16" s="363" customFormat="1" ht="0.65" hidden="1" customHeight="1">
      <c r="J239" s="363">
        <v>4</v>
      </c>
      <c r="K239" s="363">
        <v>84</v>
      </c>
      <c r="L239" s="754" t="s">
        <v>2915</v>
      </c>
      <c r="M239" s="754">
        <v>36000</v>
      </c>
      <c r="N239" s="754" t="s">
        <v>3203</v>
      </c>
      <c r="O239" s="754"/>
      <c r="P239" s="754" t="s">
        <v>3204</v>
      </c>
    </row>
    <row r="240" spans="10:16" s="363" customFormat="1" ht="0.65" hidden="1" customHeight="1">
      <c r="J240" s="363">
        <v>5</v>
      </c>
      <c r="K240" s="363">
        <v>85</v>
      </c>
      <c r="L240" s="754" t="s">
        <v>2918</v>
      </c>
      <c r="M240" s="754">
        <v>36000</v>
      </c>
      <c r="N240" s="754" t="s">
        <v>3203</v>
      </c>
      <c r="O240" s="754"/>
      <c r="P240" s="754" t="s">
        <v>3204</v>
      </c>
    </row>
    <row r="241" spans="11:16" s="363" customFormat="1" ht="0.65" hidden="1" customHeight="1">
      <c r="K241" s="363">
        <v>86</v>
      </c>
      <c r="L241" s="754" t="s">
        <v>2921</v>
      </c>
      <c r="M241" s="754">
        <v>-36000</v>
      </c>
      <c r="N241" s="754" t="s">
        <v>3205</v>
      </c>
      <c r="O241" s="754"/>
      <c r="P241" s="754" t="s">
        <v>2923</v>
      </c>
    </row>
    <row r="242" spans="11:16" s="363" customFormat="1" ht="0.65" hidden="1" customHeight="1">
      <c r="K242" s="363">
        <v>87</v>
      </c>
      <c r="L242" s="754" t="s">
        <v>2924</v>
      </c>
      <c r="M242" s="754">
        <v>-36000</v>
      </c>
      <c r="N242" s="754" t="s">
        <v>3205</v>
      </c>
      <c r="O242" s="754"/>
      <c r="P242" s="754" t="s">
        <v>2926</v>
      </c>
    </row>
    <row r="243" spans="11:16" s="363" customFormat="1" ht="0.65" hidden="1" customHeight="1">
      <c r="K243" s="363">
        <v>88</v>
      </c>
      <c r="L243" s="754" t="s">
        <v>2927</v>
      </c>
      <c r="M243" s="754">
        <v>-36000</v>
      </c>
      <c r="N243" s="754" t="s">
        <v>3205</v>
      </c>
      <c r="O243" s="754"/>
      <c r="P243" s="754" t="s">
        <v>2929</v>
      </c>
    </row>
    <row r="244" spans="11:16" s="363" customFormat="1" ht="0.65" hidden="1" customHeight="1">
      <c r="K244" s="363">
        <v>89</v>
      </c>
      <c r="L244" s="754" t="s">
        <v>2930</v>
      </c>
      <c r="M244" s="754">
        <v>-36000</v>
      </c>
      <c r="N244" s="754" t="s">
        <v>3205</v>
      </c>
      <c r="O244" s="754"/>
      <c r="P244" s="754" t="s">
        <v>2932</v>
      </c>
    </row>
    <row r="245" spans="11:16" s="363" customFormat="1" ht="0.65" hidden="1" customHeight="1">
      <c r="K245" s="363">
        <v>90</v>
      </c>
      <c r="L245" s="754" t="s">
        <v>2933</v>
      </c>
      <c r="M245" s="754">
        <v>-36000</v>
      </c>
      <c r="N245" s="754" t="s">
        <v>3205</v>
      </c>
      <c r="O245" s="754"/>
      <c r="P245" s="754" t="s">
        <v>2935</v>
      </c>
    </row>
    <row r="246" spans="11:16" s="363" customFormat="1" ht="0.65" hidden="1" customHeight="1">
      <c r="K246" s="363">
        <v>91</v>
      </c>
      <c r="L246" s="754" t="s">
        <v>2936</v>
      </c>
      <c r="M246" s="754">
        <v>-25000</v>
      </c>
      <c r="N246" s="754" t="s">
        <v>3206</v>
      </c>
      <c r="O246" s="754"/>
      <c r="P246" s="754" t="s">
        <v>3207</v>
      </c>
    </row>
    <row r="247" spans="11:16" s="363" customFormat="1" ht="0.65" hidden="1" customHeight="1">
      <c r="K247" s="363">
        <v>92</v>
      </c>
      <c r="L247" s="754" t="s">
        <v>2939</v>
      </c>
      <c r="M247" s="754">
        <v>-25000</v>
      </c>
      <c r="N247" s="754" t="s">
        <v>3206</v>
      </c>
      <c r="O247" s="754"/>
      <c r="P247" s="754" t="s">
        <v>3207</v>
      </c>
    </row>
    <row r="248" spans="11:16" s="363" customFormat="1" ht="0.65" hidden="1" customHeight="1">
      <c r="K248" s="363">
        <v>93</v>
      </c>
      <c r="L248" s="754" t="s">
        <v>2940</v>
      </c>
      <c r="M248" s="754">
        <v>-25000</v>
      </c>
      <c r="N248" s="754" t="s">
        <v>3206</v>
      </c>
      <c r="O248" s="754"/>
      <c r="P248" s="754" t="s">
        <v>3207</v>
      </c>
    </row>
    <row r="249" spans="11:16" s="363" customFormat="1" ht="0.65" hidden="1" customHeight="1">
      <c r="K249" s="363">
        <v>94</v>
      </c>
      <c r="L249" s="754" t="s">
        <v>2941</v>
      </c>
      <c r="M249" s="754">
        <v>-25000</v>
      </c>
      <c r="N249" s="754" t="s">
        <v>3206</v>
      </c>
      <c r="O249" s="754"/>
      <c r="P249" s="754" t="s">
        <v>3207</v>
      </c>
    </row>
    <row r="250" spans="11:16" s="363" customFormat="1" ht="0.65" hidden="1" customHeight="1">
      <c r="K250" s="363">
        <v>95</v>
      </c>
      <c r="L250" s="754" t="s">
        <v>2942</v>
      </c>
      <c r="M250" s="754">
        <v>-25000</v>
      </c>
      <c r="N250" s="754" t="s">
        <v>3206</v>
      </c>
      <c r="O250" s="754"/>
      <c r="P250" s="754" t="s">
        <v>3207</v>
      </c>
    </row>
    <row r="251" spans="11:16" s="363" customFormat="1" ht="0.65" hidden="1" customHeight="1">
      <c r="K251" s="363">
        <v>96</v>
      </c>
      <c r="L251" s="754" t="s">
        <v>2943</v>
      </c>
      <c r="M251" s="754">
        <v>-11000</v>
      </c>
      <c r="N251" s="754" t="s">
        <v>3208</v>
      </c>
      <c r="O251" s="754"/>
      <c r="P251" s="754" t="s">
        <v>2945</v>
      </c>
    </row>
    <row r="252" spans="11:16" s="363" customFormat="1" ht="0.65" hidden="1" customHeight="1">
      <c r="K252" s="363">
        <v>97</v>
      </c>
      <c r="L252" s="754" t="s">
        <v>2946</v>
      </c>
      <c r="M252" s="754">
        <v>-11000</v>
      </c>
      <c r="N252" s="754" t="s">
        <v>3208</v>
      </c>
      <c r="O252" s="754"/>
      <c r="P252" s="754" t="s">
        <v>2948</v>
      </c>
    </row>
    <row r="253" spans="11:16" s="363" customFormat="1" ht="0.65" hidden="1" customHeight="1">
      <c r="K253" s="363">
        <v>98</v>
      </c>
      <c r="L253" s="754" t="s">
        <v>2949</v>
      </c>
      <c r="M253" s="754">
        <v>-11000</v>
      </c>
      <c r="N253" s="754" t="s">
        <v>3208</v>
      </c>
      <c r="O253" s="754"/>
      <c r="P253" s="754" t="s">
        <v>2951</v>
      </c>
    </row>
    <row r="254" spans="11:16" s="363" customFormat="1" ht="0.65" hidden="1" customHeight="1">
      <c r="K254" s="363">
        <v>99</v>
      </c>
      <c r="L254" s="754" t="s">
        <v>2952</v>
      </c>
      <c r="M254" s="754">
        <v>-11000</v>
      </c>
      <c r="N254" s="754" t="s">
        <v>3208</v>
      </c>
      <c r="O254" s="754"/>
      <c r="P254" s="754" t="s">
        <v>2954</v>
      </c>
    </row>
    <row r="255" spans="11:16" s="363" customFormat="1" ht="0.65" hidden="1" customHeight="1">
      <c r="K255" s="363">
        <v>100</v>
      </c>
      <c r="L255" s="754" t="s">
        <v>2955</v>
      </c>
      <c r="M255" s="754">
        <v>-11000</v>
      </c>
      <c r="N255" s="754" t="s">
        <v>3208</v>
      </c>
      <c r="O255" s="754"/>
      <c r="P255" s="754" t="s">
        <v>2957</v>
      </c>
    </row>
    <row r="256" spans="11:16" s="363" customFormat="1" ht="0.65" hidden="1" customHeight="1">
      <c r="K256" s="363">
        <v>101</v>
      </c>
      <c r="L256" s="754" t="s">
        <v>2958</v>
      </c>
      <c r="M256" s="754">
        <v>-3080.0000000000005</v>
      </c>
      <c r="N256" s="754" t="s">
        <v>3209</v>
      </c>
      <c r="O256" s="754"/>
      <c r="P256" s="754" t="s">
        <v>2960</v>
      </c>
    </row>
    <row r="257" spans="11:16" s="363" customFormat="1" ht="0.65" hidden="1" customHeight="1">
      <c r="K257" s="363">
        <v>102</v>
      </c>
      <c r="L257" s="754" t="s">
        <v>2961</v>
      </c>
      <c r="M257" s="754">
        <v>-3080.0000000000005</v>
      </c>
      <c r="N257" s="754" t="s">
        <v>3209</v>
      </c>
      <c r="O257" s="754"/>
      <c r="P257" s="754" t="s">
        <v>2963</v>
      </c>
    </row>
    <row r="258" spans="11:16" s="363" customFormat="1" ht="0.65" hidden="1" customHeight="1">
      <c r="K258" s="363">
        <v>103</v>
      </c>
      <c r="L258" s="754" t="s">
        <v>2964</v>
      </c>
      <c r="M258" s="754">
        <v>-3080.0000000000005</v>
      </c>
      <c r="N258" s="754" t="s">
        <v>3209</v>
      </c>
      <c r="O258" s="754"/>
      <c r="P258" s="754" t="s">
        <v>2966</v>
      </c>
    </row>
    <row r="259" spans="11:16" s="363" customFormat="1" ht="0.65" hidden="1" customHeight="1">
      <c r="K259" s="363">
        <v>104</v>
      </c>
      <c r="L259" s="754" t="s">
        <v>2967</v>
      </c>
      <c r="M259" s="754">
        <v>-3080.0000000000005</v>
      </c>
      <c r="N259" s="754" t="s">
        <v>3209</v>
      </c>
      <c r="O259" s="754"/>
      <c r="P259" s="754" t="s">
        <v>2969</v>
      </c>
    </row>
    <row r="260" spans="11:16" s="363" customFormat="1" ht="0.65" hidden="1" customHeight="1">
      <c r="K260" s="363">
        <v>105</v>
      </c>
      <c r="L260" s="754" t="s">
        <v>2970</v>
      </c>
      <c r="M260" s="754">
        <v>-3080.0000000000005</v>
      </c>
      <c r="N260" s="754" t="s">
        <v>3209</v>
      </c>
      <c r="O260" s="754"/>
      <c r="P260" s="754" t="s">
        <v>2972</v>
      </c>
    </row>
    <row r="261" spans="11:16" s="363" customFormat="1" ht="0.65" hidden="1" customHeight="1">
      <c r="K261" s="363">
        <v>106</v>
      </c>
      <c r="L261" s="754" t="s">
        <v>2973</v>
      </c>
      <c r="M261" s="754">
        <v>-7920</v>
      </c>
      <c r="N261" s="754" t="s">
        <v>3210</v>
      </c>
      <c r="O261" s="754"/>
      <c r="P261" s="754" t="s">
        <v>2975</v>
      </c>
    </row>
    <row r="262" spans="11:16" s="363" customFormat="1" ht="0.65" hidden="1" customHeight="1">
      <c r="K262" s="363">
        <v>107</v>
      </c>
      <c r="L262" s="754" t="s">
        <v>2976</v>
      </c>
      <c r="M262" s="754">
        <v>-7920</v>
      </c>
      <c r="N262" s="754" t="s">
        <v>3210</v>
      </c>
      <c r="O262" s="754"/>
      <c r="P262" s="754" t="s">
        <v>2978</v>
      </c>
    </row>
    <row r="263" spans="11:16" s="363" customFormat="1" ht="0.65" hidden="1" customHeight="1">
      <c r="K263" s="363">
        <v>108</v>
      </c>
      <c r="L263" s="754" t="s">
        <v>2979</v>
      </c>
      <c r="M263" s="754">
        <v>-7920</v>
      </c>
      <c r="N263" s="754" t="s">
        <v>3210</v>
      </c>
      <c r="O263" s="754"/>
      <c r="P263" s="754" t="s">
        <v>2981</v>
      </c>
    </row>
    <row r="264" spans="11:16" s="363" customFormat="1" ht="0.65" hidden="1" customHeight="1">
      <c r="K264" s="363">
        <v>109</v>
      </c>
      <c r="L264" s="754" t="s">
        <v>2982</v>
      </c>
      <c r="M264" s="754">
        <v>-7920</v>
      </c>
      <c r="N264" s="754" t="s">
        <v>3210</v>
      </c>
      <c r="O264" s="754"/>
      <c r="P264" s="754" t="s">
        <v>2984</v>
      </c>
    </row>
    <row r="265" spans="11:16" s="363" customFormat="1" ht="0.65" hidden="1" customHeight="1">
      <c r="K265" s="363">
        <v>110</v>
      </c>
      <c r="L265" s="754" t="s">
        <v>2985</v>
      </c>
      <c r="M265" s="754">
        <v>-7920</v>
      </c>
      <c r="N265" s="754" t="s">
        <v>3210</v>
      </c>
      <c r="O265" s="754"/>
      <c r="P265" s="754" t="s">
        <v>2987</v>
      </c>
    </row>
    <row r="266" spans="11:16" s="363" customFormat="1" ht="0.65" hidden="1" customHeight="1">
      <c r="K266" s="363">
        <v>111</v>
      </c>
      <c r="L266" s="754" t="s">
        <v>2988</v>
      </c>
      <c r="M266" s="754">
        <v>-32920</v>
      </c>
      <c r="N266" s="754" t="s">
        <v>3211</v>
      </c>
      <c r="O266" s="754"/>
      <c r="P266" s="754" t="s">
        <v>2990</v>
      </c>
    </row>
    <row r="267" spans="11:16" s="363" customFormat="1" ht="0.65" hidden="1" customHeight="1">
      <c r="K267" s="363">
        <v>112</v>
      </c>
      <c r="L267" s="754" t="s">
        <v>2991</v>
      </c>
      <c r="M267" s="754">
        <v>-32920</v>
      </c>
      <c r="N267" s="754" t="s">
        <v>3211</v>
      </c>
      <c r="O267" s="754"/>
      <c r="P267" s="754" t="s">
        <v>2993</v>
      </c>
    </row>
    <row r="268" spans="11:16" s="363" customFormat="1" ht="0.65" hidden="1" customHeight="1">
      <c r="K268" s="363">
        <v>113</v>
      </c>
      <c r="L268" s="754" t="s">
        <v>2994</v>
      </c>
      <c r="M268" s="754">
        <v>-32920</v>
      </c>
      <c r="N268" s="754" t="s">
        <v>3211</v>
      </c>
      <c r="O268" s="754"/>
      <c r="P268" s="754" t="s">
        <v>2996</v>
      </c>
    </row>
    <row r="269" spans="11:16" s="363" customFormat="1" ht="0.65" hidden="1" customHeight="1">
      <c r="K269" s="363">
        <v>114</v>
      </c>
      <c r="L269" s="754" t="s">
        <v>2997</v>
      </c>
      <c r="M269" s="754">
        <v>-32920</v>
      </c>
      <c r="N269" s="754" t="s">
        <v>3211</v>
      </c>
      <c r="O269" s="754"/>
      <c r="P269" s="754" t="s">
        <v>2999</v>
      </c>
    </row>
    <row r="270" spans="11:16" s="363" customFormat="1" ht="0.65" hidden="1" customHeight="1">
      <c r="K270" s="363">
        <v>115</v>
      </c>
      <c r="L270" s="754" t="s">
        <v>3000</v>
      </c>
      <c r="M270" s="754">
        <v>-32920</v>
      </c>
      <c r="N270" s="754" t="s">
        <v>3211</v>
      </c>
      <c r="O270" s="754"/>
      <c r="P270" s="754" t="s">
        <v>3002</v>
      </c>
    </row>
    <row r="271" spans="11:16" s="363" customFormat="1" ht="0.65" hidden="1" customHeight="1">
      <c r="K271" s="363">
        <v>116</v>
      </c>
      <c r="L271" s="754" t="s">
        <v>3003</v>
      </c>
      <c r="M271" s="754">
        <v>0</v>
      </c>
      <c r="N271" s="754" t="s">
        <v>3212</v>
      </c>
      <c r="O271" s="754"/>
      <c r="P271" s="754" t="s">
        <v>3005</v>
      </c>
    </row>
    <row r="272" spans="11:16" s="363" customFormat="1" ht="0.65" hidden="1" customHeight="1">
      <c r="K272" s="363">
        <v>117</v>
      </c>
      <c r="L272" s="754" t="s">
        <v>3006</v>
      </c>
      <c r="M272" s="754">
        <v>0</v>
      </c>
      <c r="N272" s="754" t="s">
        <v>3212</v>
      </c>
      <c r="O272" s="754"/>
      <c r="P272" s="754" t="s">
        <v>3008</v>
      </c>
    </row>
    <row r="273" spans="10:16" s="363" customFormat="1" ht="0.65" hidden="1" customHeight="1">
      <c r="K273" s="363">
        <v>118</v>
      </c>
      <c r="L273" s="754" t="s">
        <v>3009</v>
      </c>
      <c r="M273" s="754">
        <v>0</v>
      </c>
      <c r="N273" s="754" t="s">
        <v>3212</v>
      </c>
      <c r="O273" s="754"/>
      <c r="P273" s="754" t="s">
        <v>3011</v>
      </c>
    </row>
    <row r="274" spans="10:16" s="363" customFormat="1" ht="0.65" hidden="1" customHeight="1">
      <c r="K274" s="363">
        <v>119</v>
      </c>
      <c r="L274" s="754" t="s">
        <v>3012</v>
      </c>
      <c r="M274" s="754">
        <v>0</v>
      </c>
      <c r="N274" s="754" t="s">
        <v>3212</v>
      </c>
      <c r="O274" s="754"/>
      <c r="P274" s="754" t="s">
        <v>3014</v>
      </c>
    </row>
    <row r="275" spans="10:16" s="363" customFormat="1" ht="0.65" hidden="1" customHeight="1">
      <c r="K275" s="363">
        <v>120</v>
      </c>
      <c r="L275" s="754" t="s">
        <v>3015</v>
      </c>
      <c r="M275" s="754">
        <v>0</v>
      </c>
      <c r="N275" s="754" t="s">
        <v>3212</v>
      </c>
      <c r="O275" s="754"/>
      <c r="P275" s="754" t="s">
        <v>3017</v>
      </c>
    </row>
    <row r="276" spans="10:16" s="363" customFormat="1" ht="0.65" hidden="1" customHeight="1">
      <c r="J276" s="363">
        <v>1</v>
      </c>
      <c r="K276" s="363">
        <v>121</v>
      </c>
      <c r="L276" s="754" t="s">
        <v>3018</v>
      </c>
      <c r="M276" s="754">
        <v>0</v>
      </c>
      <c r="N276" s="754" t="s">
        <v>3183</v>
      </c>
      <c r="O276" s="754"/>
      <c r="P276" s="754" t="s">
        <v>3003</v>
      </c>
    </row>
    <row r="277" spans="10:16" s="363" customFormat="1" ht="0.65" hidden="1" customHeight="1">
      <c r="J277" s="363">
        <v>2</v>
      </c>
      <c r="K277" s="363">
        <v>122</v>
      </c>
      <c r="L277" s="754" t="s">
        <v>3020</v>
      </c>
      <c r="M277" s="754">
        <v>0</v>
      </c>
      <c r="N277" s="754" t="s">
        <v>3183</v>
      </c>
      <c r="O277" s="754"/>
      <c r="P277" s="754" t="s">
        <v>3022</v>
      </c>
    </row>
    <row r="278" spans="10:16" s="363" customFormat="1" ht="0.65" hidden="1" customHeight="1">
      <c r="J278" s="363">
        <v>3</v>
      </c>
      <c r="K278" s="363">
        <v>123</v>
      </c>
      <c r="L278" s="754" t="s">
        <v>3023</v>
      </c>
      <c r="M278" s="754">
        <v>0</v>
      </c>
      <c r="N278" s="754" t="s">
        <v>3183</v>
      </c>
      <c r="O278" s="754"/>
      <c r="P278" s="754" t="s">
        <v>3025</v>
      </c>
    </row>
    <row r="279" spans="10:16" s="363" customFormat="1" ht="0.65" hidden="1" customHeight="1">
      <c r="J279" s="363">
        <v>4</v>
      </c>
      <c r="K279" s="363">
        <v>124</v>
      </c>
      <c r="L279" s="754" t="s">
        <v>3026</v>
      </c>
      <c r="M279" s="754">
        <v>0</v>
      </c>
      <c r="N279" s="754" t="s">
        <v>3183</v>
      </c>
      <c r="O279" s="754"/>
      <c r="P279" s="754" t="s">
        <v>3028</v>
      </c>
    </row>
    <row r="280" spans="10:16" s="363" customFormat="1" ht="0.65" hidden="1" customHeight="1">
      <c r="J280" s="363">
        <v>5</v>
      </c>
      <c r="K280" s="363">
        <v>125</v>
      </c>
      <c r="L280" s="754" t="s">
        <v>3029</v>
      </c>
      <c r="M280" s="754">
        <v>0</v>
      </c>
      <c r="N280" s="754" t="s">
        <v>3183</v>
      </c>
      <c r="O280" s="754"/>
      <c r="P280" s="754" t="s">
        <v>3031</v>
      </c>
    </row>
    <row r="281" spans="10:16" s="363" customFormat="1" ht="0.65" hidden="1" customHeight="1">
      <c r="K281" s="363">
        <v>126</v>
      </c>
      <c r="L281" s="754" t="s">
        <v>3032</v>
      </c>
      <c r="M281" s="754">
        <v>-32920</v>
      </c>
      <c r="N281" s="754" t="s">
        <v>3213</v>
      </c>
      <c r="O281" s="754"/>
      <c r="P281" s="754" t="s">
        <v>3034</v>
      </c>
    </row>
    <row r="282" spans="10:16" s="363" customFormat="1" ht="0.65" hidden="1" customHeight="1">
      <c r="K282" s="363">
        <v>127</v>
      </c>
      <c r="L282" s="754" t="s">
        <v>3035</v>
      </c>
      <c r="M282" s="754">
        <v>-32920</v>
      </c>
      <c r="N282" s="754" t="s">
        <v>3213</v>
      </c>
      <c r="O282" s="754"/>
      <c r="P282" s="754" t="s">
        <v>3037</v>
      </c>
    </row>
    <row r="283" spans="10:16" s="363" customFormat="1" ht="0.65" hidden="1" customHeight="1">
      <c r="K283" s="363">
        <v>128</v>
      </c>
      <c r="L283" s="754" t="s">
        <v>3038</v>
      </c>
      <c r="M283" s="754">
        <v>-32920</v>
      </c>
      <c r="N283" s="754" t="s">
        <v>3213</v>
      </c>
      <c r="O283" s="754"/>
      <c r="P283" s="754" t="s">
        <v>3040</v>
      </c>
    </row>
    <row r="284" spans="10:16" s="363" customFormat="1" ht="0.65" hidden="1" customHeight="1">
      <c r="K284" s="363">
        <v>129</v>
      </c>
      <c r="L284" s="754" t="s">
        <v>3041</v>
      </c>
      <c r="M284" s="754">
        <v>-32920</v>
      </c>
      <c r="N284" s="754" t="s">
        <v>3213</v>
      </c>
      <c r="O284" s="754"/>
      <c r="P284" s="754" t="s">
        <v>3043</v>
      </c>
    </row>
    <row r="285" spans="10:16" s="363" customFormat="1" ht="0.65" hidden="1" customHeight="1">
      <c r="K285" s="363">
        <v>130</v>
      </c>
      <c r="L285" s="754" t="s">
        <v>3044</v>
      </c>
      <c r="M285" s="754">
        <v>-32920</v>
      </c>
      <c r="N285" s="754" t="s">
        <v>3213</v>
      </c>
      <c r="O285" s="754"/>
      <c r="P285" s="754" t="s">
        <v>3046</v>
      </c>
    </row>
    <row r="286" spans="10:16" s="363" customFormat="1" ht="0.65" hidden="1" customHeight="1">
      <c r="K286" s="363">
        <v>131</v>
      </c>
      <c r="L286" s="754" t="s">
        <v>3047</v>
      </c>
      <c r="M286" s="754">
        <v>250000</v>
      </c>
      <c r="N286" s="754">
        <v>0</v>
      </c>
      <c r="O286" s="754"/>
      <c r="P286" s="754" t="s">
        <v>3049</v>
      </c>
    </row>
    <row r="287" spans="10:16" s="363" customFormat="1" ht="0.65" hidden="1" customHeight="1">
      <c r="K287" s="363">
        <v>132</v>
      </c>
      <c r="L287" s="754" t="s">
        <v>3050</v>
      </c>
      <c r="M287" s="754">
        <v>-32920</v>
      </c>
      <c r="N287" s="754" t="s">
        <v>3214</v>
      </c>
      <c r="O287" s="754"/>
      <c r="P287" s="754" t="s">
        <v>3032</v>
      </c>
    </row>
    <row r="288" spans="10:16" s="363" customFormat="1" ht="0.65" hidden="1" customHeight="1">
      <c r="K288" s="363">
        <v>133</v>
      </c>
      <c r="L288" s="754" t="s">
        <v>3052</v>
      </c>
      <c r="M288" s="754">
        <v>-32920</v>
      </c>
      <c r="N288" s="754" t="s">
        <v>3214</v>
      </c>
      <c r="O288" s="754"/>
      <c r="P288" s="754" t="s">
        <v>3035</v>
      </c>
    </row>
    <row r="289" spans="10:16" s="363" customFormat="1" ht="0.65" hidden="1" customHeight="1">
      <c r="K289" s="363">
        <v>134</v>
      </c>
      <c r="L289" s="754" t="s">
        <v>3054</v>
      </c>
      <c r="M289" s="754">
        <v>-32920</v>
      </c>
      <c r="N289" s="754" t="s">
        <v>3214</v>
      </c>
      <c r="O289" s="754"/>
      <c r="P289" s="754" t="s">
        <v>3038</v>
      </c>
    </row>
    <row r="290" spans="10:16" s="363" customFormat="1" ht="0.65" hidden="1" customHeight="1">
      <c r="K290" s="363">
        <v>135</v>
      </c>
      <c r="L290" s="754" t="s">
        <v>3056</v>
      </c>
      <c r="M290" s="754">
        <v>-32920</v>
      </c>
      <c r="N290" s="754" t="s">
        <v>3214</v>
      </c>
      <c r="O290" s="754"/>
      <c r="P290" s="754" t="s">
        <v>3041</v>
      </c>
    </row>
    <row r="291" spans="10:16" s="363" customFormat="1" ht="0.65" hidden="1" customHeight="1">
      <c r="K291" s="363">
        <v>136</v>
      </c>
      <c r="L291" s="754" t="s">
        <v>3058</v>
      </c>
      <c r="M291" s="754">
        <v>-211920</v>
      </c>
      <c r="N291" s="754" t="s">
        <v>3215</v>
      </c>
      <c r="O291" s="754"/>
      <c r="P291" s="754" t="s">
        <v>3060</v>
      </c>
    </row>
    <row r="292" spans="10:16" s="363" customFormat="1" ht="0.65" hidden="1" customHeight="1">
      <c r="K292" s="363">
        <v>137</v>
      </c>
      <c r="L292" s="754" t="s">
        <v>3061</v>
      </c>
      <c r="M292" s="754">
        <v>-250000</v>
      </c>
      <c r="N292" s="754" t="s">
        <v>3048</v>
      </c>
      <c r="O292" s="754"/>
      <c r="P292" s="754" t="s">
        <v>3216</v>
      </c>
    </row>
    <row r="293" spans="10:16" s="363" customFormat="1" ht="0.65" hidden="1" customHeight="1">
      <c r="K293" s="363">
        <v>138</v>
      </c>
      <c r="L293" s="754" t="s">
        <v>3062</v>
      </c>
      <c r="M293" s="754">
        <v>-179000</v>
      </c>
      <c r="N293" s="754" t="s">
        <v>3217</v>
      </c>
      <c r="O293" s="754"/>
      <c r="P293" s="754" t="s">
        <v>3218</v>
      </c>
    </row>
    <row r="294" spans="10:16" s="363" customFormat="1" ht="0.65" hidden="1" customHeight="1">
      <c r="K294" s="363">
        <v>139</v>
      </c>
      <c r="L294" s="754" t="s">
        <v>3065</v>
      </c>
      <c r="M294" s="754">
        <v>0</v>
      </c>
      <c r="N294" s="754" t="s">
        <v>498</v>
      </c>
      <c r="O294" s="754"/>
      <c r="P294" s="754" t="s">
        <v>3015</v>
      </c>
    </row>
    <row r="295" spans="10:16" s="363" customFormat="1" ht="0.65" hidden="1" customHeight="1">
      <c r="K295" s="363">
        <v>140</v>
      </c>
      <c r="L295" s="754" t="s">
        <v>3067</v>
      </c>
      <c r="M295" s="754">
        <v>-179000</v>
      </c>
      <c r="N295" s="754" t="s">
        <v>3219</v>
      </c>
      <c r="O295" s="754"/>
      <c r="P295" s="754" t="s">
        <v>3069</v>
      </c>
    </row>
    <row r="296" spans="10:16" s="363" customFormat="1" ht="0.65" hidden="1" customHeight="1">
      <c r="K296" s="363">
        <v>141</v>
      </c>
      <c r="L296" s="754" t="s">
        <v>2870</v>
      </c>
      <c r="M296" s="754">
        <v>0.11300000000000021</v>
      </c>
      <c r="N296" s="754" t="s">
        <v>3070</v>
      </c>
      <c r="O296" s="754"/>
      <c r="P296" s="754" t="s">
        <v>3071</v>
      </c>
    </row>
    <row r="297" spans="10:16" s="363" customFormat="1" ht="0.65" hidden="1" customHeight="1">
      <c r="K297" s="363">
        <v>142</v>
      </c>
      <c r="L297" s="754" t="s">
        <v>13</v>
      </c>
      <c r="M297" s="754">
        <v>24439.866693259828</v>
      </c>
      <c r="N297" s="754" t="s">
        <v>3220</v>
      </c>
      <c r="O297" s="754"/>
      <c r="P297" s="754" t="s">
        <v>3073</v>
      </c>
    </row>
    <row r="298" spans="10:16" s="363" customFormat="1" ht="0.65" hidden="1" customHeight="1">
      <c r="J298" s="363">
        <v>1</v>
      </c>
      <c r="K298" s="363">
        <v>143</v>
      </c>
      <c r="L298" s="754" t="s">
        <v>2891</v>
      </c>
      <c r="M298" s="754">
        <v>-1181250</v>
      </c>
      <c r="N298" s="754" t="s">
        <v>3221</v>
      </c>
      <c r="O298" s="754"/>
      <c r="P298" s="754" t="s">
        <v>3222</v>
      </c>
    </row>
    <row r="299" spans="10:16" s="363" customFormat="1" ht="0.65" hidden="1" customHeight="1">
      <c r="J299" s="363">
        <v>2</v>
      </c>
      <c r="K299" s="363">
        <v>144</v>
      </c>
      <c r="L299" s="754" t="s">
        <v>2894</v>
      </c>
      <c r="M299" s="754">
        <v>-1550390.6249999998</v>
      </c>
      <c r="N299" s="754" t="s">
        <v>3223</v>
      </c>
      <c r="O299" s="754"/>
      <c r="P299" s="754" t="s">
        <v>3224</v>
      </c>
    </row>
    <row r="300" spans="10:16" s="363" customFormat="1" ht="0.65" hidden="1" customHeight="1">
      <c r="J300" s="363">
        <v>3</v>
      </c>
      <c r="K300" s="363">
        <v>145</v>
      </c>
      <c r="L300" s="754" t="s">
        <v>2897</v>
      </c>
      <c r="M300" s="754">
        <v>-1953492.1875000002</v>
      </c>
      <c r="N300" s="754" t="s">
        <v>3225</v>
      </c>
      <c r="O300" s="754"/>
      <c r="P300" s="754" t="s">
        <v>3226</v>
      </c>
    </row>
    <row r="301" spans="10:16" s="363" customFormat="1" ht="0.65" hidden="1" customHeight="1">
      <c r="J301" s="363">
        <v>4</v>
      </c>
      <c r="K301" s="363">
        <v>146</v>
      </c>
      <c r="L301" s="754" t="s">
        <v>2900</v>
      </c>
      <c r="M301" s="754">
        <v>-2051166.796875</v>
      </c>
      <c r="N301" s="754" t="s">
        <v>3227</v>
      </c>
      <c r="O301" s="754"/>
      <c r="P301" s="754" t="s">
        <v>3228</v>
      </c>
    </row>
    <row r="302" spans="10:16" s="363" customFormat="1" ht="0.65" hidden="1" customHeight="1">
      <c r="J302" s="363">
        <v>5</v>
      </c>
      <c r="K302" s="363">
        <v>147</v>
      </c>
      <c r="L302" s="754" t="s">
        <v>2903</v>
      </c>
      <c r="M302" s="754">
        <v>-2153725.13671875</v>
      </c>
      <c r="N302" s="754" t="s">
        <v>3229</v>
      </c>
      <c r="O302" s="754"/>
      <c r="P302" s="754" t="s">
        <v>3230</v>
      </c>
    </row>
    <row r="303" spans="10:16" s="363" customFormat="1" ht="0.65" hidden="1" customHeight="1">
      <c r="J303" s="363">
        <v>1</v>
      </c>
      <c r="K303" s="363">
        <v>148</v>
      </c>
      <c r="L303" s="754" t="s">
        <v>2906</v>
      </c>
      <c r="M303" s="754">
        <v>-963500.00000000012</v>
      </c>
      <c r="N303" s="754" t="s">
        <v>3231</v>
      </c>
      <c r="O303" s="754"/>
      <c r="P303" s="754" t="s">
        <v>3232</v>
      </c>
    </row>
    <row r="304" spans="10:16" s="363" customFormat="1" ht="0.65" hidden="1" customHeight="1">
      <c r="J304" s="363">
        <v>2</v>
      </c>
      <c r="K304" s="363">
        <v>149</v>
      </c>
      <c r="L304" s="754" t="s">
        <v>2909</v>
      </c>
      <c r="M304" s="754">
        <v>-1239562.5000000002</v>
      </c>
      <c r="N304" s="754" t="s">
        <v>3233</v>
      </c>
      <c r="O304" s="754"/>
      <c r="P304" s="754" t="s">
        <v>3234</v>
      </c>
    </row>
    <row r="305" spans="10:16" s="363" customFormat="1" ht="0.65" hidden="1" customHeight="1">
      <c r="J305" s="363">
        <v>3</v>
      </c>
      <c r="K305" s="363">
        <v>150</v>
      </c>
      <c r="L305" s="754" t="s">
        <v>2912</v>
      </c>
      <c r="M305" s="754">
        <v>-1540912.5000000002</v>
      </c>
      <c r="N305" s="754" t="s">
        <v>3235</v>
      </c>
      <c r="O305" s="754"/>
      <c r="P305" s="754" t="s">
        <v>3236</v>
      </c>
    </row>
    <row r="306" spans="10:16" s="363" customFormat="1" ht="0.65" hidden="1" customHeight="1">
      <c r="J306" s="363">
        <v>4</v>
      </c>
      <c r="K306" s="363">
        <v>151</v>
      </c>
      <c r="L306" s="754" t="s">
        <v>2915</v>
      </c>
      <c r="M306" s="754">
        <v>-1616158.125</v>
      </c>
      <c r="N306" s="754" t="s">
        <v>3237</v>
      </c>
      <c r="O306" s="754"/>
      <c r="P306" s="754" t="s">
        <v>3238</v>
      </c>
    </row>
    <row r="307" spans="10:16" s="363" customFormat="1" ht="0.65" hidden="1" customHeight="1">
      <c r="J307" s="363">
        <v>5</v>
      </c>
      <c r="K307" s="363">
        <v>152</v>
      </c>
      <c r="L307" s="754" t="s">
        <v>2918</v>
      </c>
      <c r="M307" s="754">
        <v>-1695166.0312500002</v>
      </c>
      <c r="N307" s="754" t="s">
        <v>3239</v>
      </c>
      <c r="O307" s="754"/>
      <c r="P307" s="754" t="s">
        <v>3240</v>
      </c>
    </row>
    <row r="308" spans="10:16" s="363" customFormat="1" ht="0.65" hidden="1" customHeight="1">
      <c r="K308" s="363">
        <v>153</v>
      </c>
      <c r="L308" s="754" t="s">
        <v>2921</v>
      </c>
      <c r="M308" s="754">
        <v>-217749.99999999988</v>
      </c>
      <c r="N308" s="754" t="s">
        <v>3241</v>
      </c>
      <c r="O308" s="754"/>
      <c r="P308" s="754" t="s">
        <v>2923</v>
      </c>
    </row>
    <row r="309" spans="10:16" s="363" customFormat="1" ht="0.65" hidden="1" customHeight="1">
      <c r="K309" s="363">
        <v>154</v>
      </c>
      <c r="L309" s="754" t="s">
        <v>2924</v>
      </c>
      <c r="M309" s="754">
        <v>-310828.12499999953</v>
      </c>
      <c r="N309" s="754" t="s">
        <v>3242</v>
      </c>
      <c r="O309" s="754"/>
      <c r="P309" s="754" t="s">
        <v>2926</v>
      </c>
    </row>
    <row r="310" spans="10:16" s="363" customFormat="1" ht="0.65" hidden="1" customHeight="1">
      <c r="K310" s="363">
        <v>155</v>
      </c>
      <c r="L310" s="754" t="s">
        <v>2927</v>
      </c>
      <c r="M310" s="754">
        <v>-412579.6875</v>
      </c>
      <c r="N310" s="754" t="s">
        <v>3243</v>
      </c>
      <c r="O310" s="754"/>
      <c r="P310" s="754" t="s">
        <v>2929</v>
      </c>
    </row>
    <row r="311" spans="10:16" s="363" customFormat="1" ht="0.65" hidden="1" customHeight="1">
      <c r="K311" s="363">
        <v>156</v>
      </c>
      <c r="L311" s="754" t="s">
        <v>2930</v>
      </c>
      <c r="M311" s="754">
        <v>-435008.671875</v>
      </c>
      <c r="N311" s="754" t="s">
        <v>3244</v>
      </c>
      <c r="O311" s="754"/>
      <c r="P311" s="754" t="s">
        <v>2932</v>
      </c>
    </row>
    <row r="312" spans="10:16" s="363" customFormat="1" ht="0.65" hidden="1" customHeight="1">
      <c r="K312" s="363">
        <v>157</v>
      </c>
      <c r="L312" s="754" t="s">
        <v>2933</v>
      </c>
      <c r="M312" s="754">
        <v>-458559.10546874977</v>
      </c>
      <c r="N312" s="754" t="s">
        <v>3245</v>
      </c>
      <c r="O312" s="754"/>
      <c r="P312" s="754" t="s">
        <v>2935</v>
      </c>
    </row>
    <row r="313" spans="10:16" s="363" customFormat="1" ht="0.65" hidden="1" customHeight="1">
      <c r="K313" s="363">
        <v>158</v>
      </c>
      <c r="L313" s="754" t="s">
        <v>2936</v>
      </c>
      <c r="M313" s="754">
        <v>0</v>
      </c>
      <c r="N313" s="754" t="s">
        <v>3183</v>
      </c>
      <c r="O313" s="754"/>
      <c r="P313" s="754" t="s">
        <v>3161</v>
      </c>
    </row>
    <row r="314" spans="10:16" s="363" customFormat="1" ht="0.65" hidden="1" customHeight="1">
      <c r="K314" s="363">
        <v>159</v>
      </c>
      <c r="L314" s="754" t="s">
        <v>2939</v>
      </c>
      <c r="M314" s="754">
        <v>0</v>
      </c>
      <c r="N314" s="754" t="s">
        <v>3183</v>
      </c>
      <c r="O314" s="754"/>
      <c r="P314" s="754" t="s">
        <v>3161</v>
      </c>
    </row>
    <row r="315" spans="10:16" s="363" customFormat="1" ht="0.65" hidden="1" customHeight="1">
      <c r="K315" s="363">
        <v>160</v>
      </c>
      <c r="L315" s="754" t="s">
        <v>2940</v>
      </c>
      <c r="M315" s="754">
        <v>0</v>
      </c>
      <c r="N315" s="754" t="s">
        <v>3183</v>
      </c>
      <c r="O315" s="754"/>
      <c r="P315" s="754" t="s">
        <v>3161</v>
      </c>
    </row>
    <row r="316" spans="10:16" s="363" customFormat="1" ht="0.65" hidden="1" customHeight="1">
      <c r="K316" s="363">
        <v>161</v>
      </c>
      <c r="L316" s="754" t="s">
        <v>2941</v>
      </c>
      <c r="M316" s="754">
        <v>0</v>
      </c>
      <c r="N316" s="754" t="s">
        <v>3183</v>
      </c>
      <c r="O316" s="754"/>
      <c r="P316" s="754" t="s">
        <v>3161</v>
      </c>
    </row>
    <row r="317" spans="10:16" s="363" customFormat="1" ht="0.65" hidden="1" customHeight="1">
      <c r="K317" s="363">
        <v>162</v>
      </c>
      <c r="L317" s="754" t="s">
        <v>2942</v>
      </c>
      <c r="M317" s="754">
        <v>0</v>
      </c>
      <c r="N317" s="754" t="s">
        <v>3183</v>
      </c>
      <c r="O317" s="754"/>
      <c r="P317" s="754" t="s">
        <v>3161</v>
      </c>
    </row>
    <row r="318" spans="10:16" s="363" customFormat="1" ht="0.65" hidden="1" customHeight="1">
      <c r="K318" s="363">
        <v>163</v>
      </c>
      <c r="L318" s="754" t="s">
        <v>2943</v>
      </c>
      <c r="M318" s="754">
        <v>-217749.99999999988</v>
      </c>
      <c r="N318" s="754" t="s">
        <v>3246</v>
      </c>
      <c r="O318" s="754"/>
      <c r="P318" s="754" t="s">
        <v>2945</v>
      </c>
    </row>
    <row r="319" spans="10:16" s="363" customFormat="1" ht="0.65" hidden="1" customHeight="1">
      <c r="K319" s="363">
        <v>164</v>
      </c>
      <c r="L319" s="754" t="s">
        <v>2946</v>
      </c>
      <c r="M319" s="754">
        <v>-310828.12499999953</v>
      </c>
      <c r="N319" s="754" t="s">
        <v>3247</v>
      </c>
      <c r="O319" s="754"/>
      <c r="P319" s="754" t="s">
        <v>2948</v>
      </c>
    </row>
    <row r="320" spans="10:16" s="363" customFormat="1" ht="0.65" hidden="1" customHeight="1">
      <c r="K320" s="363">
        <v>165</v>
      </c>
      <c r="L320" s="754" t="s">
        <v>2949</v>
      </c>
      <c r="M320" s="754">
        <v>-412579.6875</v>
      </c>
      <c r="N320" s="754" t="s">
        <v>3248</v>
      </c>
      <c r="O320" s="754"/>
      <c r="P320" s="754" t="s">
        <v>2951</v>
      </c>
    </row>
    <row r="321" spans="11:16" s="363" customFormat="1" ht="0.65" hidden="1" customHeight="1">
      <c r="K321" s="363">
        <v>166</v>
      </c>
      <c r="L321" s="754" t="s">
        <v>2952</v>
      </c>
      <c r="M321" s="754">
        <v>-435008.671875</v>
      </c>
      <c r="N321" s="754" t="s">
        <v>3249</v>
      </c>
      <c r="O321" s="754"/>
      <c r="P321" s="754" t="s">
        <v>2954</v>
      </c>
    </row>
    <row r="322" spans="11:16" s="363" customFormat="1" ht="0.65" hidden="1" customHeight="1">
      <c r="K322" s="363">
        <v>167</v>
      </c>
      <c r="L322" s="754" t="s">
        <v>2955</v>
      </c>
      <c r="M322" s="754">
        <v>-458559.10546874977</v>
      </c>
      <c r="N322" s="754" t="s">
        <v>3250</v>
      </c>
      <c r="O322" s="754"/>
      <c r="P322" s="754" t="s">
        <v>2957</v>
      </c>
    </row>
    <row r="323" spans="11:16" s="363" customFormat="1" ht="0.65" hidden="1" customHeight="1">
      <c r="K323" s="363">
        <v>168</v>
      </c>
      <c r="L323" s="754" t="s">
        <v>2958</v>
      </c>
      <c r="M323" s="754">
        <v>-60969.999999999971</v>
      </c>
      <c r="N323" s="754" t="s">
        <v>3251</v>
      </c>
      <c r="O323" s="754"/>
      <c r="P323" s="754" t="s">
        <v>2960</v>
      </c>
    </row>
    <row r="324" spans="11:16" s="363" customFormat="1" ht="0.65" hidden="1" customHeight="1">
      <c r="K324" s="363">
        <v>169</v>
      </c>
      <c r="L324" s="754" t="s">
        <v>2961</v>
      </c>
      <c r="M324" s="754">
        <v>-87031.874999999884</v>
      </c>
      <c r="N324" s="754" t="s">
        <v>3252</v>
      </c>
      <c r="O324" s="754"/>
      <c r="P324" s="754" t="s">
        <v>2963</v>
      </c>
    </row>
    <row r="325" spans="11:16" s="363" customFormat="1" ht="0.65" hidden="1" customHeight="1">
      <c r="K325" s="363">
        <v>170</v>
      </c>
      <c r="L325" s="754" t="s">
        <v>2964</v>
      </c>
      <c r="M325" s="754">
        <v>-115522.31250000001</v>
      </c>
      <c r="N325" s="754" t="s">
        <v>3253</v>
      </c>
      <c r="O325" s="754"/>
      <c r="P325" s="754" t="s">
        <v>2966</v>
      </c>
    </row>
    <row r="326" spans="11:16" s="363" customFormat="1" ht="0.65" hidden="1" customHeight="1">
      <c r="K326" s="363">
        <v>171</v>
      </c>
      <c r="L326" s="754" t="s">
        <v>2967</v>
      </c>
      <c r="M326" s="754">
        <v>-121802.42812500001</v>
      </c>
      <c r="N326" s="754" t="s">
        <v>3254</v>
      </c>
      <c r="O326" s="754"/>
      <c r="P326" s="754" t="s">
        <v>2969</v>
      </c>
    </row>
    <row r="327" spans="11:16" s="363" customFormat="1" ht="0.65" hidden="1" customHeight="1">
      <c r="K327" s="363">
        <v>172</v>
      </c>
      <c r="L327" s="754" t="s">
        <v>2970</v>
      </c>
      <c r="M327" s="754">
        <v>-128396.54953124994</v>
      </c>
      <c r="N327" s="754" t="s">
        <v>3255</v>
      </c>
      <c r="O327" s="754"/>
      <c r="P327" s="754" t="s">
        <v>2972</v>
      </c>
    </row>
    <row r="328" spans="11:16" s="363" customFormat="1" ht="0.65" hidden="1" customHeight="1">
      <c r="K328" s="363">
        <v>173</v>
      </c>
      <c r="L328" s="754" t="s">
        <v>2973</v>
      </c>
      <c r="M328" s="754">
        <v>-156779.99999999991</v>
      </c>
      <c r="N328" s="754" t="s">
        <v>3256</v>
      </c>
      <c r="O328" s="754"/>
      <c r="P328" s="754" t="s">
        <v>2975</v>
      </c>
    </row>
    <row r="329" spans="11:16" s="363" customFormat="1" ht="0.65" hidden="1" customHeight="1">
      <c r="K329" s="363">
        <v>174</v>
      </c>
      <c r="L329" s="754" t="s">
        <v>2976</v>
      </c>
      <c r="M329" s="754">
        <v>-223796.24999999965</v>
      </c>
      <c r="N329" s="754" t="s">
        <v>3257</v>
      </c>
      <c r="O329" s="754"/>
      <c r="P329" s="754" t="s">
        <v>2978</v>
      </c>
    </row>
    <row r="330" spans="11:16" s="363" customFormat="1" ht="0.65" hidden="1" customHeight="1">
      <c r="K330" s="363">
        <v>175</v>
      </c>
      <c r="L330" s="754" t="s">
        <v>2979</v>
      </c>
      <c r="M330" s="754">
        <v>-297057.375</v>
      </c>
      <c r="N330" s="754" t="s">
        <v>3258</v>
      </c>
      <c r="O330" s="754"/>
      <c r="P330" s="754" t="s">
        <v>2981</v>
      </c>
    </row>
    <row r="331" spans="11:16" s="363" customFormat="1" ht="0.65" hidden="1" customHeight="1">
      <c r="K331" s="363">
        <v>176</v>
      </c>
      <c r="L331" s="754" t="s">
        <v>2982</v>
      </c>
      <c r="M331" s="754">
        <v>-313206.24375000002</v>
      </c>
      <c r="N331" s="754" t="s">
        <v>3259</v>
      </c>
      <c r="O331" s="754"/>
      <c r="P331" s="754" t="s">
        <v>2984</v>
      </c>
    </row>
    <row r="332" spans="11:16" s="363" customFormat="1" ht="0.65" hidden="1" customHeight="1">
      <c r="K332" s="363">
        <v>177</v>
      </c>
      <c r="L332" s="754" t="s">
        <v>2985</v>
      </c>
      <c r="M332" s="754">
        <v>-330162.55593749986</v>
      </c>
      <c r="N332" s="754" t="s">
        <v>3260</v>
      </c>
      <c r="O332" s="754"/>
      <c r="P332" s="754" t="s">
        <v>2987</v>
      </c>
    </row>
    <row r="333" spans="11:16" s="363" customFormat="1" ht="0.65" hidden="1" customHeight="1">
      <c r="K333" s="363">
        <v>178</v>
      </c>
      <c r="L333" s="754" t="s">
        <v>2988</v>
      </c>
      <c r="M333" s="754">
        <v>-156779.99999999991</v>
      </c>
      <c r="N333" s="754" t="s">
        <v>3261</v>
      </c>
      <c r="O333" s="754"/>
      <c r="P333" s="754" t="s">
        <v>2990</v>
      </c>
    </row>
    <row r="334" spans="11:16" s="363" customFormat="1" ht="0.65" hidden="1" customHeight="1">
      <c r="K334" s="363">
        <v>179</v>
      </c>
      <c r="L334" s="754" t="s">
        <v>2991</v>
      </c>
      <c r="M334" s="754">
        <v>-223796.24999999965</v>
      </c>
      <c r="N334" s="754" t="s">
        <v>3262</v>
      </c>
      <c r="O334" s="754"/>
      <c r="P334" s="754" t="s">
        <v>2993</v>
      </c>
    </row>
    <row r="335" spans="11:16" s="363" customFormat="1" ht="0.65" hidden="1" customHeight="1">
      <c r="K335" s="363">
        <v>180</v>
      </c>
      <c r="L335" s="754" t="s">
        <v>2994</v>
      </c>
      <c r="M335" s="754">
        <v>-297057.375</v>
      </c>
      <c r="N335" s="754" t="s">
        <v>3263</v>
      </c>
      <c r="O335" s="754"/>
      <c r="P335" s="754" t="s">
        <v>2996</v>
      </c>
    </row>
    <row r="336" spans="11:16" s="363" customFormat="1" ht="0.65" hidden="1" customHeight="1">
      <c r="K336" s="363">
        <v>181</v>
      </c>
      <c r="L336" s="754" t="s">
        <v>2997</v>
      </c>
      <c r="M336" s="754">
        <v>-313206.24375000002</v>
      </c>
      <c r="N336" s="754" t="s">
        <v>3264</v>
      </c>
      <c r="O336" s="754"/>
      <c r="P336" s="754" t="s">
        <v>2999</v>
      </c>
    </row>
    <row r="337" spans="10:16" s="363" customFormat="1" ht="0.65" hidden="1" customHeight="1">
      <c r="K337" s="363">
        <v>182</v>
      </c>
      <c r="L337" s="754" t="s">
        <v>3000</v>
      </c>
      <c r="M337" s="754">
        <v>-330162.55593749986</v>
      </c>
      <c r="N337" s="754" t="s">
        <v>3265</v>
      </c>
      <c r="O337" s="754"/>
      <c r="P337" s="754" t="s">
        <v>3002</v>
      </c>
    </row>
    <row r="338" spans="10:16" s="363" customFormat="1" ht="0.65" hidden="1" customHeight="1">
      <c r="K338" s="363">
        <v>183</v>
      </c>
      <c r="L338" s="754" t="s">
        <v>3003</v>
      </c>
      <c r="M338" s="754">
        <v>-175000</v>
      </c>
      <c r="N338" s="754" t="s">
        <v>3266</v>
      </c>
      <c r="O338" s="754"/>
      <c r="P338" s="754" t="s">
        <v>3267</v>
      </c>
    </row>
    <row r="339" spans="10:16" s="363" customFormat="1" ht="0.65" hidden="1" customHeight="1">
      <c r="K339" s="363">
        <v>184</v>
      </c>
      <c r="L339" s="754" t="s">
        <v>3006</v>
      </c>
      <c r="M339" s="754">
        <v>-229687.5</v>
      </c>
      <c r="N339" s="754" t="s">
        <v>3268</v>
      </c>
      <c r="O339" s="754"/>
      <c r="P339" s="754" t="s">
        <v>3269</v>
      </c>
    </row>
    <row r="340" spans="10:16" s="363" customFormat="1" ht="0.65" hidden="1" customHeight="1">
      <c r="K340" s="363">
        <v>185</v>
      </c>
      <c r="L340" s="754" t="s">
        <v>3009</v>
      </c>
      <c r="M340" s="754">
        <v>-289406.25000000006</v>
      </c>
      <c r="N340" s="754" t="s">
        <v>3270</v>
      </c>
      <c r="O340" s="754"/>
      <c r="P340" s="754" t="s">
        <v>3271</v>
      </c>
    </row>
    <row r="341" spans="10:16" s="363" customFormat="1" ht="0.65" hidden="1" customHeight="1">
      <c r="K341" s="363">
        <v>186</v>
      </c>
      <c r="L341" s="754" t="s">
        <v>3012</v>
      </c>
      <c r="M341" s="754">
        <v>-303876.5625</v>
      </c>
      <c r="N341" s="754" t="s">
        <v>3272</v>
      </c>
      <c r="O341" s="754"/>
      <c r="P341" s="754" t="s">
        <v>3273</v>
      </c>
    </row>
    <row r="342" spans="10:16" s="363" customFormat="1" ht="0.65" hidden="1" customHeight="1">
      <c r="K342" s="363">
        <v>187</v>
      </c>
      <c r="L342" s="754" t="s">
        <v>3015</v>
      </c>
      <c r="M342" s="754">
        <v>-319070.39062500006</v>
      </c>
      <c r="N342" s="754" t="s">
        <v>3274</v>
      </c>
      <c r="O342" s="754"/>
      <c r="P342" s="754" t="s">
        <v>3275</v>
      </c>
    </row>
    <row r="343" spans="10:16" s="363" customFormat="1" ht="0.65" hidden="1" customHeight="1">
      <c r="J343" s="363">
        <v>1</v>
      </c>
      <c r="K343" s="363">
        <v>188</v>
      </c>
      <c r="L343" s="754" t="s">
        <v>3018</v>
      </c>
      <c r="M343" s="754">
        <v>-175000</v>
      </c>
      <c r="N343" s="754" t="s">
        <v>3276</v>
      </c>
      <c r="O343" s="754"/>
      <c r="P343" s="754" t="s">
        <v>3003</v>
      </c>
    </row>
    <row r="344" spans="10:16" s="363" customFormat="1" ht="0.65" hidden="1" customHeight="1">
      <c r="J344" s="363">
        <v>2</v>
      </c>
      <c r="K344" s="363">
        <v>189</v>
      </c>
      <c r="L344" s="754" t="s">
        <v>3020</v>
      </c>
      <c r="M344" s="754">
        <v>-54687.5</v>
      </c>
      <c r="N344" s="754" t="s">
        <v>3277</v>
      </c>
      <c r="O344" s="754"/>
      <c r="P344" s="754" t="s">
        <v>3022</v>
      </c>
    </row>
    <row r="345" spans="10:16" s="363" customFormat="1" ht="0.65" hidden="1" customHeight="1">
      <c r="J345" s="363">
        <v>3</v>
      </c>
      <c r="K345" s="363">
        <v>190</v>
      </c>
      <c r="L345" s="754" t="s">
        <v>3023</v>
      </c>
      <c r="M345" s="754">
        <v>-59718.750000000058</v>
      </c>
      <c r="N345" s="754" t="s">
        <v>3278</v>
      </c>
      <c r="O345" s="754"/>
      <c r="P345" s="754" t="s">
        <v>3025</v>
      </c>
    </row>
    <row r="346" spans="10:16" s="363" customFormat="1" ht="0.65" hidden="1" customHeight="1">
      <c r="J346" s="363">
        <v>4</v>
      </c>
      <c r="K346" s="363">
        <v>191</v>
      </c>
      <c r="L346" s="754" t="s">
        <v>3026</v>
      </c>
      <c r="M346" s="754">
        <v>-14470.312499999942</v>
      </c>
      <c r="N346" s="754" t="s">
        <v>3279</v>
      </c>
      <c r="O346" s="754"/>
      <c r="P346" s="754" t="s">
        <v>3028</v>
      </c>
    </row>
    <row r="347" spans="10:16" s="363" customFormat="1" ht="0.65" hidden="1" customHeight="1">
      <c r="J347" s="363">
        <v>5</v>
      </c>
      <c r="K347" s="363">
        <v>192</v>
      </c>
      <c r="L347" s="754" t="s">
        <v>3029</v>
      </c>
      <c r="M347" s="754">
        <v>-15193.828125000058</v>
      </c>
      <c r="N347" s="754" t="s">
        <v>3280</v>
      </c>
      <c r="O347" s="754"/>
      <c r="P347" s="754" t="s">
        <v>3031</v>
      </c>
    </row>
    <row r="348" spans="10:16" s="363" customFormat="1" ht="0.65" hidden="1" customHeight="1">
      <c r="K348" s="363">
        <v>193</v>
      </c>
      <c r="L348" s="754" t="s">
        <v>3032</v>
      </c>
      <c r="M348" s="754">
        <v>18220.000000000087</v>
      </c>
      <c r="N348" s="754" t="s">
        <v>3281</v>
      </c>
      <c r="O348" s="754"/>
      <c r="P348" s="754" t="s">
        <v>3034</v>
      </c>
    </row>
    <row r="349" spans="10:16" s="363" customFormat="1" ht="0.65" hidden="1" customHeight="1">
      <c r="K349" s="363">
        <v>194</v>
      </c>
      <c r="L349" s="754" t="s">
        <v>3035</v>
      </c>
      <c r="M349" s="754">
        <v>-169108.74999999965</v>
      </c>
      <c r="N349" s="754" t="s">
        <v>3282</v>
      </c>
      <c r="O349" s="754"/>
      <c r="P349" s="754" t="s">
        <v>3037</v>
      </c>
    </row>
    <row r="350" spans="10:16" s="363" customFormat="1" ht="0.65" hidden="1" customHeight="1">
      <c r="K350" s="363">
        <v>195</v>
      </c>
      <c r="L350" s="754" t="s">
        <v>3038</v>
      </c>
      <c r="M350" s="754">
        <v>-237338.62499999994</v>
      </c>
      <c r="N350" s="754" t="s">
        <v>3283</v>
      </c>
      <c r="O350" s="754"/>
      <c r="P350" s="754" t="s">
        <v>3040</v>
      </c>
    </row>
    <row r="351" spans="10:16" s="363" customFormat="1" ht="0.65" hidden="1" customHeight="1">
      <c r="K351" s="363">
        <v>196</v>
      </c>
      <c r="L351" s="754" t="s">
        <v>3041</v>
      </c>
      <c r="M351" s="754">
        <v>-298735.93125000008</v>
      </c>
      <c r="N351" s="754" t="s">
        <v>3284</v>
      </c>
      <c r="O351" s="754"/>
      <c r="P351" s="754" t="s">
        <v>3043</v>
      </c>
    </row>
    <row r="352" spans="10:16" s="363" customFormat="1" ht="0.65" hidden="1" customHeight="1">
      <c r="K352" s="363">
        <v>197</v>
      </c>
      <c r="L352" s="754" t="s">
        <v>3044</v>
      </c>
      <c r="M352" s="754">
        <v>-314968.7278124998</v>
      </c>
      <c r="N352" s="754" t="s">
        <v>3285</v>
      </c>
      <c r="O352" s="754"/>
      <c r="P352" s="754" t="s">
        <v>3046</v>
      </c>
    </row>
    <row r="353" spans="11:16" s="363" customFormat="1" ht="0.65" hidden="1" customHeight="1">
      <c r="K353" s="363">
        <v>198</v>
      </c>
      <c r="L353" s="754" t="s">
        <v>3047</v>
      </c>
      <c r="M353" s="754">
        <v>0</v>
      </c>
      <c r="N353" s="754">
        <v>0</v>
      </c>
      <c r="O353" s="754"/>
      <c r="P353" s="754" t="s">
        <v>3049</v>
      </c>
    </row>
    <row r="354" spans="11:16" s="363" customFormat="1" ht="0.65" hidden="1" customHeight="1">
      <c r="K354" s="363">
        <v>199</v>
      </c>
      <c r="L354" s="754" t="s">
        <v>3050</v>
      </c>
      <c r="M354" s="754">
        <v>18220.000000000087</v>
      </c>
      <c r="N354" s="754" t="s">
        <v>3286</v>
      </c>
      <c r="O354" s="754"/>
      <c r="P354" s="754" t="s">
        <v>3032</v>
      </c>
    </row>
    <row r="355" spans="11:16" s="363" customFormat="1" ht="0.65" hidden="1" customHeight="1">
      <c r="K355" s="363">
        <v>200</v>
      </c>
      <c r="L355" s="754" t="s">
        <v>3052</v>
      </c>
      <c r="M355" s="754">
        <v>-169108.74999999965</v>
      </c>
      <c r="N355" s="754" t="s">
        <v>3287</v>
      </c>
      <c r="O355" s="754"/>
      <c r="P355" s="754" t="s">
        <v>3035</v>
      </c>
    </row>
    <row r="356" spans="11:16" s="363" customFormat="1" ht="0.65" hidden="1" customHeight="1">
      <c r="K356" s="363">
        <v>201</v>
      </c>
      <c r="L356" s="754" t="s">
        <v>3054</v>
      </c>
      <c r="M356" s="754">
        <v>-237338.62499999994</v>
      </c>
      <c r="N356" s="754" t="s">
        <v>3288</v>
      </c>
      <c r="O356" s="754"/>
      <c r="P356" s="754" t="s">
        <v>3038</v>
      </c>
    </row>
    <row r="357" spans="11:16" s="363" customFormat="1" ht="0.65" hidden="1" customHeight="1">
      <c r="K357" s="363">
        <v>202</v>
      </c>
      <c r="L357" s="754" t="s">
        <v>3056</v>
      </c>
      <c r="M357" s="754">
        <v>-298735.93125000008</v>
      </c>
      <c r="N357" s="754" t="s">
        <v>3289</v>
      </c>
      <c r="O357" s="754"/>
      <c r="P357" s="754" t="s">
        <v>3041</v>
      </c>
    </row>
    <row r="358" spans="11:16" s="363" customFormat="1" ht="0.65" hidden="1" customHeight="1">
      <c r="K358" s="363">
        <v>203</v>
      </c>
      <c r="L358" s="754" t="s">
        <v>3058</v>
      </c>
      <c r="M358" s="754">
        <v>-634039.11843749986</v>
      </c>
      <c r="N358" s="754" t="s">
        <v>3290</v>
      </c>
      <c r="O358" s="754"/>
      <c r="P358" s="754" t="s">
        <v>3060</v>
      </c>
    </row>
    <row r="359" spans="11:16" s="363" customFormat="1" ht="0.65" hidden="1" customHeight="1">
      <c r="K359" s="363">
        <v>204</v>
      </c>
      <c r="L359" s="754" t="s">
        <v>3061</v>
      </c>
      <c r="M359" s="754">
        <v>0</v>
      </c>
      <c r="N359" s="754">
        <v>0</v>
      </c>
      <c r="O359" s="754"/>
      <c r="P359" s="754">
        <v>0</v>
      </c>
    </row>
    <row r="360" spans="11:16" s="363" customFormat="1" ht="0.65" hidden="1" customHeight="1">
      <c r="K360" s="363">
        <v>205</v>
      </c>
      <c r="L360" s="754" t="s">
        <v>3062</v>
      </c>
      <c r="M360" s="754">
        <v>0</v>
      </c>
      <c r="N360" s="754">
        <v>0</v>
      </c>
      <c r="O360" s="754"/>
      <c r="P360" s="754">
        <v>0</v>
      </c>
    </row>
    <row r="361" spans="11:16" s="363" customFormat="1" ht="0.65" hidden="1" customHeight="1">
      <c r="K361" s="363">
        <v>206</v>
      </c>
      <c r="L361" s="754" t="s">
        <v>3065</v>
      </c>
      <c r="M361" s="754">
        <v>-319070.39062500006</v>
      </c>
      <c r="N361" s="754" t="s">
        <v>3291</v>
      </c>
      <c r="O361" s="754"/>
      <c r="P361" s="754" t="s">
        <v>3015</v>
      </c>
    </row>
    <row r="362" spans="11:16" s="363" customFormat="1" ht="0.65" hidden="1" customHeight="1">
      <c r="K362" s="363">
        <v>207</v>
      </c>
      <c r="L362" s="754" t="s">
        <v>3067</v>
      </c>
      <c r="M362" s="754">
        <v>-319070.39062500006</v>
      </c>
      <c r="N362" s="754" t="s">
        <v>3292</v>
      </c>
      <c r="O362" s="754"/>
      <c r="P362" s="754" t="s">
        <v>3069</v>
      </c>
    </row>
    <row r="363" spans="11:16" s="363" customFormat="1" ht="0.65" hidden="1" customHeight="1">
      <c r="K363" s="363">
        <v>208</v>
      </c>
      <c r="L363" s="754" t="s">
        <v>2870</v>
      </c>
      <c r="M363" s="754">
        <v>0.11300000000000021</v>
      </c>
      <c r="N363" s="754" t="s">
        <v>3070</v>
      </c>
      <c r="O363" s="754"/>
      <c r="P363" s="754" t="s">
        <v>3071</v>
      </c>
    </row>
    <row r="364" spans="11:16" s="363" customFormat="1" ht="0.65" hidden="1" customHeight="1">
      <c r="K364" s="363">
        <v>209</v>
      </c>
      <c r="L364" s="754" t="s">
        <v>13</v>
      </c>
      <c r="M364" s="754">
        <v>-858184.88747351978</v>
      </c>
      <c r="N364" s="754" t="s">
        <v>3293</v>
      </c>
      <c r="O364" s="754"/>
      <c r="P364" s="754" t="s">
        <v>3073</v>
      </c>
    </row>
    <row r="365" spans="11:16" s="751" customFormat="1" ht="15" hidden="1" customHeight="1"/>
    <row r="366" spans="11:16" s="750" customFormat="1" ht="15" customHeight="1"/>
    <row r="367" spans="11:16" s="750" customFormat="1" ht="15" customHeight="1"/>
  </sheetData>
  <sheetProtection algorithmName="SHA-512" hashValue="Sp/EzBhTP5/IwPdwcNFxDsXfWPFEfwgTLvq7QRFOdZZV2pzXwNfWHGj+8iOPN2Qy0gBvtJs9/BDyESHwb3YdDA==" saltValue="V9wn5JH239lkq5uOumtP4g==" spinCount="100000" sheet="1" selectLockedCells="1"/>
  <mergeCells count="9">
    <mergeCell ref="C16:D18"/>
    <mergeCell ref="H21:I23"/>
    <mergeCell ref="Q30:R32"/>
    <mergeCell ref="H35:I37"/>
    <mergeCell ref="Q47:R49"/>
    <mergeCell ref="H49:I51"/>
    <mergeCell ref="N1:P1"/>
    <mergeCell ref="H4:I6"/>
    <mergeCell ref="Q13:R15"/>
  </mergeCells>
  <conditionalFormatting sqref="H4 C16 H21 H35 N1 Q13 Q30 Q47">
    <cfRule type="expression" dxfId="57" priority="1">
      <formula>NOT($H$4="")</formula>
    </cfRule>
  </conditionalFormatting>
  <conditionalFormatting sqref="A1:A4 X51 X17:X18 X34:X35 A57:XFD370 H19">
    <cfRule type="expression" dxfId="56" priority="9">
      <formula>NOT($V$15="javi")</formula>
    </cfRule>
  </conditionalFormatting>
  <conditionalFormatting sqref="A1:XFD1048576">
    <cfRule type="expression" dxfId="55" priority="2" stopIfTrue="1">
      <formula>NOT($A$2="SI")</formula>
    </cfRule>
  </conditionalFormatting>
  <conditionalFormatting sqref="U14:W14">
    <cfRule type="expression" dxfId="54" priority="10">
      <formula>OR(NOT($X$17=0),NOT($A$1=$A$3))</formula>
    </cfRule>
  </conditionalFormatting>
  <conditionalFormatting sqref="U31:W31">
    <cfRule type="expression" dxfId="53" priority="11">
      <formula>OR(NOT($X$34=0),NOT($A$1=$A$3))</formula>
    </cfRule>
  </conditionalFormatting>
  <conditionalFormatting sqref="U48:W48">
    <cfRule type="expression" dxfId="52" priority="12">
      <formula>OR(NOT($X$51=0),NOT($A$1=$A$3))</formula>
    </cfRule>
  </conditionalFormatting>
  <conditionalFormatting sqref="N16:W16">
    <cfRule type="expression" dxfId="51" priority="8">
      <formula>NOT($O$16="")</formula>
    </cfRule>
  </conditionalFormatting>
  <conditionalFormatting sqref="N33:W33">
    <cfRule type="expression" dxfId="50" priority="7">
      <formula>NOT($O$33="")</formula>
    </cfRule>
  </conditionalFormatting>
  <conditionalFormatting sqref="N50:W50">
    <cfRule type="expression" dxfId="49" priority="6">
      <formula>NOT($O$50="")</formula>
    </cfRule>
  </conditionalFormatting>
  <conditionalFormatting sqref="P17:W17">
    <cfRule type="expression" dxfId="48" priority="5">
      <formula>NOT($P$17="")</formula>
    </cfRule>
  </conditionalFormatting>
  <conditionalFormatting sqref="P34:W34">
    <cfRule type="expression" dxfId="47" priority="4">
      <formula>NOT($P$34="")</formula>
    </cfRule>
  </conditionalFormatting>
  <conditionalFormatting sqref="P51:W51">
    <cfRule type="expression" dxfId="46" priority="3">
      <formula>NOT($P$51="")</formula>
    </cfRule>
  </conditionalFormatting>
  <conditionalFormatting sqref="L12:L15 O12 O14 Y12 Y14 L6:V10 W5:W10 Y5:Y10">
    <cfRule type="expression" dxfId="45" priority="13">
      <formula>AND($V$14="x",$X$17=0,$A$1=$A$3,L111="CORRECTO")</formula>
    </cfRule>
    <cfRule type="expression" dxfId="44" priority="14">
      <formula>AND($V$14="x",$X$17=0,$A$1=$A$3,L111="INCORRECTO")</formula>
    </cfRule>
  </conditionalFormatting>
  <conditionalFormatting sqref="L29:L32 O29 O31 L23:V27 W22:W27">
    <cfRule type="expression" dxfId="43" priority="15">
      <formula>AND($V$31="x",$X$34=0,$A$1=$A$3,L127="CORRECTO")</formula>
    </cfRule>
    <cfRule type="expression" dxfId="42" priority="16">
      <formula>AND($V$31="x",$X$34=0,$A$1=$A$3,L127="INCORRECTO")</formula>
    </cfRule>
  </conditionalFormatting>
  <conditionalFormatting sqref="L46:L49 O46 O48 W39:W44 L40:V44">
    <cfRule type="expression" dxfId="41" priority="17">
      <formula>AND($V$48="x",$X$51=0,$A$1=$A$3,L143="CORRECTO")</formula>
    </cfRule>
    <cfRule type="expression" dxfId="40" priority="18">
      <formula>AND($V$48="x",$X$51=0,$A$1=$A$3,L143="INCORRECTO")</formula>
    </cfRule>
  </conditionalFormatting>
  <pageMargins left="0.70866141732283472" right="0.70866141732283472" top="0.74803149606299213" bottom="0.74803149606299213" header="0.31496062992125984" footer="0.31496062992125984"/>
  <pageSetup paperSize="9" scale="65" orientation="landscape" r:id="rId1"/>
  <headerFooter>
    <oddHeader>&amp;CEmpresa DISVISA - Caso práctico de inversión en condiciones de certeza: Incrementalidad, FM, inflación - Autoevaluación alternativa</oddHeader>
    <oddFooter>&amp;CPágina &amp;P de &amp;N</oddFooter>
  </headerFooter>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621E-1B37-45FC-8763-4C20CAFB92C9}">
  <dimension ref="A1:AQ367"/>
  <sheetViews>
    <sheetView showGridLines="0" workbookViewId="0">
      <selection activeCell="V12" sqref="V12"/>
    </sheetView>
  </sheetViews>
  <sheetFormatPr baseColWidth="10" defaultColWidth="11.453125" defaultRowHeight="14.5"/>
  <cols>
    <col min="1" max="1" width="11.453125" style="1"/>
    <col min="2" max="2" width="18.54296875" style="1" customWidth="1"/>
    <col min="3" max="3" width="12.54296875" style="1" bestFit="1" customWidth="1"/>
    <col min="4" max="4" width="11.453125" style="1"/>
    <col min="5" max="5" width="20.453125" style="1" customWidth="1"/>
    <col min="6" max="6" width="14.1796875" style="1" customWidth="1"/>
    <col min="7" max="23" width="11.453125" style="1"/>
    <col min="24" max="24" width="12.54296875" style="1" customWidth="1"/>
    <col min="25" max="16384" width="11.453125" style="1"/>
  </cols>
  <sheetData>
    <row r="1" spans="1:43">
      <c r="A1" s="6" t="str">
        <f>'Instrucciones de uso'!$H$15</f>
        <v>contraseña</v>
      </c>
      <c r="B1" s="761" t="s">
        <v>3951</v>
      </c>
      <c r="K1" s="761" t="s">
        <v>3951</v>
      </c>
    </row>
    <row r="2" spans="1:43">
      <c r="A2" s="91" t="str">
        <f>IF(AND('Instrucciones de uso'!$J$14="x",'Instrucciones de uso'!$I$33="SI"),"SI","NO")</f>
        <v>NO</v>
      </c>
      <c r="B2" s="783" t="s">
        <v>2850</v>
      </c>
      <c r="C2" s="783"/>
      <c r="D2" s="783"/>
      <c r="E2" s="783"/>
      <c r="F2" s="783"/>
      <c r="G2" s="783"/>
      <c r="H2" s="783"/>
      <c r="I2" s="783"/>
      <c r="K2" s="156" t="s">
        <v>2851</v>
      </c>
      <c r="L2" s="762"/>
      <c r="M2" s="762"/>
      <c r="N2" s="762"/>
      <c r="O2" s="762"/>
      <c r="P2" s="762"/>
      <c r="Q2" s="762"/>
      <c r="R2" s="762"/>
      <c r="S2" s="762"/>
      <c r="T2" s="762"/>
      <c r="U2" s="762"/>
      <c r="V2" s="762"/>
      <c r="W2" s="763" t="s">
        <v>2638</v>
      </c>
      <c r="Y2" s="763" t="s">
        <v>2639</v>
      </c>
      <c r="AC2" s="386"/>
      <c r="AD2" s="386"/>
      <c r="AE2" s="386"/>
      <c r="AF2" s="386"/>
      <c r="AG2" s="386"/>
      <c r="AH2" s="386"/>
      <c r="AI2" s="386"/>
      <c r="AJ2" s="386"/>
      <c r="AK2" s="386"/>
      <c r="AL2" s="386"/>
      <c r="AM2" s="386"/>
      <c r="AN2" s="386"/>
      <c r="AO2" s="386"/>
      <c r="AP2" s="386"/>
      <c r="AQ2" s="386"/>
    </row>
    <row r="3" spans="1:43">
      <c r="A3" s="6" t="str">
        <f>'Instrucciones de uso'!$J$15</f>
        <v>contraseña</v>
      </c>
      <c r="B3" s="764"/>
      <c r="C3" s="764"/>
      <c r="D3" s="764"/>
      <c r="E3" s="764"/>
      <c r="F3" s="764"/>
      <c r="G3" s="764"/>
      <c r="H3" s="764"/>
      <c r="I3" s="764"/>
      <c r="L3" s="765" t="s">
        <v>55</v>
      </c>
      <c r="M3" s="765" t="s">
        <v>55</v>
      </c>
      <c r="N3" s="765" t="s">
        <v>55</v>
      </c>
      <c r="O3" s="765" t="s">
        <v>55</v>
      </c>
      <c r="P3" s="765" t="s">
        <v>55</v>
      </c>
      <c r="Q3" s="765" t="s">
        <v>55</v>
      </c>
      <c r="R3" s="765" t="s">
        <v>55</v>
      </c>
      <c r="S3" s="765" t="s">
        <v>55</v>
      </c>
      <c r="T3" s="765" t="s">
        <v>55</v>
      </c>
      <c r="U3" s="765" t="s">
        <v>55</v>
      </c>
      <c r="V3" s="765" t="s">
        <v>55</v>
      </c>
      <c r="W3" s="765" t="s">
        <v>55</v>
      </c>
      <c r="Y3" s="6"/>
      <c r="AC3" s="386"/>
      <c r="AD3" s="386"/>
      <c r="AE3" s="386"/>
      <c r="AF3" s="386"/>
      <c r="AG3" s="386"/>
      <c r="AH3" s="386"/>
      <c r="AI3" s="386"/>
      <c r="AJ3" s="386"/>
      <c r="AK3" s="386"/>
      <c r="AL3" s="386"/>
      <c r="AM3" s="386"/>
      <c r="AN3" s="386"/>
      <c r="AO3" s="386"/>
      <c r="AP3" s="386"/>
      <c r="AQ3" s="386"/>
    </row>
    <row r="4" spans="1:43">
      <c r="A4" s="766">
        <v>0.05</v>
      </c>
      <c r="B4" s="156" t="s">
        <v>2852</v>
      </c>
      <c r="C4" s="156"/>
      <c r="D4" s="764"/>
      <c r="E4" s="156" t="s">
        <v>2853</v>
      </c>
      <c r="F4" s="156"/>
      <c r="G4" s="764"/>
      <c r="H4" s="764"/>
      <c r="I4" s="764"/>
      <c r="K4" s="668" t="s">
        <v>0</v>
      </c>
      <c r="L4" s="668" t="s">
        <v>2885</v>
      </c>
      <c r="M4" s="668" t="s">
        <v>2855</v>
      </c>
      <c r="N4" s="668" t="s">
        <v>2856</v>
      </c>
      <c r="O4" s="668" t="s">
        <v>71</v>
      </c>
      <c r="P4" s="668" t="s">
        <v>72</v>
      </c>
      <c r="Q4" s="668" t="s">
        <v>2857</v>
      </c>
      <c r="R4" s="668" t="s">
        <v>74</v>
      </c>
      <c r="S4" s="668" t="s">
        <v>2858</v>
      </c>
      <c r="T4" s="668" t="s">
        <v>2859</v>
      </c>
      <c r="U4" s="668" t="s">
        <v>2860</v>
      </c>
      <c r="V4" s="668" t="s">
        <v>2861</v>
      </c>
      <c r="W4" s="668" t="s">
        <v>2862</v>
      </c>
      <c r="Y4" s="692" t="s">
        <v>2862</v>
      </c>
      <c r="AC4" s="386"/>
      <c r="AD4" s="386"/>
      <c r="AE4" s="386"/>
      <c r="AF4" s="386"/>
      <c r="AG4" s="386"/>
      <c r="AH4" s="386"/>
      <c r="AI4" s="386"/>
      <c r="AJ4" s="386"/>
      <c r="AK4" s="386"/>
      <c r="AL4" s="386"/>
      <c r="AM4" s="386"/>
      <c r="AN4" s="386"/>
      <c r="AO4" s="386"/>
      <c r="AP4" s="386"/>
      <c r="AQ4" s="386"/>
    </row>
    <row r="5" spans="1:43">
      <c r="B5" s="17"/>
      <c r="C5" s="17"/>
      <c r="D5" s="764"/>
      <c r="E5" s="767"/>
      <c r="F5" s="767"/>
      <c r="G5" s="764"/>
      <c r="H5" s="764"/>
      <c r="I5" s="764"/>
      <c r="K5" s="668">
        <v>2022</v>
      </c>
      <c r="L5" s="768" t="s">
        <v>2651</v>
      </c>
      <c r="M5" s="768" t="s">
        <v>2651</v>
      </c>
      <c r="N5" s="768" t="s">
        <v>2651</v>
      </c>
      <c r="O5" s="768" t="s">
        <v>2651</v>
      </c>
      <c r="P5" s="768" t="s">
        <v>2651</v>
      </c>
      <c r="Q5" s="768" t="s">
        <v>2651</v>
      </c>
      <c r="R5" s="768" t="s">
        <v>2651</v>
      </c>
      <c r="S5" s="768" t="s">
        <v>2651</v>
      </c>
      <c r="T5" s="768" t="s">
        <v>2651</v>
      </c>
      <c r="U5" s="768" t="s">
        <v>2651</v>
      </c>
      <c r="V5" s="768" t="s">
        <v>2651</v>
      </c>
      <c r="W5" s="769">
        <v>-250000</v>
      </c>
      <c r="Y5" s="769">
        <v>-250000</v>
      </c>
      <c r="AC5" s="386"/>
      <c r="AD5" s="386"/>
      <c r="AE5" s="386"/>
      <c r="AF5" s="386"/>
      <c r="AG5" s="386"/>
      <c r="AH5" s="386"/>
      <c r="AI5" s="386"/>
      <c r="AJ5" s="386"/>
      <c r="AK5" s="386"/>
      <c r="AL5" s="386"/>
      <c r="AM5" s="386"/>
      <c r="AN5" s="386"/>
      <c r="AO5" s="386"/>
      <c r="AP5" s="386"/>
      <c r="AQ5" s="386"/>
    </row>
    <row r="6" spans="1:43">
      <c r="B6" s="17" t="s">
        <v>2863</v>
      </c>
      <c r="C6" s="770">
        <v>250000</v>
      </c>
      <c r="D6" s="764"/>
      <c r="E6" s="771" t="s">
        <v>2832</v>
      </c>
      <c r="F6" s="771" t="s">
        <v>2864</v>
      </c>
      <c r="G6" s="764"/>
      <c r="H6" s="764"/>
      <c r="I6" s="764"/>
      <c r="K6" s="668">
        <v>2023</v>
      </c>
      <c r="L6" s="769">
        <v>2100000</v>
      </c>
      <c r="M6" s="769">
        <v>1802500</v>
      </c>
      <c r="N6" s="769">
        <v>297500</v>
      </c>
      <c r="O6" s="769">
        <v>25000</v>
      </c>
      <c r="P6" s="769">
        <v>272500</v>
      </c>
      <c r="Q6" s="769">
        <v>76300</v>
      </c>
      <c r="R6" s="769">
        <v>196200</v>
      </c>
      <c r="S6" s="769">
        <v>221200</v>
      </c>
      <c r="T6" s="769">
        <v>175000</v>
      </c>
      <c r="U6" s="769">
        <v>175000</v>
      </c>
      <c r="V6" s="769">
        <v>46200</v>
      </c>
      <c r="W6" s="769">
        <v>46200</v>
      </c>
      <c r="Y6" s="769">
        <v>44000</v>
      </c>
      <c r="AC6" s="386"/>
      <c r="AD6" s="386"/>
      <c r="AE6" s="386"/>
      <c r="AF6" s="386"/>
      <c r="AG6" s="386"/>
      <c r="AH6" s="386"/>
      <c r="AI6" s="386"/>
      <c r="AJ6" s="386"/>
      <c r="AK6" s="386"/>
      <c r="AL6" s="386"/>
      <c r="AM6" s="386"/>
      <c r="AN6" s="386"/>
      <c r="AO6" s="386"/>
      <c r="AP6" s="386"/>
      <c r="AQ6" s="386"/>
    </row>
    <row r="7" spans="1:43">
      <c r="B7" s="17" t="s">
        <v>2865</v>
      </c>
      <c r="C7" s="770">
        <v>200000</v>
      </c>
      <c r="D7" s="764"/>
      <c r="E7" s="772">
        <v>2023</v>
      </c>
      <c r="F7" s="773">
        <v>2000000</v>
      </c>
      <c r="G7" s="764"/>
      <c r="H7" s="764"/>
      <c r="I7" s="764"/>
      <c r="K7" s="668">
        <v>2024</v>
      </c>
      <c r="L7" s="769">
        <v>2756250</v>
      </c>
      <c r="M7" s="769">
        <v>2352000</v>
      </c>
      <c r="N7" s="769">
        <v>404250</v>
      </c>
      <c r="O7" s="769">
        <v>25000</v>
      </c>
      <c r="P7" s="769">
        <v>379250</v>
      </c>
      <c r="Q7" s="769">
        <v>106190.00000000001</v>
      </c>
      <c r="R7" s="769">
        <v>273060</v>
      </c>
      <c r="S7" s="769">
        <v>298060</v>
      </c>
      <c r="T7" s="769">
        <v>229687.5</v>
      </c>
      <c r="U7" s="769">
        <v>54687.5</v>
      </c>
      <c r="V7" s="769">
        <v>243372.5</v>
      </c>
      <c r="W7" s="769">
        <v>243372.5</v>
      </c>
      <c r="Y7" s="769">
        <v>220746.03174603175</v>
      </c>
      <c r="AC7" s="386"/>
      <c r="AD7" s="386"/>
      <c r="AE7" s="386"/>
      <c r="AF7" s="386"/>
      <c r="AG7" s="386"/>
      <c r="AH7" s="386"/>
      <c r="AI7" s="386"/>
      <c r="AJ7" s="386"/>
      <c r="AK7" s="386"/>
      <c r="AL7" s="386"/>
      <c r="AM7" s="386"/>
      <c r="AN7" s="386"/>
      <c r="AO7" s="386"/>
      <c r="AP7" s="386"/>
      <c r="AQ7" s="386"/>
    </row>
    <row r="8" spans="1:43">
      <c r="B8" s="17" t="s">
        <v>2866</v>
      </c>
      <c r="C8" s="770">
        <v>10</v>
      </c>
      <c r="D8" s="764"/>
      <c r="E8" s="774">
        <v>2024</v>
      </c>
      <c r="F8" s="775">
        <v>2500000</v>
      </c>
      <c r="G8" s="764"/>
      <c r="H8" s="764"/>
      <c r="I8" s="764"/>
      <c r="K8" s="668">
        <v>2025</v>
      </c>
      <c r="L8" s="769">
        <v>3472875.0000000005</v>
      </c>
      <c r="M8" s="769">
        <v>2951943.7500000005</v>
      </c>
      <c r="N8" s="769">
        <v>520931.25</v>
      </c>
      <c r="O8" s="769">
        <v>25000</v>
      </c>
      <c r="P8" s="769">
        <v>495931.25</v>
      </c>
      <c r="Q8" s="769">
        <v>138860.75</v>
      </c>
      <c r="R8" s="769">
        <v>357070.5</v>
      </c>
      <c r="S8" s="769">
        <v>382070.5</v>
      </c>
      <c r="T8" s="769">
        <v>289406.25000000006</v>
      </c>
      <c r="U8" s="769">
        <v>59718.750000000058</v>
      </c>
      <c r="V8" s="769">
        <v>322351.74999999994</v>
      </c>
      <c r="W8" s="769">
        <v>322351.74999999994</v>
      </c>
      <c r="Y8" s="769">
        <v>278459.56160241866</v>
      </c>
      <c r="AC8" s="386"/>
      <c r="AD8" s="386"/>
      <c r="AE8" s="386"/>
      <c r="AF8" s="386"/>
      <c r="AG8" s="386"/>
      <c r="AH8" s="386"/>
      <c r="AI8" s="386"/>
      <c r="AJ8" s="386"/>
      <c r="AK8" s="386"/>
      <c r="AL8" s="386"/>
      <c r="AM8" s="386"/>
      <c r="AN8" s="386"/>
      <c r="AO8" s="386"/>
      <c r="AP8" s="386"/>
      <c r="AQ8" s="386"/>
    </row>
    <row r="9" spans="1:43">
      <c r="B9" s="17"/>
      <c r="C9" s="17"/>
      <c r="D9" s="764"/>
      <c r="E9" s="774">
        <v>2025</v>
      </c>
      <c r="F9" s="775">
        <v>3000000</v>
      </c>
      <c r="G9" s="764"/>
      <c r="H9" s="764"/>
      <c r="I9" s="764"/>
      <c r="K9" s="668">
        <v>2026</v>
      </c>
      <c r="L9" s="769">
        <v>3646518.75</v>
      </c>
      <c r="M9" s="769">
        <v>3099540.9375</v>
      </c>
      <c r="N9" s="769">
        <v>546977.8125</v>
      </c>
      <c r="O9" s="769">
        <v>25000</v>
      </c>
      <c r="P9" s="769">
        <v>521977.8125</v>
      </c>
      <c r="Q9" s="769">
        <v>146153.78750000001</v>
      </c>
      <c r="R9" s="769">
        <v>375824.02500000002</v>
      </c>
      <c r="S9" s="769">
        <v>400824.02500000002</v>
      </c>
      <c r="T9" s="769">
        <v>303876.5625</v>
      </c>
      <c r="U9" s="769">
        <v>14470.312499999942</v>
      </c>
      <c r="V9" s="769">
        <v>386353.71250000008</v>
      </c>
      <c r="W9" s="769">
        <v>386353.71250000008</v>
      </c>
      <c r="Y9" s="769">
        <v>317854.15541878133</v>
      </c>
      <c r="AC9" s="386"/>
      <c r="AD9" s="386"/>
      <c r="AE9" s="386"/>
      <c r="AF9" s="386"/>
      <c r="AG9" s="386"/>
      <c r="AH9" s="386"/>
      <c r="AI9" s="386"/>
      <c r="AJ9" s="386"/>
      <c r="AK9" s="386"/>
      <c r="AL9" s="386"/>
      <c r="AM9" s="386"/>
      <c r="AN9" s="386"/>
      <c r="AO9" s="386"/>
      <c r="AP9" s="386"/>
      <c r="AQ9" s="386"/>
    </row>
    <row r="10" spans="1:43">
      <c r="B10" s="17"/>
      <c r="C10" s="17"/>
      <c r="D10" s="764"/>
      <c r="E10" s="774">
        <v>2026</v>
      </c>
      <c r="F10" s="775">
        <v>3000000</v>
      </c>
      <c r="G10" s="764"/>
      <c r="H10" s="156" t="s">
        <v>2867</v>
      </c>
      <c r="I10" s="156"/>
      <c r="K10" s="668">
        <v>2027</v>
      </c>
      <c r="L10" s="769">
        <v>3828844.6875000005</v>
      </c>
      <c r="M10" s="769">
        <v>3254517.9843750005</v>
      </c>
      <c r="N10" s="769">
        <v>574326.703125</v>
      </c>
      <c r="O10" s="769">
        <v>25000</v>
      </c>
      <c r="P10" s="769">
        <v>549326.703125</v>
      </c>
      <c r="Q10" s="769">
        <v>153811.47687500002</v>
      </c>
      <c r="R10" s="769">
        <v>395515.22624999995</v>
      </c>
      <c r="S10" s="769">
        <v>420515.22624999995</v>
      </c>
      <c r="T10" s="769">
        <v>319070.39062500006</v>
      </c>
      <c r="U10" s="769">
        <v>15193.828125000058</v>
      </c>
      <c r="V10" s="769">
        <v>405321.39812499989</v>
      </c>
      <c r="W10" s="769">
        <v>903391.78874999995</v>
      </c>
      <c r="Y10" s="769">
        <v>707831.10505837132</v>
      </c>
      <c r="AC10" s="386"/>
      <c r="AD10" s="386"/>
      <c r="AE10" s="386"/>
      <c r="AF10" s="386"/>
      <c r="AG10" s="386"/>
      <c r="AH10" s="386"/>
      <c r="AI10" s="386"/>
      <c r="AJ10" s="386"/>
      <c r="AK10" s="386"/>
      <c r="AL10" s="386"/>
      <c r="AM10" s="386"/>
      <c r="AN10" s="386"/>
      <c r="AO10" s="386"/>
      <c r="AP10" s="386"/>
      <c r="AQ10" s="386"/>
    </row>
    <row r="11" spans="1:43">
      <c r="B11" s="17"/>
      <c r="C11" s="17"/>
      <c r="D11" s="764"/>
      <c r="E11" s="776">
        <v>2027</v>
      </c>
      <c r="F11" s="777">
        <v>3000000</v>
      </c>
      <c r="G11" s="764"/>
      <c r="H11" s="778"/>
      <c r="I11" s="778"/>
      <c r="AC11" s="386"/>
      <c r="AD11" s="386"/>
      <c r="AE11" s="386"/>
      <c r="AF11" s="386"/>
      <c r="AG11" s="386"/>
      <c r="AH11" s="386"/>
      <c r="AI11" s="386"/>
      <c r="AJ11" s="386"/>
      <c r="AK11" s="386"/>
      <c r="AL11" s="386"/>
      <c r="AM11" s="386"/>
      <c r="AN11" s="386"/>
      <c r="AO11" s="386"/>
      <c r="AP11" s="386"/>
      <c r="AQ11" s="386"/>
    </row>
    <row r="12" spans="1:43">
      <c r="B12" s="17"/>
      <c r="C12" s="17"/>
      <c r="D12" s="764"/>
      <c r="E12" s="767"/>
      <c r="F12" s="767"/>
      <c r="G12" s="764"/>
      <c r="H12" s="778" t="s">
        <v>2868</v>
      </c>
      <c r="I12" s="779">
        <v>2022</v>
      </c>
      <c r="K12" s="780" t="s">
        <v>2869</v>
      </c>
      <c r="L12" s="781">
        <v>250000</v>
      </c>
      <c r="M12" s="765" t="s">
        <v>55</v>
      </c>
      <c r="N12" s="106" t="s">
        <v>2870</v>
      </c>
      <c r="O12" s="782">
        <v>0.11300000000000021</v>
      </c>
      <c r="P12" s="765" t="s">
        <v>55</v>
      </c>
      <c r="Q12" s="805"/>
      <c r="R12" s="805"/>
      <c r="S12" s="805"/>
      <c r="T12" s="805"/>
      <c r="U12" s="784" t="s">
        <v>2871</v>
      </c>
      <c r="V12" s="715"/>
      <c r="W12" s="765" t="str">
        <f>IF(V12="","",IF(NOT(ISNUMBER(V12)),"ERROR",IF(AND(INT(V12)=V12,V12&gt;=1,V12&lt;=75),"","ERROR")))</f>
        <v/>
      </c>
      <c r="X12" s="106" t="s">
        <v>2872</v>
      </c>
      <c r="Y12" s="782">
        <v>0.06</v>
      </c>
      <c r="AC12" s="386"/>
      <c r="AD12" s="386"/>
      <c r="AE12" s="386"/>
      <c r="AF12" s="386"/>
      <c r="AG12" s="386"/>
      <c r="AH12" s="386"/>
      <c r="AI12" s="386"/>
      <c r="AJ12" s="386"/>
      <c r="AK12" s="386"/>
      <c r="AL12" s="386"/>
      <c r="AM12" s="386"/>
      <c r="AN12" s="386"/>
      <c r="AO12" s="386"/>
      <c r="AP12" s="386"/>
      <c r="AQ12" s="386"/>
    </row>
    <row r="13" spans="1:43">
      <c r="B13" s="156" t="s">
        <v>2873</v>
      </c>
      <c r="C13" s="156"/>
      <c r="D13" s="764"/>
      <c r="E13" s="785" t="s">
        <v>2874</v>
      </c>
      <c r="F13" s="786">
        <v>50000</v>
      </c>
      <c r="G13" s="764"/>
      <c r="H13" s="778"/>
      <c r="I13" s="778"/>
      <c r="K13" s="787" t="s">
        <v>2875</v>
      </c>
      <c r="L13" s="781">
        <v>179000</v>
      </c>
      <c r="M13" s="765" t="s">
        <v>55</v>
      </c>
      <c r="O13" s="6"/>
      <c r="V13" s="733"/>
      <c r="Y13" s="6"/>
      <c r="AC13" s="386"/>
      <c r="AD13" s="386"/>
      <c r="AE13" s="386"/>
      <c r="AF13" s="386"/>
      <c r="AG13" s="386"/>
      <c r="AH13" s="386"/>
      <c r="AI13" s="386"/>
      <c r="AJ13" s="386"/>
      <c r="AK13" s="386"/>
      <c r="AL13" s="386"/>
      <c r="AM13" s="386"/>
      <c r="AN13" s="386"/>
      <c r="AO13" s="386"/>
      <c r="AP13" s="386"/>
      <c r="AQ13" s="386"/>
    </row>
    <row r="14" spans="1:43">
      <c r="B14" s="788"/>
      <c r="C14" s="788"/>
      <c r="D14" s="764"/>
      <c r="E14" s="767" t="s">
        <v>2876</v>
      </c>
      <c r="F14" s="789">
        <v>0.2</v>
      </c>
      <c r="G14" s="764"/>
      <c r="H14" s="778" t="s">
        <v>2630</v>
      </c>
      <c r="I14" s="790">
        <v>0.05</v>
      </c>
      <c r="K14" s="787" t="s">
        <v>2877</v>
      </c>
      <c r="L14" s="781">
        <v>319070.39062500006</v>
      </c>
      <c r="M14" s="765" t="s">
        <v>55</v>
      </c>
      <c r="N14" s="106" t="s">
        <v>13</v>
      </c>
      <c r="O14" s="781">
        <v>1002475.4744343841</v>
      </c>
      <c r="P14" s="765" t="s">
        <v>55</v>
      </c>
      <c r="X14" s="106" t="s">
        <v>13</v>
      </c>
      <c r="Y14" s="781">
        <v>1002475.4744343846</v>
      </c>
      <c r="AC14" s="386"/>
      <c r="AD14" s="386"/>
      <c r="AE14" s="386"/>
      <c r="AF14" s="386"/>
      <c r="AG14" s="386"/>
      <c r="AH14" s="386"/>
      <c r="AI14" s="386"/>
      <c r="AJ14" s="386"/>
      <c r="AK14" s="386"/>
      <c r="AL14" s="386"/>
      <c r="AM14" s="386"/>
      <c r="AN14" s="386"/>
      <c r="AO14" s="386"/>
      <c r="AP14" s="386"/>
      <c r="AQ14" s="386"/>
    </row>
    <row r="15" spans="1:43">
      <c r="B15" s="788" t="s">
        <v>2879</v>
      </c>
      <c r="C15" s="791">
        <v>3000</v>
      </c>
      <c r="D15" s="764"/>
      <c r="E15" s="767" t="s">
        <v>2880</v>
      </c>
      <c r="F15" s="786">
        <v>30</v>
      </c>
      <c r="G15" s="764"/>
      <c r="H15" s="778" t="s">
        <v>2881</v>
      </c>
      <c r="I15" s="792">
        <v>5</v>
      </c>
      <c r="K15" s="787" t="s">
        <v>2882</v>
      </c>
      <c r="L15" s="781">
        <v>498070.39062500006</v>
      </c>
      <c r="M15" s="765" t="s">
        <v>55</v>
      </c>
      <c r="AC15" s="386"/>
      <c r="AD15" s="386"/>
      <c r="AE15" s="386"/>
      <c r="AF15" s="386"/>
      <c r="AG15" s="386"/>
      <c r="AH15" s="386"/>
      <c r="AI15" s="386"/>
      <c r="AJ15" s="386"/>
      <c r="AK15" s="386"/>
      <c r="AL15" s="386"/>
      <c r="AM15" s="386"/>
      <c r="AN15" s="386"/>
      <c r="AO15" s="386"/>
      <c r="AP15" s="386"/>
      <c r="AQ15" s="386"/>
    </row>
    <row r="16" spans="1:43">
      <c r="B16" s="764"/>
      <c r="C16" s="764"/>
      <c r="D16" s="764"/>
      <c r="E16" s="764"/>
      <c r="F16" s="764"/>
      <c r="G16" s="764"/>
      <c r="H16" s="778"/>
      <c r="I16" s="778"/>
      <c r="O16" s="8" t="str">
        <f>IF(AND(NOT(V12=""),W12=""),CONCATENATE(VLOOKUP(V12,$K$156:$P$364,2,FALSE)),"")</f>
        <v/>
      </c>
      <c r="P16" s="813" t="str">
        <f>IF(AND(NOT(V12=""),W12=""),CONCATENATE("=",VLOOKUP(V12,$K$156:$P$364,6,FALSE)),"")</f>
        <v/>
      </c>
      <c r="AC16" s="386"/>
      <c r="AD16" s="386"/>
      <c r="AE16" s="386"/>
      <c r="AF16" s="386"/>
      <c r="AG16" s="386"/>
      <c r="AH16" s="386"/>
      <c r="AI16" s="386"/>
      <c r="AJ16" s="386"/>
      <c r="AK16" s="386"/>
      <c r="AL16" s="386"/>
      <c r="AM16" s="386"/>
      <c r="AN16" s="386"/>
      <c r="AO16" s="386"/>
      <c r="AP16" s="386"/>
      <c r="AQ16" s="386"/>
    </row>
    <row r="17" spans="2:43">
      <c r="B17" s="764"/>
      <c r="C17" s="764"/>
      <c r="D17" s="764"/>
      <c r="E17" s="764"/>
      <c r="F17" s="764"/>
      <c r="G17" s="764"/>
      <c r="H17" s="778" t="s">
        <v>4</v>
      </c>
      <c r="I17" s="790">
        <v>0.28000000000000003</v>
      </c>
      <c r="P17" s="813" t="str">
        <f>IF(AND(NOT(V12=""),W12=""),CONCATENATE("=",VLOOKUP(V12,$K$156:$P$364,4,FALSE)),"")</f>
        <v/>
      </c>
      <c r="AC17" s="386"/>
      <c r="AD17" s="386"/>
      <c r="AE17" s="386"/>
      <c r="AF17" s="386"/>
      <c r="AG17" s="386"/>
      <c r="AH17" s="386"/>
      <c r="AI17" s="386"/>
      <c r="AJ17" s="386"/>
      <c r="AK17" s="386"/>
      <c r="AL17" s="386"/>
      <c r="AM17" s="386"/>
      <c r="AN17" s="386"/>
      <c r="AO17" s="386"/>
      <c r="AP17" s="386"/>
      <c r="AQ17" s="386"/>
    </row>
    <row r="18" spans="2:43">
      <c r="B18" s="764"/>
      <c r="C18" s="764"/>
      <c r="D18" s="764"/>
      <c r="E18" s="764"/>
      <c r="F18" s="764"/>
      <c r="G18" s="764"/>
      <c r="H18" s="778" t="s">
        <v>2635</v>
      </c>
      <c r="I18" s="790">
        <v>0.06</v>
      </c>
      <c r="P18" s="813"/>
      <c r="AC18" s="386"/>
      <c r="AD18" s="386"/>
      <c r="AE18" s="386"/>
      <c r="AF18" s="386"/>
      <c r="AG18" s="386"/>
      <c r="AH18" s="386"/>
      <c r="AI18" s="386"/>
      <c r="AJ18" s="386"/>
      <c r="AK18" s="386"/>
      <c r="AL18" s="386"/>
      <c r="AM18" s="386"/>
      <c r="AN18" s="386"/>
      <c r="AO18" s="386"/>
      <c r="AP18" s="386"/>
      <c r="AQ18" s="386"/>
    </row>
    <row r="19" spans="2:43">
      <c r="B19" s="156" t="s">
        <v>2883</v>
      </c>
      <c r="C19" s="156"/>
      <c r="D19" s="156"/>
      <c r="E19" s="156"/>
      <c r="F19" s="156"/>
      <c r="G19" s="764"/>
      <c r="H19" s="764"/>
      <c r="I19" s="764"/>
      <c r="K19" s="156" t="s">
        <v>3294</v>
      </c>
      <c r="L19" s="762"/>
      <c r="M19" s="762"/>
      <c r="N19" s="762"/>
      <c r="O19" s="762"/>
      <c r="P19" s="762"/>
      <c r="Q19" s="762"/>
      <c r="R19" s="762"/>
      <c r="S19" s="762"/>
      <c r="T19" s="762"/>
      <c r="U19" s="762"/>
      <c r="V19" s="762"/>
      <c r="W19" s="763" t="s">
        <v>2638</v>
      </c>
      <c r="AC19" s="386"/>
      <c r="AD19" s="386"/>
      <c r="AE19" s="386"/>
      <c r="AF19" s="386"/>
      <c r="AG19" s="386"/>
      <c r="AH19" s="386"/>
      <c r="AI19" s="386"/>
      <c r="AJ19" s="386"/>
      <c r="AK19" s="386"/>
      <c r="AL19" s="386"/>
      <c r="AM19" s="386"/>
      <c r="AN19" s="386"/>
      <c r="AO19" s="386"/>
      <c r="AP19" s="386"/>
      <c r="AQ19" s="386"/>
    </row>
    <row r="20" spans="2:43">
      <c r="B20" s="794"/>
      <c r="C20" s="794"/>
      <c r="D20" s="794"/>
      <c r="E20" s="794"/>
      <c r="F20" s="794"/>
      <c r="G20" s="764"/>
      <c r="H20" s="764"/>
      <c r="I20" s="764"/>
      <c r="L20" s="765" t="s">
        <v>55</v>
      </c>
      <c r="M20" s="765" t="s">
        <v>55</v>
      </c>
      <c r="N20" s="765" t="s">
        <v>55</v>
      </c>
      <c r="O20" s="765" t="s">
        <v>55</v>
      </c>
      <c r="P20" s="765" t="s">
        <v>55</v>
      </c>
      <c r="Q20" s="765" t="s">
        <v>55</v>
      </c>
      <c r="R20" s="765" t="s">
        <v>55</v>
      </c>
      <c r="S20" s="765" t="s">
        <v>55</v>
      </c>
      <c r="T20" s="765" t="s">
        <v>55</v>
      </c>
      <c r="U20" s="765" t="s">
        <v>55</v>
      </c>
      <c r="V20" s="765" t="s">
        <v>55</v>
      </c>
      <c r="W20" s="765" t="s">
        <v>55</v>
      </c>
      <c r="AC20" s="386"/>
      <c r="AD20" s="386"/>
      <c r="AE20" s="386"/>
      <c r="AF20" s="386"/>
      <c r="AG20" s="386"/>
      <c r="AH20" s="386"/>
      <c r="AI20" s="386"/>
      <c r="AJ20" s="386"/>
      <c r="AK20" s="386"/>
      <c r="AL20" s="386"/>
      <c r="AM20" s="386"/>
      <c r="AN20" s="386"/>
      <c r="AO20" s="386"/>
      <c r="AP20" s="386"/>
      <c r="AQ20" s="386"/>
    </row>
    <row r="21" spans="2:43">
      <c r="B21" s="794" t="s">
        <v>2863</v>
      </c>
      <c r="C21" s="795">
        <v>0</v>
      </c>
      <c r="D21" s="794"/>
      <c r="E21" s="796" t="s">
        <v>2832</v>
      </c>
      <c r="F21" s="796" t="s">
        <v>2864</v>
      </c>
      <c r="G21" s="764"/>
      <c r="H21" s="764"/>
      <c r="I21" s="764"/>
      <c r="K21" s="668" t="s">
        <v>0</v>
      </c>
      <c r="L21" s="668" t="s">
        <v>2885</v>
      </c>
      <c r="M21" s="668" t="s">
        <v>2855</v>
      </c>
      <c r="N21" s="668" t="s">
        <v>2856</v>
      </c>
      <c r="O21" s="668" t="s">
        <v>71</v>
      </c>
      <c r="P21" s="668" t="s">
        <v>72</v>
      </c>
      <c r="Q21" s="668" t="s">
        <v>2857</v>
      </c>
      <c r="R21" s="668" t="s">
        <v>74</v>
      </c>
      <c r="S21" s="668" t="s">
        <v>2858</v>
      </c>
      <c r="T21" s="668" t="s">
        <v>2859</v>
      </c>
      <c r="U21" s="668" t="s">
        <v>2860</v>
      </c>
      <c r="V21" s="668" t="s">
        <v>2861</v>
      </c>
      <c r="W21" s="668" t="s">
        <v>2862</v>
      </c>
      <c r="AC21" s="386"/>
      <c r="AD21" s="386"/>
      <c r="AE21" s="386"/>
      <c r="AF21" s="386"/>
      <c r="AG21" s="386"/>
      <c r="AH21" s="386"/>
      <c r="AI21" s="386"/>
      <c r="AJ21" s="386"/>
      <c r="AK21" s="386"/>
      <c r="AL21" s="386"/>
      <c r="AM21" s="386"/>
      <c r="AN21" s="386"/>
      <c r="AO21" s="386"/>
      <c r="AP21" s="386"/>
      <c r="AQ21" s="386"/>
    </row>
    <row r="22" spans="2:43">
      <c r="B22" s="794" t="s">
        <v>2886</v>
      </c>
      <c r="C22" s="795">
        <v>0</v>
      </c>
      <c r="D22" s="794"/>
      <c r="E22" s="797">
        <v>2023</v>
      </c>
      <c r="F22" s="798">
        <v>875000.00000000012</v>
      </c>
      <c r="G22" s="764"/>
      <c r="H22" s="764"/>
      <c r="I22" s="764"/>
      <c r="K22" s="668">
        <v>2022</v>
      </c>
      <c r="L22" s="768" t="s">
        <v>2651</v>
      </c>
      <c r="M22" s="768" t="s">
        <v>2651</v>
      </c>
      <c r="N22" s="768" t="s">
        <v>2651</v>
      </c>
      <c r="O22" s="768" t="s">
        <v>2651</v>
      </c>
      <c r="P22" s="768" t="s">
        <v>2651</v>
      </c>
      <c r="Q22" s="768" t="s">
        <v>2651</v>
      </c>
      <c r="R22" s="768" t="s">
        <v>2651</v>
      </c>
      <c r="S22" s="768" t="s">
        <v>2651</v>
      </c>
      <c r="T22" s="768" t="s">
        <v>2651</v>
      </c>
      <c r="U22" s="768" t="s">
        <v>2651</v>
      </c>
      <c r="V22" s="768" t="s">
        <v>2651</v>
      </c>
      <c r="W22" s="769">
        <v>250000</v>
      </c>
      <c r="AC22" s="386"/>
      <c r="AD22" s="386"/>
      <c r="AE22" s="386"/>
      <c r="AF22" s="386"/>
      <c r="AG22" s="386"/>
      <c r="AH22" s="386"/>
      <c r="AI22" s="386"/>
      <c r="AJ22" s="386"/>
      <c r="AK22" s="386"/>
      <c r="AL22" s="386"/>
      <c r="AM22" s="386"/>
      <c r="AN22" s="386"/>
      <c r="AO22" s="386"/>
      <c r="AP22" s="386"/>
      <c r="AQ22" s="386"/>
    </row>
    <row r="23" spans="2:43">
      <c r="B23" s="794" t="s">
        <v>2887</v>
      </c>
      <c r="C23" s="795">
        <v>0</v>
      </c>
      <c r="D23" s="794"/>
      <c r="E23" s="799">
        <v>2024</v>
      </c>
      <c r="F23" s="800">
        <v>1093750.0000000002</v>
      </c>
      <c r="G23" s="764"/>
      <c r="H23" s="764"/>
      <c r="I23" s="764"/>
      <c r="K23" s="668">
        <v>2023</v>
      </c>
      <c r="L23" s="769">
        <v>0</v>
      </c>
      <c r="M23" s="769">
        <v>36000</v>
      </c>
      <c r="N23" s="769">
        <v>-36000</v>
      </c>
      <c r="O23" s="769">
        <v>-25000</v>
      </c>
      <c r="P23" s="769">
        <v>-11000</v>
      </c>
      <c r="Q23" s="769">
        <v>-3080.0000000000005</v>
      </c>
      <c r="R23" s="769">
        <v>-7920</v>
      </c>
      <c r="S23" s="769">
        <v>-32920</v>
      </c>
      <c r="T23" s="769">
        <v>0</v>
      </c>
      <c r="U23" s="769">
        <v>0</v>
      </c>
      <c r="V23" s="769">
        <v>-32920</v>
      </c>
      <c r="W23" s="769">
        <v>-32920</v>
      </c>
      <c r="AC23" s="386"/>
      <c r="AD23" s="386"/>
      <c r="AE23" s="386"/>
      <c r="AF23" s="386"/>
      <c r="AG23" s="386"/>
      <c r="AH23" s="386"/>
      <c r="AI23" s="386"/>
      <c r="AJ23" s="386"/>
      <c r="AK23" s="386"/>
      <c r="AL23" s="386"/>
      <c r="AM23" s="386"/>
      <c r="AN23" s="386"/>
      <c r="AO23" s="386"/>
      <c r="AP23" s="386"/>
      <c r="AQ23" s="386"/>
    </row>
    <row r="24" spans="2:43">
      <c r="B24" s="794" t="s">
        <v>2876</v>
      </c>
      <c r="C24" s="801">
        <v>0.05</v>
      </c>
      <c r="D24" s="794"/>
      <c r="E24" s="799">
        <v>2025</v>
      </c>
      <c r="F24" s="800">
        <v>1312500</v>
      </c>
      <c r="G24" s="764"/>
      <c r="H24" s="764"/>
      <c r="I24" s="764"/>
      <c r="K24" s="668">
        <v>2024</v>
      </c>
      <c r="L24" s="769">
        <v>0</v>
      </c>
      <c r="M24" s="769">
        <v>36000</v>
      </c>
      <c r="N24" s="769">
        <v>-36000</v>
      </c>
      <c r="O24" s="769">
        <v>-25000</v>
      </c>
      <c r="P24" s="769">
        <v>-11000</v>
      </c>
      <c r="Q24" s="769">
        <v>-3080.0000000000005</v>
      </c>
      <c r="R24" s="769">
        <v>-7920</v>
      </c>
      <c r="S24" s="769">
        <v>-32920</v>
      </c>
      <c r="T24" s="769">
        <v>0</v>
      </c>
      <c r="U24" s="769">
        <v>0</v>
      </c>
      <c r="V24" s="769">
        <v>-32920</v>
      </c>
      <c r="W24" s="769">
        <v>-32920</v>
      </c>
      <c r="AC24" s="386"/>
      <c r="AD24" s="386"/>
      <c r="AE24" s="386"/>
      <c r="AF24" s="386"/>
      <c r="AG24" s="386"/>
      <c r="AH24" s="386"/>
      <c r="AI24" s="386"/>
      <c r="AJ24" s="386"/>
      <c r="AK24" s="386"/>
      <c r="AL24" s="386"/>
      <c r="AM24" s="386"/>
      <c r="AN24" s="386"/>
      <c r="AO24" s="386"/>
      <c r="AP24" s="386"/>
      <c r="AQ24" s="386"/>
    </row>
    <row r="25" spans="2:43">
      <c r="B25" s="794"/>
      <c r="C25" s="794"/>
      <c r="D25" s="794"/>
      <c r="E25" s="799">
        <v>2026</v>
      </c>
      <c r="F25" s="800">
        <v>1312500</v>
      </c>
      <c r="G25" s="764"/>
      <c r="H25" s="764"/>
      <c r="I25" s="764"/>
      <c r="K25" s="668">
        <v>2025</v>
      </c>
      <c r="L25" s="769">
        <v>0</v>
      </c>
      <c r="M25" s="769">
        <v>36000</v>
      </c>
      <c r="N25" s="769">
        <v>-36000</v>
      </c>
      <c r="O25" s="769">
        <v>-25000</v>
      </c>
      <c r="P25" s="769">
        <v>-11000</v>
      </c>
      <c r="Q25" s="769">
        <v>-3080.0000000000005</v>
      </c>
      <c r="R25" s="769">
        <v>-7920</v>
      </c>
      <c r="S25" s="769">
        <v>-32920</v>
      </c>
      <c r="T25" s="769">
        <v>0</v>
      </c>
      <c r="U25" s="769">
        <v>0</v>
      </c>
      <c r="V25" s="769">
        <v>-32920</v>
      </c>
      <c r="W25" s="769">
        <v>-32920</v>
      </c>
      <c r="AC25" s="386"/>
      <c r="AD25" s="386"/>
      <c r="AE25" s="386"/>
      <c r="AF25" s="386"/>
      <c r="AG25" s="386"/>
      <c r="AH25" s="386"/>
      <c r="AI25" s="386"/>
      <c r="AJ25" s="386"/>
      <c r="AK25" s="386"/>
      <c r="AL25" s="386"/>
      <c r="AM25" s="386"/>
      <c r="AN25" s="386"/>
      <c r="AO25" s="386"/>
      <c r="AP25" s="386"/>
      <c r="AQ25" s="386"/>
    </row>
    <row r="26" spans="2:43">
      <c r="B26" s="794"/>
      <c r="C26" s="794"/>
      <c r="D26" s="794"/>
      <c r="E26" s="802">
        <v>2027</v>
      </c>
      <c r="F26" s="803">
        <v>1312500</v>
      </c>
      <c r="G26" s="764"/>
      <c r="H26" s="764"/>
      <c r="I26" s="764"/>
      <c r="K26" s="668">
        <v>2026</v>
      </c>
      <c r="L26" s="769">
        <v>0</v>
      </c>
      <c r="M26" s="769">
        <v>36000</v>
      </c>
      <c r="N26" s="769">
        <v>-36000</v>
      </c>
      <c r="O26" s="769">
        <v>-25000</v>
      </c>
      <c r="P26" s="769">
        <v>-11000</v>
      </c>
      <c r="Q26" s="769">
        <v>-3080.0000000000005</v>
      </c>
      <c r="R26" s="769">
        <v>-7920</v>
      </c>
      <c r="S26" s="769">
        <v>-32920</v>
      </c>
      <c r="T26" s="769">
        <v>0</v>
      </c>
      <c r="U26" s="769">
        <v>0</v>
      </c>
      <c r="V26" s="769">
        <v>-32920</v>
      </c>
      <c r="W26" s="769">
        <v>-32920</v>
      </c>
      <c r="AC26" s="386"/>
      <c r="AD26" s="386"/>
      <c r="AE26" s="386"/>
      <c r="AF26" s="386"/>
      <c r="AG26" s="386"/>
      <c r="AH26" s="386"/>
      <c r="AI26" s="386"/>
      <c r="AJ26" s="386"/>
      <c r="AK26" s="386"/>
      <c r="AL26" s="386"/>
      <c r="AM26" s="386"/>
      <c r="AN26" s="386"/>
      <c r="AO26" s="386"/>
      <c r="AP26" s="386"/>
      <c r="AQ26" s="386"/>
    </row>
    <row r="27" spans="2:43">
      <c r="K27" s="668">
        <v>2027</v>
      </c>
      <c r="L27" s="769">
        <v>0</v>
      </c>
      <c r="M27" s="769">
        <v>36000</v>
      </c>
      <c r="N27" s="769">
        <v>-36000</v>
      </c>
      <c r="O27" s="769">
        <v>-25000</v>
      </c>
      <c r="P27" s="769">
        <v>-11000</v>
      </c>
      <c r="Q27" s="769">
        <v>-3080.0000000000005</v>
      </c>
      <c r="R27" s="769">
        <v>-7920</v>
      </c>
      <c r="S27" s="769">
        <v>-32920</v>
      </c>
      <c r="T27" s="769">
        <v>0</v>
      </c>
      <c r="U27" s="769">
        <v>0</v>
      </c>
      <c r="V27" s="769">
        <v>-32920</v>
      </c>
      <c r="W27" s="769">
        <v>-211920</v>
      </c>
      <c r="AC27" s="386"/>
      <c r="AD27" s="386"/>
      <c r="AE27" s="386"/>
      <c r="AF27" s="386"/>
      <c r="AG27" s="386"/>
      <c r="AH27" s="386"/>
      <c r="AI27" s="386"/>
      <c r="AJ27" s="386"/>
      <c r="AK27" s="386"/>
      <c r="AL27" s="386"/>
      <c r="AM27" s="386"/>
      <c r="AN27" s="386"/>
      <c r="AO27" s="386"/>
      <c r="AP27" s="386"/>
      <c r="AQ27" s="386"/>
    </row>
    <row r="28" spans="2:43">
      <c r="AC28" s="386"/>
      <c r="AD28" s="386"/>
      <c r="AE28" s="386"/>
      <c r="AF28" s="386"/>
      <c r="AG28" s="386"/>
      <c r="AH28" s="386"/>
      <c r="AI28" s="386"/>
      <c r="AJ28" s="386"/>
      <c r="AK28" s="386"/>
      <c r="AL28" s="386"/>
      <c r="AM28" s="386"/>
      <c r="AN28" s="386"/>
      <c r="AO28" s="386"/>
      <c r="AP28" s="386"/>
      <c r="AQ28" s="386"/>
    </row>
    <row r="29" spans="2:43">
      <c r="K29" s="780" t="s">
        <v>2869</v>
      </c>
      <c r="L29" s="781">
        <v>-250000</v>
      </c>
      <c r="M29" s="765" t="s">
        <v>55</v>
      </c>
      <c r="N29" s="106" t="s">
        <v>2870</v>
      </c>
      <c r="O29" s="782">
        <v>0.11300000000000021</v>
      </c>
      <c r="P29" s="765" t="s">
        <v>55</v>
      </c>
      <c r="Q29" s="805"/>
      <c r="R29" s="805"/>
      <c r="S29" s="805"/>
      <c r="T29" s="805"/>
      <c r="U29" s="784" t="s">
        <v>2888</v>
      </c>
      <c r="V29" s="715"/>
      <c r="W29" s="765" t="str">
        <f>IF(V29="","",IF(NOT(ISNUMBER(V29)),"ERROR",IF(AND(INT(V29)=V29,V29&gt;=76,V29&lt;=142),"","ERROR")))</f>
        <v/>
      </c>
      <c r="AC29" s="386"/>
      <c r="AD29" s="386"/>
      <c r="AE29" s="386"/>
      <c r="AF29" s="386"/>
      <c r="AG29" s="386"/>
      <c r="AH29" s="386"/>
      <c r="AI29" s="386"/>
      <c r="AJ29" s="386"/>
      <c r="AK29" s="386"/>
      <c r="AL29" s="386"/>
      <c r="AM29" s="386"/>
      <c r="AN29" s="386"/>
      <c r="AO29" s="386"/>
      <c r="AP29" s="386"/>
      <c r="AQ29" s="386"/>
    </row>
    <row r="30" spans="2:43">
      <c r="K30" s="787" t="s">
        <v>2875</v>
      </c>
      <c r="L30" s="781">
        <v>-179000</v>
      </c>
      <c r="M30" s="765" t="s">
        <v>55</v>
      </c>
      <c r="O30" s="6"/>
      <c r="V30" s="733"/>
      <c r="AC30" s="386"/>
      <c r="AD30" s="386"/>
      <c r="AE30" s="386"/>
      <c r="AF30" s="386"/>
      <c r="AG30" s="386"/>
      <c r="AH30" s="386"/>
      <c r="AI30" s="386"/>
      <c r="AJ30" s="386"/>
      <c r="AK30" s="386"/>
      <c r="AL30" s="386"/>
      <c r="AM30" s="386"/>
      <c r="AN30" s="386"/>
      <c r="AO30" s="386"/>
      <c r="AP30" s="386"/>
      <c r="AQ30" s="386"/>
    </row>
    <row r="31" spans="2:43">
      <c r="K31" s="787" t="s">
        <v>2877</v>
      </c>
      <c r="L31" s="781">
        <v>0</v>
      </c>
      <c r="M31" s="765" t="s">
        <v>55</v>
      </c>
      <c r="N31" s="106" t="s">
        <v>13</v>
      </c>
      <c r="O31" s="781">
        <v>24439.866693259828</v>
      </c>
      <c r="P31" s="765" t="s">
        <v>55</v>
      </c>
      <c r="Q31" s="1">
        <v>24439.866693259799</v>
      </c>
      <c r="AC31" s="386"/>
      <c r="AD31" s="386"/>
      <c r="AE31" s="386"/>
      <c r="AF31" s="386"/>
      <c r="AG31" s="386"/>
      <c r="AH31" s="386"/>
      <c r="AI31" s="386"/>
      <c r="AJ31" s="386"/>
      <c r="AK31" s="386"/>
      <c r="AL31" s="386"/>
      <c r="AM31" s="386"/>
      <c r="AN31" s="386"/>
      <c r="AO31" s="386"/>
      <c r="AP31" s="386"/>
      <c r="AQ31" s="386"/>
    </row>
    <row r="32" spans="2:43">
      <c r="K32" s="787" t="s">
        <v>2882</v>
      </c>
      <c r="L32" s="781">
        <v>-179000</v>
      </c>
      <c r="M32" s="765" t="s">
        <v>55</v>
      </c>
      <c r="AC32" s="386"/>
      <c r="AD32" s="386"/>
      <c r="AE32" s="386"/>
      <c r="AF32" s="386"/>
      <c r="AG32" s="386"/>
      <c r="AH32" s="386"/>
      <c r="AI32" s="386"/>
      <c r="AJ32" s="386"/>
      <c r="AK32" s="386"/>
      <c r="AL32" s="386"/>
      <c r="AM32" s="386"/>
      <c r="AN32" s="386"/>
      <c r="AO32" s="386"/>
      <c r="AP32" s="386"/>
      <c r="AQ32" s="386"/>
    </row>
    <row r="33" spans="11:43">
      <c r="O33" s="8" t="str">
        <f>IF(AND(NOT(V29=""),W29=""),CONCATENATE(VLOOKUP(V29,$K$156:$P$306,2,FALSE)),"")</f>
        <v/>
      </c>
      <c r="P33" s="813" t="str">
        <f>IF(AND(NOT(V29=""),W29=""),CONCATENATE("=",VLOOKUP(V29,$K$156:$P$364,6,FALSE)),"")</f>
        <v/>
      </c>
      <c r="AC33" s="386"/>
      <c r="AD33" s="386"/>
      <c r="AE33" s="386"/>
      <c r="AF33" s="386"/>
      <c r="AG33" s="386"/>
      <c r="AH33" s="386"/>
      <c r="AI33" s="386"/>
      <c r="AJ33" s="386"/>
      <c r="AK33" s="386"/>
      <c r="AL33" s="386"/>
      <c r="AM33" s="386"/>
      <c r="AN33" s="386"/>
      <c r="AO33" s="386"/>
      <c r="AP33" s="386"/>
      <c r="AQ33" s="386"/>
    </row>
    <row r="34" spans="11:43">
      <c r="P34" s="813" t="str">
        <f>IF(AND(NOT(V29=""),W29=""),CONCATENATE("=",VLOOKUP(V29,$K$156:$P$364,4,FALSE)),"")</f>
        <v/>
      </c>
      <c r="AC34" s="386"/>
      <c r="AD34" s="386"/>
      <c r="AE34" s="386"/>
      <c r="AF34" s="386"/>
      <c r="AG34" s="386"/>
      <c r="AH34" s="386"/>
      <c r="AI34" s="386"/>
      <c r="AJ34" s="386"/>
      <c r="AK34" s="386"/>
      <c r="AL34" s="386"/>
      <c r="AM34" s="386"/>
      <c r="AN34" s="386"/>
      <c r="AO34" s="386"/>
      <c r="AP34" s="386"/>
      <c r="AQ34" s="386"/>
    </row>
    <row r="35" spans="11:43">
      <c r="P35" s="813"/>
      <c r="AC35" s="386"/>
      <c r="AD35" s="386"/>
      <c r="AE35" s="386"/>
      <c r="AF35" s="386"/>
      <c r="AG35" s="386"/>
      <c r="AH35" s="386"/>
      <c r="AI35" s="386"/>
      <c r="AJ35" s="386"/>
      <c r="AK35" s="386"/>
      <c r="AL35" s="386"/>
      <c r="AM35" s="386"/>
      <c r="AN35" s="386"/>
      <c r="AO35" s="386"/>
      <c r="AP35" s="386"/>
      <c r="AQ35" s="386"/>
    </row>
    <row r="36" spans="11:43">
      <c r="K36" s="156" t="s">
        <v>3295</v>
      </c>
      <c r="L36" s="762"/>
      <c r="M36" s="762"/>
      <c r="N36" s="762"/>
      <c r="O36" s="762"/>
      <c r="P36" s="762"/>
      <c r="Q36" s="762"/>
      <c r="R36" s="762"/>
      <c r="S36" s="762"/>
      <c r="T36" s="762"/>
      <c r="U36" s="762"/>
      <c r="V36" s="762"/>
      <c r="W36" s="763" t="s">
        <v>2638</v>
      </c>
      <c r="AC36" s="386"/>
      <c r="AD36" s="386"/>
      <c r="AE36" s="386"/>
      <c r="AF36" s="386"/>
      <c r="AG36" s="386"/>
      <c r="AH36" s="386"/>
      <c r="AI36" s="386"/>
      <c r="AJ36" s="386"/>
      <c r="AK36" s="386"/>
      <c r="AL36" s="386"/>
      <c r="AM36" s="386"/>
      <c r="AN36" s="386"/>
      <c r="AO36" s="386"/>
      <c r="AP36" s="386"/>
      <c r="AQ36" s="386"/>
    </row>
    <row r="37" spans="11:43">
      <c r="L37" s="765" t="s">
        <v>55</v>
      </c>
      <c r="M37" s="765" t="s">
        <v>55</v>
      </c>
      <c r="N37" s="765" t="s">
        <v>55</v>
      </c>
      <c r="O37" s="765" t="s">
        <v>55</v>
      </c>
      <c r="P37" s="765" t="s">
        <v>55</v>
      </c>
      <c r="Q37" s="765" t="s">
        <v>55</v>
      </c>
      <c r="R37" s="765" t="s">
        <v>55</v>
      </c>
      <c r="S37" s="765" t="s">
        <v>55</v>
      </c>
      <c r="T37" s="765" t="s">
        <v>55</v>
      </c>
      <c r="U37" s="765" t="s">
        <v>55</v>
      </c>
      <c r="V37" s="765" t="s">
        <v>55</v>
      </c>
      <c r="W37" s="765" t="s">
        <v>55</v>
      </c>
      <c r="AC37" s="386"/>
      <c r="AD37" s="386"/>
      <c r="AE37" s="386"/>
      <c r="AF37" s="386"/>
      <c r="AG37" s="386"/>
      <c r="AH37" s="386"/>
      <c r="AI37" s="386"/>
      <c r="AJ37" s="386"/>
      <c r="AK37" s="386"/>
      <c r="AL37" s="386"/>
      <c r="AM37" s="386"/>
      <c r="AN37" s="386"/>
      <c r="AO37" s="386"/>
      <c r="AP37" s="386"/>
      <c r="AQ37" s="386"/>
    </row>
    <row r="38" spans="11:43">
      <c r="K38" s="668" t="s">
        <v>0</v>
      </c>
      <c r="L38" s="668" t="s">
        <v>2885</v>
      </c>
      <c r="M38" s="668" t="s">
        <v>2855</v>
      </c>
      <c r="N38" s="668" t="s">
        <v>2856</v>
      </c>
      <c r="O38" s="668" t="s">
        <v>71</v>
      </c>
      <c r="P38" s="668" t="s">
        <v>72</v>
      </c>
      <c r="Q38" s="668" t="s">
        <v>2857</v>
      </c>
      <c r="R38" s="668" t="s">
        <v>74</v>
      </c>
      <c r="S38" s="668" t="s">
        <v>2858</v>
      </c>
      <c r="T38" s="668" t="s">
        <v>2859</v>
      </c>
      <c r="U38" s="668" t="s">
        <v>2860</v>
      </c>
      <c r="V38" s="668" t="s">
        <v>2861</v>
      </c>
      <c r="W38" s="668" t="s">
        <v>2862</v>
      </c>
      <c r="AC38" s="386"/>
      <c r="AD38" s="386"/>
      <c r="AE38" s="386"/>
      <c r="AF38" s="386"/>
      <c r="AG38" s="386"/>
      <c r="AH38" s="386"/>
      <c r="AI38" s="386"/>
      <c r="AJ38" s="386"/>
      <c r="AK38" s="386"/>
      <c r="AL38" s="386"/>
      <c r="AM38" s="386"/>
      <c r="AN38" s="386"/>
      <c r="AO38" s="386"/>
      <c r="AP38" s="386"/>
      <c r="AQ38" s="386"/>
    </row>
    <row r="39" spans="11:43">
      <c r="K39" s="668">
        <v>2022</v>
      </c>
      <c r="L39" s="768" t="s">
        <v>2651</v>
      </c>
      <c r="M39" s="768" t="s">
        <v>2651</v>
      </c>
      <c r="N39" s="768" t="s">
        <v>2651</v>
      </c>
      <c r="O39" s="768" t="s">
        <v>2651</v>
      </c>
      <c r="P39" s="768" t="s">
        <v>2651</v>
      </c>
      <c r="Q39" s="768" t="s">
        <v>2651</v>
      </c>
      <c r="R39" s="768" t="s">
        <v>2651</v>
      </c>
      <c r="S39" s="768" t="s">
        <v>2651</v>
      </c>
      <c r="T39" s="768" t="s">
        <v>2651</v>
      </c>
      <c r="U39" s="768" t="s">
        <v>2651</v>
      </c>
      <c r="V39" s="768" t="s">
        <v>2651</v>
      </c>
      <c r="W39" s="769">
        <v>0</v>
      </c>
      <c r="AC39" s="386"/>
      <c r="AD39" s="386"/>
      <c r="AE39" s="386"/>
      <c r="AF39" s="386"/>
      <c r="AG39" s="386"/>
      <c r="AH39" s="386"/>
      <c r="AI39" s="386"/>
      <c r="AJ39" s="386"/>
      <c r="AK39" s="386"/>
      <c r="AL39" s="386"/>
      <c r="AM39" s="386"/>
      <c r="AN39" s="386"/>
      <c r="AO39" s="386"/>
      <c r="AP39" s="386"/>
      <c r="AQ39" s="386"/>
    </row>
    <row r="40" spans="11:43">
      <c r="K40" s="668">
        <v>2023</v>
      </c>
      <c r="L40" s="769">
        <v>-1181250</v>
      </c>
      <c r="M40" s="769">
        <v>-963500.00000000012</v>
      </c>
      <c r="N40" s="769">
        <v>-217749.99999999988</v>
      </c>
      <c r="O40" s="769">
        <v>0</v>
      </c>
      <c r="P40" s="769">
        <v>-217749.99999999988</v>
      </c>
      <c r="Q40" s="769">
        <v>-60969.999999999971</v>
      </c>
      <c r="R40" s="769">
        <v>-156779.99999999991</v>
      </c>
      <c r="S40" s="769">
        <v>-156779.99999999991</v>
      </c>
      <c r="T40" s="769">
        <v>-175000</v>
      </c>
      <c r="U40" s="769">
        <v>-175000</v>
      </c>
      <c r="V40" s="769">
        <v>18220.000000000087</v>
      </c>
      <c r="W40" s="769">
        <v>18220.000000000087</v>
      </c>
      <c r="AC40" s="386"/>
      <c r="AD40" s="386"/>
      <c r="AE40" s="386"/>
      <c r="AF40" s="386"/>
      <c r="AG40" s="386"/>
      <c r="AH40" s="386"/>
      <c r="AI40" s="386"/>
      <c r="AJ40" s="386"/>
      <c r="AK40" s="386"/>
      <c r="AL40" s="386"/>
      <c r="AM40" s="386"/>
      <c r="AN40" s="386"/>
      <c r="AO40" s="386"/>
      <c r="AP40" s="386"/>
      <c r="AQ40" s="386"/>
    </row>
    <row r="41" spans="11:43">
      <c r="K41" s="668">
        <v>2024</v>
      </c>
      <c r="L41" s="769">
        <v>-1550390.6249999998</v>
      </c>
      <c r="M41" s="769">
        <v>-1239562.5000000002</v>
      </c>
      <c r="N41" s="769">
        <v>-310828.12499999953</v>
      </c>
      <c r="O41" s="769">
        <v>0</v>
      </c>
      <c r="P41" s="769">
        <v>-310828.12499999953</v>
      </c>
      <c r="Q41" s="769">
        <v>-87031.874999999884</v>
      </c>
      <c r="R41" s="769">
        <v>-223796.24999999965</v>
      </c>
      <c r="S41" s="769">
        <v>-223796.24999999965</v>
      </c>
      <c r="T41" s="769">
        <v>-229687.5</v>
      </c>
      <c r="U41" s="769">
        <v>-54687.5</v>
      </c>
      <c r="V41" s="769">
        <v>-169108.74999999965</v>
      </c>
      <c r="W41" s="769">
        <v>-169108.74999999965</v>
      </c>
      <c r="AC41" s="386"/>
      <c r="AD41" s="386"/>
      <c r="AE41" s="386"/>
      <c r="AF41" s="386"/>
      <c r="AG41" s="386"/>
      <c r="AH41" s="386"/>
      <c r="AI41" s="386"/>
      <c r="AJ41" s="386"/>
      <c r="AK41" s="386"/>
      <c r="AL41" s="386"/>
      <c r="AM41" s="386"/>
      <c r="AN41" s="386"/>
      <c r="AO41" s="386"/>
      <c r="AP41" s="386"/>
      <c r="AQ41" s="386"/>
    </row>
    <row r="42" spans="11:43">
      <c r="K42" s="668">
        <v>2025</v>
      </c>
      <c r="L42" s="769">
        <v>-1953492.1875000002</v>
      </c>
      <c r="M42" s="769">
        <v>-1540912.5000000002</v>
      </c>
      <c r="N42" s="769">
        <v>-412579.6875</v>
      </c>
      <c r="O42" s="769">
        <v>0</v>
      </c>
      <c r="P42" s="769">
        <v>-412579.6875</v>
      </c>
      <c r="Q42" s="769">
        <v>-115522.31250000001</v>
      </c>
      <c r="R42" s="769">
        <v>-297057.375</v>
      </c>
      <c r="S42" s="769">
        <v>-297057.375</v>
      </c>
      <c r="T42" s="769">
        <v>-289406.25000000006</v>
      </c>
      <c r="U42" s="769">
        <v>-59718.750000000058</v>
      </c>
      <c r="V42" s="769">
        <v>-237338.62499999994</v>
      </c>
      <c r="W42" s="769">
        <v>-237338.62499999994</v>
      </c>
      <c r="AC42" s="386"/>
      <c r="AD42" s="386"/>
      <c r="AE42" s="386"/>
      <c r="AF42" s="386"/>
      <c r="AG42" s="386"/>
      <c r="AH42" s="386"/>
      <c r="AI42" s="386"/>
      <c r="AJ42" s="386"/>
      <c r="AK42" s="386"/>
      <c r="AL42" s="386"/>
      <c r="AM42" s="386"/>
      <c r="AN42" s="386"/>
      <c r="AO42" s="386"/>
      <c r="AP42" s="386"/>
      <c r="AQ42" s="386"/>
    </row>
    <row r="43" spans="11:43">
      <c r="K43" s="668">
        <v>2026</v>
      </c>
      <c r="L43" s="769">
        <v>-2051166.796875</v>
      </c>
      <c r="M43" s="769">
        <v>-1616158.125</v>
      </c>
      <c r="N43" s="769">
        <v>-435008.671875</v>
      </c>
      <c r="O43" s="769">
        <v>0</v>
      </c>
      <c r="P43" s="769">
        <v>-435008.671875</v>
      </c>
      <c r="Q43" s="769">
        <v>-121802.42812500001</v>
      </c>
      <c r="R43" s="769">
        <v>-313206.24375000002</v>
      </c>
      <c r="S43" s="769">
        <v>-313206.24375000002</v>
      </c>
      <c r="T43" s="769">
        <v>-303876.5625</v>
      </c>
      <c r="U43" s="769">
        <v>-14470.312499999942</v>
      </c>
      <c r="V43" s="769">
        <v>-298735.93125000008</v>
      </c>
      <c r="W43" s="769">
        <v>-298735.93125000008</v>
      </c>
      <c r="AC43" s="386"/>
      <c r="AD43" s="386"/>
      <c r="AE43" s="386"/>
      <c r="AF43" s="386"/>
      <c r="AG43" s="386"/>
      <c r="AH43" s="386"/>
      <c r="AI43" s="386"/>
      <c r="AJ43" s="386"/>
      <c r="AK43" s="386"/>
      <c r="AL43" s="386"/>
      <c r="AM43" s="386"/>
      <c r="AN43" s="386"/>
      <c r="AO43" s="386"/>
      <c r="AP43" s="386"/>
      <c r="AQ43" s="386"/>
    </row>
    <row r="44" spans="11:43">
      <c r="K44" s="668">
        <v>2027</v>
      </c>
      <c r="L44" s="769">
        <v>-2153725.13671875</v>
      </c>
      <c r="M44" s="769">
        <v>-1695166.0312500002</v>
      </c>
      <c r="N44" s="769">
        <v>-458559.10546874977</v>
      </c>
      <c r="O44" s="769">
        <v>0</v>
      </c>
      <c r="P44" s="769">
        <v>-458559.10546874977</v>
      </c>
      <c r="Q44" s="769">
        <v>-128396.54953124994</v>
      </c>
      <c r="R44" s="769">
        <v>-330162.55593749986</v>
      </c>
      <c r="S44" s="769">
        <v>-330162.55593749986</v>
      </c>
      <c r="T44" s="769">
        <v>-319070.39062500006</v>
      </c>
      <c r="U44" s="769">
        <v>-15193.828125000058</v>
      </c>
      <c r="V44" s="769">
        <v>-314968.7278124998</v>
      </c>
      <c r="W44" s="769">
        <v>-634039.11843749986</v>
      </c>
      <c r="AC44" s="386"/>
      <c r="AD44" s="386"/>
      <c r="AE44" s="386"/>
      <c r="AF44" s="386"/>
      <c r="AG44" s="386"/>
      <c r="AH44" s="386"/>
      <c r="AI44" s="386"/>
      <c r="AJ44" s="386"/>
      <c r="AK44" s="386"/>
      <c r="AL44" s="386"/>
      <c r="AM44" s="386"/>
      <c r="AN44" s="386"/>
      <c r="AO44" s="386"/>
      <c r="AP44" s="386"/>
      <c r="AQ44" s="386"/>
    </row>
    <row r="45" spans="11:43">
      <c r="AC45" s="386"/>
      <c r="AD45" s="386"/>
      <c r="AE45" s="386"/>
      <c r="AF45" s="386"/>
      <c r="AG45" s="386"/>
      <c r="AH45" s="386"/>
      <c r="AI45" s="386"/>
      <c r="AJ45" s="386"/>
      <c r="AK45" s="386"/>
      <c r="AL45" s="386"/>
      <c r="AM45" s="386"/>
      <c r="AN45" s="386"/>
      <c r="AO45" s="386"/>
      <c r="AP45" s="386"/>
      <c r="AQ45" s="386"/>
    </row>
    <row r="46" spans="11:43">
      <c r="K46" s="780" t="s">
        <v>2869</v>
      </c>
      <c r="L46" s="781">
        <v>0</v>
      </c>
      <c r="M46" s="765" t="s">
        <v>55</v>
      </c>
      <c r="N46" s="106" t="s">
        <v>2870</v>
      </c>
      <c r="O46" s="782">
        <v>0.11300000000000021</v>
      </c>
      <c r="P46" s="765" t="s">
        <v>55</v>
      </c>
      <c r="Q46" s="805"/>
      <c r="R46" s="805"/>
      <c r="S46" s="805"/>
      <c r="T46" s="805"/>
      <c r="U46" s="784" t="s">
        <v>2890</v>
      </c>
      <c r="V46" s="715"/>
      <c r="W46" s="765" t="str">
        <f>IF(V46="","",IF(NOT(ISNUMBER(V46)),"ERROR",IF(AND(INT(V46)=V46,V46&gt;=143,V46&lt;=209),"","ERROR")))</f>
        <v/>
      </c>
      <c r="AC46" s="386"/>
      <c r="AD46" s="386"/>
      <c r="AE46" s="386"/>
      <c r="AF46" s="386"/>
      <c r="AG46" s="386"/>
      <c r="AH46" s="386"/>
      <c r="AI46" s="386"/>
      <c r="AJ46" s="386"/>
      <c r="AK46" s="386"/>
      <c r="AL46" s="386"/>
      <c r="AM46" s="386"/>
      <c r="AN46" s="386"/>
      <c r="AO46" s="386"/>
      <c r="AP46" s="386"/>
      <c r="AQ46" s="386"/>
    </row>
    <row r="47" spans="11:43">
      <c r="K47" s="787" t="s">
        <v>2875</v>
      </c>
      <c r="L47" s="781">
        <v>0</v>
      </c>
      <c r="M47" s="765" t="s">
        <v>55</v>
      </c>
      <c r="O47" s="6"/>
      <c r="V47" s="733"/>
      <c r="AC47" s="386"/>
      <c r="AD47" s="386"/>
      <c r="AE47" s="386"/>
      <c r="AF47" s="386"/>
      <c r="AG47" s="386"/>
      <c r="AH47" s="386"/>
      <c r="AI47" s="386"/>
      <c r="AJ47" s="386"/>
      <c r="AK47" s="386"/>
      <c r="AL47" s="386"/>
      <c r="AM47" s="386"/>
      <c r="AN47" s="386"/>
      <c r="AO47" s="386"/>
      <c r="AP47" s="386"/>
      <c r="AQ47" s="386"/>
    </row>
    <row r="48" spans="11:43">
      <c r="K48" s="787" t="s">
        <v>2877</v>
      </c>
      <c r="L48" s="781">
        <v>-319070.39062500006</v>
      </c>
      <c r="M48" s="765" t="s">
        <v>55</v>
      </c>
      <c r="N48" s="106" t="s">
        <v>13</v>
      </c>
      <c r="O48" s="781">
        <v>-858184.88747351978</v>
      </c>
      <c r="P48" s="765" t="s">
        <v>55</v>
      </c>
      <c r="Q48" s="1">
        <v>-858184.88747352012</v>
      </c>
      <c r="AC48" s="386"/>
      <c r="AD48" s="386"/>
      <c r="AE48" s="386"/>
      <c r="AF48" s="386"/>
      <c r="AG48" s="386"/>
      <c r="AH48" s="386"/>
      <c r="AI48" s="386"/>
      <c r="AJ48" s="386"/>
      <c r="AK48" s="386"/>
      <c r="AL48" s="386"/>
      <c r="AM48" s="386"/>
      <c r="AN48" s="386"/>
      <c r="AO48" s="386"/>
      <c r="AP48" s="386"/>
      <c r="AQ48" s="386"/>
    </row>
    <row r="49" spans="11:43">
      <c r="K49" s="787" t="s">
        <v>2882</v>
      </c>
      <c r="L49" s="781">
        <v>-319070.39062500006</v>
      </c>
      <c r="M49" s="765" t="s">
        <v>55</v>
      </c>
      <c r="AC49" s="386"/>
      <c r="AD49" s="386"/>
      <c r="AE49" s="386"/>
      <c r="AF49" s="386"/>
      <c r="AG49" s="386"/>
      <c r="AH49" s="386"/>
      <c r="AI49" s="386"/>
      <c r="AJ49" s="386"/>
      <c r="AK49" s="386"/>
      <c r="AL49" s="386"/>
      <c r="AM49" s="386"/>
      <c r="AN49" s="386"/>
      <c r="AO49" s="386"/>
      <c r="AP49" s="386"/>
      <c r="AQ49" s="386"/>
    </row>
    <row r="50" spans="11:43">
      <c r="O50" s="8" t="str">
        <f>IF(AND(NOT(V46=""),W46=""),CONCATENATE(VLOOKUP(V46,$K$156:$P$364,2,FALSE)),"")</f>
        <v/>
      </c>
      <c r="P50" s="813" t="str">
        <f>IF(AND(NOT(V46=""),W46=""),CONCATENATE("=",VLOOKUP(V46,$K$156:$P$364,6,FALSE)),"")</f>
        <v/>
      </c>
      <c r="AC50" s="386"/>
      <c r="AD50" s="386"/>
      <c r="AE50" s="386"/>
      <c r="AF50" s="386"/>
      <c r="AG50" s="386"/>
      <c r="AH50" s="386"/>
      <c r="AI50" s="386"/>
      <c r="AJ50" s="386"/>
      <c r="AK50" s="386"/>
      <c r="AL50" s="386"/>
      <c r="AM50" s="386"/>
      <c r="AN50" s="386"/>
      <c r="AO50" s="386"/>
      <c r="AP50" s="386"/>
      <c r="AQ50" s="386"/>
    </row>
    <row r="51" spans="11:43">
      <c r="P51" s="813" t="str">
        <f>IF(AND(NOT(V46=""),W46=""),CONCATENATE("=",VLOOKUP(V46,$K$156:$P$364,4,FALSE)),"")</f>
        <v/>
      </c>
      <c r="AC51" s="386"/>
      <c r="AD51" s="386"/>
      <c r="AE51" s="386"/>
      <c r="AF51" s="386"/>
      <c r="AG51" s="386"/>
      <c r="AH51" s="386"/>
      <c r="AI51" s="386"/>
      <c r="AJ51" s="386"/>
      <c r="AK51" s="386"/>
      <c r="AL51" s="386"/>
      <c r="AM51" s="386"/>
      <c r="AN51" s="386"/>
      <c r="AO51" s="386"/>
      <c r="AP51" s="386"/>
      <c r="AQ51" s="386"/>
    </row>
    <row r="53" spans="11:43" s="132" customFormat="1" ht="15" customHeight="1"/>
    <row r="54" spans="11:43" s="132" customFormat="1" ht="15" customHeight="1"/>
    <row r="55" spans="11:43" s="806" customFormat="1" ht="15" customHeight="1"/>
    <row r="56" spans="11:43" s="806" customFormat="1" ht="15" customHeight="1"/>
    <row r="57" spans="11:43" s="806" customFormat="1" ht="15" customHeight="1"/>
    <row r="58" spans="11:43" s="806" customFormat="1" ht="15" customHeight="1"/>
    <row r="59" spans="11:43" s="806" customFormat="1" ht="15" hidden="1" customHeight="1"/>
    <row r="60" spans="11:43" s="328" customFormat="1" ht="0.65" hidden="1" customHeight="1"/>
    <row r="61" spans="11:43" s="328" customFormat="1" ht="0.65" hidden="1" customHeight="1"/>
    <row r="62" spans="11:43" s="328" customFormat="1" ht="0.65" hidden="1" customHeight="1"/>
    <row r="63" spans="11:43" s="328" customFormat="1" ht="0.65" hidden="1" customHeight="1"/>
    <row r="64" spans="11:43" s="328" customFormat="1" ht="0.65" hidden="1" customHeight="1"/>
    <row r="65" s="328" customFormat="1" ht="0.65" hidden="1" customHeight="1"/>
    <row r="66" s="328" customFormat="1" ht="0.65" hidden="1" customHeight="1"/>
    <row r="67" s="328" customFormat="1" ht="0.65" hidden="1" customHeight="1"/>
    <row r="68" s="328" customFormat="1" ht="0.65" hidden="1" customHeight="1"/>
    <row r="69" s="328" customFormat="1" ht="0.65" hidden="1" customHeight="1"/>
    <row r="70" s="328" customFormat="1" ht="0.65" hidden="1" customHeight="1"/>
    <row r="71" s="328" customFormat="1" ht="0.65" hidden="1" customHeight="1"/>
    <row r="72" s="328" customFormat="1" ht="0.65" hidden="1" customHeight="1"/>
    <row r="73" s="328" customFormat="1" ht="0.65" hidden="1" customHeight="1"/>
    <row r="74" s="328" customFormat="1" ht="0.65" hidden="1" customHeight="1"/>
    <row r="75" s="328" customFormat="1" ht="0.65" hidden="1" customHeight="1"/>
    <row r="76" s="328" customFormat="1" ht="0.65" hidden="1" customHeight="1"/>
    <row r="77" s="328" customFormat="1" ht="0.65" hidden="1" customHeight="1"/>
    <row r="78" s="328" customFormat="1" ht="0.65" hidden="1" customHeight="1"/>
    <row r="79" s="328" customFormat="1" ht="0.65" hidden="1" customHeight="1"/>
    <row r="80" s="328" customFormat="1" ht="0.65" hidden="1" customHeight="1"/>
    <row r="81" s="328" customFormat="1" ht="0.65" hidden="1" customHeight="1"/>
    <row r="82" s="328" customFormat="1" ht="0.65" hidden="1" customHeight="1"/>
    <row r="83" s="328" customFormat="1" ht="0.65" hidden="1" customHeight="1"/>
    <row r="84" s="328" customFormat="1" ht="0.65" hidden="1" customHeight="1"/>
    <row r="85" s="328" customFormat="1" ht="0.65" hidden="1" customHeight="1"/>
    <row r="86" s="328" customFormat="1" ht="0.65" hidden="1" customHeight="1"/>
    <row r="87" s="328" customFormat="1" ht="0.65" hidden="1" customHeight="1"/>
    <row r="88" s="328" customFormat="1" ht="0.65" hidden="1" customHeight="1"/>
    <row r="89" s="328" customFormat="1" ht="0.65" hidden="1" customHeight="1"/>
    <row r="90" s="328" customFormat="1" ht="0.65" hidden="1" customHeight="1"/>
    <row r="91" s="328" customFormat="1" ht="0.65" hidden="1" customHeight="1"/>
    <row r="92" s="328" customFormat="1" ht="0.65" hidden="1" customHeight="1"/>
    <row r="93" s="328" customFormat="1" ht="0.65" hidden="1" customHeight="1"/>
    <row r="94" s="328" customFormat="1" ht="0.65" hidden="1" customHeight="1"/>
    <row r="95" s="328" customFormat="1" ht="0.65" hidden="1" customHeight="1"/>
    <row r="96" s="328" customFormat="1" ht="0.65" hidden="1" customHeight="1"/>
    <row r="97" s="328" customFormat="1" ht="0.65" hidden="1" customHeight="1"/>
    <row r="98" s="328" customFormat="1" ht="0.65" hidden="1" customHeight="1"/>
    <row r="99" s="328" customFormat="1" ht="0.65" hidden="1" customHeight="1"/>
    <row r="100" s="328" customFormat="1" ht="0.65" hidden="1" customHeight="1"/>
    <row r="101" s="328" customFormat="1" ht="0.65" hidden="1" customHeight="1"/>
    <row r="102" s="328" customFormat="1" ht="0.65" hidden="1" customHeight="1"/>
    <row r="103" s="328" customFormat="1" ht="0.65" hidden="1" customHeight="1"/>
    <row r="104" s="328" customFormat="1" ht="0.65" hidden="1" customHeight="1"/>
    <row r="105" s="328" customFormat="1" ht="0.65" hidden="1" customHeight="1"/>
    <row r="106" s="328" customFormat="1" ht="0.65" hidden="1" customHeight="1"/>
    <row r="107" s="328" customFormat="1" ht="0.65" hidden="1" customHeight="1"/>
    <row r="108" s="328" customFormat="1" ht="0.65" hidden="1" customHeight="1"/>
    <row r="109" s="328" customFormat="1" ht="0.65" hidden="1" customHeight="1"/>
    <row r="110" s="328" customFormat="1" ht="0.65" hidden="1" customHeight="1"/>
    <row r="111" s="328" customFormat="1" ht="0.65" hidden="1" customHeight="1"/>
    <row r="112" s="328" customFormat="1" ht="0.65" hidden="1" customHeight="1"/>
    <row r="113" s="328" customFormat="1" ht="0.65" hidden="1" customHeight="1"/>
    <row r="114" s="328" customFormat="1" ht="0.65" hidden="1" customHeight="1"/>
    <row r="115" s="328" customFormat="1" ht="0.65" hidden="1" customHeight="1"/>
    <row r="116" s="328" customFormat="1" ht="0.65" hidden="1" customHeight="1"/>
    <row r="117" s="328" customFormat="1" ht="0.65" hidden="1" customHeight="1"/>
    <row r="118" s="328" customFormat="1" ht="0.65" hidden="1" customHeight="1"/>
    <row r="119" s="328" customFormat="1" ht="0.65" hidden="1" customHeight="1"/>
    <row r="120" s="328" customFormat="1" ht="0.65" hidden="1" customHeight="1"/>
    <row r="121" s="328" customFormat="1" ht="0.65" hidden="1" customHeight="1"/>
    <row r="122" s="328" customFormat="1" ht="0.65" hidden="1" customHeight="1"/>
    <row r="123" s="328" customFormat="1" ht="0.65" hidden="1" customHeight="1"/>
    <row r="124" s="328" customFormat="1" ht="0.65" hidden="1" customHeight="1"/>
    <row r="125" s="328" customFormat="1" ht="0.65" hidden="1" customHeight="1"/>
    <row r="126" s="328" customFormat="1" ht="0.65" hidden="1" customHeight="1"/>
    <row r="127" s="328" customFormat="1" ht="0.65" hidden="1" customHeight="1"/>
    <row r="128" s="328" customFormat="1" ht="0.65" hidden="1" customHeight="1"/>
    <row r="129" s="328" customFormat="1" ht="0.65" hidden="1" customHeight="1"/>
    <row r="130" s="328" customFormat="1" ht="0.65" hidden="1" customHeight="1"/>
    <row r="131" s="328" customFormat="1" ht="0.65" hidden="1" customHeight="1"/>
    <row r="132" s="328" customFormat="1" ht="0.65" hidden="1" customHeight="1"/>
    <row r="133" s="328" customFormat="1" ht="0.65" hidden="1" customHeight="1"/>
    <row r="134" s="328" customFormat="1" ht="0.65" hidden="1" customHeight="1"/>
    <row r="135" s="328" customFormat="1" ht="0.65" hidden="1" customHeight="1"/>
    <row r="136" s="328" customFormat="1" ht="0.65" hidden="1" customHeight="1"/>
    <row r="137" s="328" customFormat="1" ht="0.65" hidden="1" customHeight="1"/>
    <row r="138" s="328" customFormat="1" ht="0.65" hidden="1" customHeight="1"/>
    <row r="139" s="328" customFormat="1" ht="0.65" hidden="1" customHeight="1"/>
    <row r="140" s="328" customFormat="1" ht="0.65" hidden="1" customHeight="1"/>
    <row r="141" s="328" customFormat="1" ht="0.65" hidden="1" customHeight="1"/>
    <row r="142" s="328" customFormat="1" ht="0.65" hidden="1" customHeight="1"/>
    <row r="143" s="328" customFormat="1" ht="0.65" hidden="1" customHeight="1"/>
    <row r="144" s="328" customFormat="1" ht="0.65" hidden="1" customHeight="1"/>
    <row r="145" spans="10:16" s="328" customFormat="1" ht="0.65" hidden="1" customHeight="1"/>
    <row r="146" spans="10:16" s="328" customFormat="1" ht="0.65" hidden="1" customHeight="1"/>
    <row r="147" spans="10:16" s="328" customFormat="1" ht="0.65" hidden="1" customHeight="1"/>
    <row r="148" spans="10:16" s="328" customFormat="1" ht="0.65" hidden="1" customHeight="1"/>
    <row r="149" spans="10:16" s="328" customFormat="1" ht="0.65" hidden="1" customHeight="1"/>
    <row r="150" spans="10:16" s="328" customFormat="1" ht="0.65" hidden="1" customHeight="1"/>
    <row r="151" spans="10:16" s="328" customFormat="1" ht="0.65" hidden="1" customHeight="1"/>
    <row r="152" spans="10:16" s="328" customFormat="1" ht="0.65" hidden="1" customHeight="1"/>
    <row r="153" spans="10:16" s="328" customFormat="1" ht="0.65" hidden="1" customHeight="1"/>
    <row r="154" spans="10:16" s="328" customFormat="1" ht="0.65" hidden="1" customHeight="1"/>
    <row r="155" spans="10:16" s="328" customFormat="1" ht="0.65" hidden="1" customHeight="1"/>
    <row r="156" spans="10:16" s="328" customFormat="1" ht="0.65" hidden="1" customHeight="1">
      <c r="J156" s="328">
        <v>1</v>
      </c>
      <c r="K156" s="328">
        <v>1</v>
      </c>
      <c r="L156" s="328" t="s">
        <v>2891</v>
      </c>
      <c r="M156" s="328">
        <v>2100000</v>
      </c>
      <c r="N156" s="328" t="s">
        <v>2892</v>
      </c>
      <c r="P156" s="328" t="s">
        <v>2893</v>
      </c>
    </row>
    <row r="157" spans="10:16" s="328" customFormat="1" ht="0.65" hidden="1" customHeight="1">
      <c r="J157" s="328">
        <v>2</v>
      </c>
      <c r="K157" s="328">
        <v>2</v>
      </c>
      <c r="L157" s="328" t="s">
        <v>2894</v>
      </c>
      <c r="M157" s="328">
        <v>2756250</v>
      </c>
      <c r="N157" s="328" t="s">
        <v>2895</v>
      </c>
      <c r="P157" s="328" t="s">
        <v>2896</v>
      </c>
    </row>
    <row r="158" spans="10:16" s="328" customFormat="1" ht="0.65" hidden="1" customHeight="1">
      <c r="J158" s="328">
        <v>3</v>
      </c>
      <c r="K158" s="328">
        <v>3</v>
      </c>
      <c r="L158" s="328" t="s">
        <v>2897</v>
      </c>
      <c r="M158" s="328">
        <v>3472875.0000000005</v>
      </c>
      <c r="N158" s="328" t="s">
        <v>2898</v>
      </c>
      <c r="P158" s="328" t="s">
        <v>2899</v>
      </c>
    </row>
    <row r="159" spans="10:16" s="328" customFormat="1" ht="0.65" hidden="1" customHeight="1">
      <c r="J159" s="328">
        <v>4</v>
      </c>
      <c r="K159" s="328">
        <v>4</v>
      </c>
      <c r="L159" s="328" t="s">
        <v>2900</v>
      </c>
      <c r="M159" s="328">
        <v>3646518.75</v>
      </c>
      <c r="N159" s="328" t="s">
        <v>2901</v>
      </c>
      <c r="P159" s="328" t="s">
        <v>2902</v>
      </c>
    </row>
    <row r="160" spans="10:16" s="328" customFormat="1" ht="0.65" hidden="1" customHeight="1">
      <c r="J160" s="328">
        <v>5</v>
      </c>
      <c r="K160" s="328">
        <v>5</v>
      </c>
      <c r="L160" s="328" t="s">
        <v>2903</v>
      </c>
      <c r="M160" s="328">
        <v>3828844.6875000005</v>
      </c>
      <c r="N160" s="328" t="s">
        <v>2904</v>
      </c>
      <c r="P160" s="328" t="s">
        <v>2905</v>
      </c>
    </row>
    <row r="161" spans="10:16" s="328" customFormat="1" ht="0.65" hidden="1" customHeight="1">
      <c r="J161" s="328">
        <v>1</v>
      </c>
      <c r="K161" s="328">
        <v>6</v>
      </c>
      <c r="L161" s="328" t="s">
        <v>2906</v>
      </c>
      <c r="M161" s="328">
        <v>1802500</v>
      </c>
      <c r="N161" s="328" t="s">
        <v>2907</v>
      </c>
      <c r="P161" s="328" t="s">
        <v>2908</v>
      </c>
    </row>
    <row r="162" spans="10:16" s="328" customFormat="1" ht="0.65" hidden="1" customHeight="1">
      <c r="J162" s="328">
        <v>2</v>
      </c>
      <c r="K162" s="328">
        <v>7</v>
      </c>
      <c r="L162" s="328" t="s">
        <v>2909</v>
      </c>
      <c r="M162" s="328">
        <v>2352000</v>
      </c>
      <c r="N162" s="328" t="s">
        <v>2910</v>
      </c>
      <c r="P162" s="328" t="s">
        <v>2911</v>
      </c>
    </row>
    <row r="163" spans="10:16" s="328" customFormat="1" ht="0.65" hidden="1" customHeight="1">
      <c r="J163" s="328">
        <v>3</v>
      </c>
      <c r="K163" s="328">
        <v>8</v>
      </c>
      <c r="L163" s="328" t="s">
        <v>2912</v>
      </c>
      <c r="M163" s="328">
        <v>2951943.7500000005</v>
      </c>
      <c r="N163" s="328" t="s">
        <v>2913</v>
      </c>
      <c r="P163" s="328" t="s">
        <v>2914</v>
      </c>
    </row>
    <row r="164" spans="10:16" s="328" customFormat="1" ht="0.65" hidden="1" customHeight="1">
      <c r="J164" s="328">
        <v>4</v>
      </c>
      <c r="K164" s="328">
        <v>9</v>
      </c>
      <c r="L164" s="328" t="s">
        <v>2915</v>
      </c>
      <c r="M164" s="328">
        <v>3099540.9375</v>
      </c>
      <c r="N164" s="328" t="s">
        <v>2916</v>
      </c>
      <c r="P164" s="328" t="s">
        <v>2917</v>
      </c>
    </row>
    <row r="165" spans="10:16" s="328" customFormat="1" ht="0.65" hidden="1" customHeight="1">
      <c r="J165" s="328">
        <v>5</v>
      </c>
      <c r="K165" s="328">
        <v>10</v>
      </c>
      <c r="L165" s="328" t="s">
        <v>2918</v>
      </c>
      <c r="M165" s="328">
        <v>3254517.9843750005</v>
      </c>
      <c r="N165" s="328" t="s">
        <v>2919</v>
      </c>
      <c r="P165" s="328" t="s">
        <v>2920</v>
      </c>
    </row>
    <row r="166" spans="10:16" s="328" customFormat="1" ht="0.65" hidden="1" customHeight="1">
      <c r="K166" s="328">
        <v>11</v>
      </c>
      <c r="L166" s="328" t="s">
        <v>2921</v>
      </c>
      <c r="M166" s="328">
        <v>297500</v>
      </c>
      <c r="N166" s="328" t="s">
        <v>2922</v>
      </c>
      <c r="P166" s="328" t="s">
        <v>2923</v>
      </c>
    </row>
    <row r="167" spans="10:16" s="328" customFormat="1" ht="0.65" hidden="1" customHeight="1">
      <c r="K167" s="328">
        <v>12</v>
      </c>
      <c r="L167" s="328" t="s">
        <v>2924</v>
      </c>
      <c r="M167" s="328">
        <v>404250</v>
      </c>
      <c r="N167" s="328" t="s">
        <v>2925</v>
      </c>
      <c r="P167" s="328" t="s">
        <v>2926</v>
      </c>
    </row>
    <row r="168" spans="10:16" s="328" customFormat="1" ht="0.65" hidden="1" customHeight="1">
      <c r="K168" s="328">
        <v>13</v>
      </c>
      <c r="L168" s="328" t="s">
        <v>2927</v>
      </c>
      <c r="M168" s="328">
        <v>520931.25</v>
      </c>
      <c r="N168" s="328" t="s">
        <v>2928</v>
      </c>
      <c r="P168" s="328" t="s">
        <v>2929</v>
      </c>
    </row>
    <row r="169" spans="10:16" s="328" customFormat="1" ht="0.65" hidden="1" customHeight="1">
      <c r="K169" s="328">
        <v>14</v>
      </c>
      <c r="L169" s="328" t="s">
        <v>2930</v>
      </c>
      <c r="M169" s="328">
        <v>546977.8125</v>
      </c>
      <c r="N169" s="328" t="s">
        <v>2931</v>
      </c>
      <c r="P169" s="328" t="s">
        <v>2932</v>
      </c>
    </row>
    <row r="170" spans="10:16" s="328" customFormat="1" ht="0.65" hidden="1" customHeight="1">
      <c r="K170" s="328">
        <v>15</v>
      </c>
      <c r="L170" s="328" t="s">
        <v>2933</v>
      </c>
      <c r="M170" s="328">
        <v>574326.703125</v>
      </c>
      <c r="N170" s="328" t="s">
        <v>2934</v>
      </c>
      <c r="P170" s="328" t="s">
        <v>2935</v>
      </c>
    </row>
    <row r="171" spans="10:16" s="328" customFormat="1" ht="0.65" hidden="1" customHeight="1">
      <c r="K171" s="328">
        <v>16</v>
      </c>
      <c r="L171" s="328" t="s">
        <v>2936</v>
      </c>
      <c r="M171" s="328">
        <v>25000</v>
      </c>
      <c r="N171" s="328" t="s">
        <v>2937</v>
      </c>
      <c r="P171" s="328" t="s">
        <v>2938</v>
      </c>
    </row>
    <row r="172" spans="10:16" s="328" customFormat="1" ht="0.65" hidden="1" customHeight="1">
      <c r="K172" s="328">
        <v>17</v>
      </c>
      <c r="L172" s="328" t="s">
        <v>2939</v>
      </c>
      <c r="M172" s="328">
        <v>25000</v>
      </c>
      <c r="N172" s="328" t="s">
        <v>2937</v>
      </c>
      <c r="P172" s="328" t="s">
        <v>2938</v>
      </c>
    </row>
    <row r="173" spans="10:16" s="328" customFormat="1" ht="0.65" hidden="1" customHeight="1">
      <c r="K173" s="328">
        <v>18</v>
      </c>
      <c r="L173" s="328" t="s">
        <v>2940</v>
      </c>
      <c r="M173" s="328">
        <v>25000</v>
      </c>
      <c r="N173" s="328" t="s">
        <v>2937</v>
      </c>
      <c r="P173" s="328" t="s">
        <v>2938</v>
      </c>
    </row>
    <row r="174" spans="10:16" s="328" customFormat="1" ht="0.65" hidden="1" customHeight="1">
      <c r="K174" s="328">
        <v>19</v>
      </c>
      <c r="L174" s="328" t="s">
        <v>2941</v>
      </c>
      <c r="M174" s="328">
        <v>25000</v>
      </c>
      <c r="N174" s="328" t="s">
        <v>2937</v>
      </c>
      <c r="P174" s="328" t="s">
        <v>2938</v>
      </c>
    </row>
    <row r="175" spans="10:16" s="328" customFormat="1" ht="0.65" hidden="1" customHeight="1">
      <c r="K175" s="328">
        <v>20</v>
      </c>
      <c r="L175" s="328" t="s">
        <v>2942</v>
      </c>
      <c r="M175" s="328">
        <v>25000</v>
      </c>
      <c r="N175" s="328" t="s">
        <v>2937</v>
      </c>
      <c r="P175" s="328" t="s">
        <v>2938</v>
      </c>
    </row>
    <row r="176" spans="10:16" s="328" customFormat="1" ht="0.65" hidden="1" customHeight="1">
      <c r="K176" s="328">
        <v>21</v>
      </c>
      <c r="L176" s="328" t="s">
        <v>2943</v>
      </c>
      <c r="M176" s="328">
        <v>272500</v>
      </c>
      <c r="N176" s="328" t="s">
        <v>2944</v>
      </c>
      <c r="P176" s="328" t="s">
        <v>2945</v>
      </c>
    </row>
    <row r="177" spans="11:16" s="328" customFormat="1" ht="0.65" hidden="1" customHeight="1">
      <c r="K177" s="328">
        <v>22</v>
      </c>
      <c r="L177" s="328" t="s">
        <v>2946</v>
      </c>
      <c r="M177" s="328">
        <v>379250</v>
      </c>
      <c r="N177" s="328" t="s">
        <v>2947</v>
      </c>
      <c r="P177" s="328" t="s">
        <v>2948</v>
      </c>
    </row>
    <row r="178" spans="11:16" s="328" customFormat="1" ht="0.65" hidden="1" customHeight="1">
      <c r="K178" s="328">
        <v>23</v>
      </c>
      <c r="L178" s="328" t="s">
        <v>2949</v>
      </c>
      <c r="M178" s="328">
        <v>495931.25</v>
      </c>
      <c r="N178" s="328" t="s">
        <v>2950</v>
      </c>
      <c r="P178" s="328" t="s">
        <v>2951</v>
      </c>
    </row>
    <row r="179" spans="11:16" s="328" customFormat="1" ht="0.65" hidden="1" customHeight="1">
      <c r="K179" s="328">
        <v>24</v>
      </c>
      <c r="L179" s="328" t="s">
        <v>2952</v>
      </c>
      <c r="M179" s="328">
        <v>521977.8125</v>
      </c>
      <c r="N179" s="328" t="s">
        <v>2953</v>
      </c>
      <c r="P179" s="328" t="s">
        <v>2954</v>
      </c>
    </row>
    <row r="180" spans="11:16" s="328" customFormat="1" ht="0.65" hidden="1" customHeight="1">
      <c r="K180" s="328">
        <v>25</v>
      </c>
      <c r="L180" s="328" t="s">
        <v>2955</v>
      </c>
      <c r="M180" s="328">
        <v>549326.703125</v>
      </c>
      <c r="N180" s="328" t="s">
        <v>2956</v>
      </c>
      <c r="P180" s="328" t="s">
        <v>2957</v>
      </c>
    </row>
    <row r="181" spans="11:16" s="328" customFormat="1" ht="0.65" hidden="1" customHeight="1">
      <c r="K181" s="328">
        <v>26</v>
      </c>
      <c r="L181" s="328" t="s">
        <v>2958</v>
      </c>
      <c r="M181" s="328">
        <v>76300</v>
      </c>
      <c r="N181" s="328" t="s">
        <v>2959</v>
      </c>
      <c r="P181" s="328" t="s">
        <v>2960</v>
      </c>
    </row>
    <row r="182" spans="11:16" s="328" customFormat="1" ht="0.65" hidden="1" customHeight="1">
      <c r="K182" s="328">
        <v>27</v>
      </c>
      <c r="L182" s="328" t="s">
        <v>2961</v>
      </c>
      <c r="M182" s="328">
        <v>106190.00000000001</v>
      </c>
      <c r="N182" s="328" t="s">
        <v>2962</v>
      </c>
      <c r="P182" s="328" t="s">
        <v>2963</v>
      </c>
    </row>
    <row r="183" spans="11:16" s="328" customFormat="1" ht="0.65" hidden="1" customHeight="1">
      <c r="K183" s="328">
        <v>28</v>
      </c>
      <c r="L183" s="328" t="s">
        <v>2964</v>
      </c>
      <c r="M183" s="328">
        <v>138860.75</v>
      </c>
      <c r="N183" s="328" t="s">
        <v>2965</v>
      </c>
      <c r="P183" s="328" t="s">
        <v>2966</v>
      </c>
    </row>
    <row r="184" spans="11:16" s="328" customFormat="1" ht="0.65" hidden="1" customHeight="1">
      <c r="K184" s="328">
        <v>29</v>
      </c>
      <c r="L184" s="328" t="s">
        <v>2967</v>
      </c>
      <c r="M184" s="328">
        <v>146153.78750000001</v>
      </c>
      <c r="N184" s="328" t="s">
        <v>2968</v>
      </c>
      <c r="P184" s="328" t="s">
        <v>2969</v>
      </c>
    </row>
    <row r="185" spans="11:16" s="328" customFormat="1" ht="0.65" hidden="1" customHeight="1">
      <c r="K185" s="328">
        <v>30</v>
      </c>
      <c r="L185" s="328" t="s">
        <v>2970</v>
      </c>
      <c r="M185" s="328">
        <v>153811.47687500002</v>
      </c>
      <c r="N185" s="328" t="s">
        <v>2971</v>
      </c>
      <c r="P185" s="328" t="s">
        <v>2972</v>
      </c>
    </row>
    <row r="186" spans="11:16" s="328" customFormat="1" ht="0.65" hidden="1" customHeight="1">
      <c r="K186" s="328">
        <v>31</v>
      </c>
      <c r="L186" s="328" t="s">
        <v>2973</v>
      </c>
      <c r="M186" s="328">
        <v>196200</v>
      </c>
      <c r="N186" s="328" t="s">
        <v>2974</v>
      </c>
      <c r="P186" s="328" t="s">
        <v>2975</v>
      </c>
    </row>
    <row r="187" spans="11:16" s="328" customFormat="1" ht="0.65" hidden="1" customHeight="1">
      <c r="K187" s="328">
        <v>32</v>
      </c>
      <c r="L187" s="328" t="s">
        <v>2976</v>
      </c>
      <c r="M187" s="328">
        <v>273060</v>
      </c>
      <c r="N187" s="328" t="s">
        <v>2977</v>
      </c>
      <c r="P187" s="328" t="s">
        <v>2978</v>
      </c>
    </row>
    <row r="188" spans="11:16" s="328" customFormat="1" ht="0.65" hidden="1" customHeight="1">
      <c r="K188" s="328">
        <v>33</v>
      </c>
      <c r="L188" s="328" t="s">
        <v>2979</v>
      </c>
      <c r="M188" s="328">
        <v>357070.5</v>
      </c>
      <c r="N188" s="328" t="s">
        <v>2980</v>
      </c>
      <c r="P188" s="328" t="s">
        <v>2981</v>
      </c>
    </row>
    <row r="189" spans="11:16" s="328" customFormat="1" ht="0.65" hidden="1" customHeight="1">
      <c r="K189" s="328">
        <v>34</v>
      </c>
      <c r="L189" s="328" t="s">
        <v>2982</v>
      </c>
      <c r="M189" s="328">
        <v>375824.02500000002</v>
      </c>
      <c r="N189" s="328" t="s">
        <v>2983</v>
      </c>
      <c r="P189" s="328" t="s">
        <v>2984</v>
      </c>
    </row>
    <row r="190" spans="11:16" s="328" customFormat="1" ht="0.65" hidden="1" customHeight="1">
      <c r="K190" s="328">
        <v>35</v>
      </c>
      <c r="L190" s="328" t="s">
        <v>2985</v>
      </c>
      <c r="M190" s="328">
        <v>395515.22624999995</v>
      </c>
      <c r="N190" s="328" t="s">
        <v>2986</v>
      </c>
      <c r="P190" s="328" t="s">
        <v>2987</v>
      </c>
    </row>
    <row r="191" spans="11:16" s="328" customFormat="1" ht="0.65" hidden="1" customHeight="1">
      <c r="K191" s="328">
        <v>36</v>
      </c>
      <c r="L191" s="328" t="s">
        <v>2988</v>
      </c>
      <c r="M191" s="328">
        <v>221200</v>
      </c>
      <c r="N191" s="328" t="s">
        <v>2989</v>
      </c>
      <c r="P191" s="328" t="s">
        <v>2990</v>
      </c>
    </row>
    <row r="192" spans="11:16" s="328" customFormat="1" ht="0.65" hidden="1" customHeight="1">
      <c r="K192" s="328">
        <v>37</v>
      </c>
      <c r="L192" s="328" t="s">
        <v>2991</v>
      </c>
      <c r="M192" s="328">
        <v>298060</v>
      </c>
      <c r="N192" s="328" t="s">
        <v>2992</v>
      </c>
      <c r="P192" s="328" t="s">
        <v>2993</v>
      </c>
    </row>
    <row r="193" spans="10:16" s="328" customFormat="1" ht="0.65" hidden="1" customHeight="1">
      <c r="K193" s="328">
        <v>38</v>
      </c>
      <c r="L193" s="328" t="s">
        <v>2994</v>
      </c>
      <c r="M193" s="328">
        <v>382070.5</v>
      </c>
      <c r="N193" s="328" t="s">
        <v>2995</v>
      </c>
      <c r="P193" s="328" t="s">
        <v>2996</v>
      </c>
    </row>
    <row r="194" spans="10:16" s="328" customFormat="1" ht="0.65" hidden="1" customHeight="1">
      <c r="K194" s="328">
        <v>39</v>
      </c>
      <c r="L194" s="328" t="s">
        <v>2997</v>
      </c>
      <c r="M194" s="328">
        <v>400824.02500000002</v>
      </c>
      <c r="N194" s="328" t="s">
        <v>2998</v>
      </c>
      <c r="P194" s="328" t="s">
        <v>2999</v>
      </c>
    </row>
    <row r="195" spans="10:16" s="328" customFormat="1" ht="0.65" hidden="1" customHeight="1">
      <c r="K195" s="328">
        <v>40</v>
      </c>
      <c r="L195" s="328" t="s">
        <v>3000</v>
      </c>
      <c r="M195" s="328">
        <v>420515.22624999995</v>
      </c>
      <c r="N195" s="328" t="s">
        <v>3001</v>
      </c>
      <c r="P195" s="328" t="s">
        <v>3002</v>
      </c>
    </row>
    <row r="196" spans="10:16" s="328" customFormat="1" ht="0.65" hidden="1" customHeight="1">
      <c r="K196" s="328">
        <v>41</v>
      </c>
      <c r="L196" s="328" t="s">
        <v>3003</v>
      </c>
      <c r="M196" s="328">
        <v>175000</v>
      </c>
      <c r="N196" s="328" t="s">
        <v>3004</v>
      </c>
      <c r="P196" s="328" t="s">
        <v>3005</v>
      </c>
    </row>
    <row r="197" spans="10:16" s="328" customFormat="1" ht="0.65" hidden="1" customHeight="1">
      <c r="K197" s="328">
        <v>42</v>
      </c>
      <c r="L197" s="328" t="s">
        <v>3006</v>
      </c>
      <c r="M197" s="328">
        <v>229687.5</v>
      </c>
      <c r="N197" s="328" t="s">
        <v>3007</v>
      </c>
      <c r="P197" s="328" t="s">
        <v>3008</v>
      </c>
    </row>
    <row r="198" spans="10:16" s="328" customFormat="1" ht="0.65" hidden="1" customHeight="1">
      <c r="K198" s="328">
        <v>43</v>
      </c>
      <c r="L198" s="328" t="s">
        <v>3009</v>
      </c>
      <c r="M198" s="328">
        <v>289406.25000000006</v>
      </c>
      <c r="N198" s="328" t="s">
        <v>3010</v>
      </c>
      <c r="P198" s="328" t="s">
        <v>3011</v>
      </c>
    </row>
    <row r="199" spans="10:16" s="328" customFormat="1" ht="0.65" hidden="1" customHeight="1">
      <c r="K199" s="328">
        <v>44</v>
      </c>
      <c r="L199" s="328" t="s">
        <v>3012</v>
      </c>
      <c r="M199" s="328">
        <v>303876.5625</v>
      </c>
      <c r="N199" s="328" t="s">
        <v>3013</v>
      </c>
      <c r="P199" s="328" t="s">
        <v>3014</v>
      </c>
    </row>
    <row r="200" spans="10:16" s="328" customFormat="1" ht="0.65" hidden="1" customHeight="1">
      <c r="K200" s="328">
        <v>45</v>
      </c>
      <c r="L200" s="328" t="s">
        <v>3015</v>
      </c>
      <c r="M200" s="328">
        <v>319070.39062500006</v>
      </c>
      <c r="N200" s="328" t="s">
        <v>3016</v>
      </c>
      <c r="P200" s="328" t="s">
        <v>3017</v>
      </c>
    </row>
    <row r="201" spans="10:16" s="328" customFormat="1" ht="0.65" hidden="1" customHeight="1">
      <c r="J201" s="328">
        <v>1</v>
      </c>
      <c r="K201" s="328">
        <v>46</v>
      </c>
      <c r="L201" s="328" t="s">
        <v>3018</v>
      </c>
      <c r="M201" s="328">
        <v>175000</v>
      </c>
      <c r="N201" s="328" t="s">
        <v>3019</v>
      </c>
      <c r="P201" s="328" t="s">
        <v>3003</v>
      </c>
    </row>
    <row r="202" spans="10:16" s="328" customFormat="1" ht="0.65" hidden="1" customHeight="1">
      <c r="J202" s="328">
        <v>2</v>
      </c>
      <c r="K202" s="328">
        <v>47</v>
      </c>
      <c r="L202" s="328" t="s">
        <v>3020</v>
      </c>
      <c r="M202" s="328">
        <v>54687.5</v>
      </c>
      <c r="N202" s="328" t="s">
        <v>3021</v>
      </c>
      <c r="P202" s="328" t="s">
        <v>3022</v>
      </c>
    </row>
    <row r="203" spans="10:16" s="328" customFormat="1" ht="0.65" hidden="1" customHeight="1">
      <c r="J203" s="328">
        <v>3</v>
      </c>
      <c r="K203" s="328">
        <v>48</v>
      </c>
      <c r="L203" s="328" t="s">
        <v>3023</v>
      </c>
      <c r="M203" s="328">
        <v>59718.750000000058</v>
      </c>
      <c r="N203" s="328" t="s">
        <v>3024</v>
      </c>
      <c r="P203" s="328" t="s">
        <v>3025</v>
      </c>
    </row>
    <row r="204" spans="10:16" s="328" customFormat="1" ht="0.65" hidden="1" customHeight="1">
      <c r="J204" s="328">
        <v>4</v>
      </c>
      <c r="K204" s="328">
        <v>49</v>
      </c>
      <c r="L204" s="328" t="s">
        <v>3026</v>
      </c>
      <c r="M204" s="328">
        <v>14470.312499999942</v>
      </c>
      <c r="N204" s="328" t="s">
        <v>3027</v>
      </c>
      <c r="P204" s="328" t="s">
        <v>3028</v>
      </c>
    </row>
    <row r="205" spans="10:16" s="328" customFormat="1" ht="0.65" hidden="1" customHeight="1">
      <c r="J205" s="328">
        <v>5</v>
      </c>
      <c r="K205" s="328">
        <v>50</v>
      </c>
      <c r="L205" s="328" t="s">
        <v>3029</v>
      </c>
      <c r="M205" s="328">
        <v>15193.828125000058</v>
      </c>
      <c r="N205" s="328" t="s">
        <v>3030</v>
      </c>
      <c r="P205" s="328" t="s">
        <v>3031</v>
      </c>
    </row>
    <row r="206" spans="10:16" s="328" customFormat="1" ht="0.65" hidden="1" customHeight="1">
      <c r="K206" s="328">
        <v>51</v>
      </c>
      <c r="L206" s="328" t="s">
        <v>3032</v>
      </c>
      <c r="M206" s="328">
        <v>46200</v>
      </c>
      <c r="N206" s="328" t="s">
        <v>3033</v>
      </c>
      <c r="P206" s="328" t="s">
        <v>3034</v>
      </c>
    </row>
    <row r="207" spans="10:16" s="328" customFormat="1" ht="0.65" hidden="1" customHeight="1">
      <c r="K207" s="328">
        <v>52</v>
      </c>
      <c r="L207" s="328" t="s">
        <v>3035</v>
      </c>
      <c r="M207" s="328">
        <v>243372.5</v>
      </c>
      <c r="N207" s="328" t="s">
        <v>3036</v>
      </c>
      <c r="P207" s="328" t="s">
        <v>3037</v>
      </c>
    </row>
    <row r="208" spans="10:16" s="328" customFormat="1" ht="0.65" hidden="1" customHeight="1">
      <c r="K208" s="328">
        <v>53</v>
      </c>
      <c r="L208" s="328" t="s">
        <v>3038</v>
      </c>
      <c r="M208" s="328">
        <v>322351.74999999994</v>
      </c>
      <c r="N208" s="328" t="s">
        <v>3039</v>
      </c>
      <c r="P208" s="328" t="s">
        <v>3040</v>
      </c>
    </row>
    <row r="209" spans="10:16" s="328" customFormat="1" ht="0.65" hidden="1" customHeight="1">
      <c r="K209" s="328">
        <v>54</v>
      </c>
      <c r="L209" s="328" t="s">
        <v>3041</v>
      </c>
      <c r="M209" s="328">
        <v>386353.71250000008</v>
      </c>
      <c r="N209" s="328" t="s">
        <v>3042</v>
      </c>
      <c r="P209" s="328" t="s">
        <v>3043</v>
      </c>
    </row>
    <row r="210" spans="10:16" s="328" customFormat="1" ht="0.65" hidden="1" customHeight="1">
      <c r="K210" s="328">
        <v>55</v>
      </c>
      <c r="L210" s="328" t="s">
        <v>3044</v>
      </c>
      <c r="M210" s="328">
        <v>405321.39812499989</v>
      </c>
      <c r="N210" s="328" t="s">
        <v>3045</v>
      </c>
      <c r="P210" s="328" t="s">
        <v>3046</v>
      </c>
    </row>
    <row r="211" spans="10:16" s="328" customFormat="1" ht="0.65" hidden="1" customHeight="1">
      <c r="K211" s="328">
        <v>56</v>
      </c>
      <c r="L211" s="328" t="s">
        <v>3047</v>
      </c>
      <c r="M211" s="328">
        <v>-250000</v>
      </c>
      <c r="N211" s="328" t="s">
        <v>3048</v>
      </c>
      <c r="P211" s="328" t="s">
        <v>3049</v>
      </c>
    </row>
    <row r="212" spans="10:16" s="328" customFormat="1" ht="0.65" hidden="1" customHeight="1">
      <c r="K212" s="328">
        <v>57</v>
      </c>
      <c r="L212" s="328" t="s">
        <v>3050</v>
      </c>
      <c r="M212" s="328">
        <v>46200</v>
      </c>
      <c r="N212" s="328" t="s">
        <v>3051</v>
      </c>
      <c r="P212" s="328" t="s">
        <v>3032</v>
      </c>
    </row>
    <row r="213" spans="10:16" s="328" customFormat="1" ht="0.65" hidden="1" customHeight="1">
      <c r="K213" s="328">
        <v>58</v>
      </c>
      <c r="L213" s="328" t="s">
        <v>3052</v>
      </c>
      <c r="M213" s="328">
        <v>243372.5</v>
      </c>
      <c r="N213" s="328" t="s">
        <v>3053</v>
      </c>
      <c r="P213" s="328" t="s">
        <v>3035</v>
      </c>
    </row>
    <row r="214" spans="10:16" s="328" customFormat="1" ht="0.65" hidden="1" customHeight="1">
      <c r="K214" s="328">
        <v>59</v>
      </c>
      <c r="L214" s="328" t="s">
        <v>3054</v>
      </c>
      <c r="M214" s="328">
        <v>322351.74999999994</v>
      </c>
      <c r="N214" s="328" t="s">
        <v>3055</v>
      </c>
      <c r="P214" s="328" t="s">
        <v>3038</v>
      </c>
    </row>
    <row r="215" spans="10:16" s="328" customFormat="1" ht="0.65" hidden="1" customHeight="1">
      <c r="K215" s="328">
        <v>60</v>
      </c>
      <c r="L215" s="328" t="s">
        <v>3056</v>
      </c>
      <c r="M215" s="328">
        <v>386353.71250000008</v>
      </c>
      <c r="N215" s="328" t="s">
        <v>3057</v>
      </c>
      <c r="P215" s="328" t="s">
        <v>3041</v>
      </c>
    </row>
    <row r="216" spans="10:16" s="328" customFormat="1" ht="0.65" hidden="1" customHeight="1">
      <c r="K216" s="328">
        <v>61</v>
      </c>
      <c r="L216" s="328" t="s">
        <v>3058</v>
      </c>
      <c r="M216" s="328">
        <v>903391.78874999995</v>
      </c>
      <c r="N216" s="328" t="s">
        <v>3059</v>
      </c>
      <c r="P216" s="328" t="s">
        <v>3060</v>
      </c>
    </row>
    <row r="217" spans="10:16" s="328" customFormat="1" ht="0.65" hidden="1" customHeight="1">
      <c r="K217" s="328">
        <v>62</v>
      </c>
      <c r="L217" s="328" t="s">
        <v>3061</v>
      </c>
      <c r="M217" s="328">
        <v>250000</v>
      </c>
      <c r="N217" s="328" t="s">
        <v>1924</v>
      </c>
      <c r="P217" s="328" t="s">
        <v>2863</v>
      </c>
    </row>
    <row r="218" spans="10:16" s="328" customFormat="1" ht="0.65" hidden="1" customHeight="1">
      <c r="K218" s="328">
        <v>63</v>
      </c>
      <c r="L218" s="328" t="s">
        <v>3062</v>
      </c>
      <c r="M218" s="328">
        <v>179000</v>
      </c>
      <c r="N218" s="328" t="s">
        <v>3063</v>
      </c>
      <c r="P218" s="328" t="s">
        <v>3064</v>
      </c>
    </row>
    <row r="219" spans="10:16" s="328" customFormat="1" ht="0.65" hidden="1" customHeight="1">
      <c r="K219" s="328">
        <v>64</v>
      </c>
      <c r="L219" s="328" t="s">
        <v>3065</v>
      </c>
      <c r="M219" s="328">
        <v>319070.39062500006</v>
      </c>
      <c r="N219" s="328" t="s">
        <v>3066</v>
      </c>
      <c r="P219" s="328" t="s">
        <v>3015</v>
      </c>
    </row>
    <row r="220" spans="10:16" s="328" customFormat="1" ht="0.65" hidden="1" customHeight="1">
      <c r="K220" s="328">
        <v>65</v>
      </c>
      <c r="L220" s="328" t="s">
        <v>3067</v>
      </c>
      <c r="M220" s="328">
        <v>498070.39062500006</v>
      </c>
      <c r="N220" s="328" t="s">
        <v>3068</v>
      </c>
      <c r="P220" s="328" t="s">
        <v>3069</v>
      </c>
    </row>
    <row r="221" spans="10:16" s="328" customFormat="1" ht="0.65" hidden="1" customHeight="1">
      <c r="K221" s="328">
        <v>66</v>
      </c>
      <c r="L221" s="328" t="s">
        <v>2870</v>
      </c>
      <c r="M221" s="328">
        <v>0.11300000000000021</v>
      </c>
      <c r="N221" s="328" t="s">
        <v>3070</v>
      </c>
      <c r="P221" s="328" t="s">
        <v>3071</v>
      </c>
    </row>
    <row r="222" spans="10:16" s="328" customFormat="1" ht="0.65" hidden="1" customHeight="1">
      <c r="K222" s="328">
        <v>67</v>
      </c>
      <c r="L222" s="328" t="s">
        <v>13</v>
      </c>
      <c r="M222" s="328">
        <v>1002475.4744343841</v>
      </c>
      <c r="N222" s="328" t="s">
        <v>3072</v>
      </c>
      <c r="P222" s="328" t="s">
        <v>3073</v>
      </c>
    </row>
    <row r="223" spans="10:16" s="328" customFormat="1" ht="0.65" hidden="1" customHeight="1">
      <c r="J223" s="328">
        <v>0</v>
      </c>
      <c r="K223" s="328">
        <v>68</v>
      </c>
      <c r="L223" s="328" t="s">
        <v>3047</v>
      </c>
      <c r="M223" s="328">
        <v>-250000</v>
      </c>
      <c r="N223" s="328" t="s">
        <v>3074</v>
      </c>
      <c r="P223" s="328" t="s">
        <v>3075</v>
      </c>
    </row>
    <row r="224" spans="10:16" s="328" customFormat="1" ht="0.65" hidden="1" customHeight="1">
      <c r="J224" s="328">
        <v>1</v>
      </c>
      <c r="K224" s="328">
        <v>69</v>
      </c>
      <c r="L224" s="328" t="s">
        <v>3050</v>
      </c>
      <c r="M224" s="328">
        <v>44000</v>
      </c>
      <c r="N224" s="328" t="s">
        <v>3076</v>
      </c>
      <c r="P224" s="328" t="s">
        <v>3077</v>
      </c>
    </row>
    <row r="225" spans="10:16" s="328" customFormat="1" ht="0.65" hidden="1" customHeight="1">
      <c r="J225" s="328">
        <v>2</v>
      </c>
      <c r="K225" s="328">
        <v>70</v>
      </c>
      <c r="L225" s="328" t="s">
        <v>3052</v>
      </c>
      <c r="M225" s="328">
        <v>220746.03174603175</v>
      </c>
      <c r="N225" s="328" t="s">
        <v>3078</v>
      </c>
      <c r="P225" s="328" t="s">
        <v>3079</v>
      </c>
    </row>
    <row r="226" spans="10:16" s="328" customFormat="1" ht="0.65" hidden="1" customHeight="1">
      <c r="J226" s="328">
        <v>3</v>
      </c>
      <c r="K226" s="328">
        <v>71</v>
      </c>
      <c r="L226" s="328" t="s">
        <v>3054</v>
      </c>
      <c r="M226" s="328">
        <v>278459.56160241866</v>
      </c>
      <c r="N226" s="328" t="s">
        <v>3080</v>
      </c>
      <c r="P226" s="328" t="s">
        <v>3081</v>
      </c>
    </row>
    <row r="227" spans="10:16" s="328" customFormat="1" ht="0.65" hidden="1" customHeight="1">
      <c r="J227" s="328">
        <v>4</v>
      </c>
      <c r="K227" s="328">
        <v>72</v>
      </c>
      <c r="L227" s="328" t="s">
        <v>3056</v>
      </c>
      <c r="M227" s="328">
        <v>317854.15541878133</v>
      </c>
      <c r="N227" s="328" t="s">
        <v>3082</v>
      </c>
      <c r="P227" s="328" t="s">
        <v>3083</v>
      </c>
    </row>
    <row r="228" spans="10:16" s="328" customFormat="1" ht="0.65" hidden="1" customHeight="1">
      <c r="J228" s="328">
        <v>5</v>
      </c>
      <c r="K228" s="328">
        <v>73</v>
      </c>
      <c r="L228" s="328" t="s">
        <v>3058</v>
      </c>
      <c r="M228" s="328">
        <v>707831.10505837132</v>
      </c>
      <c r="N228" s="328" t="s">
        <v>3084</v>
      </c>
      <c r="P228" s="328" t="s">
        <v>3085</v>
      </c>
    </row>
    <row r="229" spans="10:16" s="328" customFormat="1" ht="0.65" hidden="1" customHeight="1">
      <c r="K229" s="328">
        <v>74</v>
      </c>
      <c r="L229" s="328" t="s">
        <v>2872</v>
      </c>
      <c r="M229" s="328">
        <v>0.06</v>
      </c>
      <c r="N229" s="328">
        <v>0.06</v>
      </c>
      <c r="P229" s="328" t="s">
        <v>2635</v>
      </c>
    </row>
    <row r="230" spans="10:16" s="328" customFormat="1" ht="0.65" hidden="1" customHeight="1">
      <c r="K230" s="328">
        <v>75</v>
      </c>
      <c r="L230" s="328" t="s">
        <v>13</v>
      </c>
      <c r="M230" s="328">
        <v>1002475.4744343846</v>
      </c>
      <c r="N230" s="328" t="s">
        <v>3086</v>
      </c>
      <c r="P230" s="328" t="s">
        <v>3087</v>
      </c>
    </row>
    <row r="231" spans="10:16" s="328" customFormat="1" ht="0.65" hidden="1" customHeight="1">
      <c r="J231" s="328">
        <v>1</v>
      </c>
      <c r="K231" s="328">
        <v>76</v>
      </c>
      <c r="L231" s="328" t="s">
        <v>2891</v>
      </c>
      <c r="M231" s="328">
        <v>0</v>
      </c>
      <c r="N231" s="328">
        <v>0</v>
      </c>
      <c r="P231" s="328" t="s">
        <v>3202</v>
      </c>
    </row>
    <row r="232" spans="10:16" s="328" customFormat="1" ht="0.65" hidden="1" customHeight="1">
      <c r="J232" s="328">
        <v>2</v>
      </c>
      <c r="K232" s="328">
        <v>77</v>
      </c>
      <c r="L232" s="328" t="s">
        <v>2894</v>
      </c>
      <c r="M232" s="328">
        <v>0</v>
      </c>
      <c r="N232" s="328">
        <v>0</v>
      </c>
      <c r="P232" s="328" t="s">
        <v>3202</v>
      </c>
    </row>
    <row r="233" spans="10:16" s="328" customFormat="1" ht="0.65" hidden="1" customHeight="1">
      <c r="J233" s="328">
        <v>3</v>
      </c>
      <c r="K233" s="328">
        <v>78</v>
      </c>
      <c r="L233" s="328" t="s">
        <v>2897</v>
      </c>
      <c r="M233" s="328">
        <v>0</v>
      </c>
      <c r="N233" s="328">
        <v>0</v>
      </c>
      <c r="P233" s="328" t="s">
        <v>3202</v>
      </c>
    </row>
    <row r="234" spans="10:16" s="328" customFormat="1" ht="0.65" hidden="1" customHeight="1">
      <c r="J234" s="328">
        <v>4</v>
      </c>
      <c r="K234" s="328">
        <v>79</v>
      </c>
      <c r="L234" s="328" t="s">
        <v>2900</v>
      </c>
      <c r="M234" s="328">
        <v>0</v>
      </c>
      <c r="N234" s="328">
        <v>0</v>
      </c>
      <c r="P234" s="328" t="s">
        <v>3202</v>
      </c>
    </row>
    <row r="235" spans="10:16" s="328" customFormat="1" ht="0.65" hidden="1" customHeight="1">
      <c r="J235" s="328">
        <v>5</v>
      </c>
      <c r="K235" s="328">
        <v>80</v>
      </c>
      <c r="L235" s="328" t="s">
        <v>2903</v>
      </c>
      <c r="M235" s="328">
        <v>0</v>
      </c>
      <c r="N235" s="328">
        <v>0</v>
      </c>
      <c r="P235" s="328" t="s">
        <v>3202</v>
      </c>
    </row>
    <row r="236" spans="10:16" s="328" customFormat="1" ht="0.65" hidden="1" customHeight="1">
      <c r="J236" s="328">
        <v>1</v>
      </c>
      <c r="K236" s="328">
        <v>81</v>
      </c>
      <c r="L236" s="328" t="s">
        <v>2906</v>
      </c>
      <c r="M236" s="328">
        <v>36000</v>
      </c>
      <c r="N236" s="328" t="s">
        <v>3203</v>
      </c>
      <c r="P236" s="328" t="s">
        <v>3204</v>
      </c>
    </row>
    <row r="237" spans="10:16" s="328" customFormat="1" ht="0.65" hidden="1" customHeight="1">
      <c r="J237" s="328">
        <v>2</v>
      </c>
      <c r="K237" s="328">
        <v>82</v>
      </c>
      <c r="L237" s="328" t="s">
        <v>2909</v>
      </c>
      <c r="M237" s="328">
        <v>36000</v>
      </c>
      <c r="N237" s="328" t="s">
        <v>3203</v>
      </c>
      <c r="P237" s="328" t="s">
        <v>3204</v>
      </c>
    </row>
    <row r="238" spans="10:16" s="328" customFormat="1" ht="0.65" hidden="1" customHeight="1">
      <c r="J238" s="328">
        <v>3</v>
      </c>
      <c r="K238" s="328">
        <v>83</v>
      </c>
      <c r="L238" s="328" t="s">
        <v>2912</v>
      </c>
      <c r="M238" s="328">
        <v>36000</v>
      </c>
      <c r="N238" s="328" t="s">
        <v>3203</v>
      </c>
      <c r="P238" s="328" t="s">
        <v>3204</v>
      </c>
    </row>
    <row r="239" spans="10:16" s="328" customFormat="1" ht="0.65" hidden="1" customHeight="1">
      <c r="J239" s="328">
        <v>4</v>
      </c>
      <c r="K239" s="328">
        <v>84</v>
      </c>
      <c r="L239" s="328" t="s">
        <v>2915</v>
      </c>
      <c r="M239" s="328">
        <v>36000</v>
      </c>
      <c r="N239" s="328" t="s">
        <v>3203</v>
      </c>
      <c r="P239" s="328" t="s">
        <v>3204</v>
      </c>
    </row>
    <row r="240" spans="10:16" s="328" customFormat="1" ht="0.65" hidden="1" customHeight="1">
      <c r="J240" s="328">
        <v>5</v>
      </c>
      <c r="K240" s="328">
        <v>85</v>
      </c>
      <c r="L240" s="328" t="s">
        <v>2918</v>
      </c>
      <c r="M240" s="328">
        <v>36000</v>
      </c>
      <c r="N240" s="328" t="s">
        <v>3203</v>
      </c>
      <c r="P240" s="328" t="s">
        <v>3204</v>
      </c>
    </row>
    <row r="241" spans="11:16" s="328" customFormat="1" ht="0.65" hidden="1" customHeight="1">
      <c r="K241" s="328">
        <v>86</v>
      </c>
      <c r="L241" s="328" t="s">
        <v>2921</v>
      </c>
      <c r="M241" s="328">
        <v>-36000</v>
      </c>
      <c r="N241" s="328" t="s">
        <v>3205</v>
      </c>
      <c r="P241" s="328" t="s">
        <v>2923</v>
      </c>
    </row>
    <row r="242" spans="11:16" s="328" customFormat="1" ht="0.65" hidden="1" customHeight="1">
      <c r="K242" s="328">
        <v>87</v>
      </c>
      <c r="L242" s="328" t="s">
        <v>2924</v>
      </c>
      <c r="M242" s="328">
        <v>-36000</v>
      </c>
      <c r="N242" s="328" t="s">
        <v>3205</v>
      </c>
      <c r="P242" s="328" t="s">
        <v>2926</v>
      </c>
    </row>
    <row r="243" spans="11:16" s="328" customFormat="1" ht="0.65" hidden="1" customHeight="1">
      <c r="K243" s="328">
        <v>88</v>
      </c>
      <c r="L243" s="328" t="s">
        <v>2927</v>
      </c>
      <c r="M243" s="328">
        <v>-36000</v>
      </c>
      <c r="N243" s="328" t="s">
        <v>3205</v>
      </c>
      <c r="P243" s="328" t="s">
        <v>2929</v>
      </c>
    </row>
    <row r="244" spans="11:16" s="328" customFormat="1" ht="0.65" hidden="1" customHeight="1">
      <c r="K244" s="328">
        <v>89</v>
      </c>
      <c r="L244" s="328" t="s">
        <v>2930</v>
      </c>
      <c r="M244" s="328">
        <v>-36000</v>
      </c>
      <c r="N244" s="328" t="s">
        <v>3205</v>
      </c>
      <c r="P244" s="328" t="s">
        <v>2932</v>
      </c>
    </row>
    <row r="245" spans="11:16" s="328" customFormat="1" ht="0.65" hidden="1" customHeight="1">
      <c r="K245" s="328">
        <v>90</v>
      </c>
      <c r="L245" s="328" t="s">
        <v>2933</v>
      </c>
      <c r="M245" s="328">
        <v>-36000</v>
      </c>
      <c r="N245" s="328" t="s">
        <v>3205</v>
      </c>
      <c r="P245" s="328" t="s">
        <v>2935</v>
      </c>
    </row>
    <row r="246" spans="11:16" s="328" customFormat="1" ht="0.65" hidden="1" customHeight="1">
      <c r="K246" s="328">
        <v>91</v>
      </c>
      <c r="L246" s="328" t="s">
        <v>2936</v>
      </c>
      <c r="M246" s="328">
        <v>-25000</v>
      </c>
      <c r="N246" s="328" t="s">
        <v>3206</v>
      </c>
      <c r="P246" s="328" t="s">
        <v>3207</v>
      </c>
    </row>
    <row r="247" spans="11:16" s="328" customFormat="1" ht="0.65" hidden="1" customHeight="1">
      <c r="K247" s="328">
        <v>92</v>
      </c>
      <c r="L247" s="328" t="s">
        <v>2939</v>
      </c>
      <c r="M247" s="328">
        <v>-25000</v>
      </c>
      <c r="N247" s="328" t="s">
        <v>3206</v>
      </c>
      <c r="P247" s="328" t="s">
        <v>3207</v>
      </c>
    </row>
    <row r="248" spans="11:16" s="328" customFormat="1" ht="0.65" hidden="1" customHeight="1">
      <c r="K248" s="328">
        <v>93</v>
      </c>
      <c r="L248" s="328" t="s">
        <v>2940</v>
      </c>
      <c r="M248" s="328">
        <v>-25000</v>
      </c>
      <c r="N248" s="328" t="s">
        <v>3206</v>
      </c>
      <c r="P248" s="328" t="s">
        <v>3207</v>
      </c>
    </row>
    <row r="249" spans="11:16" s="328" customFormat="1" ht="0.65" hidden="1" customHeight="1">
      <c r="K249" s="328">
        <v>94</v>
      </c>
      <c r="L249" s="328" t="s">
        <v>2941</v>
      </c>
      <c r="M249" s="328">
        <v>-25000</v>
      </c>
      <c r="N249" s="328" t="s">
        <v>3206</v>
      </c>
      <c r="P249" s="328" t="s">
        <v>3207</v>
      </c>
    </row>
    <row r="250" spans="11:16" s="328" customFormat="1" ht="0.65" hidden="1" customHeight="1">
      <c r="K250" s="328">
        <v>95</v>
      </c>
      <c r="L250" s="328" t="s">
        <v>2942</v>
      </c>
      <c r="M250" s="328">
        <v>-25000</v>
      </c>
      <c r="N250" s="328" t="s">
        <v>3206</v>
      </c>
      <c r="P250" s="328" t="s">
        <v>3207</v>
      </c>
    </row>
    <row r="251" spans="11:16" s="328" customFormat="1" ht="0.65" hidden="1" customHeight="1">
      <c r="K251" s="328">
        <v>96</v>
      </c>
      <c r="L251" s="328" t="s">
        <v>2943</v>
      </c>
      <c r="M251" s="328">
        <v>-11000</v>
      </c>
      <c r="N251" s="328" t="s">
        <v>3208</v>
      </c>
      <c r="P251" s="328" t="s">
        <v>2945</v>
      </c>
    </row>
    <row r="252" spans="11:16" s="328" customFormat="1" ht="0.65" hidden="1" customHeight="1">
      <c r="K252" s="328">
        <v>97</v>
      </c>
      <c r="L252" s="328" t="s">
        <v>2946</v>
      </c>
      <c r="M252" s="328">
        <v>-11000</v>
      </c>
      <c r="N252" s="328" t="s">
        <v>3208</v>
      </c>
      <c r="P252" s="328" t="s">
        <v>2948</v>
      </c>
    </row>
    <row r="253" spans="11:16" s="328" customFormat="1" ht="0.65" hidden="1" customHeight="1">
      <c r="K253" s="328">
        <v>98</v>
      </c>
      <c r="L253" s="328" t="s">
        <v>2949</v>
      </c>
      <c r="M253" s="328">
        <v>-11000</v>
      </c>
      <c r="N253" s="328" t="s">
        <v>3208</v>
      </c>
      <c r="P253" s="328" t="s">
        <v>2951</v>
      </c>
    </row>
    <row r="254" spans="11:16" s="328" customFormat="1" ht="0.65" hidden="1" customHeight="1">
      <c r="K254" s="328">
        <v>99</v>
      </c>
      <c r="L254" s="328" t="s">
        <v>2952</v>
      </c>
      <c r="M254" s="328">
        <v>-11000</v>
      </c>
      <c r="N254" s="328" t="s">
        <v>3208</v>
      </c>
      <c r="P254" s="328" t="s">
        <v>2954</v>
      </c>
    </row>
    <row r="255" spans="11:16" s="328" customFormat="1" ht="0.65" hidden="1" customHeight="1">
      <c r="K255" s="328">
        <v>100</v>
      </c>
      <c r="L255" s="328" t="s">
        <v>2955</v>
      </c>
      <c r="M255" s="328">
        <v>-11000</v>
      </c>
      <c r="N255" s="328" t="s">
        <v>3208</v>
      </c>
      <c r="P255" s="328" t="s">
        <v>2957</v>
      </c>
    </row>
    <row r="256" spans="11:16" s="328" customFormat="1" ht="0.65" hidden="1" customHeight="1">
      <c r="K256" s="328">
        <v>101</v>
      </c>
      <c r="L256" s="328" t="s">
        <v>2958</v>
      </c>
      <c r="M256" s="328">
        <v>-3080.0000000000005</v>
      </c>
      <c r="N256" s="328" t="s">
        <v>3209</v>
      </c>
      <c r="P256" s="328" t="s">
        <v>2960</v>
      </c>
    </row>
    <row r="257" spans="11:16" s="328" customFormat="1" ht="0.65" hidden="1" customHeight="1">
      <c r="K257" s="328">
        <v>102</v>
      </c>
      <c r="L257" s="328" t="s">
        <v>2961</v>
      </c>
      <c r="M257" s="328">
        <v>-3080.0000000000005</v>
      </c>
      <c r="N257" s="328" t="s">
        <v>3209</v>
      </c>
      <c r="P257" s="328" t="s">
        <v>2963</v>
      </c>
    </row>
    <row r="258" spans="11:16" s="328" customFormat="1" ht="0.65" hidden="1" customHeight="1">
      <c r="K258" s="328">
        <v>103</v>
      </c>
      <c r="L258" s="328" t="s">
        <v>2964</v>
      </c>
      <c r="M258" s="328">
        <v>-3080.0000000000005</v>
      </c>
      <c r="N258" s="328" t="s">
        <v>3209</v>
      </c>
      <c r="P258" s="328" t="s">
        <v>2966</v>
      </c>
    </row>
    <row r="259" spans="11:16" s="328" customFormat="1" ht="0.65" hidden="1" customHeight="1">
      <c r="K259" s="328">
        <v>104</v>
      </c>
      <c r="L259" s="328" t="s">
        <v>2967</v>
      </c>
      <c r="M259" s="328">
        <v>-3080.0000000000005</v>
      </c>
      <c r="N259" s="328" t="s">
        <v>3209</v>
      </c>
      <c r="P259" s="328" t="s">
        <v>2969</v>
      </c>
    </row>
    <row r="260" spans="11:16" s="328" customFormat="1" ht="0.65" hidden="1" customHeight="1">
      <c r="K260" s="328">
        <v>105</v>
      </c>
      <c r="L260" s="328" t="s">
        <v>2970</v>
      </c>
      <c r="M260" s="328">
        <v>-3080.0000000000005</v>
      </c>
      <c r="N260" s="328" t="s">
        <v>3209</v>
      </c>
      <c r="P260" s="328" t="s">
        <v>2972</v>
      </c>
    </row>
    <row r="261" spans="11:16" s="328" customFormat="1" ht="0.65" hidden="1" customHeight="1">
      <c r="K261" s="328">
        <v>106</v>
      </c>
      <c r="L261" s="328" t="s">
        <v>2973</v>
      </c>
      <c r="M261" s="328">
        <v>-7920</v>
      </c>
      <c r="N261" s="328" t="s">
        <v>3210</v>
      </c>
      <c r="P261" s="328" t="s">
        <v>2975</v>
      </c>
    </row>
    <row r="262" spans="11:16" s="328" customFormat="1" ht="0.65" hidden="1" customHeight="1">
      <c r="K262" s="328">
        <v>107</v>
      </c>
      <c r="L262" s="328" t="s">
        <v>2976</v>
      </c>
      <c r="M262" s="328">
        <v>-7920</v>
      </c>
      <c r="N262" s="328" t="s">
        <v>3210</v>
      </c>
      <c r="P262" s="328" t="s">
        <v>2978</v>
      </c>
    </row>
    <row r="263" spans="11:16" s="328" customFormat="1" ht="0.65" hidden="1" customHeight="1">
      <c r="K263" s="328">
        <v>108</v>
      </c>
      <c r="L263" s="328" t="s">
        <v>2979</v>
      </c>
      <c r="M263" s="328">
        <v>-7920</v>
      </c>
      <c r="N263" s="328" t="s">
        <v>3210</v>
      </c>
      <c r="P263" s="328" t="s">
        <v>2981</v>
      </c>
    </row>
    <row r="264" spans="11:16" s="328" customFormat="1" ht="0.65" hidden="1" customHeight="1">
      <c r="K264" s="328">
        <v>109</v>
      </c>
      <c r="L264" s="328" t="s">
        <v>2982</v>
      </c>
      <c r="M264" s="328">
        <v>-7920</v>
      </c>
      <c r="N264" s="328" t="s">
        <v>3210</v>
      </c>
      <c r="P264" s="328" t="s">
        <v>2984</v>
      </c>
    </row>
    <row r="265" spans="11:16" s="328" customFormat="1" ht="0.65" hidden="1" customHeight="1">
      <c r="K265" s="328">
        <v>110</v>
      </c>
      <c r="L265" s="328" t="s">
        <v>2985</v>
      </c>
      <c r="M265" s="328">
        <v>-7920</v>
      </c>
      <c r="N265" s="328" t="s">
        <v>3210</v>
      </c>
      <c r="P265" s="328" t="s">
        <v>2987</v>
      </c>
    </row>
    <row r="266" spans="11:16" s="328" customFormat="1" ht="0.65" hidden="1" customHeight="1">
      <c r="K266" s="328">
        <v>111</v>
      </c>
      <c r="L266" s="328" t="s">
        <v>2988</v>
      </c>
      <c r="M266" s="328">
        <v>-32920</v>
      </c>
      <c r="N266" s="328" t="s">
        <v>3211</v>
      </c>
      <c r="P266" s="328" t="s">
        <v>2990</v>
      </c>
    </row>
    <row r="267" spans="11:16" s="328" customFormat="1" ht="0.65" hidden="1" customHeight="1">
      <c r="K267" s="328">
        <v>112</v>
      </c>
      <c r="L267" s="328" t="s">
        <v>2991</v>
      </c>
      <c r="M267" s="328">
        <v>-32920</v>
      </c>
      <c r="N267" s="328" t="s">
        <v>3211</v>
      </c>
      <c r="P267" s="328" t="s">
        <v>2993</v>
      </c>
    </row>
    <row r="268" spans="11:16" s="328" customFormat="1" ht="0.65" hidden="1" customHeight="1">
      <c r="K268" s="328">
        <v>113</v>
      </c>
      <c r="L268" s="328" t="s">
        <v>2994</v>
      </c>
      <c r="M268" s="328">
        <v>-32920</v>
      </c>
      <c r="N268" s="328" t="s">
        <v>3211</v>
      </c>
      <c r="P268" s="328" t="s">
        <v>2996</v>
      </c>
    </row>
    <row r="269" spans="11:16" s="328" customFormat="1" ht="0.65" hidden="1" customHeight="1">
      <c r="K269" s="328">
        <v>114</v>
      </c>
      <c r="L269" s="328" t="s">
        <v>2997</v>
      </c>
      <c r="M269" s="328">
        <v>-32920</v>
      </c>
      <c r="N269" s="328" t="s">
        <v>3211</v>
      </c>
      <c r="P269" s="328" t="s">
        <v>2999</v>
      </c>
    </row>
    <row r="270" spans="11:16" s="328" customFormat="1" ht="0.65" hidden="1" customHeight="1">
      <c r="K270" s="328">
        <v>115</v>
      </c>
      <c r="L270" s="328" t="s">
        <v>3000</v>
      </c>
      <c r="M270" s="328">
        <v>-32920</v>
      </c>
      <c r="N270" s="328" t="s">
        <v>3211</v>
      </c>
      <c r="P270" s="328" t="s">
        <v>3002</v>
      </c>
    </row>
    <row r="271" spans="11:16" s="328" customFormat="1" ht="0.65" hidden="1" customHeight="1">
      <c r="K271" s="328">
        <v>116</v>
      </c>
      <c r="L271" s="328" t="s">
        <v>3003</v>
      </c>
      <c r="M271" s="328">
        <v>0</v>
      </c>
      <c r="N271" s="328" t="s">
        <v>3212</v>
      </c>
      <c r="P271" s="328" t="s">
        <v>3005</v>
      </c>
    </row>
    <row r="272" spans="11:16" s="328" customFormat="1" ht="0.65" hidden="1" customHeight="1">
      <c r="K272" s="328">
        <v>117</v>
      </c>
      <c r="L272" s="328" t="s">
        <v>3006</v>
      </c>
      <c r="M272" s="328">
        <v>0</v>
      </c>
      <c r="N272" s="328" t="s">
        <v>3212</v>
      </c>
      <c r="P272" s="328" t="s">
        <v>3008</v>
      </c>
    </row>
    <row r="273" spans="10:16" s="328" customFormat="1" ht="0.65" hidden="1" customHeight="1">
      <c r="K273" s="328">
        <v>118</v>
      </c>
      <c r="L273" s="328" t="s">
        <v>3009</v>
      </c>
      <c r="M273" s="328">
        <v>0</v>
      </c>
      <c r="N273" s="328" t="s">
        <v>3212</v>
      </c>
      <c r="P273" s="328" t="s">
        <v>3011</v>
      </c>
    </row>
    <row r="274" spans="10:16" s="328" customFormat="1" ht="0.65" hidden="1" customHeight="1">
      <c r="K274" s="328">
        <v>119</v>
      </c>
      <c r="L274" s="328" t="s">
        <v>3012</v>
      </c>
      <c r="M274" s="328">
        <v>0</v>
      </c>
      <c r="N274" s="328" t="s">
        <v>3212</v>
      </c>
      <c r="P274" s="328" t="s">
        <v>3014</v>
      </c>
    </row>
    <row r="275" spans="10:16" s="328" customFormat="1" ht="0.65" hidden="1" customHeight="1">
      <c r="K275" s="328">
        <v>120</v>
      </c>
      <c r="L275" s="328" t="s">
        <v>3015</v>
      </c>
      <c r="M275" s="328">
        <v>0</v>
      </c>
      <c r="N275" s="328" t="s">
        <v>3212</v>
      </c>
      <c r="P275" s="328" t="s">
        <v>3017</v>
      </c>
    </row>
    <row r="276" spans="10:16" s="328" customFormat="1" ht="0.65" hidden="1" customHeight="1">
      <c r="J276" s="328">
        <v>1</v>
      </c>
      <c r="K276" s="328">
        <v>121</v>
      </c>
      <c r="L276" s="328" t="s">
        <v>3018</v>
      </c>
      <c r="M276" s="328">
        <v>0</v>
      </c>
      <c r="N276" s="328" t="s">
        <v>3183</v>
      </c>
      <c r="P276" s="328" t="s">
        <v>3003</v>
      </c>
    </row>
    <row r="277" spans="10:16" s="328" customFormat="1" ht="0.65" hidden="1" customHeight="1">
      <c r="J277" s="328">
        <v>2</v>
      </c>
      <c r="K277" s="328">
        <v>122</v>
      </c>
      <c r="L277" s="328" t="s">
        <v>3020</v>
      </c>
      <c r="M277" s="328">
        <v>0</v>
      </c>
      <c r="N277" s="328" t="s">
        <v>3183</v>
      </c>
      <c r="P277" s="328" t="s">
        <v>3022</v>
      </c>
    </row>
    <row r="278" spans="10:16" s="328" customFormat="1" ht="0.65" hidden="1" customHeight="1">
      <c r="J278" s="328">
        <v>3</v>
      </c>
      <c r="K278" s="328">
        <v>123</v>
      </c>
      <c r="L278" s="328" t="s">
        <v>3023</v>
      </c>
      <c r="M278" s="328">
        <v>0</v>
      </c>
      <c r="N278" s="328" t="s">
        <v>3183</v>
      </c>
      <c r="P278" s="328" t="s">
        <v>3025</v>
      </c>
    </row>
    <row r="279" spans="10:16" s="328" customFormat="1" ht="0.65" hidden="1" customHeight="1">
      <c r="J279" s="328">
        <v>4</v>
      </c>
      <c r="K279" s="328">
        <v>124</v>
      </c>
      <c r="L279" s="328" t="s">
        <v>3026</v>
      </c>
      <c r="M279" s="328">
        <v>0</v>
      </c>
      <c r="N279" s="328" t="s">
        <v>3183</v>
      </c>
      <c r="P279" s="328" t="s">
        <v>3028</v>
      </c>
    </row>
    <row r="280" spans="10:16" s="328" customFormat="1" ht="0.65" hidden="1" customHeight="1">
      <c r="J280" s="328">
        <v>5</v>
      </c>
      <c r="K280" s="328">
        <v>125</v>
      </c>
      <c r="L280" s="328" t="s">
        <v>3029</v>
      </c>
      <c r="M280" s="328">
        <v>0</v>
      </c>
      <c r="N280" s="328" t="s">
        <v>3183</v>
      </c>
      <c r="P280" s="328" t="s">
        <v>3031</v>
      </c>
    </row>
    <row r="281" spans="10:16" s="328" customFormat="1" ht="0.65" hidden="1" customHeight="1">
      <c r="K281" s="328">
        <v>126</v>
      </c>
      <c r="L281" s="328" t="s">
        <v>3032</v>
      </c>
      <c r="M281" s="328">
        <v>-32920</v>
      </c>
      <c r="N281" s="328" t="s">
        <v>3213</v>
      </c>
      <c r="P281" s="328" t="s">
        <v>3034</v>
      </c>
    </row>
    <row r="282" spans="10:16" s="328" customFormat="1" ht="0.65" hidden="1" customHeight="1">
      <c r="K282" s="328">
        <v>127</v>
      </c>
      <c r="L282" s="328" t="s">
        <v>3035</v>
      </c>
      <c r="M282" s="328">
        <v>-32920</v>
      </c>
      <c r="N282" s="328" t="s">
        <v>3213</v>
      </c>
      <c r="P282" s="328" t="s">
        <v>3037</v>
      </c>
    </row>
    <row r="283" spans="10:16" s="328" customFormat="1" ht="0.65" hidden="1" customHeight="1">
      <c r="K283" s="328">
        <v>128</v>
      </c>
      <c r="L283" s="328" t="s">
        <v>3038</v>
      </c>
      <c r="M283" s="328">
        <v>-32920</v>
      </c>
      <c r="N283" s="328" t="s">
        <v>3213</v>
      </c>
      <c r="P283" s="328" t="s">
        <v>3040</v>
      </c>
    </row>
    <row r="284" spans="10:16" s="328" customFormat="1" ht="0.65" hidden="1" customHeight="1">
      <c r="K284" s="328">
        <v>129</v>
      </c>
      <c r="L284" s="328" t="s">
        <v>3041</v>
      </c>
      <c r="M284" s="328">
        <v>-32920</v>
      </c>
      <c r="N284" s="328" t="s">
        <v>3213</v>
      </c>
      <c r="P284" s="328" t="s">
        <v>3043</v>
      </c>
    </row>
    <row r="285" spans="10:16" s="328" customFormat="1" ht="0.65" hidden="1" customHeight="1">
      <c r="K285" s="328">
        <v>130</v>
      </c>
      <c r="L285" s="328" t="s">
        <v>3044</v>
      </c>
      <c r="M285" s="328">
        <v>-32920</v>
      </c>
      <c r="N285" s="328" t="s">
        <v>3213</v>
      </c>
      <c r="P285" s="328" t="s">
        <v>3046</v>
      </c>
    </row>
    <row r="286" spans="10:16" s="328" customFormat="1" ht="0.65" hidden="1" customHeight="1">
      <c r="K286" s="328">
        <v>131</v>
      </c>
      <c r="L286" s="328" t="s">
        <v>3047</v>
      </c>
      <c r="M286" s="328">
        <v>250000</v>
      </c>
      <c r="N286" s="328">
        <v>0</v>
      </c>
      <c r="P286" s="328" t="s">
        <v>3049</v>
      </c>
    </row>
    <row r="287" spans="10:16" s="328" customFormat="1" ht="0.65" hidden="1" customHeight="1">
      <c r="K287" s="328">
        <v>132</v>
      </c>
      <c r="L287" s="328" t="s">
        <v>3050</v>
      </c>
      <c r="M287" s="328">
        <v>-32920</v>
      </c>
      <c r="N287" s="328" t="s">
        <v>3214</v>
      </c>
      <c r="P287" s="328" t="s">
        <v>3032</v>
      </c>
    </row>
    <row r="288" spans="10:16" s="328" customFormat="1" ht="0.65" hidden="1" customHeight="1">
      <c r="K288" s="328">
        <v>133</v>
      </c>
      <c r="L288" s="328" t="s">
        <v>3052</v>
      </c>
      <c r="M288" s="328">
        <v>-32920</v>
      </c>
      <c r="N288" s="328" t="s">
        <v>3214</v>
      </c>
      <c r="P288" s="328" t="s">
        <v>3035</v>
      </c>
    </row>
    <row r="289" spans="10:16" s="328" customFormat="1" ht="0.65" hidden="1" customHeight="1">
      <c r="K289" s="328">
        <v>134</v>
      </c>
      <c r="L289" s="328" t="s">
        <v>3054</v>
      </c>
      <c r="M289" s="328">
        <v>-32920</v>
      </c>
      <c r="N289" s="328" t="s">
        <v>3214</v>
      </c>
      <c r="P289" s="328" t="s">
        <v>3038</v>
      </c>
    </row>
    <row r="290" spans="10:16" s="328" customFormat="1" ht="0.65" hidden="1" customHeight="1">
      <c r="K290" s="328">
        <v>135</v>
      </c>
      <c r="L290" s="328" t="s">
        <v>3056</v>
      </c>
      <c r="M290" s="328">
        <v>-32920</v>
      </c>
      <c r="N290" s="328" t="s">
        <v>3214</v>
      </c>
      <c r="P290" s="328" t="s">
        <v>3041</v>
      </c>
    </row>
    <row r="291" spans="10:16" s="328" customFormat="1" ht="0.65" hidden="1" customHeight="1">
      <c r="K291" s="328">
        <v>136</v>
      </c>
      <c r="L291" s="328" t="s">
        <v>3058</v>
      </c>
      <c r="M291" s="328">
        <v>-211920</v>
      </c>
      <c r="N291" s="328" t="s">
        <v>3215</v>
      </c>
      <c r="P291" s="328" t="s">
        <v>3060</v>
      </c>
    </row>
    <row r="292" spans="10:16" s="328" customFormat="1" ht="0.65" hidden="1" customHeight="1">
      <c r="K292" s="328">
        <v>137</v>
      </c>
      <c r="L292" s="328" t="s">
        <v>3061</v>
      </c>
      <c r="M292" s="328">
        <v>-250000</v>
      </c>
      <c r="N292" s="328" t="s">
        <v>3048</v>
      </c>
      <c r="P292" s="328" t="s">
        <v>3216</v>
      </c>
    </row>
    <row r="293" spans="10:16" s="328" customFormat="1" ht="0.65" hidden="1" customHeight="1">
      <c r="K293" s="328">
        <v>138</v>
      </c>
      <c r="L293" s="328" t="s">
        <v>3062</v>
      </c>
      <c r="M293" s="328">
        <v>-179000</v>
      </c>
      <c r="N293" s="328" t="s">
        <v>3217</v>
      </c>
      <c r="P293" s="328" t="s">
        <v>3218</v>
      </c>
    </row>
    <row r="294" spans="10:16" s="328" customFormat="1" ht="0.65" hidden="1" customHeight="1">
      <c r="K294" s="328">
        <v>139</v>
      </c>
      <c r="L294" s="328" t="s">
        <v>3065</v>
      </c>
      <c r="M294" s="328">
        <v>0</v>
      </c>
      <c r="N294" s="328" t="s">
        <v>498</v>
      </c>
      <c r="P294" s="328" t="s">
        <v>3015</v>
      </c>
    </row>
    <row r="295" spans="10:16" s="328" customFormat="1" ht="0.65" hidden="1" customHeight="1">
      <c r="K295" s="328">
        <v>140</v>
      </c>
      <c r="L295" s="328" t="s">
        <v>3067</v>
      </c>
      <c r="M295" s="328">
        <v>-179000</v>
      </c>
      <c r="N295" s="328" t="s">
        <v>3219</v>
      </c>
      <c r="P295" s="328" t="s">
        <v>3069</v>
      </c>
    </row>
    <row r="296" spans="10:16" s="328" customFormat="1" ht="0.65" hidden="1" customHeight="1">
      <c r="K296" s="328">
        <v>141</v>
      </c>
      <c r="L296" s="328" t="s">
        <v>2870</v>
      </c>
      <c r="M296" s="328">
        <v>0.11300000000000021</v>
      </c>
      <c r="N296" s="328" t="s">
        <v>3070</v>
      </c>
      <c r="P296" s="328" t="s">
        <v>3071</v>
      </c>
    </row>
    <row r="297" spans="10:16" s="328" customFormat="1" ht="0.65" hidden="1" customHeight="1">
      <c r="K297" s="328">
        <v>142</v>
      </c>
      <c r="L297" s="328" t="s">
        <v>13</v>
      </c>
      <c r="M297" s="328">
        <v>24439.866693259828</v>
      </c>
      <c r="N297" s="328" t="s">
        <v>3220</v>
      </c>
      <c r="P297" s="328" t="s">
        <v>3073</v>
      </c>
    </row>
    <row r="298" spans="10:16" s="328" customFormat="1" ht="0.65" hidden="1" customHeight="1">
      <c r="J298" s="328">
        <v>1</v>
      </c>
      <c r="K298" s="328">
        <v>143</v>
      </c>
      <c r="L298" s="328" t="s">
        <v>2891</v>
      </c>
      <c r="M298" s="328">
        <v>-1181250</v>
      </c>
      <c r="N298" s="328" t="s">
        <v>3221</v>
      </c>
      <c r="P298" s="328" t="s">
        <v>3222</v>
      </c>
    </row>
    <row r="299" spans="10:16" s="328" customFormat="1" ht="0.65" hidden="1" customHeight="1">
      <c r="J299" s="328">
        <v>2</v>
      </c>
      <c r="K299" s="328">
        <v>144</v>
      </c>
      <c r="L299" s="328" t="s">
        <v>2894</v>
      </c>
      <c r="M299" s="328">
        <v>-1550390.6249999998</v>
      </c>
      <c r="N299" s="328" t="s">
        <v>3223</v>
      </c>
      <c r="P299" s="328" t="s">
        <v>3224</v>
      </c>
    </row>
    <row r="300" spans="10:16" s="328" customFormat="1" ht="0.65" hidden="1" customHeight="1">
      <c r="J300" s="328">
        <v>3</v>
      </c>
      <c r="K300" s="328">
        <v>145</v>
      </c>
      <c r="L300" s="328" t="s">
        <v>2897</v>
      </c>
      <c r="M300" s="328">
        <v>-1953492.1875000002</v>
      </c>
      <c r="N300" s="328" t="s">
        <v>3225</v>
      </c>
      <c r="P300" s="328" t="s">
        <v>3226</v>
      </c>
    </row>
    <row r="301" spans="10:16" s="328" customFormat="1" ht="0.65" hidden="1" customHeight="1">
      <c r="J301" s="328">
        <v>4</v>
      </c>
      <c r="K301" s="328">
        <v>146</v>
      </c>
      <c r="L301" s="328" t="s">
        <v>2900</v>
      </c>
      <c r="M301" s="328">
        <v>-2051166.796875</v>
      </c>
      <c r="N301" s="328" t="s">
        <v>3227</v>
      </c>
      <c r="P301" s="328" t="s">
        <v>3228</v>
      </c>
    </row>
    <row r="302" spans="10:16" s="328" customFormat="1" ht="0.65" hidden="1" customHeight="1">
      <c r="J302" s="328">
        <v>5</v>
      </c>
      <c r="K302" s="328">
        <v>147</v>
      </c>
      <c r="L302" s="328" t="s">
        <v>2903</v>
      </c>
      <c r="M302" s="328">
        <v>-2153725.13671875</v>
      </c>
      <c r="N302" s="328" t="s">
        <v>3229</v>
      </c>
      <c r="P302" s="328" t="s">
        <v>3230</v>
      </c>
    </row>
    <row r="303" spans="10:16" s="328" customFormat="1" ht="0.65" hidden="1" customHeight="1">
      <c r="J303" s="328">
        <v>1</v>
      </c>
      <c r="K303" s="328">
        <v>148</v>
      </c>
      <c r="L303" s="328" t="s">
        <v>2906</v>
      </c>
      <c r="M303" s="328">
        <v>-963500.00000000012</v>
      </c>
      <c r="N303" s="328" t="s">
        <v>3231</v>
      </c>
      <c r="P303" s="328" t="s">
        <v>3232</v>
      </c>
    </row>
    <row r="304" spans="10:16" s="328" customFormat="1" ht="0.65" hidden="1" customHeight="1">
      <c r="J304" s="328">
        <v>2</v>
      </c>
      <c r="K304" s="328">
        <v>149</v>
      </c>
      <c r="L304" s="328" t="s">
        <v>2909</v>
      </c>
      <c r="M304" s="328">
        <v>-1239562.5000000002</v>
      </c>
      <c r="N304" s="328" t="s">
        <v>3233</v>
      </c>
      <c r="P304" s="328" t="s">
        <v>3234</v>
      </c>
    </row>
    <row r="305" spans="10:16" s="328" customFormat="1" ht="0.65" hidden="1" customHeight="1">
      <c r="J305" s="328">
        <v>3</v>
      </c>
      <c r="K305" s="328">
        <v>150</v>
      </c>
      <c r="L305" s="328" t="s">
        <v>2912</v>
      </c>
      <c r="M305" s="328">
        <v>-1540912.5000000002</v>
      </c>
      <c r="N305" s="328" t="s">
        <v>3235</v>
      </c>
      <c r="P305" s="328" t="s">
        <v>3236</v>
      </c>
    </row>
    <row r="306" spans="10:16" s="328" customFormat="1" ht="0.65" hidden="1" customHeight="1">
      <c r="J306" s="328">
        <v>4</v>
      </c>
      <c r="K306" s="328">
        <v>151</v>
      </c>
      <c r="L306" s="328" t="s">
        <v>2915</v>
      </c>
      <c r="M306" s="328">
        <v>-1616158.125</v>
      </c>
      <c r="N306" s="328" t="s">
        <v>3237</v>
      </c>
      <c r="P306" s="328" t="s">
        <v>3238</v>
      </c>
    </row>
    <row r="307" spans="10:16" s="328" customFormat="1" ht="0.65" hidden="1" customHeight="1">
      <c r="J307" s="328">
        <v>5</v>
      </c>
      <c r="K307" s="328">
        <v>152</v>
      </c>
      <c r="L307" s="328" t="s">
        <v>2918</v>
      </c>
      <c r="M307" s="328">
        <v>-1695166.0312500002</v>
      </c>
      <c r="N307" s="328" t="s">
        <v>3239</v>
      </c>
      <c r="P307" s="328" t="s">
        <v>3240</v>
      </c>
    </row>
    <row r="308" spans="10:16" s="328" customFormat="1" ht="0.65" hidden="1" customHeight="1">
      <c r="K308" s="328">
        <v>153</v>
      </c>
      <c r="L308" s="328" t="s">
        <v>2921</v>
      </c>
      <c r="M308" s="328">
        <v>-217749.99999999988</v>
      </c>
      <c r="N308" s="328" t="s">
        <v>3241</v>
      </c>
      <c r="P308" s="328" t="s">
        <v>2923</v>
      </c>
    </row>
    <row r="309" spans="10:16" s="328" customFormat="1" ht="0.65" hidden="1" customHeight="1">
      <c r="K309" s="328">
        <v>154</v>
      </c>
      <c r="L309" s="328" t="s">
        <v>2924</v>
      </c>
      <c r="M309" s="328">
        <v>-310828.12499999953</v>
      </c>
      <c r="N309" s="328" t="s">
        <v>3242</v>
      </c>
      <c r="P309" s="328" t="s">
        <v>2926</v>
      </c>
    </row>
    <row r="310" spans="10:16" s="328" customFormat="1" ht="0.65" hidden="1" customHeight="1">
      <c r="K310" s="328">
        <v>155</v>
      </c>
      <c r="L310" s="328" t="s">
        <v>2927</v>
      </c>
      <c r="M310" s="328">
        <v>-412579.6875</v>
      </c>
      <c r="N310" s="328" t="s">
        <v>3243</v>
      </c>
      <c r="P310" s="328" t="s">
        <v>2929</v>
      </c>
    </row>
    <row r="311" spans="10:16" s="328" customFormat="1" ht="0.65" hidden="1" customHeight="1">
      <c r="K311" s="328">
        <v>156</v>
      </c>
      <c r="L311" s="328" t="s">
        <v>2930</v>
      </c>
      <c r="M311" s="328">
        <v>-435008.671875</v>
      </c>
      <c r="N311" s="328" t="s">
        <v>3244</v>
      </c>
      <c r="P311" s="328" t="s">
        <v>2932</v>
      </c>
    </row>
    <row r="312" spans="10:16" s="328" customFormat="1" ht="0.65" hidden="1" customHeight="1">
      <c r="K312" s="328">
        <v>157</v>
      </c>
      <c r="L312" s="328" t="s">
        <v>2933</v>
      </c>
      <c r="M312" s="328">
        <v>-458559.10546874977</v>
      </c>
      <c r="N312" s="328" t="s">
        <v>3245</v>
      </c>
      <c r="P312" s="328" t="s">
        <v>2935</v>
      </c>
    </row>
    <row r="313" spans="10:16" s="328" customFormat="1" ht="0.65" hidden="1" customHeight="1">
      <c r="K313" s="328">
        <v>158</v>
      </c>
      <c r="L313" s="328" t="s">
        <v>2936</v>
      </c>
      <c r="M313" s="328">
        <v>0</v>
      </c>
      <c r="N313" s="328" t="s">
        <v>3183</v>
      </c>
      <c r="P313" s="328" t="s">
        <v>3161</v>
      </c>
    </row>
    <row r="314" spans="10:16" s="328" customFormat="1" ht="0.65" hidden="1" customHeight="1">
      <c r="K314" s="328">
        <v>159</v>
      </c>
      <c r="L314" s="328" t="s">
        <v>2939</v>
      </c>
      <c r="M314" s="328">
        <v>0</v>
      </c>
      <c r="N314" s="328" t="s">
        <v>3183</v>
      </c>
      <c r="P314" s="328" t="s">
        <v>3161</v>
      </c>
    </row>
    <row r="315" spans="10:16" s="328" customFormat="1" ht="0.65" hidden="1" customHeight="1">
      <c r="K315" s="328">
        <v>160</v>
      </c>
      <c r="L315" s="328" t="s">
        <v>2940</v>
      </c>
      <c r="M315" s="328">
        <v>0</v>
      </c>
      <c r="N315" s="328" t="s">
        <v>3183</v>
      </c>
      <c r="P315" s="328" t="s">
        <v>3161</v>
      </c>
    </row>
    <row r="316" spans="10:16" s="328" customFormat="1" ht="0.65" hidden="1" customHeight="1">
      <c r="K316" s="328">
        <v>161</v>
      </c>
      <c r="L316" s="328" t="s">
        <v>2941</v>
      </c>
      <c r="M316" s="328">
        <v>0</v>
      </c>
      <c r="N316" s="328" t="s">
        <v>3183</v>
      </c>
      <c r="P316" s="328" t="s">
        <v>3161</v>
      </c>
    </row>
    <row r="317" spans="10:16" s="328" customFormat="1" ht="0.65" hidden="1" customHeight="1">
      <c r="K317" s="328">
        <v>162</v>
      </c>
      <c r="L317" s="328" t="s">
        <v>2942</v>
      </c>
      <c r="M317" s="328">
        <v>0</v>
      </c>
      <c r="N317" s="328" t="s">
        <v>3183</v>
      </c>
      <c r="P317" s="328" t="s">
        <v>3161</v>
      </c>
    </row>
    <row r="318" spans="10:16" s="328" customFormat="1" ht="0.65" hidden="1" customHeight="1">
      <c r="K318" s="328">
        <v>163</v>
      </c>
      <c r="L318" s="328" t="s">
        <v>2943</v>
      </c>
      <c r="M318" s="328">
        <v>-217749.99999999988</v>
      </c>
      <c r="N318" s="328" t="s">
        <v>3246</v>
      </c>
      <c r="P318" s="328" t="s">
        <v>2945</v>
      </c>
    </row>
    <row r="319" spans="10:16" s="328" customFormat="1" ht="0.65" hidden="1" customHeight="1">
      <c r="K319" s="328">
        <v>164</v>
      </c>
      <c r="L319" s="328" t="s">
        <v>2946</v>
      </c>
      <c r="M319" s="328">
        <v>-310828.12499999953</v>
      </c>
      <c r="N319" s="328" t="s">
        <v>3247</v>
      </c>
      <c r="P319" s="328" t="s">
        <v>2948</v>
      </c>
    </row>
    <row r="320" spans="10:16" s="328" customFormat="1" ht="0.65" hidden="1" customHeight="1">
      <c r="K320" s="328">
        <v>165</v>
      </c>
      <c r="L320" s="328" t="s">
        <v>2949</v>
      </c>
      <c r="M320" s="328">
        <v>-412579.6875</v>
      </c>
      <c r="N320" s="328" t="s">
        <v>3248</v>
      </c>
      <c r="P320" s="328" t="s">
        <v>2951</v>
      </c>
    </row>
    <row r="321" spans="11:16" s="328" customFormat="1" ht="0.65" hidden="1" customHeight="1">
      <c r="K321" s="328">
        <v>166</v>
      </c>
      <c r="L321" s="328" t="s">
        <v>2952</v>
      </c>
      <c r="M321" s="328">
        <v>-435008.671875</v>
      </c>
      <c r="N321" s="328" t="s">
        <v>3249</v>
      </c>
      <c r="P321" s="328" t="s">
        <v>2954</v>
      </c>
    </row>
    <row r="322" spans="11:16" s="328" customFormat="1" ht="0.65" hidden="1" customHeight="1">
      <c r="K322" s="328">
        <v>167</v>
      </c>
      <c r="L322" s="328" t="s">
        <v>2955</v>
      </c>
      <c r="M322" s="328">
        <v>-458559.10546874977</v>
      </c>
      <c r="N322" s="328" t="s">
        <v>3250</v>
      </c>
      <c r="P322" s="328" t="s">
        <v>2957</v>
      </c>
    </row>
    <row r="323" spans="11:16" s="328" customFormat="1" ht="0.65" hidden="1" customHeight="1">
      <c r="K323" s="328">
        <v>168</v>
      </c>
      <c r="L323" s="328" t="s">
        <v>2958</v>
      </c>
      <c r="M323" s="328">
        <v>-60969.999999999971</v>
      </c>
      <c r="N323" s="328" t="s">
        <v>3251</v>
      </c>
      <c r="P323" s="328" t="s">
        <v>2960</v>
      </c>
    </row>
    <row r="324" spans="11:16" s="328" customFormat="1" ht="0.65" hidden="1" customHeight="1">
      <c r="K324" s="328">
        <v>169</v>
      </c>
      <c r="L324" s="328" t="s">
        <v>2961</v>
      </c>
      <c r="M324" s="328">
        <v>-87031.874999999884</v>
      </c>
      <c r="N324" s="328" t="s">
        <v>3252</v>
      </c>
      <c r="P324" s="328" t="s">
        <v>2963</v>
      </c>
    </row>
    <row r="325" spans="11:16" s="328" customFormat="1" ht="0.65" hidden="1" customHeight="1">
      <c r="K325" s="328">
        <v>170</v>
      </c>
      <c r="L325" s="328" t="s">
        <v>2964</v>
      </c>
      <c r="M325" s="328">
        <v>-115522.31250000001</v>
      </c>
      <c r="N325" s="328" t="s">
        <v>3253</v>
      </c>
      <c r="P325" s="328" t="s">
        <v>2966</v>
      </c>
    </row>
    <row r="326" spans="11:16" s="328" customFormat="1" ht="0.65" hidden="1" customHeight="1">
      <c r="K326" s="328">
        <v>171</v>
      </c>
      <c r="L326" s="328" t="s">
        <v>2967</v>
      </c>
      <c r="M326" s="328">
        <v>-121802.42812500001</v>
      </c>
      <c r="N326" s="328" t="s">
        <v>3254</v>
      </c>
      <c r="P326" s="328" t="s">
        <v>2969</v>
      </c>
    </row>
    <row r="327" spans="11:16" s="328" customFormat="1" ht="0.65" hidden="1" customHeight="1">
      <c r="K327" s="328">
        <v>172</v>
      </c>
      <c r="L327" s="328" t="s">
        <v>2970</v>
      </c>
      <c r="M327" s="328">
        <v>-128396.54953124994</v>
      </c>
      <c r="N327" s="328" t="s">
        <v>3255</v>
      </c>
      <c r="P327" s="328" t="s">
        <v>2972</v>
      </c>
    </row>
    <row r="328" spans="11:16" s="328" customFormat="1" ht="0.65" hidden="1" customHeight="1">
      <c r="K328" s="328">
        <v>173</v>
      </c>
      <c r="L328" s="328" t="s">
        <v>2973</v>
      </c>
      <c r="M328" s="328">
        <v>-156779.99999999991</v>
      </c>
      <c r="N328" s="328" t="s">
        <v>3256</v>
      </c>
      <c r="P328" s="328" t="s">
        <v>2975</v>
      </c>
    </row>
    <row r="329" spans="11:16" s="328" customFormat="1" ht="0.65" hidden="1" customHeight="1">
      <c r="K329" s="328">
        <v>174</v>
      </c>
      <c r="L329" s="328" t="s">
        <v>2976</v>
      </c>
      <c r="M329" s="328">
        <v>-223796.24999999965</v>
      </c>
      <c r="N329" s="328" t="s">
        <v>3257</v>
      </c>
      <c r="P329" s="328" t="s">
        <v>2978</v>
      </c>
    </row>
    <row r="330" spans="11:16" s="328" customFormat="1" ht="0.65" hidden="1" customHeight="1">
      <c r="K330" s="328">
        <v>175</v>
      </c>
      <c r="L330" s="328" t="s">
        <v>2979</v>
      </c>
      <c r="M330" s="328">
        <v>-297057.375</v>
      </c>
      <c r="N330" s="328" t="s">
        <v>3258</v>
      </c>
      <c r="P330" s="328" t="s">
        <v>2981</v>
      </c>
    </row>
    <row r="331" spans="11:16" s="328" customFormat="1" ht="0.65" hidden="1" customHeight="1">
      <c r="K331" s="328">
        <v>176</v>
      </c>
      <c r="L331" s="328" t="s">
        <v>2982</v>
      </c>
      <c r="M331" s="328">
        <v>-313206.24375000002</v>
      </c>
      <c r="N331" s="328" t="s">
        <v>3259</v>
      </c>
      <c r="P331" s="328" t="s">
        <v>2984</v>
      </c>
    </row>
    <row r="332" spans="11:16" s="328" customFormat="1" ht="0.65" hidden="1" customHeight="1">
      <c r="K332" s="328">
        <v>177</v>
      </c>
      <c r="L332" s="328" t="s">
        <v>2985</v>
      </c>
      <c r="M332" s="328">
        <v>-330162.55593749986</v>
      </c>
      <c r="N332" s="328" t="s">
        <v>3260</v>
      </c>
      <c r="P332" s="328" t="s">
        <v>2987</v>
      </c>
    </row>
    <row r="333" spans="11:16" s="328" customFormat="1" ht="0.65" hidden="1" customHeight="1">
      <c r="K333" s="328">
        <v>178</v>
      </c>
      <c r="L333" s="328" t="s">
        <v>2988</v>
      </c>
      <c r="M333" s="328">
        <v>-156779.99999999991</v>
      </c>
      <c r="N333" s="328" t="s">
        <v>3261</v>
      </c>
      <c r="P333" s="328" t="s">
        <v>2990</v>
      </c>
    </row>
    <row r="334" spans="11:16" s="328" customFormat="1" ht="0.65" hidden="1" customHeight="1">
      <c r="K334" s="328">
        <v>179</v>
      </c>
      <c r="L334" s="328" t="s">
        <v>2991</v>
      </c>
      <c r="M334" s="328">
        <v>-223796.24999999965</v>
      </c>
      <c r="N334" s="328" t="s">
        <v>3262</v>
      </c>
      <c r="P334" s="328" t="s">
        <v>2993</v>
      </c>
    </row>
    <row r="335" spans="11:16" s="328" customFormat="1" ht="0.65" hidden="1" customHeight="1">
      <c r="K335" s="328">
        <v>180</v>
      </c>
      <c r="L335" s="328" t="s">
        <v>2994</v>
      </c>
      <c r="M335" s="328">
        <v>-297057.375</v>
      </c>
      <c r="N335" s="328" t="s">
        <v>3263</v>
      </c>
      <c r="P335" s="328" t="s">
        <v>2996</v>
      </c>
    </row>
    <row r="336" spans="11:16" s="328" customFormat="1" ht="0.65" hidden="1" customHeight="1">
      <c r="K336" s="328">
        <v>181</v>
      </c>
      <c r="L336" s="328" t="s">
        <v>2997</v>
      </c>
      <c r="M336" s="328">
        <v>-313206.24375000002</v>
      </c>
      <c r="N336" s="328" t="s">
        <v>3264</v>
      </c>
      <c r="P336" s="328" t="s">
        <v>2999</v>
      </c>
    </row>
    <row r="337" spans="10:16" s="328" customFormat="1" ht="0.65" hidden="1" customHeight="1">
      <c r="K337" s="328">
        <v>182</v>
      </c>
      <c r="L337" s="328" t="s">
        <v>3000</v>
      </c>
      <c r="M337" s="328">
        <v>-330162.55593749986</v>
      </c>
      <c r="N337" s="328" t="s">
        <v>3265</v>
      </c>
      <c r="P337" s="328" t="s">
        <v>3002</v>
      </c>
    </row>
    <row r="338" spans="10:16" s="328" customFormat="1" ht="0.65" hidden="1" customHeight="1">
      <c r="K338" s="328">
        <v>183</v>
      </c>
      <c r="L338" s="328" t="s">
        <v>3003</v>
      </c>
      <c r="M338" s="328">
        <v>-175000</v>
      </c>
      <c r="N338" s="328" t="s">
        <v>3266</v>
      </c>
      <c r="P338" s="328" t="s">
        <v>3267</v>
      </c>
    </row>
    <row r="339" spans="10:16" s="328" customFormat="1" ht="0.65" hidden="1" customHeight="1">
      <c r="K339" s="328">
        <v>184</v>
      </c>
      <c r="L339" s="328" t="s">
        <v>3006</v>
      </c>
      <c r="M339" s="328">
        <v>-229687.5</v>
      </c>
      <c r="N339" s="328" t="s">
        <v>3268</v>
      </c>
      <c r="P339" s="328" t="s">
        <v>3269</v>
      </c>
    </row>
    <row r="340" spans="10:16" s="328" customFormat="1" ht="0.65" hidden="1" customHeight="1">
      <c r="K340" s="328">
        <v>185</v>
      </c>
      <c r="L340" s="328" t="s">
        <v>3009</v>
      </c>
      <c r="M340" s="328">
        <v>-289406.25000000006</v>
      </c>
      <c r="N340" s="328" t="s">
        <v>3270</v>
      </c>
      <c r="P340" s="328" t="s">
        <v>3271</v>
      </c>
    </row>
    <row r="341" spans="10:16" s="328" customFormat="1" ht="0.65" hidden="1" customHeight="1">
      <c r="K341" s="328">
        <v>186</v>
      </c>
      <c r="L341" s="328" t="s">
        <v>3012</v>
      </c>
      <c r="M341" s="328">
        <v>-303876.5625</v>
      </c>
      <c r="N341" s="328" t="s">
        <v>3272</v>
      </c>
      <c r="P341" s="328" t="s">
        <v>3273</v>
      </c>
    </row>
    <row r="342" spans="10:16" s="328" customFormat="1" ht="0.65" hidden="1" customHeight="1">
      <c r="K342" s="328">
        <v>187</v>
      </c>
      <c r="L342" s="328" t="s">
        <v>3015</v>
      </c>
      <c r="M342" s="328">
        <v>-319070.39062500006</v>
      </c>
      <c r="N342" s="328" t="s">
        <v>3274</v>
      </c>
      <c r="P342" s="328" t="s">
        <v>3275</v>
      </c>
    </row>
    <row r="343" spans="10:16" s="328" customFormat="1" ht="0.65" hidden="1" customHeight="1">
      <c r="J343" s="328">
        <v>1</v>
      </c>
      <c r="K343" s="328">
        <v>188</v>
      </c>
      <c r="L343" s="328" t="s">
        <v>3018</v>
      </c>
      <c r="M343" s="328">
        <v>-175000</v>
      </c>
      <c r="N343" s="328" t="s">
        <v>3276</v>
      </c>
      <c r="P343" s="328" t="s">
        <v>3003</v>
      </c>
    </row>
    <row r="344" spans="10:16" s="328" customFormat="1" ht="0.65" hidden="1" customHeight="1">
      <c r="J344" s="328">
        <v>2</v>
      </c>
      <c r="K344" s="328">
        <v>189</v>
      </c>
      <c r="L344" s="328" t="s">
        <v>3020</v>
      </c>
      <c r="M344" s="328">
        <v>-54687.5</v>
      </c>
      <c r="N344" s="328" t="s">
        <v>3277</v>
      </c>
      <c r="P344" s="328" t="s">
        <v>3022</v>
      </c>
    </row>
    <row r="345" spans="10:16" s="328" customFormat="1" ht="0.65" hidden="1" customHeight="1">
      <c r="J345" s="328">
        <v>3</v>
      </c>
      <c r="K345" s="328">
        <v>190</v>
      </c>
      <c r="L345" s="328" t="s">
        <v>3023</v>
      </c>
      <c r="M345" s="328">
        <v>-59718.750000000058</v>
      </c>
      <c r="N345" s="328" t="s">
        <v>3278</v>
      </c>
      <c r="P345" s="328" t="s">
        <v>3025</v>
      </c>
    </row>
    <row r="346" spans="10:16" s="328" customFormat="1" ht="0.65" hidden="1" customHeight="1">
      <c r="J346" s="328">
        <v>4</v>
      </c>
      <c r="K346" s="328">
        <v>191</v>
      </c>
      <c r="L346" s="328" t="s">
        <v>3026</v>
      </c>
      <c r="M346" s="328">
        <v>-14470.312499999942</v>
      </c>
      <c r="N346" s="328" t="s">
        <v>3279</v>
      </c>
      <c r="P346" s="328" t="s">
        <v>3028</v>
      </c>
    </row>
    <row r="347" spans="10:16" s="328" customFormat="1" ht="0.65" hidden="1" customHeight="1">
      <c r="J347" s="328">
        <v>5</v>
      </c>
      <c r="K347" s="328">
        <v>192</v>
      </c>
      <c r="L347" s="328" t="s">
        <v>3029</v>
      </c>
      <c r="M347" s="328">
        <v>-15193.828125000058</v>
      </c>
      <c r="N347" s="328" t="s">
        <v>3280</v>
      </c>
      <c r="P347" s="328" t="s">
        <v>3031</v>
      </c>
    </row>
    <row r="348" spans="10:16" s="328" customFormat="1" ht="0.65" hidden="1" customHeight="1">
      <c r="K348" s="328">
        <v>193</v>
      </c>
      <c r="L348" s="328" t="s">
        <v>3032</v>
      </c>
      <c r="M348" s="328">
        <v>18220.000000000087</v>
      </c>
      <c r="N348" s="328" t="s">
        <v>3281</v>
      </c>
      <c r="P348" s="328" t="s">
        <v>3034</v>
      </c>
    </row>
    <row r="349" spans="10:16" s="328" customFormat="1" ht="0.65" hidden="1" customHeight="1">
      <c r="K349" s="328">
        <v>194</v>
      </c>
      <c r="L349" s="328" t="s">
        <v>3035</v>
      </c>
      <c r="M349" s="328">
        <v>-169108.74999999965</v>
      </c>
      <c r="N349" s="328" t="s">
        <v>3282</v>
      </c>
      <c r="P349" s="328" t="s">
        <v>3037</v>
      </c>
    </row>
    <row r="350" spans="10:16" s="328" customFormat="1" ht="0.65" hidden="1" customHeight="1">
      <c r="K350" s="328">
        <v>195</v>
      </c>
      <c r="L350" s="328" t="s">
        <v>3038</v>
      </c>
      <c r="M350" s="328">
        <v>-237338.62499999994</v>
      </c>
      <c r="N350" s="328" t="s">
        <v>3283</v>
      </c>
      <c r="P350" s="328" t="s">
        <v>3040</v>
      </c>
    </row>
    <row r="351" spans="10:16" s="328" customFormat="1" ht="0.65" hidden="1" customHeight="1">
      <c r="K351" s="328">
        <v>196</v>
      </c>
      <c r="L351" s="328" t="s">
        <v>3041</v>
      </c>
      <c r="M351" s="328">
        <v>-298735.93125000008</v>
      </c>
      <c r="N351" s="328" t="s">
        <v>3284</v>
      </c>
      <c r="P351" s="328" t="s">
        <v>3043</v>
      </c>
    </row>
    <row r="352" spans="10:16" s="328" customFormat="1" ht="0.65" hidden="1" customHeight="1">
      <c r="K352" s="328">
        <v>197</v>
      </c>
      <c r="L352" s="328" t="s">
        <v>3044</v>
      </c>
      <c r="M352" s="328">
        <v>-314968.7278124998</v>
      </c>
      <c r="N352" s="328" t="s">
        <v>3285</v>
      </c>
      <c r="P352" s="328" t="s">
        <v>3046</v>
      </c>
    </row>
    <row r="353" spans="11:16" s="328" customFormat="1" ht="0.65" hidden="1" customHeight="1">
      <c r="K353" s="328">
        <v>198</v>
      </c>
      <c r="L353" s="328" t="s">
        <v>3047</v>
      </c>
      <c r="M353" s="328">
        <v>0</v>
      </c>
      <c r="N353" s="328">
        <v>0</v>
      </c>
      <c r="P353" s="328" t="s">
        <v>3049</v>
      </c>
    </row>
    <row r="354" spans="11:16" s="328" customFormat="1" ht="0.65" hidden="1" customHeight="1">
      <c r="K354" s="328">
        <v>199</v>
      </c>
      <c r="L354" s="328" t="s">
        <v>3050</v>
      </c>
      <c r="M354" s="328">
        <v>18220.000000000087</v>
      </c>
      <c r="N354" s="328" t="s">
        <v>3286</v>
      </c>
      <c r="P354" s="328" t="s">
        <v>3032</v>
      </c>
    </row>
    <row r="355" spans="11:16" s="328" customFormat="1" ht="0.65" hidden="1" customHeight="1">
      <c r="K355" s="328">
        <v>200</v>
      </c>
      <c r="L355" s="328" t="s">
        <v>3052</v>
      </c>
      <c r="M355" s="328">
        <v>-169108.74999999965</v>
      </c>
      <c r="N355" s="328" t="s">
        <v>3287</v>
      </c>
      <c r="P355" s="328" t="s">
        <v>3035</v>
      </c>
    </row>
    <row r="356" spans="11:16" s="328" customFormat="1" ht="0.65" hidden="1" customHeight="1">
      <c r="K356" s="328">
        <v>201</v>
      </c>
      <c r="L356" s="328" t="s">
        <v>3054</v>
      </c>
      <c r="M356" s="328">
        <v>-237338.62499999994</v>
      </c>
      <c r="N356" s="328" t="s">
        <v>3288</v>
      </c>
      <c r="P356" s="328" t="s">
        <v>3038</v>
      </c>
    </row>
    <row r="357" spans="11:16" s="328" customFormat="1" ht="0.65" hidden="1" customHeight="1">
      <c r="K357" s="328">
        <v>202</v>
      </c>
      <c r="L357" s="328" t="s">
        <v>3056</v>
      </c>
      <c r="M357" s="328">
        <v>-298735.93125000008</v>
      </c>
      <c r="N357" s="328" t="s">
        <v>3289</v>
      </c>
      <c r="P357" s="328" t="s">
        <v>3041</v>
      </c>
    </row>
    <row r="358" spans="11:16" s="328" customFormat="1" ht="0.65" hidden="1" customHeight="1">
      <c r="K358" s="328">
        <v>203</v>
      </c>
      <c r="L358" s="328" t="s">
        <v>3058</v>
      </c>
      <c r="M358" s="328">
        <v>-634039.11843749986</v>
      </c>
      <c r="N358" s="328" t="s">
        <v>3290</v>
      </c>
      <c r="P358" s="328" t="s">
        <v>3060</v>
      </c>
    </row>
    <row r="359" spans="11:16" s="328" customFormat="1" ht="0.65" hidden="1" customHeight="1">
      <c r="K359" s="328">
        <v>204</v>
      </c>
      <c r="L359" s="328" t="s">
        <v>3061</v>
      </c>
      <c r="M359" s="328">
        <v>0</v>
      </c>
      <c r="N359" s="328">
        <v>0</v>
      </c>
      <c r="P359" s="328">
        <v>0</v>
      </c>
    </row>
    <row r="360" spans="11:16" s="328" customFormat="1" ht="0.65" hidden="1" customHeight="1">
      <c r="K360" s="328">
        <v>205</v>
      </c>
      <c r="L360" s="328" t="s">
        <v>3062</v>
      </c>
      <c r="M360" s="328">
        <v>0</v>
      </c>
      <c r="N360" s="328">
        <v>0</v>
      </c>
      <c r="P360" s="328">
        <v>0</v>
      </c>
    </row>
    <row r="361" spans="11:16" s="328" customFormat="1" ht="0.65" hidden="1" customHeight="1">
      <c r="K361" s="328">
        <v>206</v>
      </c>
      <c r="L361" s="328" t="s">
        <v>3065</v>
      </c>
      <c r="M361" s="328">
        <v>-319070.39062500006</v>
      </c>
      <c r="N361" s="328" t="s">
        <v>3291</v>
      </c>
      <c r="P361" s="328" t="s">
        <v>3015</v>
      </c>
    </row>
    <row r="362" spans="11:16" s="328" customFormat="1" ht="0.65" hidden="1" customHeight="1">
      <c r="K362" s="328">
        <v>207</v>
      </c>
      <c r="L362" s="328" t="s">
        <v>3067</v>
      </c>
      <c r="M362" s="328">
        <v>-319070.39062500006</v>
      </c>
      <c r="N362" s="328" t="s">
        <v>3292</v>
      </c>
      <c r="P362" s="328" t="s">
        <v>3069</v>
      </c>
    </row>
    <row r="363" spans="11:16" s="328" customFormat="1" ht="0.65" hidden="1" customHeight="1">
      <c r="K363" s="328">
        <v>208</v>
      </c>
      <c r="L363" s="328" t="s">
        <v>2870</v>
      </c>
      <c r="M363" s="328">
        <v>0.11300000000000021</v>
      </c>
      <c r="N363" s="328" t="s">
        <v>3070</v>
      </c>
      <c r="P363" s="328" t="s">
        <v>3071</v>
      </c>
    </row>
    <row r="364" spans="11:16" s="328" customFormat="1" ht="0.65" hidden="1" customHeight="1">
      <c r="K364" s="328">
        <v>209</v>
      </c>
      <c r="L364" s="328" t="s">
        <v>13</v>
      </c>
      <c r="M364" s="328">
        <v>-858184.88747351978</v>
      </c>
      <c r="N364" s="328" t="s">
        <v>3293</v>
      </c>
      <c r="P364" s="328" t="s">
        <v>3073</v>
      </c>
    </row>
    <row r="365" spans="11:16" s="806" customFormat="1" ht="15" hidden="1" customHeight="1"/>
    <row r="366" spans="11:16" s="132" customFormat="1" ht="15" customHeight="1"/>
    <row r="367" spans="11:16" s="132" customFormat="1" ht="15" customHeight="1"/>
  </sheetData>
  <sheetProtection algorithmName="SHA-512" hashValue="OU1+WCpErwDp45OZWJKT56RW1q2xCKkZVXFwGQhoE2MBCDcqoA3w+LP7c6RznIQddw0e+nJg5xBQnpoIgM3KPA==" saltValue="1KKo8NicoYZKkW9nQrP42A==" spinCount="100000" sheet="1" selectLockedCells="1"/>
  <conditionalFormatting sqref="A1:XFD1048576">
    <cfRule type="expression" dxfId="39" priority="1">
      <formula>OR(NOT($A$2="SI"),NOT($A$1=$A$3))</formula>
    </cfRule>
  </conditionalFormatting>
  <conditionalFormatting sqref="N16:W16">
    <cfRule type="expression" dxfId="38" priority="8">
      <formula>NOT($O$16="")</formula>
    </cfRule>
  </conditionalFormatting>
  <conditionalFormatting sqref="N33:W33">
    <cfRule type="expression" dxfId="37" priority="7">
      <formula>NOT($O$33="")</formula>
    </cfRule>
  </conditionalFormatting>
  <conditionalFormatting sqref="N50:W50">
    <cfRule type="expression" dxfId="36" priority="6">
      <formula>NOT($O$50="")</formula>
    </cfRule>
  </conditionalFormatting>
  <conditionalFormatting sqref="P51:W51">
    <cfRule type="expression" dxfId="35" priority="5">
      <formula>NOT($P$51="")</formula>
    </cfRule>
  </conditionalFormatting>
  <conditionalFormatting sqref="P34:W34">
    <cfRule type="expression" dxfId="34" priority="4">
      <formula>NOT($P$34="")</formula>
    </cfRule>
  </conditionalFormatting>
  <conditionalFormatting sqref="P17:W17">
    <cfRule type="expression" dxfId="33" priority="3">
      <formula>NOT($P$17="")</formula>
    </cfRule>
  </conditionalFormatting>
  <conditionalFormatting sqref="A1:A4 Q31 Q48 A155:XFD371">
    <cfRule type="expression" dxfId="32" priority="2">
      <formula>NOT($V$13="javi")</formula>
    </cfRule>
  </conditionalFormatting>
  <pageMargins left="0.70866141732283472" right="0.70866141732283472" top="0.74803149606299213" bottom="0.74803149606299213" header="0.31496062992125984" footer="0.31496062992125984"/>
  <pageSetup paperSize="9" scale="65" orientation="landscape" r:id="rId1"/>
  <headerFooter>
    <oddHeader>&amp;CEmpresa DISVISA - Caso práctico de inversión en condiciones de certeza: Incrementalidad, FM, inflación - Solución correcta alternativa</oddHeader>
    <oddFooter>&amp;CPágina &amp;P de &amp;N</oddFooter>
  </headerFooter>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7C6C-7485-4E99-916A-62929AF7CB94}">
  <dimension ref="A1:Y106"/>
  <sheetViews>
    <sheetView showGridLines="0" workbookViewId="0">
      <selection activeCell="B2" sqref="B2:I2"/>
    </sheetView>
  </sheetViews>
  <sheetFormatPr baseColWidth="10" defaultColWidth="11.453125" defaultRowHeight="14.5"/>
  <cols>
    <col min="1" max="1" width="11.453125" style="1"/>
    <col min="2" max="2" width="18.54296875" style="1" customWidth="1"/>
    <col min="3" max="3" width="12.54296875" style="1" bestFit="1" customWidth="1"/>
    <col min="4" max="4" width="11.453125" style="1"/>
    <col min="5" max="5" width="20.453125" style="1" customWidth="1"/>
    <col min="6" max="6" width="14.1796875" style="1" customWidth="1"/>
    <col min="7" max="23" width="11.453125" style="1"/>
    <col min="24" max="24" width="12.54296875" style="1" customWidth="1"/>
    <col min="25" max="16384" width="11.453125" style="1"/>
  </cols>
  <sheetData>
    <row r="1" spans="1:25">
      <c r="A1" s="760" t="str">
        <f>'Instrucciones de uso'!$H$15</f>
        <v>contraseña</v>
      </c>
      <c r="B1" s="761" t="s">
        <v>3951</v>
      </c>
      <c r="K1" s="761" t="s">
        <v>3951</v>
      </c>
    </row>
    <row r="2" spans="1:25">
      <c r="A2" s="605" t="str">
        <f>IF(AND('Instrucciones de uso'!$J$14="x",'Instrucciones de uso'!$I$33="SI"),"SI","NO")</f>
        <v>NO</v>
      </c>
      <c r="B2" s="1051" t="s">
        <v>2850</v>
      </c>
      <c r="C2" s="1051"/>
      <c r="D2" s="1051"/>
      <c r="E2" s="1051"/>
      <c r="F2" s="1051"/>
      <c r="G2" s="1051"/>
      <c r="H2" s="1051"/>
      <c r="I2" s="1051"/>
      <c r="K2" s="814" t="s">
        <v>3296</v>
      </c>
      <c r="L2" s="815"/>
      <c r="M2" s="815"/>
      <c r="N2" s="815"/>
      <c r="O2" s="815"/>
      <c r="P2" s="815"/>
      <c r="Q2" s="815"/>
      <c r="R2" s="815"/>
      <c r="S2" s="815"/>
      <c r="T2" s="815"/>
      <c r="U2" s="815"/>
      <c r="V2" s="815"/>
      <c r="W2" s="816" t="s">
        <v>2638</v>
      </c>
      <c r="Y2" s="816" t="s">
        <v>2639</v>
      </c>
    </row>
    <row r="3" spans="1:25">
      <c r="A3" s="6" t="str">
        <f>'Instrucciones de uso'!$J$15</f>
        <v>contraseña</v>
      </c>
      <c r="B3" s="764"/>
      <c r="C3" s="764"/>
      <c r="D3" s="764"/>
      <c r="E3" s="764"/>
      <c r="F3" s="764"/>
      <c r="G3" s="764"/>
      <c r="H3" s="764"/>
      <c r="I3" s="764"/>
      <c r="L3" s="765" t="s">
        <v>55</v>
      </c>
      <c r="M3" s="765" t="s">
        <v>55</v>
      </c>
      <c r="N3" s="765" t="s">
        <v>55</v>
      </c>
      <c r="O3" s="765" t="s">
        <v>55</v>
      </c>
      <c r="P3" s="765" t="s">
        <v>55</v>
      </c>
      <c r="Q3" s="765" t="s">
        <v>55</v>
      </c>
      <c r="R3" s="765" t="s">
        <v>55</v>
      </c>
      <c r="S3" s="765" t="s">
        <v>55</v>
      </c>
      <c r="T3" s="765" t="s">
        <v>55</v>
      </c>
      <c r="U3" s="765" t="s">
        <v>55</v>
      </c>
      <c r="V3" s="765" t="s">
        <v>55</v>
      </c>
      <c r="W3" s="765" t="s">
        <v>55</v>
      </c>
      <c r="Y3" s="6"/>
    </row>
    <row r="4" spans="1:25">
      <c r="A4" s="6"/>
      <c r="B4" s="156" t="s">
        <v>2852</v>
      </c>
      <c r="C4" s="156"/>
      <c r="D4" s="764"/>
      <c r="E4" s="156" t="s">
        <v>2853</v>
      </c>
      <c r="F4" s="156"/>
      <c r="G4" s="764"/>
      <c r="H4" s="764"/>
      <c r="I4" s="764"/>
      <c r="K4" s="668" t="s">
        <v>0</v>
      </c>
      <c r="L4" s="668" t="s">
        <v>2885</v>
      </c>
      <c r="M4" s="668" t="s">
        <v>2855</v>
      </c>
      <c r="N4" s="668" t="s">
        <v>2856</v>
      </c>
      <c r="O4" s="668" t="s">
        <v>71</v>
      </c>
      <c r="P4" s="668" t="s">
        <v>72</v>
      </c>
      <c r="Q4" s="668" t="s">
        <v>2857</v>
      </c>
      <c r="R4" s="668" t="s">
        <v>74</v>
      </c>
      <c r="S4" s="668" t="s">
        <v>2858</v>
      </c>
      <c r="T4" s="668" t="s">
        <v>2859</v>
      </c>
      <c r="U4" s="668" t="s">
        <v>2860</v>
      </c>
      <c r="V4" s="668" t="s">
        <v>2861</v>
      </c>
      <c r="W4" s="668" t="s">
        <v>2862</v>
      </c>
      <c r="Y4" s="668" t="s">
        <v>2862</v>
      </c>
    </row>
    <row r="5" spans="1:25">
      <c r="A5" s="766">
        <v>0.05</v>
      </c>
      <c r="B5" s="17"/>
      <c r="C5" s="17"/>
      <c r="D5" s="764"/>
      <c r="E5" s="767"/>
      <c r="F5" s="767"/>
      <c r="G5" s="764"/>
      <c r="H5" s="764"/>
      <c r="I5" s="764"/>
      <c r="K5" s="668">
        <v>2022</v>
      </c>
      <c r="L5" s="768" t="s">
        <v>2651</v>
      </c>
      <c r="M5" s="768" t="s">
        <v>2651</v>
      </c>
      <c r="N5" s="768" t="s">
        <v>2651</v>
      </c>
      <c r="O5" s="768" t="s">
        <v>2651</v>
      </c>
      <c r="P5" s="768" t="s">
        <v>2651</v>
      </c>
      <c r="Q5" s="768" t="s">
        <v>2651</v>
      </c>
      <c r="R5" s="768" t="s">
        <v>2651</v>
      </c>
      <c r="S5" s="768" t="s">
        <v>2651</v>
      </c>
      <c r="T5" s="768" t="s">
        <v>2651</v>
      </c>
      <c r="U5" s="768" t="s">
        <v>2651</v>
      </c>
      <c r="V5" s="768" t="s">
        <v>2651</v>
      </c>
      <c r="W5" s="769">
        <v>-250000</v>
      </c>
      <c r="Y5" s="769">
        <v>-250000</v>
      </c>
    </row>
    <row r="6" spans="1:25">
      <c r="B6" s="17" t="s">
        <v>2863</v>
      </c>
      <c r="C6" s="770">
        <v>250000</v>
      </c>
      <c r="D6" s="764"/>
      <c r="E6" s="771" t="s">
        <v>2832</v>
      </c>
      <c r="F6" s="771" t="s">
        <v>2864</v>
      </c>
      <c r="G6" s="764"/>
      <c r="H6" s="764"/>
      <c r="I6" s="764"/>
      <c r="K6" s="668">
        <v>2023</v>
      </c>
      <c r="L6" s="769">
        <v>2100000</v>
      </c>
      <c r="M6" s="769">
        <v>1802500</v>
      </c>
      <c r="N6" s="769">
        <v>297500</v>
      </c>
      <c r="O6" s="769">
        <v>25000</v>
      </c>
      <c r="P6" s="769">
        <v>272500</v>
      </c>
      <c r="Q6" s="769">
        <v>76300</v>
      </c>
      <c r="R6" s="769">
        <v>196200</v>
      </c>
      <c r="S6" s="769">
        <v>221200</v>
      </c>
      <c r="T6" s="769">
        <v>175000</v>
      </c>
      <c r="U6" s="769">
        <v>175000</v>
      </c>
      <c r="V6" s="769">
        <v>46200</v>
      </c>
      <c r="W6" s="769">
        <v>46200</v>
      </c>
      <c r="Y6" s="769">
        <v>44000</v>
      </c>
    </row>
    <row r="7" spans="1:25">
      <c r="B7" s="17" t="s">
        <v>2865</v>
      </c>
      <c r="C7" s="770">
        <v>200000</v>
      </c>
      <c r="D7" s="764"/>
      <c r="E7" s="772">
        <v>2023</v>
      </c>
      <c r="F7" s="773">
        <v>2000000</v>
      </c>
      <c r="G7" s="764"/>
      <c r="H7" s="764"/>
      <c r="I7" s="764"/>
      <c r="K7" s="668">
        <v>2024</v>
      </c>
      <c r="L7" s="769">
        <v>2756250</v>
      </c>
      <c r="M7" s="769">
        <v>2352000</v>
      </c>
      <c r="N7" s="769">
        <v>404250</v>
      </c>
      <c r="O7" s="769">
        <v>25000</v>
      </c>
      <c r="P7" s="769">
        <v>379250</v>
      </c>
      <c r="Q7" s="769">
        <v>106190.00000000001</v>
      </c>
      <c r="R7" s="769">
        <v>273060</v>
      </c>
      <c r="S7" s="769">
        <v>298060</v>
      </c>
      <c r="T7" s="769">
        <v>229687.5</v>
      </c>
      <c r="U7" s="769">
        <v>54687.5</v>
      </c>
      <c r="V7" s="769">
        <v>243372.5</v>
      </c>
      <c r="W7" s="769">
        <v>243372.5</v>
      </c>
      <c r="Y7" s="769">
        <v>220746.03174603175</v>
      </c>
    </row>
    <row r="8" spans="1:25">
      <c r="B8" s="17" t="s">
        <v>2866</v>
      </c>
      <c r="C8" s="770">
        <v>10</v>
      </c>
      <c r="D8" s="764"/>
      <c r="E8" s="774">
        <v>2024</v>
      </c>
      <c r="F8" s="775">
        <v>2500000</v>
      </c>
      <c r="G8" s="764"/>
      <c r="H8" s="764"/>
      <c r="I8" s="764"/>
      <c r="K8" s="668">
        <v>2025</v>
      </c>
      <c r="L8" s="769">
        <v>3472875.0000000005</v>
      </c>
      <c r="M8" s="769">
        <v>2951943.7500000005</v>
      </c>
      <c r="N8" s="769">
        <v>520931.25</v>
      </c>
      <c r="O8" s="769">
        <v>25000</v>
      </c>
      <c r="P8" s="769">
        <v>495931.25</v>
      </c>
      <c r="Q8" s="769">
        <v>138860.75</v>
      </c>
      <c r="R8" s="769">
        <v>357070.5</v>
      </c>
      <c r="S8" s="769">
        <v>382070.5</v>
      </c>
      <c r="T8" s="769">
        <v>289406.25000000006</v>
      </c>
      <c r="U8" s="769">
        <v>59718.750000000058</v>
      </c>
      <c r="V8" s="769">
        <v>322351.74999999994</v>
      </c>
      <c r="W8" s="769">
        <v>322351.74999999994</v>
      </c>
      <c r="Y8" s="769">
        <v>278459.56160241866</v>
      </c>
    </row>
    <row r="9" spans="1:25">
      <c r="B9" s="17"/>
      <c r="C9" s="17"/>
      <c r="D9" s="764"/>
      <c r="E9" s="774">
        <v>2025</v>
      </c>
      <c r="F9" s="775">
        <v>3000000</v>
      </c>
      <c r="G9" s="764"/>
      <c r="H9" s="764"/>
      <c r="I9" s="764"/>
      <c r="K9" s="668">
        <v>2026</v>
      </c>
      <c r="L9" s="769">
        <v>3646518.75</v>
      </c>
      <c r="M9" s="769">
        <v>3099540.9375</v>
      </c>
      <c r="N9" s="769">
        <v>546977.8125</v>
      </c>
      <c r="O9" s="769">
        <v>25000</v>
      </c>
      <c r="P9" s="769">
        <v>521977.8125</v>
      </c>
      <c r="Q9" s="769">
        <v>146153.78750000001</v>
      </c>
      <c r="R9" s="769">
        <v>375824.02500000002</v>
      </c>
      <c r="S9" s="769">
        <v>400824.02500000002</v>
      </c>
      <c r="T9" s="769">
        <v>303876.5625</v>
      </c>
      <c r="U9" s="769">
        <v>14470.312499999942</v>
      </c>
      <c r="V9" s="769">
        <v>386353.71250000008</v>
      </c>
      <c r="W9" s="769">
        <v>386353.71250000008</v>
      </c>
      <c r="Y9" s="769">
        <v>317854.15541878133</v>
      </c>
    </row>
    <row r="10" spans="1:25">
      <c r="B10" s="17"/>
      <c r="C10" s="17"/>
      <c r="D10" s="764"/>
      <c r="E10" s="774">
        <v>2026</v>
      </c>
      <c r="F10" s="775">
        <v>3000000</v>
      </c>
      <c r="G10" s="764"/>
      <c r="H10" s="156" t="s">
        <v>2867</v>
      </c>
      <c r="I10" s="156"/>
      <c r="K10" s="668">
        <v>2027</v>
      </c>
      <c r="L10" s="769">
        <v>3828844.6875000005</v>
      </c>
      <c r="M10" s="769">
        <v>3254517.9843750005</v>
      </c>
      <c r="N10" s="769">
        <v>574326.703125</v>
      </c>
      <c r="O10" s="769">
        <v>25000</v>
      </c>
      <c r="P10" s="769">
        <v>549326.703125</v>
      </c>
      <c r="Q10" s="769">
        <v>153811.47687500002</v>
      </c>
      <c r="R10" s="769">
        <v>395515.22624999995</v>
      </c>
      <c r="S10" s="769">
        <v>420515.22624999995</v>
      </c>
      <c r="T10" s="769">
        <v>319070.39062500006</v>
      </c>
      <c r="U10" s="769">
        <v>15193.828125000058</v>
      </c>
      <c r="V10" s="769">
        <v>405321.39812499989</v>
      </c>
      <c r="W10" s="769">
        <v>903391.78874999995</v>
      </c>
      <c r="Y10" s="769">
        <v>707831.10505837132</v>
      </c>
    </row>
    <row r="11" spans="1:25">
      <c r="B11" s="17"/>
      <c r="C11" s="17"/>
      <c r="D11" s="764"/>
      <c r="E11" s="776">
        <v>2027</v>
      </c>
      <c r="F11" s="777">
        <v>3000000</v>
      </c>
      <c r="G11" s="764"/>
      <c r="H11" s="778"/>
      <c r="I11" s="778"/>
    </row>
    <row r="12" spans="1:25">
      <c r="B12" s="17"/>
      <c r="C12" s="17"/>
      <c r="D12" s="764"/>
      <c r="E12" s="767"/>
      <c r="F12" s="767"/>
      <c r="G12" s="764"/>
      <c r="H12" s="778" t="s">
        <v>2868</v>
      </c>
      <c r="I12" s="779">
        <v>2022</v>
      </c>
      <c r="K12" s="780" t="s">
        <v>2869</v>
      </c>
      <c r="L12" s="781">
        <v>250000</v>
      </c>
      <c r="M12" s="765" t="s">
        <v>55</v>
      </c>
      <c r="N12" s="106" t="s">
        <v>2870</v>
      </c>
      <c r="O12" s="782">
        <v>0.11300000000000021</v>
      </c>
      <c r="P12" s="765" t="s">
        <v>55</v>
      </c>
      <c r="Q12" s="60"/>
      <c r="R12" s="60"/>
      <c r="S12" s="60"/>
      <c r="T12" s="60"/>
      <c r="U12" s="60"/>
      <c r="V12" s="60"/>
      <c r="W12" s="60"/>
      <c r="X12" s="106" t="s">
        <v>2872</v>
      </c>
      <c r="Y12" s="782">
        <v>0.06</v>
      </c>
    </row>
    <row r="13" spans="1:25">
      <c r="B13" s="156" t="s">
        <v>2873</v>
      </c>
      <c r="C13" s="156"/>
      <c r="D13" s="764"/>
      <c r="E13" s="785" t="s">
        <v>2874</v>
      </c>
      <c r="F13" s="786">
        <v>50000</v>
      </c>
      <c r="G13" s="764"/>
      <c r="H13" s="778"/>
      <c r="I13" s="778"/>
      <c r="K13" s="787" t="s">
        <v>3200</v>
      </c>
      <c r="L13" s="781">
        <v>179000</v>
      </c>
      <c r="M13" s="765" t="s">
        <v>55</v>
      </c>
      <c r="O13" s="6"/>
      <c r="Y13" s="6"/>
    </row>
    <row r="14" spans="1:25">
      <c r="B14" s="788"/>
      <c r="C14" s="788"/>
      <c r="D14" s="764"/>
      <c r="E14" s="767" t="s">
        <v>2876</v>
      </c>
      <c r="F14" s="789">
        <v>0.2</v>
      </c>
      <c r="G14" s="764"/>
      <c r="H14" s="778" t="s">
        <v>2630</v>
      </c>
      <c r="I14" s="790">
        <v>0.05</v>
      </c>
      <c r="K14" s="787" t="s">
        <v>2877</v>
      </c>
      <c r="L14" s="781">
        <v>319070.39062500006</v>
      </c>
      <c r="M14" s="765" t="s">
        <v>55</v>
      </c>
      <c r="N14" s="106" t="s">
        <v>13</v>
      </c>
      <c r="O14" s="781">
        <v>1002475.4744343841</v>
      </c>
      <c r="P14" s="765" t="s">
        <v>55</v>
      </c>
      <c r="X14" s="106" t="s">
        <v>13</v>
      </c>
      <c r="Y14" s="781">
        <v>1002475.4744343846</v>
      </c>
    </row>
    <row r="15" spans="1:25">
      <c r="B15" s="788" t="s">
        <v>2879</v>
      </c>
      <c r="C15" s="791">
        <v>3000</v>
      </c>
      <c r="D15" s="764"/>
      <c r="E15" s="767" t="s">
        <v>2880</v>
      </c>
      <c r="F15" s="786">
        <v>30</v>
      </c>
      <c r="G15" s="764"/>
      <c r="H15" s="778" t="s">
        <v>2881</v>
      </c>
      <c r="I15" s="792">
        <v>5</v>
      </c>
      <c r="K15" s="787" t="s">
        <v>2882</v>
      </c>
      <c r="L15" s="781">
        <v>498070.39062500006</v>
      </c>
      <c r="M15" s="765" t="s">
        <v>55</v>
      </c>
    </row>
    <row r="16" spans="1:25">
      <c r="B16" s="764"/>
      <c r="C16" s="764"/>
      <c r="D16" s="764"/>
      <c r="E16" s="764"/>
      <c r="F16" s="764"/>
      <c r="G16" s="764"/>
      <c r="H16" s="778"/>
      <c r="I16" s="778"/>
      <c r="O16" s="8" t="s">
        <v>55</v>
      </c>
      <c r="P16" s="793" t="s">
        <v>55</v>
      </c>
    </row>
    <row r="17" spans="2:25">
      <c r="B17" s="764"/>
      <c r="C17" s="764"/>
      <c r="D17" s="764"/>
      <c r="E17" s="764"/>
      <c r="F17" s="764"/>
      <c r="G17" s="764"/>
      <c r="H17" s="778" t="s">
        <v>4</v>
      </c>
      <c r="I17" s="790">
        <v>0.28000000000000003</v>
      </c>
      <c r="P17" s="793" t="s">
        <v>55</v>
      </c>
    </row>
    <row r="18" spans="2:25">
      <c r="B18" s="764"/>
      <c r="C18" s="764"/>
      <c r="D18" s="764"/>
      <c r="E18" s="764"/>
      <c r="F18" s="764"/>
      <c r="G18" s="764"/>
      <c r="H18" s="778" t="s">
        <v>2635</v>
      </c>
      <c r="I18" s="790">
        <v>0.06</v>
      </c>
      <c r="P18" s="793"/>
    </row>
    <row r="19" spans="2:25">
      <c r="B19" s="156" t="s">
        <v>2883</v>
      </c>
      <c r="C19" s="156"/>
      <c r="D19" s="156"/>
      <c r="E19" s="156"/>
      <c r="F19" s="156"/>
      <c r="G19" s="764"/>
      <c r="H19" s="764"/>
      <c r="I19" s="764"/>
    </row>
    <row r="20" spans="2:25">
      <c r="B20" s="794"/>
      <c r="C20" s="794"/>
      <c r="D20" s="794"/>
      <c r="E20" s="794"/>
      <c r="F20" s="794"/>
      <c r="G20" s="764"/>
      <c r="H20" s="764"/>
      <c r="I20" s="764"/>
      <c r="K20" s="817" t="s">
        <v>3297</v>
      </c>
      <c r="L20" s="818"/>
      <c r="M20" s="818"/>
      <c r="N20" s="818"/>
      <c r="O20" s="818"/>
      <c r="P20" s="818"/>
      <c r="Q20" s="818"/>
      <c r="R20" s="818"/>
      <c r="S20" s="818"/>
      <c r="T20" s="818"/>
      <c r="U20" s="818"/>
      <c r="V20" s="818"/>
      <c r="W20" s="819" t="s">
        <v>2639</v>
      </c>
      <c r="X20" s="820"/>
      <c r="Y20" s="820"/>
    </row>
    <row r="21" spans="2:25">
      <c r="B21" s="794" t="s">
        <v>2863</v>
      </c>
      <c r="C21" s="795">
        <v>0</v>
      </c>
      <c r="D21" s="794"/>
      <c r="E21" s="796" t="s">
        <v>2832</v>
      </c>
      <c r="F21" s="796" t="s">
        <v>2864</v>
      </c>
      <c r="G21" s="764"/>
      <c r="H21" s="764"/>
      <c r="I21" s="764"/>
      <c r="L21" s="765" t="s">
        <v>55</v>
      </c>
      <c r="M21" s="765" t="s">
        <v>55</v>
      </c>
      <c r="N21" s="765" t="s">
        <v>55</v>
      </c>
      <c r="O21" s="765" t="s">
        <v>55</v>
      </c>
      <c r="P21" s="765" t="s">
        <v>55</v>
      </c>
      <c r="Q21" s="765" t="s">
        <v>55</v>
      </c>
      <c r="R21" s="765" t="s">
        <v>55</v>
      </c>
      <c r="S21" s="765" t="s">
        <v>55</v>
      </c>
      <c r="T21" s="765" t="s">
        <v>55</v>
      </c>
      <c r="U21" s="765" t="s">
        <v>55</v>
      </c>
      <c r="V21" s="765" t="s">
        <v>55</v>
      </c>
      <c r="W21" s="765" t="s">
        <v>55</v>
      </c>
      <c r="X21" s="820"/>
      <c r="Y21" s="820"/>
    </row>
    <row r="22" spans="2:25">
      <c r="B22" s="794" t="s">
        <v>2886</v>
      </c>
      <c r="C22" s="795">
        <v>0</v>
      </c>
      <c r="D22" s="794"/>
      <c r="E22" s="797">
        <v>2023</v>
      </c>
      <c r="F22" s="798">
        <v>875000.00000000012</v>
      </c>
      <c r="G22" s="764"/>
      <c r="H22" s="764"/>
      <c r="I22" s="764"/>
      <c r="K22" s="668" t="s">
        <v>0</v>
      </c>
      <c r="L22" s="668" t="s">
        <v>2885</v>
      </c>
      <c r="M22" s="668" t="s">
        <v>2855</v>
      </c>
      <c r="N22" s="668" t="s">
        <v>2856</v>
      </c>
      <c r="O22" s="668" t="s">
        <v>71</v>
      </c>
      <c r="P22" s="668" t="s">
        <v>72</v>
      </c>
      <c r="Q22" s="668" t="s">
        <v>2857</v>
      </c>
      <c r="R22" s="668" t="s">
        <v>74</v>
      </c>
      <c r="S22" s="668" t="s">
        <v>2858</v>
      </c>
      <c r="T22" s="668" t="s">
        <v>2859</v>
      </c>
      <c r="U22" s="668" t="s">
        <v>2860</v>
      </c>
      <c r="V22" s="668" t="s">
        <v>2861</v>
      </c>
      <c r="W22" s="668" t="s">
        <v>2862</v>
      </c>
      <c r="X22" s="820"/>
      <c r="Y22" s="820"/>
    </row>
    <row r="23" spans="2:25">
      <c r="B23" s="794" t="s">
        <v>2887</v>
      </c>
      <c r="C23" s="795">
        <v>0</v>
      </c>
      <c r="D23" s="794"/>
      <c r="E23" s="799">
        <v>2024</v>
      </c>
      <c r="F23" s="800">
        <v>1093750.0000000002</v>
      </c>
      <c r="G23" s="764"/>
      <c r="H23" s="764"/>
      <c r="I23" s="764"/>
      <c r="K23" s="668">
        <v>2022</v>
      </c>
      <c r="L23" s="768" t="s">
        <v>2651</v>
      </c>
      <c r="M23" s="768" t="s">
        <v>2651</v>
      </c>
      <c r="N23" s="768" t="s">
        <v>2651</v>
      </c>
      <c r="O23" s="768" t="s">
        <v>2651</v>
      </c>
      <c r="P23" s="768" t="s">
        <v>2651</v>
      </c>
      <c r="Q23" s="768" t="s">
        <v>2651</v>
      </c>
      <c r="R23" s="768" t="s">
        <v>2651</v>
      </c>
      <c r="S23" s="768" t="s">
        <v>2651</v>
      </c>
      <c r="T23" s="768" t="s">
        <v>2651</v>
      </c>
      <c r="U23" s="768" t="s">
        <v>2651</v>
      </c>
      <c r="V23" s="768" t="s">
        <v>2651</v>
      </c>
      <c r="W23" s="769">
        <v>-250000</v>
      </c>
      <c r="X23" s="820"/>
      <c r="Y23" s="820"/>
    </row>
    <row r="24" spans="2:25">
      <c r="B24" s="794" t="s">
        <v>2876</v>
      </c>
      <c r="C24" s="801">
        <v>0.05</v>
      </c>
      <c r="D24" s="794"/>
      <c r="E24" s="799">
        <v>2025</v>
      </c>
      <c r="F24" s="800">
        <v>1312500</v>
      </c>
      <c r="G24" s="764"/>
      <c r="H24" s="764"/>
      <c r="I24" s="764"/>
      <c r="K24" s="668">
        <v>2023</v>
      </c>
      <c r="L24" s="769">
        <v>2000000</v>
      </c>
      <c r="M24" s="769">
        <v>1716666.6666666667</v>
      </c>
      <c r="N24" s="769">
        <v>283333.33333333326</v>
      </c>
      <c r="O24" s="769">
        <v>25000</v>
      </c>
      <c r="P24" s="769">
        <v>258333.33333333326</v>
      </c>
      <c r="Q24" s="769">
        <v>72333.333333333314</v>
      </c>
      <c r="R24" s="769">
        <v>185999.99999999994</v>
      </c>
      <c r="S24" s="769">
        <v>210999.99999999994</v>
      </c>
      <c r="T24" s="769">
        <v>166666.66666666666</v>
      </c>
      <c r="U24" s="769">
        <v>166666.66666666666</v>
      </c>
      <c r="V24" s="769">
        <v>44333.333333333285</v>
      </c>
      <c r="W24" s="769">
        <v>44333.333333333285</v>
      </c>
      <c r="X24" s="820"/>
      <c r="Y24" s="820"/>
    </row>
    <row r="25" spans="2:25">
      <c r="B25" s="794"/>
      <c r="C25" s="794"/>
      <c r="D25" s="794"/>
      <c r="E25" s="799">
        <v>2026</v>
      </c>
      <c r="F25" s="800">
        <v>1312500</v>
      </c>
      <c r="G25" s="764"/>
      <c r="H25" s="764"/>
      <c r="I25" s="764"/>
      <c r="K25" s="668">
        <v>2024</v>
      </c>
      <c r="L25" s="769">
        <v>2500000</v>
      </c>
      <c r="M25" s="769">
        <v>2133333.3333333335</v>
      </c>
      <c r="N25" s="769">
        <v>366666.66666666651</v>
      </c>
      <c r="O25" s="769">
        <v>25000</v>
      </c>
      <c r="P25" s="769">
        <v>341666.66666666651</v>
      </c>
      <c r="Q25" s="769">
        <v>95666.666666666628</v>
      </c>
      <c r="R25" s="769">
        <v>245999.99999999988</v>
      </c>
      <c r="S25" s="769">
        <v>270999.99999999988</v>
      </c>
      <c r="T25" s="769">
        <v>208333.33333333334</v>
      </c>
      <c r="U25" s="769">
        <v>41666.666666666686</v>
      </c>
      <c r="V25" s="769">
        <v>229333.3333333332</v>
      </c>
      <c r="W25" s="769">
        <v>229333.3333333332</v>
      </c>
      <c r="X25" s="820"/>
      <c r="Y25" s="820"/>
    </row>
    <row r="26" spans="2:25">
      <c r="B26" s="794"/>
      <c r="C26" s="794"/>
      <c r="D26" s="794"/>
      <c r="E26" s="802">
        <v>2027</v>
      </c>
      <c r="F26" s="803">
        <v>1312500</v>
      </c>
      <c r="G26" s="764"/>
      <c r="H26" s="764"/>
      <c r="I26" s="764"/>
      <c r="K26" s="668">
        <v>2025</v>
      </c>
      <c r="L26" s="769">
        <v>3000000</v>
      </c>
      <c r="M26" s="769">
        <v>2550000</v>
      </c>
      <c r="N26" s="769">
        <v>450000</v>
      </c>
      <c r="O26" s="769">
        <v>25000</v>
      </c>
      <c r="P26" s="769">
        <v>425000</v>
      </c>
      <c r="Q26" s="769">
        <v>119000.00000000001</v>
      </c>
      <c r="R26" s="769">
        <v>306000</v>
      </c>
      <c r="S26" s="769">
        <v>331000</v>
      </c>
      <c r="T26" s="769">
        <v>250000.00000000003</v>
      </c>
      <c r="U26" s="769">
        <v>41666.666666666686</v>
      </c>
      <c r="V26" s="769">
        <v>289333.33333333331</v>
      </c>
      <c r="W26" s="769">
        <v>289333.33333333331</v>
      </c>
      <c r="X26" s="820"/>
      <c r="Y26" s="820"/>
    </row>
    <row r="27" spans="2:25">
      <c r="K27" s="668">
        <v>2026</v>
      </c>
      <c r="L27" s="769">
        <v>3000000</v>
      </c>
      <c r="M27" s="769">
        <v>2550000</v>
      </c>
      <c r="N27" s="769">
        <v>450000</v>
      </c>
      <c r="O27" s="769">
        <v>25000</v>
      </c>
      <c r="P27" s="769">
        <v>425000</v>
      </c>
      <c r="Q27" s="769">
        <v>119000.00000000001</v>
      </c>
      <c r="R27" s="769">
        <v>306000</v>
      </c>
      <c r="S27" s="769">
        <v>331000</v>
      </c>
      <c r="T27" s="769">
        <v>250000.00000000003</v>
      </c>
      <c r="U27" s="769">
        <v>0</v>
      </c>
      <c r="V27" s="769">
        <v>331000</v>
      </c>
      <c r="W27" s="769">
        <v>331000</v>
      </c>
      <c r="X27" s="820"/>
      <c r="Y27" s="820"/>
    </row>
    <row r="28" spans="2:25">
      <c r="K28" s="668">
        <v>2027</v>
      </c>
      <c r="L28" s="769">
        <v>3000000</v>
      </c>
      <c r="M28" s="769">
        <v>2550000</v>
      </c>
      <c r="N28" s="769">
        <v>450000</v>
      </c>
      <c r="O28" s="769">
        <v>25000</v>
      </c>
      <c r="P28" s="769">
        <v>425000</v>
      </c>
      <c r="Q28" s="769">
        <v>119000.00000000001</v>
      </c>
      <c r="R28" s="769">
        <v>306000</v>
      </c>
      <c r="S28" s="769">
        <v>331000</v>
      </c>
      <c r="T28" s="769">
        <v>250000.00000000003</v>
      </c>
      <c r="U28" s="769">
        <v>0</v>
      </c>
      <c r="V28" s="769">
        <v>331000</v>
      </c>
      <c r="W28" s="769">
        <v>760000</v>
      </c>
      <c r="X28" s="820"/>
      <c r="Y28" s="820"/>
    </row>
    <row r="29" spans="2:25">
      <c r="X29" s="820"/>
      <c r="Y29" s="820"/>
    </row>
    <row r="30" spans="2:25">
      <c r="K30" s="780" t="s">
        <v>2869</v>
      </c>
      <c r="L30" s="781">
        <v>250000</v>
      </c>
      <c r="M30" s="765" t="s">
        <v>55</v>
      </c>
      <c r="N30" s="106" t="s">
        <v>2635</v>
      </c>
      <c r="O30" s="782">
        <v>0.06</v>
      </c>
      <c r="P30" s="765" t="s">
        <v>55</v>
      </c>
      <c r="Q30" s="60"/>
      <c r="R30" s="60"/>
      <c r="S30" s="60"/>
      <c r="T30" s="60"/>
      <c r="U30" s="60"/>
      <c r="V30" s="60"/>
      <c r="W30" s="60"/>
      <c r="X30" s="820"/>
      <c r="Y30" s="820"/>
    </row>
    <row r="31" spans="2:25">
      <c r="K31" s="787" t="s">
        <v>3200</v>
      </c>
      <c r="L31" s="781">
        <v>179000</v>
      </c>
      <c r="M31" s="765" t="s">
        <v>55</v>
      </c>
      <c r="O31" s="6"/>
      <c r="V31" s="6"/>
      <c r="X31" s="820"/>
      <c r="Y31" s="820"/>
    </row>
    <row r="32" spans="2:25">
      <c r="K32" s="787" t="s">
        <v>2877</v>
      </c>
      <c r="L32" s="781">
        <v>250000.00000000003</v>
      </c>
      <c r="M32" s="765" t="s">
        <v>55</v>
      </c>
      <c r="N32" s="106" t="s">
        <v>13</v>
      </c>
      <c r="O32" s="781">
        <v>1068958.8094150019</v>
      </c>
      <c r="P32" s="765" t="s">
        <v>55</v>
      </c>
      <c r="Q32" s="1053" t="s">
        <v>3298</v>
      </c>
      <c r="R32" s="1053"/>
      <c r="S32" s="1053"/>
      <c r="T32" s="1053"/>
      <c r="U32" s="1053"/>
      <c r="V32" s="1053"/>
      <c r="X32" s="820"/>
      <c r="Y32" s="820"/>
    </row>
    <row r="33" spans="11:23">
      <c r="K33" s="787" t="s">
        <v>2882</v>
      </c>
      <c r="L33" s="781">
        <v>429000</v>
      </c>
      <c r="M33" s="765" t="s">
        <v>55</v>
      </c>
      <c r="Q33" s="1053" t="s">
        <v>3299</v>
      </c>
      <c r="R33" s="1053"/>
      <c r="S33" s="1053"/>
      <c r="T33" s="1053"/>
      <c r="U33" s="1053"/>
      <c r="V33" s="1053"/>
    </row>
    <row r="34" spans="11:23">
      <c r="O34" s="8" t="s">
        <v>55</v>
      </c>
      <c r="P34" s="793" t="s">
        <v>55</v>
      </c>
    </row>
    <row r="35" spans="11:23">
      <c r="P35" s="793" t="s">
        <v>55</v>
      </c>
    </row>
    <row r="36" spans="11:23">
      <c r="P36" s="793"/>
    </row>
    <row r="37" spans="11:23">
      <c r="K37" s="814" t="s">
        <v>3300</v>
      </c>
      <c r="L37" s="815"/>
      <c r="M37" s="815"/>
      <c r="N37" s="815"/>
      <c r="O37" s="815"/>
      <c r="P37" s="815"/>
      <c r="Q37" s="815"/>
      <c r="R37" s="815"/>
      <c r="S37" s="815"/>
      <c r="T37" s="815"/>
      <c r="U37" s="815"/>
      <c r="V37" s="815"/>
      <c r="W37" s="816" t="s">
        <v>2638</v>
      </c>
    </row>
    <row r="38" spans="11:23">
      <c r="L38" s="765" t="s">
        <v>55</v>
      </c>
      <c r="M38" s="765" t="s">
        <v>55</v>
      </c>
      <c r="N38" s="765" t="s">
        <v>55</v>
      </c>
      <c r="O38" s="765" t="s">
        <v>55</v>
      </c>
      <c r="P38" s="765" t="s">
        <v>55</v>
      </c>
      <c r="Q38" s="765" t="s">
        <v>55</v>
      </c>
      <c r="R38" s="765" t="s">
        <v>55</v>
      </c>
      <c r="S38" s="765" t="s">
        <v>55</v>
      </c>
      <c r="T38" s="765" t="s">
        <v>55</v>
      </c>
      <c r="U38" s="765" t="s">
        <v>55</v>
      </c>
      <c r="V38" s="765" t="s">
        <v>55</v>
      </c>
      <c r="W38" s="765" t="s">
        <v>55</v>
      </c>
    </row>
    <row r="39" spans="11:23">
      <c r="K39" s="668" t="s">
        <v>0</v>
      </c>
      <c r="L39" s="668" t="s">
        <v>2885</v>
      </c>
      <c r="M39" s="668" t="s">
        <v>2855</v>
      </c>
      <c r="N39" s="668" t="s">
        <v>2856</v>
      </c>
      <c r="O39" s="668" t="s">
        <v>71</v>
      </c>
      <c r="P39" s="668" t="s">
        <v>72</v>
      </c>
      <c r="Q39" s="668" t="s">
        <v>2857</v>
      </c>
      <c r="R39" s="668" t="s">
        <v>74</v>
      </c>
      <c r="S39" s="668" t="s">
        <v>2858</v>
      </c>
      <c r="T39" s="668" t="s">
        <v>2859</v>
      </c>
      <c r="U39" s="668" t="s">
        <v>2860</v>
      </c>
      <c r="V39" s="668" t="s">
        <v>2861</v>
      </c>
      <c r="W39" s="668" t="s">
        <v>2862</v>
      </c>
    </row>
    <row r="40" spans="11:23">
      <c r="K40" s="668">
        <v>2022</v>
      </c>
      <c r="L40" s="768" t="s">
        <v>2651</v>
      </c>
      <c r="M40" s="768" t="s">
        <v>2651</v>
      </c>
      <c r="N40" s="768" t="s">
        <v>2651</v>
      </c>
      <c r="O40" s="768" t="s">
        <v>2651</v>
      </c>
      <c r="P40" s="768" t="s">
        <v>2651</v>
      </c>
      <c r="Q40" s="768" t="s">
        <v>2651</v>
      </c>
      <c r="R40" s="768" t="s">
        <v>2651</v>
      </c>
      <c r="S40" s="768" t="s">
        <v>2651</v>
      </c>
      <c r="T40" s="768" t="s">
        <v>2651</v>
      </c>
      <c r="U40" s="768" t="s">
        <v>2651</v>
      </c>
      <c r="V40" s="768" t="s">
        <v>2651</v>
      </c>
      <c r="W40" s="769">
        <v>0</v>
      </c>
    </row>
    <row r="41" spans="11:23">
      <c r="K41" s="668">
        <v>2023</v>
      </c>
      <c r="L41" s="769">
        <v>2100000</v>
      </c>
      <c r="M41" s="769">
        <v>1838500</v>
      </c>
      <c r="N41" s="769">
        <v>261500</v>
      </c>
      <c r="O41" s="769">
        <v>0</v>
      </c>
      <c r="P41" s="769">
        <v>261500</v>
      </c>
      <c r="Q41" s="769">
        <v>73220</v>
      </c>
      <c r="R41" s="769">
        <v>188280</v>
      </c>
      <c r="S41" s="769">
        <v>188280</v>
      </c>
      <c r="T41" s="769">
        <v>175000</v>
      </c>
      <c r="U41" s="769">
        <v>175000</v>
      </c>
      <c r="V41" s="769">
        <v>13280</v>
      </c>
      <c r="W41" s="769">
        <v>13280</v>
      </c>
    </row>
    <row r="42" spans="11:23">
      <c r="K42" s="668">
        <v>2024</v>
      </c>
      <c r="L42" s="769">
        <v>2756250</v>
      </c>
      <c r="M42" s="769">
        <v>2388000</v>
      </c>
      <c r="N42" s="769">
        <v>368250</v>
      </c>
      <c r="O42" s="769">
        <v>0</v>
      </c>
      <c r="P42" s="769">
        <v>368250</v>
      </c>
      <c r="Q42" s="769">
        <v>103110.00000000001</v>
      </c>
      <c r="R42" s="769">
        <v>265140</v>
      </c>
      <c r="S42" s="769">
        <v>265140</v>
      </c>
      <c r="T42" s="769">
        <v>229687.5</v>
      </c>
      <c r="U42" s="769">
        <v>54687.5</v>
      </c>
      <c r="V42" s="769">
        <v>210452.5</v>
      </c>
      <c r="W42" s="769">
        <v>210452.5</v>
      </c>
    </row>
    <row r="43" spans="11:23">
      <c r="K43" s="668">
        <v>2025</v>
      </c>
      <c r="L43" s="769">
        <v>3472875.0000000005</v>
      </c>
      <c r="M43" s="769">
        <v>2987943.7500000005</v>
      </c>
      <c r="N43" s="769">
        <v>484931.25</v>
      </c>
      <c r="O43" s="769">
        <v>0</v>
      </c>
      <c r="P43" s="769">
        <v>484931.25</v>
      </c>
      <c r="Q43" s="769">
        <v>135780.75</v>
      </c>
      <c r="R43" s="769">
        <v>349150.5</v>
      </c>
      <c r="S43" s="769">
        <v>349150.5</v>
      </c>
      <c r="T43" s="769">
        <v>289406.25000000006</v>
      </c>
      <c r="U43" s="769">
        <v>59718.750000000058</v>
      </c>
      <c r="V43" s="769">
        <v>289431.74999999994</v>
      </c>
      <c r="W43" s="769">
        <v>289431.74999999994</v>
      </c>
    </row>
    <row r="44" spans="11:23">
      <c r="K44" s="668">
        <v>2026</v>
      </c>
      <c r="L44" s="769">
        <v>3646518.75</v>
      </c>
      <c r="M44" s="769">
        <v>3135540.9375</v>
      </c>
      <c r="N44" s="769">
        <v>510977.8125</v>
      </c>
      <c r="O44" s="769">
        <v>0</v>
      </c>
      <c r="P44" s="769">
        <v>510977.8125</v>
      </c>
      <c r="Q44" s="769">
        <v>143073.78750000001</v>
      </c>
      <c r="R44" s="769">
        <v>367904.02500000002</v>
      </c>
      <c r="S44" s="769">
        <v>367904.02500000002</v>
      </c>
      <c r="T44" s="769">
        <v>303876.5625</v>
      </c>
      <c r="U44" s="769">
        <v>14470.312499999942</v>
      </c>
      <c r="V44" s="769">
        <v>353433.71250000008</v>
      </c>
      <c r="W44" s="769">
        <v>353433.71250000008</v>
      </c>
    </row>
    <row r="45" spans="11:23">
      <c r="K45" s="668">
        <v>2027</v>
      </c>
      <c r="L45" s="769">
        <v>3828844.6875000005</v>
      </c>
      <c r="M45" s="769">
        <v>3290517.9843750005</v>
      </c>
      <c r="N45" s="769">
        <v>538326.703125</v>
      </c>
      <c r="O45" s="769">
        <v>0</v>
      </c>
      <c r="P45" s="769">
        <v>538326.703125</v>
      </c>
      <c r="Q45" s="769">
        <v>150731.47687500002</v>
      </c>
      <c r="R45" s="769">
        <v>387595.22624999995</v>
      </c>
      <c r="S45" s="769">
        <v>387595.22624999995</v>
      </c>
      <c r="T45" s="769">
        <v>319070.39062500006</v>
      </c>
      <c r="U45" s="769">
        <v>15193.828125000058</v>
      </c>
      <c r="V45" s="769">
        <v>372401.39812499989</v>
      </c>
      <c r="W45" s="769">
        <v>691471.78874999995</v>
      </c>
    </row>
    <row r="47" spans="11:23">
      <c r="K47" s="780" t="s">
        <v>2869</v>
      </c>
      <c r="L47" s="781">
        <v>0</v>
      </c>
      <c r="M47" s="765" t="s">
        <v>55</v>
      </c>
      <c r="N47" s="106" t="s">
        <v>2870</v>
      </c>
      <c r="O47" s="782">
        <v>0.11300000000000021</v>
      </c>
      <c r="P47" s="765" t="s">
        <v>55</v>
      </c>
      <c r="Q47" s="60"/>
      <c r="R47" s="60"/>
      <c r="S47" s="60"/>
      <c r="T47" s="60"/>
      <c r="U47" s="60"/>
      <c r="V47" s="60"/>
      <c r="W47" s="60"/>
    </row>
    <row r="48" spans="11:23">
      <c r="K48" s="787" t="s">
        <v>3200</v>
      </c>
      <c r="L48" s="781">
        <v>0</v>
      </c>
      <c r="M48" s="765" t="s">
        <v>55</v>
      </c>
      <c r="O48" s="6"/>
      <c r="V48" s="6"/>
    </row>
    <row r="49" spans="11:23">
      <c r="K49" s="787" t="s">
        <v>2877</v>
      </c>
      <c r="L49" s="781">
        <v>319070.39062500006</v>
      </c>
      <c r="M49" s="765" t="s">
        <v>55</v>
      </c>
      <c r="N49" s="106" t="s">
        <v>13</v>
      </c>
      <c r="O49" s="781">
        <v>1026915.3411276439</v>
      </c>
      <c r="P49" s="765" t="s">
        <v>55</v>
      </c>
    </row>
    <row r="50" spans="11:23">
      <c r="K50" s="787" t="s">
        <v>2882</v>
      </c>
      <c r="L50" s="781">
        <v>319070.39062500006</v>
      </c>
      <c r="M50" s="765" t="s">
        <v>55</v>
      </c>
    </row>
    <row r="51" spans="11:23">
      <c r="O51" s="8" t="s">
        <v>55</v>
      </c>
      <c r="P51" s="793" t="s">
        <v>55</v>
      </c>
    </row>
    <row r="52" spans="11:23">
      <c r="P52" s="793" t="s">
        <v>55</v>
      </c>
    </row>
    <row r="53" spans="11:23">
      <c r="K53" s="761" t="s">
        <v>3951</v>
      </c>
      <c r="P53" s="793"/>
    </row>
    <row r="54" spans="11:23">
      <c r="K54" s="817" t="s">
        <v>3301</v>
      </c>
      <c r="L54" s="818"/>
      <c r="M54" s="818"/>
      <c r="N54" s="818"/>
      <c r="O54" s="818"/>
      <c r="P54" s="818"/>
      <c r="Q54" s="818"/>
      <c r="R54" s="818"/>
      <c r="S54" s="818"/>
      <c r="T54" s="818"/>
      <c r="U54" s="818"/>
      <c r="V54" s="818"/>
      <c r="W54" s="819" t="s">
        <v>2639</v>
      </c>
    </row>
    <row r="55" spans="11:23">
      <c r="L55" s="765" t="s">
        <v>55</v>
      </c>
      <c r="M55" s="765" t="s">
        <v>55</v>
      </c>
      <c r="N55" s="765" t="s">
        <v>55</v>
      </c>
      <c r="O55" s="765" t="s">
        <v>55</v>
      </c>
      <c r="P55" s="765" t="s">
        <v>55</v>
      </c>
      <c r="Q55" s="765" t="s">
        <v>55</v>
      </c>
      <c r="R55" s="765" t="s">
        <v>55</v>
      </c>
      <c r="S55" s="765" t="s">
        <v>55</v>
      </c>
      <c r="T55" s="765" t="s">
        <v>55</v>
      </c>
      <c r="U55" s="765" t="s">
        <v>55</v>
      </c>
      <c r="V55" s="765" t="s">
        <v>55</v>
      </c>
      <c r="W55" s="765" t="s">
        <v>55</v>
      </c>
    </row>
    <row r="56" spans="11:23">
      <c r="K56" s="668" t="s">
        <v>0</v>
      </c>
      <c r="L56" s="668" t="s">
        <v>2885</v>
      </c>
      <c r="M56" s="668" t="s">
        <v>2855</v>
      </c>
      <c r="N56" s="668" t="s">
        <v>2856</v>
      </c>
      <c r="O56" s="668" t="s">
        <v>71</v>
      </c>
      <c r="P56" s="668" t="s">
        <v>72</v>
      </c>
      <c r="Q56" s="668" t="s">
        <v>2857</v>
      </c>
      <c r="R56" s="668" t="s">
        <v>74</v>
      </c>
      <c r="S56" s="668" t="s">
        <v>2858</v>
      </c>
      <c r="T56" s="668" t="s">
        <v>2859</v>
      </c>
      <c r="U56" s="668" t="s">
        <v>2860</v>
      </c>
      <c r="V56" s="668" t="s">
        <v>2861</v>
      </c>
      <c r="W56" s="668" t="s">
        <v>2862</v>
      </c>
    </row>
    <row r="57" spans="11:23">
      <c r="K57" s="668">
        <v>2022</v>
      </c>
      <c r="L57" s="768" t="s">
        <v>2651</v>
      </c>
      <c r="M57" s="768" t="s">
        <v>2651</v>
      </c>
      <c r="N57" s="768" t="s">
        <v>2651</v>
      </c>
      <c r="O57" s="768" t="s">
        <v>2651</v>
      </c>
      <c r="P57" s="768" t="s">
        <v>2651</v>
      </c>
      <c r="Q57" s="768" t="s">
        <v>2651</v>
      </c>
      <c r="R57" s="768" t="s">
        <v>2651</v>
      </c>
      <c r="S57" s="768" t="s">
        <v>2651</v>
      </c>
      <c r="T57" s="768" t="s">
        <v>2651</v>
      </c>
      <c r="U57" s="768" t="s">
        <v>2651</v>
      </c>
      <c r="V57" s="768" t="s">
        <v>2651</v>
      </c>
      <c r="W57" s="769">
        <v>0</v>
      </c>
    </row>
    <row r="58" spans="11:23">
      <c r="K58" s="668">
        <v>2023</v>
      </c>
      <c r="L58" s="769">
        <v>2000000</v>
      </c>
      <c r="M58" s="769">
        <v>1750952.3809523811</v>
      </c>
      <c r="N58" s="769">
        <v>249047.61904761894</v>
      </c>
      <c r="O58" s="769">
        <v>0</v>
      </c>
      <c r="P58" s="769">
        <v>249047.61904761894</v>
      </c>
      <c r="Q58" s="769">
        <v>69733.333333333314</v>
      </c>
      <c r="R58" s="769">
        <v>179314.28571428562</v>
      </c>
      <c r="S58" s="769">
        <v>179314.28571428562</v>
      </c>
      <c r="T58" s="769">
        <v>166666.66666666666</v>
      </c>
      <c r="U58" s="769">
        <v>166666.66666666666</v>
      </c>
      <c r="V58" s="769">
        <v>12647.619047618966</v>
      </c>
      <c r="W58" s="769">
        <v>12647.619047618966</v>
      </c>
    </row>
    <row r="59" spans="11:23">
      <c r="K59" s="668">
        <v>2024</v>
      </c>
      <c r="L59" s="769">
        <v>2500000</v>
      </c>
      <c r="M59" s="769">
        <v>2165986.3945578234</v>
      </c>
      <c r="N59" s="769">
        <v>334013.60544217657</v>
      </c>
      <c r="O59" s="769">
        <v>0</v>
      </c>
      <c r="P59" s="769">
        <v>334013.60544217657</v>
      </c>
      <c r="Q59" s="769">
        <v>93523.809523809454</v>
      </c>
      <c r="R59" s="769">
        <v>240489.7959183671</v>
      </c>
      <c r="S59" s="769">
        <v>240489.7959183671</v>
      </c>
      <c r="T59" s="769">
        <v>208333.33333333334</v>
      </c>
      <c r="U59" s="769">
        <v>41666.666666666686</v>
      </c>
      <c r="V59" s="769">
        <v>198823.12925170042</v>
      </c>
      <c r="W59" s="769">
        <v>198823.12925170042</v>
      </c>
    </row>
    <row r="60" spans="11:23">
      <c r="K60" s="668">
        <v>2025</v>
      </c>
      <c r="L60" s="769">
        <v>3000000</v>
      </c>
      <c r="M60" s="769">
        <v>2581098.1535471333</v>
      </c>
      <c r="N60" s="769">
        <v>418901.84645286668</v>
      </c>
      <c r="O60" s="769">
        <v>0</v>
      </c>
      <c r="P60" s="769">
        <v>418901.84645286668</v>
      </c>
      <c r="Q60" s="769">
        <v>117292.51700680268</v>
      </c>
      <c r="R60" s="769">
        <v>301609.32944606402</v>
      </c>
      <c r="S60" s="769">
        <v>301609.32944606402</v>
      </c>
      <c r="T60" s="769">
        <v>250000.00000000003</v>
      </c>
      <c r="U60" s="769">
        <v>41666.666666666686</v>
      </c>
      <c r="V60" s="769">
        <v>259942.66277939733</v>
      </c>
      <c r="W60" s="769">
        <v>259942.66277939733</v>
      </c>
    </row>
    <row r="61" spans="11:23">
      <c r="K61" s="668">
        <v>2026</v>
      </c>
      <c r="L61" s="769">
        <v>3000000</v>
      </c>
      <c r="M61" s="769">
        <v>2579617.2890925077</v>
      </c>
      <c r="N61" s="769">
        <v>420382.71090749232</v>
      </c>
      <c r="O61" s="769">
        <v>0</v>
      </c>
      <c r="P61" s="769">
        <v>420382.71090749232</v>
      </c>
      <c r="Q61" s="769">
        <v>117707.15905409787</v>
      </c>
      <c r="R61" s="769">
        <v>302675.55185339449</v>
      </c>
      <c r="S61" s="769">
        <v>302675.55185339449</v>
      </c>
      <c r="T61" s="769">
        <v>250000.00000000003</v>
      </c>
      <c r="U61" s="769">
        <v>0</v>
      </c>
      <c r="V61" s="769">
        <v>302675.55185339449</v>
      </c>
      <c r="W61" s="769">
        <v>302675.55185339449</v>
      </c>
    </row>
    <row r="62" spans="11:23">
      <c r="K62" s="668">
        <v>2027</v>
      </c>
      <c r="L62" s="769">
        <v>3000000</v>
      </c>
      <c r="M62" s="769">
        <v>2578206.9419928645</v>
      </c>
      <c r="N62" s="769">
        <v>421793.05800713552</v>
      </c>
      <c r="O62" s="769">
        <v>0</v>
      </c>
      <c r="P62" s="769">
        <v>421793.05800713552</v>
      </c>
      <c r="Q62" s="769">
        <v>118102.05624199795</v>
      </c>
      <c r="R62" s="769">
        <v>303691.00176513754</v>
      </c>
      <c r="S62" s="769">
        <v>303691.00176513754</v>
      </c>
      <c r="T62" s="769">
        <v>250000.00000000003</v>
      </c>
      <c r="U62" s="769">
        <v>0</v>
      </c>
      <c r="V62" s="769">
        <v>303691.00176513754</v>
      </c>
      <c r="W62" s="769">
        <v>553691.00176513754</v>
      </c>
    </row>
    <row r="64" spans="11:23">
      <c r="K64" s="780" t="s">
        <v>2869</v>
      </c>
      <c r="L64" s="781">
        <v>0</v>
      </c>
      <c r="M64" s="765" t="s">
        <v>55</v>
      </c>
      <c r="N64" s="106" t="s">
        <v>2635</v>
      </c>
      <c r="O64" s="782">
        <v>0.06</v>
      </c>
      <c r="P64" s="765" t="s">
        <v>55</v>
      </c>
      <c r="Q64" s="60"/>
      <c r="R64" s="60"/>
      <c r="S64" s="60"/>
      <c r="T64" s="60"/>
      <c r="U64" s="60"/>
      <c r="V64" s="60"/>
      <c r="W64" s="60"/>
    </row>
    <row r="65" spans="11:23">
      <c r="K65" s="787" t="s">
        <v>3200</v>
      </c>
      <c r="L65" s="781">
        <v>0</v>
      </c>
      <c r="M65" s="765" t="s">
        <v>55</v>
      </c>
      <c r="O65" s="6"/>
      <c r="V65" s="6"/>
    </row>
    <row r="66" spans="11:23">
      <c r="K66" s="787" t="s">
        <v>2877</v>
      </c>
      <c r="L66" s="781">
        <v>250000.00000000003</v>
      </c>
      <c r="M66" s="765" t="s">
        <v>55</v>
      </c>
      <c r="N66" s="106" t="s">
        <v>13</v>
      </c>
      <c r="O66" s="781">
        <v>1060633.9784130468</v>
      </c>
      <c r="P66" s="765" t="s">
        <v>55</v>
      </c>
      <c r="Q66" s="1053" t="s">
        <v>3298</v>
      </c>
      <c r="R66" s="1053"/>
      <c r="S66" s="1053"/>
      <c r="T66" s="1053"/>
      <c r="U66" s="1053"/>
      <c r="V66" s="1053"/>
    </row>
    <row r="67" spans="11:23">
      <c r="K67" s="787" t="s">
        <v>2882</v>
      </c>
      <c r="L67" s="781">
        <v>250000.00000000003</v>
      </c>
      <c r="M67" s="765" t="s">
        <v>55</v>
      </c>
      <c r="Q67" s="1053" t="s">
        <v>3302</v>
      </c>
      <c r="R67" s="1053"/>
      <c r="S67" s="1053"/>
      <c r="T67" s="1053"/>
      <c r="U67" s="1053"/>
      <c r="V67" s="1053"/>
    </row>
    <row r="68" spans="11:23">
      <c r="O68" s="8" t="s">
        <v>55</v>
      </c>
      <c r="P68" s="793" t="s">
        <v>55</v>
      </c>
    </row>
    <row r="69" spans="11:23">
      <c r="P69" s="793" t="s">
        <v>55</v>
      </c>
    </row>
    <row r="70" spans="11:23">
      <c r="P70" s="793"/>
    </row>
    <row r="71" spans="11:23">
      <c r="K71" s="814" t="s">
        <v>3303</v>
      </c>
      <c r="L71" s="815"/>
      <c r="M71" s="815"/>
      <c r="N71" s="815"/>
      <c r="O71" s="815"/>
      <c r="P71" s="815"/>
      <c r="Q71" s="815"/>
      <c r="R71" s="815"/>
      <c r="S71" s="815"/>
      <c r="T71" s="815"/>
      <c r="U71" s="815"/>
      <c r="V71" s="815"/>
      <c r="W71" s="816" t="s">
        <v>2638</v>
      </c>
    </row>
    <row r="72" spans="11:23">
      <c r="L72" s="765" t="s">
        <v>55</v>
      </c>
      <c r="M72" s="765" t="s">
        <v>55</v>
      </c>
      <c r="N72" s="765" t="s">
        <v>55</v>
      </c>
      <c r="O72" s="765" t="s">
        <v>55</v>
      </c>
      <c r="P72" s="765" t="s">
        <v>55</v>
      </c>
      <c r="Q72" s="765" t="s">
        <v>55</v>
      </c>
      <c r="R72" s="765" t="s">
        <v>55</v>
      </c>
      <c r="S72" s="765" t="s">
        <v>55</v>
      </c>
      <c r="T72" s="765" t="s">
        <v>55</v>
      </c>
      <c r="U72" s="765" t="s">
        <v>55</v>
      </c>
      <c r="V72" s="765" t="s">
        <v>55</v>
      </c>
      <c r="W72" s="765" t="s">
        <v>55</v>
      </c>
    </row>
    <row r="73" spans="11:23">
      <c r="K73" s="668" t="s">
        <v>0</v>
      </c>
      <c r="L73" s="668" t="s">
        <v>2885</v>
      </c>
      <c r="M73" s="668" t="s">
        <v>2855</v>
      </c>
      <c r="N73" s="668" t="s">
        <v>2856</v>
      </c>
      <c r="O73" s="668" t="s">
        <v>71</v>
      </c>
      <c r="P73" s="668" t="s">
        <v>72</v>
      </c>
      <c r="Q73" s="668" t="s">
        <v>2857</v>
      </c>
      <c r="R73" s="668" t="s">
        <v>74</v>
      </c>
      <c r="S73" s="668" t="s">
        <v>2858</v>
      </c>
      <c r="T73" s="668" t="s">
        <v>2859</v>
      </c>
      <c r="U73" s="668" t="s">
        <v>2860</v>
      </c>
      <c r="V73" s="668" t="s">
        <v>2861</v>
      </c>
      <c r="W73" s="668" t="s">
        <v>2862</v>
      </c>
    </row>
    <row r="74" spans="11:23">
      <c r="K74" s="668">
        <v>2022</v>
      </c>
      <c r="L74" s="768" t="s">
        <v>2651</v>
      </c>
      <c r="M74" s="768" t="s">
        <v>2651</v>
      </c>
      <c r="N74" s="768" t="s">
        <v>2651</v>
      </c>
      <c r="O74" s="768" t="s">
        <v>2651</v>
      </c>
      <c r="P74" s="768" t="s">
        <v>2651</v>
      </c>
      <c r="Q74" s="768" t="s">
        <v>2651</v>
      </c>
      <c r="R74" s="768" t="s">
        <v>2651</v>
      </c>
      <c r="S74" s="768" t="s">
        <v>2651</v>
      </c>
      <c r="T74" s="768" t="s">
        <v>2651</v>
      </c>
      <c r="U74" s="768" t="s">
        <v>2651</v>
      </c>
      <c r="V74" s="768" t="s">
        <v>2651</v>
      </c>
      <c r="W74" s="769">
        <v>0</v>
      </c>
    </row>
    <row r="75" spans="11:23">
      <c r="K75" s="668">
        <v>2023</v>
      </c>
      <c r="L75" s="769">
        <v>918750.00000000012</v>
      </c>
      <c r="M75" s="769">
        <v>875000.00000000012</v>
      </c>
      <c r="N75" s="769">
        <v>43750</v>
      </c>
      <c r="O75" s="769">
        <v>0</v>
      </c>
      <c r="P75" s="769">
        <v>43750</v>
      </c>
      <c r="Q75" s="769">
        <v>12250.000000000002</v>
      </c>
      <c r="R75" s="769">
        <v>31500</v>
      </c>
      <c r="S75" s="769">
        <v>31500</v>
      </c>
      <c r="T75" s="769">
        <v>0</v>
      </c>
      <c r="U75" s="769">
        <v>0</v>
      </c>
      <c r="V75" s="769">
        <v>31500</v>
      </c>
      <c r="W75" s="769">
        <v>31500</v>
      </c>
    </row>
    <row r="76" spans="11:23">
      <c r="K76" s="668">
        <v>2024</v>
      </c>
      <c r="L76" s="769">
        <v>1205859.3750000002</v>
      </c>
      <c r="M76" s="769">
        <v>1148437.5000000002</v>
      </c>
      <c r="N76" s="769">
        <v>57421.875</v>
      </c>
      <c r="O76" s="769">
        <v>0</v>
      </c>
      <c r="P76" s="769">
        <v>57421.875</v>
      </c>
      <c r="Q76" s="769">
        <v>16078.125000000002</v>
      </c>
      <c r="R76" s="769">
        <v>41343.75</v>
      </c>
      <c r="S76" s="769">
        <v>41343.75</v>
      </c>
      <c r="T76" s="769">
        <v>0</v>
      </c>
      <c r="U76" s="769">
        <v>0</v>
      </c>
      <c r="V76" s="769">
        <v>41343.75</v>
      </c>
      <c r="W76" s="769">
        <v>41343.75</v>
      </c>
    </row>
    <row r="77" spans="11:23">
      <c r="K77" s="668">
        <v>2025</v>
      </c>
      <c r="L77" s="769">
        <v>1519382.8125000002</v>
      </c>
      <c r="M77" s="769">
        <v>1447031.2500000002</v>
      </c>
      <c r="N77" s="769">
        <v>72351.5625</v>
      </c>
      <c r="O77" s="769">
        <v>0</v>
      </c>
      <c r="P77" s="769">
        <v>72351.5625</v>
      </c>
      <c r="Q77" s="769">
        <v>20258.437500000004</v>
      </c>
      <c r="R77" s="769">
        <v>52093.125</v>
      </c>
      <c r="S77" s="769">
        <v>52093.125</v>
      </c>
      <c r="T77" s="769">
        <v>0</v>
      </c>
      <c r="U77" s="769">
        <v>0</v>
      </c>
      <c r="V77" s="769">
        <v>52093.125</v>
      </c>
      <c r="W77" s="769">
        <v>52093.125</v>
      </c>
    </row>
    <row r="78" spans="11:23">
      <c r="K78" s="668">
        <v>2026</v>
      </c>
      <c r="L78" s="769">
        <v>1595351.953125</v>
      </c>
      <c r="M78" s="769">
        <v>1519382.8125</v>
      </c>
      <c r="N78" s="769">
        <v>75969.140625</v>
      </c>
      <c r="O78" s="769">
        <v>0</v>
      </c>
      <c r="P78" s="769">
        <v>75969.140625</v>
      </c>
      <c r="Q78" s="769">
        <v>21271.359375000004</v>
      </c>
      <c r="R78" s="769">
        <v>54697.78125</v>
      </c>
      <c r="S78" s="769">
        <v>54697.78125</v>
      </c>
      <c r="T78" s="769">
        <v>0</v>
      </c>
      <c r="U78" s="769">
        <v>0</v>
      </c>
      <c r="V78" s="769">
        <v>54697.78125</v>
      </c>
      <c r="W78" s="769">
        <v>54697.78125</v>
      </c>
    </row>
    <row r="79" spans="11:23">
      <c r="K79" s="668">
        <v>2027</v>
      </c>
      <c r="L79" s="769">
        <v>1675119.5507812502</v>
      </c>
      <c r="M79" s="769">
        <v>1595351.9531250002</v>
      </c>
      <c r="N79" s="769">
        <v>79767.59765625</v>
      </c>
      <c r="O79" s="769">
        <v>0</v>
      </c>
      <c r="P79" s="769">
        <v>79767.59765625</v>
      </c>
      <c r="Q79" s="769">
        <v>22334.927343750001</v>
      </c>
      <c r="R79" s="769">
        <v>57432.670312499999</v>
      </c>
      <c r="S79" s="769">
        <v>57432.670312499999</v>
      </c>
      <c r="T79" s="769">
        <v>0</v>
      </c>
      <c r="U79" s="769">
        <v>0</v>
      </c>
      <c r="V79" s="769">
        <v>57432.670312499999</v>
      </c>
      <c r="W79" s="769">
        <v>57432.670312499999</v>
      </c>
    </row>
    <row r="81" spans="11:23">
      <c r="K81" s="780" t="s">
        <v>2869</v>
      </c>
      <c r="L81" s="781">
        <v>0</v>
      </c>
      <c r="M81" s="765" t="s">
        <v>55</v>
      </c>
      <c r="N81" s="106" t="s">
        <v>2870</v>
      </c>
      <c r="O81" s="782">
        <v>0.11300000000000021</v>
      </c>
      <c r="P81" s="765" t="s">
        <v>55</v>
      </c>
      <c r="Q81" s="60"/>
      <c r="R81" s="60"/>
      <c r="S81" s="60"/>
      <c r="T81" s="60"/>
      <c r="U81" s="60"/>
      <c r="V81" s="60"/>
      <c r="W81" s="60"/>
    </row>
    <row r="82" spans="11:23">
      <c r="K82" s="787" t="s">
        <v>3200</v>
      </c>
      <c r="L82" s="781">
        <v>0</v>
      </c>
      <c r="M82" s="765" t="s">
        <v>55</v>
      </c>
      <c r="O82" s="6"/>
      <c r="V82" s="6"/>
    </row>
    <row r="83" spans="11:23">
      <c r="K83" s="787" t="s">
        <v>2877</v>
      </c>
      <c r="L83" s="781">
        <v>0</v>
      </c>
      <c r="M83" s="765" t="s">
        <v>55</v>
      </c>
      <c r="N83" s="106" t="s">
        <v>13</v>
      </c>
      <c r="O83" s="781">
        <v>168730.45365412379</v>
      </c>
      <c r="P83" s="765" t="s">
        <v>55</v>
      </c>
    </row>
    <row r="84" spans="11:23">
      <c r="K84" s="787" t="s">
        <v>2882</v>
      </c>
      <c r="L84" s="781">
        <v>0</v>
      </c>
      <c r="M84" s="765" t="s">
        <v>55</v>
      </c>
    </row>
    <row r="85" spans="11:23">
      <c r="O85" s="8" t="s">
        <v>55</v>
      </c>
      <c r="P85" s="793" t="s">
        <v>55</v>
      </c>
    </row>
    <row r="86" spans="11:23">
      <c r="P86" s="793" t="s">
        <v>55</v>
      </c>
    </row>
    <row r="87" spans="11:23">
      <c r="P87" s="793"/>
    </row>
    <row r="88" spans="11:23">
      <c r="K88" s="814" t="s">
        <v>3304</v>
      </c>
      <c r="L88" s="815"/>
      <c r="M88" s="815"/>
      <c r="N88" s="815"/>
      <c r="O88" s="815"/>
      <c r="P88" s="815"/>
      <c r="Q88" s="815"/>
      <c r="R88" s="815"/>
      <c r="S88" s="815"/>
      <c r="T88" s="815"/>
      <c r="U88" s="815"/>
      <c r="V88" s="815"/>
      <c r="W88" s="816" t="s">
        <v>2639</v>
      </c>
    </row>
    <row r="89" spans="11:23">
      <c r="L89" s="765" t="s">
        <v>55</v>
      </c>
      <c r="M89" s="765" t="s">
        <v>55</v>
      </c>
      <c r="N89" s="765" t="s">
        <v>55</v>
      </c>
      <c r="O89" s="765" t="s">
        <v>55</v>
      </c>
      <c r="P89" s="765" t="s">
        <v>55</v>
      </c>
      <c r="Q89" s="765" t="s">
        <v>55</v>
      </c>
      <c r="R89" s="765" t="s">
        <v>55</v>
      </c>
      <c r="S89" s="765" t="s">
        <v>55</v>
      </c>
      <c r="T89" s="765" t="s">
        <v>55</v>
      </c>
      <c r="U89" s="765" t="s">
        <v>55</v>
      </c>
      <c r="V89" s="765" t="s">
        <v>55</v>
      </c>
      <c r="W89" s="765" t="s">
        <v>55</v>
      </c>
    </row>
    <row r="90" spans="11:23">
      <c r="K90" s="668" t="s">
        <v>0</v>
      </c>
      <c r="L90" s="668" t="s">
        <v>2885</v>
      </c>
      <c r="M90" s="668" t="s">
        <v>2855</v>
      </c>
      <c r="N90" s="668" t="s">
        <v>2856</v>
      </c>
      <c r="O90" s="668" t="s">
        <v>71</v>
      </c>
      <c r="P90" s="668" t="s">
        <v>72</v>
      </c>
      <c r="Q90" s="668" t="s">
        <v>2857</v>
      </c>
      <c r="R90" s="668" t="s">
        <v>74</v>
      </c>
      <c r="S90" s="668" t="s">
        <v>2858</v>
      </c>
      <c r="T90" s="668" t="s">
        <v>2859</v>
      </c>
      <c r="U90" s="668" t="s">
        <v>2860</v>
      </c>
      <c r="V90" s="668" t="s">
        <v>2861</v>
      </c>
      <c r="W90" s="668" t="s">
        <v>2862</v>
      </c>
    </row>
    <row r="91" spans="11:23">
      <c r="K91" s="668">
        <v>2022</v>
      </c>
      <c r="L91" s="768" t="s">
        <v>2651</v>
      </c>
      <c r="M91" s="768" t="s">
        <v>2651</v>
      </c>
      <c r="N91" s="768" t="s">
        <v>2651</v>
      </c>
      <c r="O91" s="768" t="s">
        <v>2651</v>
      </c>
      <c r="P91" s="768" t="s">
        <v>2651</v>
      </c>
      <c r="Q91" s="768" t="s">
        <v>2651</v>
      </c>
      <c r="R91" s="768" t="s">
        <v>2651</v>
      </c>
      <c r="S91" s="768" t="s">
        <v>2651</v>
      </c>
      <c r="T91" s="768" t="s">
        <v>2651</v>
      </c>
      <c r="U91" s="768" t="s">
        <v>2651</v>
      </c>
      <c r="V91" s="768" t="s">
        <v>2651</v>
      </c>
      <c r="W91" s="769">
        <v>0</v>
      </c>
    </row>
    <row r="92" spans="11:23">
      <c r="K92" s="668">
        <v>2023</v>
      </c>
      <c r="L92" s="769">
        <v>875000.00000000012</v>
      </c>
      <c r="M92" s="769">
        <v>833333.33333333337</v>
      </c>
      <c r="N92" s="769">
        <v>41666.666666666744</v>
      </c>
      <c r="O92" s="769">
        <v>0</v>
      </c>
      <c r="P92" s="769">
        <v>41666.666666666744</v>
      </c>
      <c r="Q92" s="769">
        <v>11666.66666666669</v>
      </c>
      <c r="R92" s="769">
        <v>30000.000000000055</v>
      </c>
      <c r="S92" s="769">
        <v>30000.000000000055</v>
      </c>
      <c r="T92" s="769">
        <v>0</v>
      </c>
      <c r="U92" s="769">
        <v>0</v>
      </c>
      <c r="V92" s="769">
        <v>30000.000000000055</v>
      </c>
      <c r="W92" s="769">
        <v>30000.000000000055</v>
      </c>
    </row>
    <row r="93" spans="11:23">
      <c r="K93" s="668">
        <v>2024</v>
      </c>
      <c r="L93" s="769">
        <v>1093750.0000000002</v>
      </c>
      <c r="M93" s="769">
        <v>1041666.6666666669</v>
      </c>
      <c r="N93" s="769">
        <v>52083.333333333372</v>
      </c>
      <c r="O93" s="769">
        <v>0</v>
      </c>
      <c r="P93" s="769">
        <v>52083.333333333372</v>
      </c>
      <c r="Q93" s="769">
        <v>14583.333333333345</v>
      </c>
      <c r="R93" s="769">
        <v>37500.000000000029</v>
      </c>
      <c r="S93" s="769">
        <v>37500.000000000029</v>
      </c>
      <c r="T93" s="769">
        <v>0</v>
      </c>
      <c r="U93" s="769">
        <v>0</v>
      </c>
      <c r="V93" s="769">
        <v>37500.000000000029</v>
      </c>
      <c r="W93" s="769">
        <v>37500.000000000029</v>
      </c>
    </row>
    <row r="94" spans="11:23">
      <c r="K94" s="668">
        <v>2025</v>
      </c>
      <c r="L94" s="769">
        <v>1312500</v>
      </c>
      <c r="M94" s="769">
        <v>1250000</v>
      </c>
      <c r="N94" s="769">
        <v>62500</v>
      </c>
      <c r="O94" s="769">
        <v>0</v>
      </c>
      <c r="P94" s="769">
        <v>62500</v>
      </c>
      <c r="Q94" s="769">
        <v>17500</v>
      </c>
      <c r="R94" s="769">
        <v>45000</v>
      </c>
      <c r="S94" s="769">
        <v>45000</v>
      </c>
      <c r="T94" s="769">
        <v>0</v>
      </c>
      <c r="U94" s="769">
        <v>0</v>
      </c>
      <c r="V94" s="769">
        <v>45000</v>
      </c>
      <c r="W94" s="769">
        <v>45000</v>
      </c>
    </row>
    <row r="95" spans="11:23">
      <c r="K95" s="668">
        <v>2026</v>
      </c>
      <c r="L95" s="769">
        <v>1312500</v>
      </c>
      <c r="M95" s="769">
        <v>1250000</v>
      </c>
      <c r="N95" s="769">
        <v>62500</v>
      </c>
      <c r="O95" s="769">
        <v>0</v>
      </c>
      <c r="P95" s="769">
        <v>62500</v>
      </c>
      <c r="Q95" s="769">
        <v>17500</v>
      </c>
      <c r="R95" s="769">
        <v>45000</v>
      </c>
      <c r="S95" s="769">
        <v>45000</v>
      </c>
      <c r="T95" s="769">
        <v>0</v>
      </c>
      <c r="U95" s="769">
        <v>0</v>
      </c>
      <c r="V95" s="769">
        <v>45000</v>
      </c>
      <c r="W95" s="769">
        <v>45000</v>
      </c>
    </row>
    <row r="96" spans="11:23">
      <c r="K96" s="668">
        <v>2027</v>
      </c>
      <c r="L96" s="769">
        <v>1312500</v>
      </c>
      <c r="M96" s="769">
        <v>1250000</v>
      </c>
      <c r="N96" s="769">
        <v>62500</v>
      </c>
      <c r="O96" s="769">
        <v>0</v>
      </c>
      <c r="P96" s="769">
        <v>62500</v>
      </c>
      <c r="Q96" s="769">
        <v>17500</v>
      </c>
      <c r="R96" s="769">
        <v>45000</v>
      </c>
      <c r="S96" s="769">
        <v>45000</v>
      </c>
      <c r="T96" s="769">
        <v>0</v>
      </c>
      <c r="U96" s="769">
        <v>0</v>
      </c>
      <c r="V96" s="769">
        <v>45000</v>
      </c>
      <c r="W96" s="769">
        <v>45000</v>
      </c>
    </row>
    <row r="98" spans="11:23">
      <c r="K98" s="780" t="s">
        <v>2869</v>
      </c>
      <c r="L98" s="781">
        <v>0</v>
      </c>
      <c r="M98" s="765" t="s">
        <v>55</v>
      </c>
      <c r="N98" s="106" t="s">
        <v>2635</v>
      </c>
      <c r="O98" s="782">
        <v>0.06</v>
      </c>
      <c r="P98" s="765" t="s">
        <v>55</v>
      </c>
      <c r="Q98" s="60"/>
      <c r="R98" s="60"/>
      <c r="S98" s="60"/>
      <c r="T98" s="60"/>
      <c r="U98" s="60"/>
      <c r="V98" s="60"/>
      <c r="W98" s="60"/>
    </row>
    <row r="99" spans="11:23">
      <c r="K99" s="787" t="s">
        <v>3200</v>
      </c>
      <c r="L99" s="781">
        <v>0</v>
      </c>
      <c r="M99" s="765" t="s">
        <v>55</v>
      </c>
      <c r="O99" s="6"/>
      <c r="V99" s="6"/>
    </row>
    <row r="100" spans="11:23">
      <c r="K100" s="787" t="s">
        <v>2877</v>
      </c>
      <c r="L100" s="781">
        <v>0</v>
      </c>
      <c r="M100" s="765" t="s">
        <v>55</v>
      </c>
      <c r="N100" s="106" t="s">
        <v>13</v>
      </c>
      <c r="O100" s="781">
        <v>168730.45365412396</v>
      </c>
      <c r="P100" s="765" t="s">
        <v>55</v>
      </c>
      <c r="Q100" s="1052" t="s">
        <v>3305</v>
      </c>
      <c r="R100" s="1052"/>
      <c r="S100" s="1052"/>
      <c r="T100" s="1052"/>
      <c r="U100" s="1052"/>
      <c r="V100" s="1052"/>
    </row>
    <row r="101" spans="11:23">
      <c r="K101" s="787" t="s">
        <v>2882</v>
      </c>
      <c r="L101" s="781">
        <v>0</v>
      </c>
      <c r="M101" s="765" t="s">
        <v>55</v>
      </c>
      <c r="Q101" s="1052" t="s">
        <v>3306</v>
      </c>
      <c r="R101" s="1052"/>
      <c r="S101" s="1052"/>
      <c r="T101" s="1052"/>
      <c r="U101" s="1052"/>
      <c r="V101" s="1052"/>
    </row>
    <row r="102" spans="11:23">
      <c r="O102" s="8" t="s">
        <v>55</v>
      </c>
      <c r="P102" s="793" t="s">
        <v>55</v>
      </c>
    </row>
    <row r="103" spans="11:23">
      <c r="P103" s="793" t="s">
        <v>55</v>
      </c>
    </row>
    <row r="106" spans="11:23">
      <c r="K106" s="821"/>
    </row>
  </sheetData>
  <sheetProtection algorithmName="SHA-512" hashValue="opuTawtCqsZ1U9ptrOG7DWGQpalzJAMq2ztrypfm1dXXLISvDWNgrk8rOKq+Bvwzhtv43o5qJuPu/+faTGapWw==" saltValue="wziJvU0fChaZhrrNlCwEzA==" spinCount="100000" sheet="1" selectLockedCells="1"/>
  <mergeCells count="7">
    <mergeCell ref="Q101:V101"/>
    <mergeCell ref="B2:I2"/>
    <mergeCell ref="Q32:V32"/>
    <mergeCell ref="Q33:V33"/>
    <mergeCell ref="Q66:V66"/>
    <mergeCell ref="Q67:V67"/>
    <mergeCell ref="Q100:V100"/>
  </mergeCells>
  <conditionalFormatting sqref="A1:A3 A5">
    <cfRule type="expression" dxfId="31" priority="2" stopIfTrue="1">
      <formula>NOT($A$4="javi")</formula>
    </cfRule>
  </conditionalFormatting>
  <conditionalFormatting sqref="A1:XFD1048576">
    <cfRule type="expression" dxfId="30" priority="1" stopIfTrue="1">
      <formula>OR(NOT($A$2="SI"),NOT($A$1=$A$3))</formula>
    </cfRule>
  </conditionalFormatting>
  <pageMargins left="0.70866141732283472" right="0.70866141732283472" top="0.74803149606299213" bottom="0.74803149606299213" header="0.31496062992125984" footer="0.31496062992125984"/>
  <pageSetup paperSize="9" scale="65" orientation="landscape" r:id="rId1"/>
  <headerFooter>
    <oddHeader>&amp;CEmpresa DISVISA - Caso práctico de inversión en condiciones de certeza: Incrementalidad, FM, inflación - Inflación vs No inflación</oddHeader>
    <oddFooter>&amp;CPágina &amp;P de &amp;N</oddFooter>
  </headerFooter>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C3A9-0BD2-4C2B-8AD3-02D094B4965B}">
  <dimension ref="A1:R25"/>
  <sheetViews>
    <sheetView showGridLines="0" tabSelected="1" zoomScale="85" zoomScaleNormal="85" workbookViewId="0">
      <selection activeCell="F2" sqref="F2"/>
    </sheetView>
  </sheetViews>
  <sheetFormatPr baseColWidth="10" defaultColWidth="10.81640625" defaultRowHeight="15" customHeight="1"/>
  <cols>
    <col min="1" max="15" width="10.81640625" style="902"/>
    <col min="16" max="18" width="9.54296875" style="902" customWidth="1"/>
    <col min="19" max="19" width="3" style="902" customWidth="1"/>
    <col min="20" max="16384" width="10.81640625" style="902"/>
  </cols>
  <sheetData>
    <row r="1" spans="1:18" ht="15" customHeight="1">
      <c r="A1" s="915" t="s">
        <v>4139</v>
      </c>
      <c r="B1" s="916" t="s">
        <v>4140</v>
      </c>
      <c r="P1" s="903"/>
      <c r="Q1" s="904"/>
      <c r="R1" s="903"/>
    </row>
    <row r="2" spans="1:18" ht="15" customHeight="1">
      <c r="A2" s="915"/>
      <c r="B2" s="916"/>
      <c r="E2" s="905" t="s">
        <v>4141</v>
      </c>
      <c r="F2" s="906"/>
      <c r="G2" s="907" t="str">
        <f>IF(OR(F2="",AND(NOT(F2=0),NOT(ISERROR(VLOOKUP(F2,'1'!C6:C42,1,FALSE))))),"","ERROR")</f>
        <v/>
      </c>
      <c r="H2" s="908" t="str">
        <f>IF(AND(NOT(F2=""),G2=""),"SI","")</f>
        <v/>
      </c>
      <c r="I2" s="908" t="str">
        <f>IF(H2="SI",VLOOKUP(F2,'1'!C6:P42,'1'!$F$3,FALSE),"")</f>
        <v/>
      </c>
      <c r="L2" s="905" t="str">
        <f>CONCATENATE("Introduce nº de pantalla (1 a ",I2,") ")</f>
        <v xml:space="preserve">Introduce nº de pantalla (1 a ) </v>
      </c>
      <c r="M2" s="906"/>
      <c r="N2" s="907" t="str">
        <f>IF(OR(M2="",NOT(I2&gt;1)),"",IF(ISNUMBER(M2),IF(AND(INT(M2)=M2,M2&gt;0,M2&lt;=I2),"","ERROR"),"ERROR"))</f>
        <v/>
      </c>
      <c r="O2" s="908"/>
      <c r="P2" s="903"/>
      <c r="Q2" s="904"/>
      <c r="R2" s="903"/>
    </row>
    <row r="3" spans="1:18" ht="15" customHeight="1">
      <c r="A3" s="915"/>
      <c r="B3" s="916"/>
      <c r="F3" s="909"/>
      <c r="M3" s="909"/>
      <c r="N3" s="904"/>
      <c r="O3" s="904"/>
      <c r="P3" s="903"/>
      <c r="Q3" s="904"/>
      <c r="R3" s="903"/>
    </row>
    <row r="4" spans="1:18" ht="15" customHeight="1" thickBot="1"/>
    <row r="5" spans="1:18" ht="15" customHeight="1" thickBot="1">
      <c r="B5" s="910" t="s">
        <v>4142</v>
      </c>
      <c r="D5" s="917" t="str">
        <f>IF(H2="SI",VLOOKUP(F2,'1'!C6:P42,'1'!D$3,FALSE),"")</f>
        <v/>
      </c>
      <c r="E5" s="918"/>
      <c r="F5" s="918"/>
      <c r="G5" s="918"/>
      <c r="H5" s="918"/>
      <c r="I5" s="918"/>
      <c r="J5" s="918"/>
      <c r="K5" s="918"/>
      <c r="L5" s="918"/>
      <c r="M5" s="918"/>
      <c r="N5" s="918"/>
      <c r="O5" s="919"/>
    </row>
    <row r="6" spans="1:18" ht="15" customHeight="1" thickBot="1">
      <c r="B6" s="913" t="s">
        <v>3951</v>
      </c>
      <c r="Q6" s="911" t="s">
        <v>4143</v>
      </c>
      <c r="R6" s="912" t="str">
        <f>IF(OR(NOT(H2="SI"),NOT(I2&gt;1),NOT(N2="")),"",CONCATENATE(IF(M2="",1,M2)," de ",I2))</f>
        <v/>
      </c>
    </row>
    <row r="7" spans="1:18" ht="15" customHeight="1">
      <c r="B7" s="920" t="str">
        <f>IF(AND(H2="SI",N2=""),VLOOKUP(F2,'1'!$C$6:$P$42,'1'!G$3+IF(AND(I2&gt;1,NOT(M2="")),M2-1,0),FALSE),"")</f>
        <v/>
      </c>
      <c r="C7" s="921"/>
      <c r="D7" s="921"/>
      <c r="E7" s="921"/>
      <c r="F7" s="921"/>
      <c r="G7" s="921"/>
      <c r="H7" s="921"/>
      <c r="I7" s="921"/>
      <c r="J7" s="921"/>
      <c r="K7" s="921"/>
      <c r="L7" s="921"/>
      <c r="M7" s="921"/>
      <c r="N7" s="921"/>
      <c r="O7" s="921"/>
      <c r="P7" s="921"/>
      <c r="Q7" s="921"/>
      <c r="R7" s="922"/>
    </row>
    <row r="8" spans="1:18" ht="15" customHeight="1">
      <c r="B8" s="923"/>
      <c r="C8" s="924"/>
      <c r="D8" s="924"/>
      <c r="E8" s="924"/>
      <c r="F8" s="924"/>
      <c r="G8" s="924"/>
      <c r="H8" s="924"/>
      <c r="I8" s="924"/>
      <c r="J8" s="924"/>
      <c r="K8" s="924"/>
      <c r="L8" s="924"/>
      <c r="M8" s="924"/>
      <c r="N8" s="924"/>
      <c r="O8" s="924"/>
      <c r="P8" s="924"/>
      <c r="Q8" s="924"/>
      <c r="R8" s="925"/>
    </row>
    <row r="9" spans="1:18" ht="15" customHeight="1">
      <c r="B9" s="923"/>
      <c r="C9" s="924"/>
      <c r="D9" s="924"/>
      <c r="E9" s="924"/>
      <c r="F9" s="924"/>
      <c r="G9" s="924"/>
      <c r="H9" s="924"/>
      <c r="I9" s="924"/>
      <c r="J9" s="924"/>
      <c r="K9" s="924"/>
      <c r="L9" s="924"/>
      <c r="M9" s="924"/>
      <c r="N9" s="924"/>
      <c r="O9" s="924"/>
      <c r="P9" s="924"/>
      <c r="Q9" s="924"/>
      <c r="R9" s="925"/>
    </row>
    <row r="10" spans="1:18" ht="15" customHeight="1">
      <c r="B10" s="923"/>
      <c r="C10" s="924"/>
      <c r="D10" s="924"/>
      <c r="E10" s="924"/>
      <c r="F10" s="924"/>
      <c r="G10" s="924"/>
      <c r="H10" s="924"/>
      <c r="I10" s="924"/>
      <c r="J10" s="924"/>
      <c r="K10" s="924"/>
      <c r="L10" s="924"/>
      <c r="M10" s="924"/>
      <c r="N10" s="924"/>
      <c r="O10" s="924"/>
      <c r="P10" s="924"/>
      <c r="Q10" s="924"/>
      <c r="R10" s="925"/>
    </row>
    <row r="11" spans="1:18" ht="15" customHeight="1">
      <c r="B11" s="923"/>
      <c r="C11" s="924"/>
      <c r="D11" s="924"/>
      <c r="E11" s="924"/>
      <c r="F11" s="924"/>
      <c r="G11" s="924"/>
      <c r="H11" s="924"/>
      <c r="I11" s="924"/>
      <c r="J11" s="924"/>
      <c r="K11" s="924"/>
      <c r="L11" s="924"/>
      <c r="M11" s="924"/>
      <c r="N11" s="924"/>
      <c r="O11" s="924"/>
      <c r="P11" s="924"/>
      <c r="Q11" s="924"/>
      <c r="R11" s="925"/>
    </row>
    <row r="12" spans="1:18" ht="15" customHeight="1">
      <c r="B12" s="923"/>
      <c r="C12" s="924"/>
      <c r="D12" s="924"/>
      <c r="E12" s="924"/>
      <c r="F12" s="924"/>
      <c r="G12" s="924"/>
      <c r="H12" s="924"/>
      <c r="I12" s="924"/>
      <c r="J12" s="924"/>
      <c r="K12" s="924"/>
      <c r="L12" s="924"/>
      <c r="M12" s="924"/>
      <c r="N12" s="924"/>
      <c r="O12" s="924"/>
      <c r="P12" s="924"/>
      <c r="Q12" s="924"/>
      <c r="R12" s="925"/>
    </row>
    <row r="13" spans="1:18" ht="15" customHeight="1">
      <c r="B13" s="923"/>
      <c r="C13" s="924"/>
      <c r="D13" s="924"/>
      <c r="E13" s="924"/>
      <c r="F13" s="924"/>
      <c r="G13" s="924"/>
      <c r="H13" s="924"/>
      <c r="I13" s="924"/>
      <c r="J13" s="924"/>
      <c r="K13" s="924"/>
      <c r="L13" s="924"/>
      <c r="M13" s="924"/>
      <c r="N13" s="924"/>
      <c r="O13" s="924"/>
      <c r="P13" s="924"/>
      <c r="Q13" s="924"/>
      <c r="R13" s="925"/>
    </row>
    <row r="14" spans="1:18" ht="15" customHeight="1">
      <c r="B14" s="923"/>
      <c r="C14" s="924"/>
      <c r="D14" s="924"/>
      <c r="E14" s="924"/>
      <c r="F14" s="924"/>
      <c r="G14" s="924"/>
      <c r="H14" s="924"/>
      <c r="I14" s="924"/>
      <c r="J14" s="924"/>
      <c r="K14" s="924"/>
      <c r="L14" s="924"/>
      <c r="M14" s="924"/>
      <c r="N14" s="924"/>
      <c r="O14" s="924"/>
      <c r="P14" s="924"/>
      <c r="Q14" s="924"/>
      <c r="R14" s="925"/>
    </row>
    <row r="15" spans="1:18" ht="15" customHeight="1">
      <c r="B15" s="923"/>
      <c r="C15" s="924"/>
      <c r="D15" s="924"/>
      <c r="E15" s="924"/>
      <c r="F15" s="924"/>
      <c r="G15" s="924"/>
      <c r="H15" s="924"/>
      <c r="I15" s="924"/>
      <c r="J15" s="924"/>
      <c r="K15" s="924"/>
      <c r="L15" s="924"/>
      <c r="M15" s="924"/>
      <c r="N15" s="924"/>
      <c r="O15" s="924"/>
      <c r="P15" s="924"/>
      <c r="Q15" s="924"/>
      <c r="R15" s="925"/>
    </row>
    <row r="16" spans="1:18" ht="15" customHeight="1">
      <c r="B16" s="923"/>
      <c r="C16" s="924"/>
      <c r="D16" s="924"/>
      <c r="E16" s="924"/>
      <c r="F16" s="924"/>
      <c r="G16" s="924"/>
      <c r="H16" s="924"/>
      <c r="I16" s="924"/>
      <c r="J16" s="924"/>
      <c r="K16" s="924"/>
      <c r="L16" s="924"/>
      <c r="M16" s="924"/>
      <c r="N16" s="924"/>
      <c r="O16" s="924"/>
      <c r="P16" s="924"/>
      <c r="Q16" s="924"/>
      <c r="R16" s="925"/>
    </row>
    <row r="17" spans="2:18" ht="15" customHeight="1">
      <c r="B17" s="923"/>
      <c r="C17" s="924"/>
      <c r="D17" s="924"/>
      <c r="E17" s="924"/>
      <c r="F17" s="924"/>
      <c r="G17" s="924"/>
      <c r="H17" s="924"/>
      <c r="I17" s="924"/>
      <c r="J17" s="924"/>
      <c r="K17" s="924"/>
      <c r="L17" s="924"/>
      <c r="M17" s="924"/>
      <c r="N17" s="924"/>
      <c r="O17" s="924"/>
      <c r="P17" s="924"/>
      <c r="Q17" s="924"/>
      <c r="R17" s="925"/>
    </row>
    <row r="18" spans="2:18" ht="15" customHeight="1">
      <c r="B18" s="923"/>
      <c r="C18" s="924"/>
      <c r="D18" s="924"/>
      <c r="E18" s="924"/>
      <c r="F18" s="924"/>
      <c r="G18" s="924"/>
      <c r="H18" s="924"/>
      <c r="I18" s="924"/>
      <c r="J18" s="924"/>
      <c r="K18" s="924"/>
      <c r="L18" s="924"/>
      <c r="M18" s="924"/>
      <c r="N18" s="924"/>
      <c r="O18" s="924"/>
      <c r="P18" s="924"/>
      <c r="Q18" s="924"/>
      <c r="R18" s="925"/>
    </row>
    <row r="19" spans="2:18" ht="15" customHeight="1">
      <c r="B19" s="923"/>
      <c r="C19" s="924"/>
      <c r="D19" s="924"/>
      <c r="E19" s="924"/>
      <c r="F19" s="924"/>
      <c r="G19" s="924"/>
      <c r="H19" s="924"/>
      <c r="I19" s="924"/>
      <c r="J19" s="924"/>
      <c r="K19" s="924"/>
      <c r="L19" s="924"/>
      <c r="M19" s="924"/>
      <c r="N19" s="924"/>
      <c r="O19" s="924"/>
      <c r="P19" s="924"/>
      <c r="Q19" s="924"/>
      <c r="R19" s="925"/>
    </row>
    <row r="20" spans="2:18" ht="15" customHeight="1">
      <c r="B20" s="923"/>
      <c r="C20" s="924"/>
      <c r="D20" s="924"/>
      <c r="E20" s="924"/>
      <c r="F20" s="924"/>
      <c r="G20" s="924"/>
      <c r="H20" s="924"/>
      <c r="I20" s="924"/>
      <c r="J20" s="924"/>
      <c r="K20" s="924"/>
      <c r="L20" s="924"/>
      <c r="M20" s="924"/>
      <c r="N20" s="924"/>
      <c r="O20" s="924"/>
      <c r="P20" s="924"/>
      <c r="Q20" s="924"/>
      <c r="R20" s="925"/>
    </row>
    <row r="21" spans="2:18" ht="15" customHeight="1">
      <c r="B21" s="923"/>
      <c r="C21" s="924"/>
      <c r="D21" s="924"/>
      <c r="E21" s="924"/>
      <c r="F21" s="924"/>
      <c r="G21" s="924"/>
      <c r="H21" s="924"/>
      <c r="I21" s="924"/>
      <c r="J21" s="924"/>
      <c r="K21" s="924"/>
      <c r="L21" s="924"/>
      <c r="M21" s="924"/>
      <c r="N21" s="924"/>
      <c r="O21" s="924"/>
      <c r="P21" s="924"/>
      <c r="Q21" s="924"/>
      <c r="R21" s="925"/>
    </row>
    <row r="22" spans="2:18" ht="15" customHeight="1">
      <c r="B22" s="923"/>
      <c r="C22" s="924"/>
      <c r="D22" s="924"/>
      <c r="E22" s="924"/>
      <c r="F22" s="924"/>
      <c r="G22" s="924"/>
      <c r="H22" s="924"/>
      <c r="I22" s="924"/>
      <c r="J22" s="924"/>
      <c r="K22" s="924"/>
      <c r="L22" s="924"/>
      <c r="M22" s="924"/>
      <c r="N22" s="924"/>
      <c r="O22" s="924"/>
      <c r="P22" s="924"/>
      <c r="Q22" s="924"/>
      <c r="R22" s="925"/>
    </row>
    <row r="23" spans="2:18" ht="15" customHeight="1">
      <c r="B23" s="923"/>
      <c r="C23" s="924"/>
      <c r="D23" s="924"/>
      <c r="E23" s="924"/>
      <c r="F23" s="924"/>
      <c r="G23" s="924"/>
      <c r="H23" s="924"/>
      <c r="I23" s="924"/>
      <c r="J23" s="924"/>
      <c r="K23" s="924"/>
      <c r="L23" s="924"/>
      <c r="M23" s="924"/>
      <c r="N23" s="924"/>
      <c r="O23" s="924"/>
      <c r="P23" s="924"/>
      <c r="Q23" s="924"/>
      <c r="R23" s="925"/>
    </row>
    <row r="24" spans="2:18" ht="15" customHeight="1">
      <c r="B24" s="923"/>
      <c r="C24" s="924"/>
      <c r="D24" s="924"/>
      <c r="E24" s="924"/>
      <c r="F24" s="924"/>
      <c r="G24" s="924"/>
      <c r="H24" s="924"/>
      <c r="I24" s="924"/>
      <c r="J24" s="924"/>
      <c r="K24" s="924"/>
      <c r="L24" s="924"/>
      <c r="M24" s="924"/>
      <c r="N24" s="924"/>
      <c r="O24" s="924"/>
      <c r="P24" s="924"/>
      <c r="Q24" s="924"/>
      <c r="R24" s="925"/>
    </row>
    <row r="25" spans="2:18" ht="15" customHeight="1" thickBot="1">
      <c r="B25" s="926"/>
      <c r="C25" s="927"/>
      <c r="D25" s="927"/>
      <c r="E25" s="927"/>
      <c r="F25" s="927"/>
      <c r="G25" s="927"/>
      <c r="H25" s="927"/>
      <c r="I25" s="927"/>
      <c r="J25" s="927"/>
      <c r="K25" s="927"/>
      <c r="L25" s="927"/>
      <c r="M25" s="927"/>
      <c r="N25" s="927"/>
      <c r="O25" s="927"/>
      <c r="P25" s="927"/>
      <c r="Q25" s="927"/>
      <c r="R25" s="928"/>
    </row>
  </sheetData>
  <sheetProtection algorithmName="SHA-512" hashValue="I7PS3oOusTxNP2FK0UKkVtLdlP6WEWgfRjpHNfJdFBzP3Vfbsl7rdWIzYZOecrCKtEOpKDkH6lrcRbeHAZI2lA==" saltValue="fI68KLRHY6cYfBMGbxa6Cg==" spinCount="100000" sheet="1" selectLockedCells="1"/>
  <mergeCells count="4">
    <mergeCell ref="A1:A3"/>
    <mergeCell ref="B1:B3"/>
    <mergeCell ref="D5:O5"/>
    <mergeCell ref="B7:R25"/>
  </mergeCells>
  <conditionalFormatting sqref="L2:N2">
    <cfRule type="expression" dxfId="283" priority="5" stopIfTrue="1">
      <formula>OR(NOT($H$2="SI"),NOT($I$2&gt;1))</formula>
    </cfRule>
  </conditionalFormatting>
  <conditionalFormatting sqref="Q6:R6">
    <cfRule type="expression" dxfId="282" priority="4" stopIfTrue="1">
      <formula>$R$6=""</formula>
    </cfRule>
  </conditionalFormatting>
  <conditionalFormatting sqref="H2:I2">
    <cfRule type="expression" dxfId="281" priority="3" stopIfTrue="1">
      <formula>NOT($F$3="javi")</formula>
    </cfRule>
  </conditionalFormatting>
  <conditionalFormatting sqref="B5:R25">
    <cfRule type="expression" dxfId="280" priority="1" stopIfTrue="1">
      <formula>NOT($H$2="SI")</formula>
    </cfRule>
  </conditionalFormatting>
  <conditionalFormatting sqref="B7:R25">
    <cfRule type="expression" dxfId="279" priority="2" stopIfTrue="1">
      <formula>$B$7=""</formula>
    </cfRule>
  </conditionalFormatting>
  <pageMargins left="0.70866141732283472" right="0.70866141732283472" top="0.74803149606299213" bottom="0.74803149606299213" header="0.31496062992125984" footer="0.31496062992125984"/>
  <pageSetup paperSize="9" scale="68" orientation="landscape" horizontalDpi="1200" verticalDpi="1200" r:id="rId1"/>
  <headerFooter>
    <oddHeader>&amp;C&amp;"Calibri,Normal"&amp;11&amp;A</oddHeader>
    <oddFooter>&amp;C&amp;"Calibri,Normal"&amp;11Página &amp;P de &amp;N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DD00-0734-4209-9E8F-0CD9C1A2847E}">
  <dimension ref="A1:Y1181"/>
  <sheetViews>
    <sheetView showGridLines="0" zoomScale="80" zoomScaleNormal="80" workbookViewId="0">
      <selection activeCell="C4" sqref="C4"/>
    </sheetView>
  </sheetViews>
  <sheetFormatPr baseColWidth="10" defaultColWidth="11.453125" defaultRowHeight="14.5"/>
  <cols>
    <col min="1" max="1" width="3.54296875" style="61" customWidth="1"/>
    <col min="2" max="2" width="128" style="59" customWidth="1"/>
    <col min="3" max="4" width="11.453125" style="59"/>
    <col min="5" max="5" width="24.453125" style="59" customWidth="1"/>
    <col min="6" max="6" width="12.54296875" style="59" customWidth="1"/>
    <col min="7" max="7" width="11.453125" style="59"/>
    <col min="8" max="8" width="24.453125" style="59" customWidth="1"/>
    <col min="9" max="9" width="12.54296875" style="59" customWidth="1"/>
    <col min="10" max="11" width="11.453125" style="59"/>
    <col min="12" max="12" width="8.54296875" style="59" customWidth="1"/>
    <col min="13" max="13" width="5.54296875" style="59" customWidth="1"/>
    <col min="14" max="24" width="12.54296875" style="59" customWidth="1"/>
    <col min="25" max="25" width="8.54296875" style="59" customWidth="1"/>
    <col min="26" max="16384" width="11.453125" style="59"/>
  </cols>
  <sheetData>
    <row r="1" spans="1:23">
      <c r="A1" s="61" t="str">
        <f>'Instrucciones de uso'!$H$15</f>
        <v>contraseña</v>
      </c>
    </row>
    <row r="2" spans="1:23">
      <c r="A2" s="368" t="str">
        <f>IF(AND('Instrucciones de uso'!$J$14="x",'Instrucciones de uso'!$I$33="SI"),"SI","NO")</f>
        <v>NO</v>
      </c>
      <c r="Q2" s="1059" t="s">
        <v>3351</v>
      </c>
      <c r="R2" s="1059"/>
      <c r="S2" s="1059"/>
      <c r="T2" s="837"/>
      <c r="U2" s="274" t="str">
        <f>IF(OR(T2="",T2="x"),"","ERROR")</f>
        <v/>
      </c>
    </row>
    <row r="3" spans="1:23">
      <c r="A3" s="61" t="str">
        <f>'Instrucciones de uso'!$J$15</f>
        <v>contraseña</v>
      </c>
      <c r="T3" s="838"/>
    </row>
    <row r="4" spans="1:23">
      <c r="B4" s="839" t="s">
        <v>3352</v>
      </c>
      <c r="C4" s="144"/>
      <c r="D4" s="274" t="str">
        <f>IF(C4="","",IF(NOT(ISNUMBER(C4)),"ERROR",IF(AND(INT(C4)=C4,C4&gt;0,C4&lt;=7),"","ERROR")))</f>
        <v/>
      </c>
      <c r="R4" s="840" t="str">
        <f>IF(AND(NOT(C4=""),D4="",T2="x"),"Borra las celdillas marcadas y quita la 'x' de la celdilla anterior para continuar trabajando","")</f>
        <v/>
      </c>
    </row>
    <row r="5" spans="1:23">
      <c r="C5" s="44"/>
    </row>
    <row r="8" spans="1:23" s="61" customFormat="1">
      <c r="A8" s="368">
        <v>1</v>
      </c>
      <c r="B8" s="368">
        <f t="shared" ref="B8:D8" si="0">1+A8</f>
        <v>2</v>
      </c>
      <c r="C8" s="368">
        <f t="shared" si="0"/>
        <v>3</v>
      </c>
      <c r="D8" s="368">
        <f t="shared" si="0"/>
        <v>4</v>
      </c>
      <c r="E8" s="368">
        <f>1+D8</f>
        <v>5</v>
      </c>
      <c r="F8" s="368">
        <f t="shared" ref="F8:W8" si="1">1+E8</f>
        <v>6</v>
      </c>
      <c r="G8" s="368">
        <f t="shared" si="1"/>
        <v>7</v>
      </c>
      <c r="H8" s="368">
        <f t="shared" si="1"/>
        <v>8</v>
      </c>
      <c r="I8" s="368">
        <f t="shared" si="1"/>
        <v>9</v>
      </c>
      <c r="J8" s="368">
        <f t="shared" si="1"/>
        <v>10</v>
      </c>
      <c r="K8" s="368">
        <f t="shared" si="1"/>
        <v>11</v>
      </c>
      <c r="L8" s="368">
        <f t="shared" si="1"/>
        <v>12</v>
      </c>
      <c r="M8" s="368">
        <f t="shared" si="1"/>
        <v>13</v>
      </c>
      <c r="N8" s="368">
        <f t="shared" si="1"/>
        <v>14</v>
      </c>
      <c r="O8" s="368">
        <f t="shared" si="1"/>
        <v>15</v>
      </c>
      <c r="P8" s="368">
        <f t="shared" si="1"/>
        <v>16</v>
      </c>
      <c r="Q8" s="368">
        <f t="shared" si="1"/>
        <v>17</v>
      </c>
      <c r="R8" s="368">
        <f t="shared" si="1"/>
        <v>18</v>
      </c>
      <c r="S8" s="368">
        <f t="shared" si="1"/>
        <v>19</v>
      </c>
      <c r="T8" s="368">
        <f t="shared" si="1"/>
        <v>20</v>
      </c>
      <c r="U8" s="368">
        <f t="shared" si="1"/>
        <v>21</v>
      </c>
      <c r="V8" s="368">
        <f t="shared" si="1"/>
        <v>22</v>
      </c>
      <c r="W8" s="368">
        <f t="shared" si="1"/>
        <v>23</v>
      </c>
    </row>
    <row r="9" spans="1:23">
      <c r="A9" s="61" t="str">
        <f>IF(AND(NOT(C4=""),D4=""),C4,"")</f>
        <v/>
      </c>
      <c r="B9" s="841" t="s">
        <v>3951</v>
      </c>
      <c r="E9" s="59" t="str">
        <f>IF(ISERROR($F$215),"",IF($F$215="SI","No puede modificarse ese dato. Deshaga operación (Ctrl-Z) para seguir trabajando",""))</f>
        <v/>
      </c>
      <c r="M9" s="841" t="s">
        <v>3951</v>
      </c>
    </row>
    <row r="10" spans="1:23">
      <c r="A10" s="61" t="str">
        <f>IF(A9="","",A9*1000+1)</f>
        <v/>
      </c>
      <c r="B10" s="835" t="str">
        <f t="shared" ref="B10:B47" si="2">IF($A10="","",IF(VLOOKUP($A10,$A$251:$W$1080,B$8,FALSE)="","",VLOOKUP($A10,$A$251:$W$1080,B$8,FALSE)))</f>
        <v/>
      </c>
      <c r="E10" s="824" t="str">
        <f t="shared" ref="E10:F47" si="3">IF($A10="","",IF(VLOOKUP($A10,$A$251:$W$1080,E$8,FALSE)="","",VLOOKUP($A10,$A$251:$W$1080,E$8,FALSE)))</f>
        <v/>
      </c>
      <c r="F10" s="824"/>
      <c r="G10" s="824"/>
      <c r="H10" s="824"/>
      <c r="I10" s="824"/>
      <c r="J10" s="842"/>
      <c r="K10" s="843"/>
      <c r="M10" s="156" t="str">
        <f>IF($A10="","",IF(VLOOKUP($A10,$A$251:$W$1080,M$8,FALSE)="","",VLOOKUP($A10,$A$251:$W$1080,M$8,FALSE)))</f>
        <v/>
      </c>
      <c r="N10" s="762"/>
      <c r="O10" s="762"/>
      <c r="P10" s="762"/>
      <c r="Q10" s="762"/>
      <c r="R10" s="762"/>
      <c r="S10" s="762"/>
      <c r="T10" s="762"/>
      <c r="U10" s="762"/>
      <c r="V10" s="762"/>
    </row>
    <row r="11" spans="1:23">
      <c r="A11" s="61" t="str">
        <f>IF(A10="","",1+A10)</f>
        <v/>
      </c>
      <c r="B11" s="59" t="str">
        <f t="shared" si="2"/>
        <v/>
      </c>
      <c r="E11" s="844" t="str">
        <f t="shared" si="3"/>
        <v/>
      </c>
      <c r="F11" s="845" t="str">
        <f t="shared" si="3"/>
        <v/>
      </c>
      <c r="G11" s="846"/>
      <c r="H11" s="844" t="str">
        <f t="shared" ref="H11:I30" si="4">IF($A11="","",IF(VLOOKUP($A11,$A$251:$W$1080,H$8,FALSE)="","",VLOOKUP($A11,$A$251:$W$1080,H$8,FALSE)))</f>
        <v/>
      </c>
      <c r="I11" s="845" t="str">
        <f t="shared" si="4"/>
        <v/>
      </c>
      <c r="J11" s="846"/>
      <c r="K11" s="847"/>
      <c r="M11" s="1"/>
      <c r="N11" s="98" t="str">
        <f>IF(ISERROR(IF(OR(AND(NOT(N14=""),NOT(ISNUMBER(N14))),AND(NOT(N15=""),NOT(ISNUMBER(N15))),AND(NOT(N16=""),NOT(ISNUMBER(N16))),AND(NOT(N17=""),NOT(ISNUMBER(N17)))),"ERROR","")),"ERROR",IF(OR(AND(NOT(N14=""),NOT(ISNUMBER(N14))),AND(NOT(N15=""),NOT(ISNUMBER(N15))),AND(NOT(N16=""),NOT(ISNUMBER(N16))),AND(NOT(N17=""),NOT(ISNUMBER(N17)))),"ERROR",""))</f>
        <v/>
      </c>
      <c r="O11" s="98" t="str">
        <f t="shared" ref="O11:U11" si="5">IF(ISERROR(IF(OR(AND(NOT(O14=""),NOT(ISNUMBER(O14))),AND(NOT(O15=""),NOT(ISNUMBER(O15))),AND(NOT(O16=""),NOT(ISNUMBER(O16))),AND(NOT(O17=""),NOT(ISNUMBER(O17)))),"ERROR","")),"ERROR",IF(OR(AND(NOT(O14=""),NOT(ISNUMBER(O14))),AND(NOT(O15=""),NOT(ISNUMBER(O15))),AND(NOT(O16=""),NOT(ISNUMBER(O16))),AND(NOT(O17=""),NOT(ISNUMBER(O17)))),"ERROR",""))</f>
        <v/>
      </c>
      <c r="P11" s="98" t="str">
        <f t="shared" si="5"/>
        <v/>
      </c>
      <c r="Q11" s="98" t="str">
        <f t="shared" si="5"/>
        <v/>
      </c>
      <c r="R11" s="98" t="str">
        <f t="shared" si="5"/>
        <v/>
      </c>
      <c r="S11" s="98" t="str">
        <f t="shared" si="5"/>
        <v/>
      </c>
      <c r="T11" s="98" t="str">
        <f t="shared" si="5"/>
        <v/>
      </c>
      <c r="U11" s="98" t="str">
        <f t="shared" si="5"/>
        <v/>
      </c>
      <c r="V11" s="98" t="str">
        <f>IF(ISERROR(IF(OR(AND(NOT(V13=""),NOT(ISNUMBER(V13))),AND(NOT(V14=""),NOT(ISNUMBER(V14))),AND(NOT(V15=""),NOT(ISNUMBER(V15))),AND(NOT(V16=""),NOT(ISNUMBER(V16))),AND(NOT(V17=""),NOT(ISNUMBER(V17)))),"ERROR","")),"ERROR",IF(OR(AND(NOT(V13=""),NOT(ISNUMBER(V13))),AND(NOT(V14=""),NOT(ISNUMBER(V14))),AND(NOT(V15=""),NOT(ISNUMBER(V15))),AND(NOT(V16=""),NOT(ISNUMBER(V16))),AND(NOT(V17=""),NOT(ISNUMBER(V17)))),"ERROR",""))</f>
        <v/>
      </c>
    </row>
    <row r="12" spans="1:23">
      <c r="A12" s="61" t="str">
        <f t="shared" ref="A12:A75" si="6">IF(A11="","",1+A11)</f>
        <v/>
      </c>
      <c r="B12" s="59" t="str">
        <f t="shared" si="2"/>
        <v/>
      </c>
      <c r="E12" s="844" t="str">
        <f t="shared" si="3"/>
        <v/>
      </c>
      <c r="F12" s="845" t="str">
        <f t="shared" si="3"/>
        <v/>
      </c>
      <c r="G12" s="846"/>
      <c r="H12" s="844" t="str">
        <f t="shared" si="4"/>
        <v/>
      </c>
      <c r="I12" s="845" t="str">
        <f t="shared" si="4"/>
        <v/>
      </c>
      <c r="J12" s="846"/>
      <c r="K12" s="847"/>
      <c r="M12" s="107" t="s">
        <v>0</v>
      </c>
      <c r="N12" s="108" t="s">
        <v>69</v>
      </c>
      <c r="O12" s="108" t="s">
        <v>70</v>
      </c>
      <c r="P12" s="108" t="s">
        <v>71</v>
      </c>
      <c r="Q12" s="108" t="s">
        <v>72</v>
      </c>
      <c r="R12" s="108" t="s">
        <v>73</v>
      </c>
      <c r="S12" s="108" t="s">
        <v>74</v>
      </c>
      <c r="T12" s="108" t="s">
        <v>75</v>
      </c>
      <c r="U12" s="108" t="s">
        <v>3353</v>
      </c>
      <c r="V12" s="108" t="s">
        <v>1</v>
      </c>
    </row>
    <row r="13" spans="1:23">
      <c r="A13" s="61" t="str">
        <f t="shared" si="6"/>
        <v/>
      </c>
      <c r="B13" s="59" t="str">
        <f t="shared" si="2"/>
        <v/>
      </c>
      <c r="E13" s="844" t="str">
        <f t="shared" si="3"/>
        <v/>
      </c>
      <c r="F13" s="845" t="str">
        <f t="shared" si="3"/>
        <v/>
      </c>
      <c r="G13" s="846"/>
      <c r="H13" s="844" t="str">
        <f t="shared" si="4"/>
        <v/>
      </c>
      <c r="I13" s="845" t="str">
        <f t="shared" si="4"/>
        <v/>
      </c>
      <c r="J13" s="846"/>
      <c r="K13" s="847"/>
      <c r="M13" s="267">
        <v>0</v>
      </c>
      <c r="N13" s="834">
        <v>0</v>
      </c>
      <c r="O13" s="834">
        <v>0</v>
      </c>
      <c r="P13" s="834">
        <v>0</v>
      </c>
      <c r="Q13" s="834">
        <v>0</v>
      </c>
      <c r="R13" s="834">
        <v>0</v>
      </c>
      <c r="S13" s="834">
        <v>0</v>
      </c>
      <c r="T13" s="834">
        <v>0</v>
      </c>
      <c r="U13" s="834">
        <v>0</v>
      </c>
      <c r="V13" s="100"/>
    </row>
    <row r="14" spans="1:23">
      <c r="A14" s="61" t="str">
        <f t="shared" si="6"/>
        <v/>
      </c>
      <c r="B14" s="59" t="str">
        <f t="shared" si="2"/>
        <v/>
      </c>
      <c r="E14" s="844" t="str">
        <f t="shared" si="3"/>
        <v/>
      </c>
      <c r="F14" s="845" t="str">
        <f t="shared" si="3"/>
        <v/>
      </c>
      <c r="G14" s="846"/>
      <c r="H14" s="844" t="str">
        <f t="shared" si="4"/>
        <v/>
      </c>
      <c r="I14" s="845" t="str">
        <f t="shared" si="4"/>
        <v/>
      </c>
      <c r="J14" s="846"/>
      <c r="K14" s="847"/>
      <c r="M14" s="267">
        <f>1+M13</f>
        <v>1</v>
      </c>
      <c r="N14" s="100"/>
      <c r="O14" s="100"/>
      <c r="P14" s="100"/>
      <c r="Q14" s="100"/>
      <c r="R14" s="100"/>
      <c r="S14" s="100"/>
      <c r="T14" s="100"/>
      <c r="U14" s="101"/>
      <c r="V14" s="100"/>
    </row>
    <row r="15" spans="1:23">
      <c r="A15" s="61" t="str">
        <f t="shared" si="6"/>
        <v/>
      </c>
      <c r="B15" s="59" t="str">
        <f t="shared" si="2"/>
        <v/>
      </c>
      <c r="E15" s="844" t="str">
        <f t="shared" si="3"/>
        <v/>
      </c>
      <c r="F15" s="845" t="str">
        <f t="shared" si="3"/>
        <v/>
      </c>
      <c r="G15" s="846"/>
      <c r="H15" s="844" t="str">
        <f t="shared" si="4"/>
        <v/>
      </c>
      <c r="I15" s="845" t="str">
        <f t="shared" si="4"/>
        <v/>
      </c>
      <c r="J15" s="846"/>
      <c r="K15" s="847"/>
      <c r="M15" s="267">
        <f>1+M14</f>
        <v>2</v>
      </c>
      <c r="N15" s="100"/>
      <c r="O15" s="100"/>
      <c r="P15" s="100"/>
      <c r="Q15" s="100"/>
      <c r="R15" s="100"/>
      <c r="S15" s="100"/>
      <c r="T15" s="100"/>
      <c r="U15" s="101"/>
      <c r="V15" s="100"/>
    </row>
    <row r="16" spans="1:23">
      <c r="A16" s="61" t="str">
        <f t="shared" si="6"/>
        <v/>
      </c>
      <c r="B16" s="59" t="str">
        <f t="shared" si="2"/>
        <v/>
      </c>
      <c r="E16" s="844" t="str">
        <f t="shared" si="3"/>
        <v/>
      </c>
      <c r="F16" s="845" t="str">
        <f t="shared" si="3"/>
        <v/>
      </c>
      <c r="G16" s="846"/>
      <c r="H16" s="844" t="str">
        <f t="shared" si="4"/>
        <v/>
      </c>
      <c r="I16" s="845" t="str">
        <f t="shared" si="4"/>
        <v/>
      </c>
      <c r="J16" s="846"/>
      <c r="K16" s="847"/>
      <c r="M16" s="267">
        <f>1+M15</f>
        <v>3</v>
      </c>
      <c r="N16" s="100"/>
      <c r="O16" s="100"/>
      <c r="P16" s="100"/>
      <c r="Q16" s="100"/>
      <c r="R16" s="100"/>
      <c r="S16" s="100"/>
      <c r="T16" s="100"/>
      <c r="U16" s="101"/>
      <c r="V16" s="100"/>
    </row>
    <row r="17" spans="1:25">
      <c r="A17" s="61" t="str">
        <f t="shared" si="6"/>
        <v/>
      </c>
      <c r="B17" s="59" t="str">
        <f t="shared" si="2"/>
        <v/>
      </c>
      <c r="E17" s="844" t="str">
        <f t="shared" si="3"/>
        <v/>
      </c>
      <c r="F17" s="845" t="str">
        <f t="shared" si="3"/>
        <v/>
      </c>
      <c r="G17" s="846"/>
      <c r="H17" s="844" t="str">
        <f t="shared" si="4"/>
        <v/>
      </c>
      <c r="I17" s="845" t="str">
        <f t="shared" si="4"/>
        <v/>
      </c>
      <c r="J17" s="846"/>
      <c r="K17" s="847"/>
      <c r="M17" s="267">
        <f>1+M16</f>
        <v>4</v>
      </c>
      <c r="N17" s="100"/>
      <c r="O17" s="100"/>
      <c r="P17" s="100"/>
      <c r="Q17" s="100"/>
      <c r="R17" s="100"/>
      <c r="S17" s="100"/>
      <c r="T17" s="100"/>
      <c r="U17" s="101"/>
      <c r="V17" s="100"/>
    </row>
    <row r="18" spans="1:25">
      <c r="A18" s="61" t="str">
        <f t="shared" si="6"/>
        <v/>
      </c>
      <c r="B18" s="59" t="str">
        <f t="shared" si="2"/>
        <v/>
      </c>
      <c r="E18" s="844" t="str">
        <f t="shared" si="3"/>
        <v/>
      </c>
      <c r="F18" s="845" t="str">
        <f t="shared" si="3"/>
        <v/>
      </c>
      <c r="G18" s="846"/>
      <c r="H18" s="844" t="str">
        <f t="shared" si="4"/>
        <v/>
      </c>
      <c r="I18" s="845" t="str">
        <f t="shared" si="4"/>
        <v/>
      </c>
      <c r="J18" s="846"/>
      <c r="K18" s="847"/>
      <c r="M18" s="60"/>
      <c r="N18" s="98" t="str">
        <f>IF(ISERROR(IF(OR(AND(NOT(N20=""),NOT(ISNUMBER(N20))),AND(NOT(N21=""),NOT(ISNUMBER(N21))),AND(NOT(N22=""),NOT(ISNUMBER(N22))),AND(NOT(N23=""),NOT(ISNUMBER(N23))),AND(NOT(N24=""),NOT(ISNUMBER(N24)))),"ERROR","")),"ERROR",IF(OR(AND(NOT(N21=""),NOT(ISNUMBER(N21))),AND(NOT(N22=""),NOT(ISNUMBER(N22))),AND(NOT(N23=""),NOT(ISNUMBER(N23))),AND(NOT(N24=""),NOT(ISNUMBER(N24)))),"ERROR",""))</f>
        <v/>
      </c>
      <c r="O18" s="98" t="str">
        <f t="shared" ref="O18:R18" si="7">IF(ISERROR(IF(OR(AND(NOT(O20=""),NOT(ISNUMBER(O20))),AND(NOT(O21=""),NOT(ISNUMBER(O21))),AND(NOT(O22=""),NOT(ISNUMBER(O22))),AND(NOT(O23=""),NOT(ISNUMBER(O23))),AND(NOT(O24=""),NOT(ISNUMBER(O24)))),"ERROR","")),"ERROR",IF(OR(AND(NOT(O21=""),NOT(ISNUMBER(O21))),AND(NOT(O22=""),NOT(ISNUMBER(O22))),AND(NOT(O23=""),NOT(ISNUMBER(O23))),AND(NOT(O24=""),NOT(ISNUMBER(O24)))),"ERROR",""))</f>
        <v/>
      </c>
      <c r="P18" s="98" t="str">
        <f t="shared" si="7"/>
        <v/>
      </c>
      <c r="Q18" s="98" t="str">
        <f t="shared" si="7"/>
        <v/>
      </c>
      <c r="R18" s="98" t="str">
        <f t="shared" si="7"/>
        <v/>
      </c>
      <c r="T18" s="44"/>
      <c r="U18" s="44"/>
      <c r="V18" s="44"/>
      <c r="W18" s="6"/>
      <c r="X18" s="6"/>
      <c r="Y18" s="6"/>
    </row>
    <row r="19" spans="1:25">
      <c r="A19" s="61" t="str">
        <f t="shared" si="6"/>
        <v/>
      </c>
      <c r="B19" s="59" t="str">
        <f t="shared" si="2"/>
        <v/>
      </c>
      <c r="E19" s="844" t="str">
        <f t="shared" si="3"/>
        <v/>
      </c>
      <c r="F19" s="845" t="str">
        <f t="shared" si="3"/>
        <v/>
      </c>
      <c r="G19" s="846"/>
      <c r="H19" s="844" t="str">
        <f t="shared" si="4"/>
        <v/>
      </c>
      <c r="I19" s="845" t="str">
        <f t="shared" si="4"/>
        <v/>
      </c>
      <c r="J19" s="846"/>
      <c r="K19" s="847"/>
      <c r="M19" s="107" t="s">
        <v>0</v>
      </c>
      <c r="N19" s="108" t="s">
        <v>3354</v>
      </c>
      <c r="O19" s="108" t="s">
        <v>76</v>
      </c>
      <c r="P19" s="108" t="s">
        <v>77</v>
      </c>
      <c r="Q19" s="108" t="s">
        <v>78</v>
      </c>
      <c r="R19" s="108" t="s">
        <v>79</v>
      </c>
      <c r="T19" s="60"/>
      <c r="U19" s="1"/>
      <c r="V19" s="1"/>
      <c r="W19" s="1"/>
      <c r="X19" s="1"/>
      <c r="Y19" s="1"/>
    </row>
    <row r="20" spans="1:25">
      <c r="A20" s="61" t="str">
        <f t="shared" si="6"/>
        <v/>
      </c>
      <c r="B20" s="59" t="str">
        <f t="shared" si="2"/>
        <v/>
      </c>
      <c r="E20" s="844" t="str">
        <f t="shared" si="3"/>
        <v/>
      </c>
      <c r="F20" s="845" t="str">
        <f t="shared" si="3"/>
        <v/>
      </c>
      <c r="G20" s="846"/>
      <c r="H20" s="844" t="str">
        <f t="shared" si="4"/>
        <v/>
      </c>
      <c r="I20" s="845" t="str">
        <f t="shared" si="4"/>
        <v/>
      </c>
      <c r="J20" s="846"/>
      <c r="K20" s="847"/>
      <c r="M20" s="267">
        <v>0</v>
      </c>
      <c r="N20" s="100"/>
      <c r="O20" s="100"/>
      <c r="P20" s="100"/>
      <c r="Q20" s="100"/>
      <c r="R20" s="100"/>
      <c r="T20" s="60"/>
      <c r="U20" s="1060" t="str">
        <f>IF(ISERROR($F$215),"",IF($F$215="SI","No puede modificarse ese dato. Deshaga operación (Ctrl-Z) para seguir trabajando",""))</f>
        <v/>
      </c>
      <c r="V20" s="1060"/>
      <c r="W20" s="1"/>
      <c r="X20" s="1"/>
      <c r="Y20" s="1"/>
    </row>
    <row r="21" spans="1:25">
      <c r="A21" s="61" t="str">
        <f t="shared" si="6"/>
        <v/>
      </c>
      <c r="B21" s="59" t="str">
        <f t="shared" si="2"/>
        <v/>
      </c>
      <c r="E21" s="844" t="str">
        <f t="shared" si="3"/>
        <v/>
      </c>
      <c r="F21" s="845" t="str">
        <f t="shared" si="3"/>
        <v/>
      </c>
      <c r="G21" s="846"/>
      <c r="H21" s="844" t="str">
        <f t="shared" si="4"/>
        <v/>
      </c>
      <c r="I21" s="845" t="str">
        <f t="shared" si="4"/>
        <v/>
      </c>
      <c r="J21" s="846"/>
      <c r="K21" s="847"/>
      <c r="M21" s="267">
        <f>1+M20</f>
        <v>1</v>
      </c>
      <c r="N21" s="100"/>
      <c r="O21" s="100"/>
      <c r="P21" s="100"/>
      <c r="Q21" s="100"/>
      <c r="R21" s="100"/>
      <c r="T21" s="60"/>
      <c r="U21" s="1060"/>
      <c r="V21" s="1060"/>
      <c r="W21" s="1"/>
      <c r="X21" s="1"/>
      <c r="Y21" s="1"/>
    </row>
    <row r="22" spans="1:25">
      <c r="A22" s="61" t="str">
        <f t="shared" si="6"/>
        <v/>
      </c>
      <c r="B22" s="59" t="str">
        <f t="shared" si="2"/>
        <v/>
      </c>
      <c r="E22" s="848" t="str">
        <f t="shared" si="3"/>
        <v/>
      </c>
      <c r="F22" s="849" t="str">
        <f t="shared" si="3"/>
        <v/>
      </c>
      <c r="G22" s="850"/>
      <c r="H22" s="848" t="str">
        <f t="shared" si="4"/>
        <v/>
      </c>
      <c r="I22" s="849" t="str">
        <f t="shared" si="4"/>
        <v/>
      </c>
      <c r="J22" s="850"/>
      <c r="K22" s="847"/>
      <c r="M22" s="267">
        <f>1+M21</f>
        <v>2</v>
      </c>
      <c r="N22" s="100"/>
      <c r="O22" s="100"/>
      <c r="P22" s="100"/>
      <c r="Q22" s="100"/>
      <c r="R22" s="100"/>
      <c r="T22" s="60"/>
      <c r="U22" s="1060"/>
      <c r="V22" s="1060"/>
      <c r="W22" s="1"/>
      <c r="X22" s="1"/>
      <c r="Y22" s="1"/>
    </row>
    <row r="23" spans="1:25">
      <c r="A23" s="61" t="str">
        <f t="shared" si="6"/>
        <v/>
      </c>
      <c r="B23" s="59" t="str">
        <f t="shared" si="2"/>
        <v/>
      </c>
      <c r="E23" s="848" t="str">
        <f t="shared" si="3"/>
        <v/>
      </c>
      <c r="F23" s="849" t="str">
        <f t="shared" si="3"/>
        <v/>
      </c>
      <c r="G23" s="850"/>
      <c r="H23" s="848" t="str">
        <f t="shared" si="4"/>
        <v/>
      </c>
      <c r="I23" s="849" t="str">
        <f t="shared" si="4"/>
        <v/>
      </c>
      <c r="J23" s="850"/>
      <c r="K23" s="847"/>
      <c r="M23" s="267">
        <f>1+M22</f>
        <v>3</v>
      </c>
      <c r="N23" s="100"/>
      <c r="O23" s="100"/>
      <c r="P23" s="100"/>
      <c r="Q23" s="100"/>
      <c r="R23" s="100"/>
      <c r="T23" s="60"/>
      <c r="U23" s="1060"/>
      <c r="V23" s="1060"/>
      <c r="W23" s="1"/>
      <c r="X23" s="1"/>
      <c r="Y23" s="1"/>
    </row>
    <row r="24" spans="1:25">
      <c r="A24" s="61" t="str">
        <f t="shared" si="6"/>
        <v/>
      </c>
      <c r="B24" s="59" t="str">
        <f t="shared" si="2"/>
        <v/>
      </c>
      <c r="E24" s="848" t="str">
        <f t="shared" si="3"/>
        <v/>
      </c>
      <c r="F24" s="849" t="str">
        <f t="shared" si="3"/>
        <v/>
      </c>
      <c r="G24" s="850"/>
      <c r="H24" s="848" t="str">
        <f t="shared" si="4"/>
        <v/>
      </c>
      <c r="I24" s="849" t="str">
        <f t="shared" si="4"/>
        <v/>
      </c>
      <c r="J24" s="850"/>
      <c r="K24" s="847"/>
      <c r="M24" s="267">
        <f>1+M23</f>
        <v>4</v>
      </c>
      <c r="N24" s="100"/>
      <c r="O24" s="100"/>
      <c r="P24" s="100"/>
      <c r="Q24" s="100"/>
      <c r="R24" s="100"/>
      <c r="T24" s="1"/>
      <c r="U24" s="1"/>
      <c r="V24" s="1"/>
      <c r="W24" s="1"/>
      <c r="X24" s="1"/>
      <c r="Y24" s="1"/>
    </row>
    <row r="25" spans="1:25">
      <c r="A25" s="61" t="str">
        <f t="shared" si="6"/>
        <v/>
      </c>
      <c r="B25" s="59" t="str">
        <f t="shared" si="2"/>
        <v/>
      </c>
      <c r="E25" s="848" t="str">
        <f t="shared" si="3"/>
        <v/>
      </c>
      <c r="F25" s="849" t="str">
        <f t="shared" si="3"/>
        <v/>
      </c>
      <c r="G25" s="850"/>
      <c r="H25" s="848" t="str">
        <f t="shared" si="4"/>
        <v/>
      </c>
      <c r="I25" s="849" t="str">
        <f t="shared" si="4"/>
        <v/>
      </c>
      <c r="J25" s="850"/>
      <c r="K25" s="847"/>
      <c r="M25" s="1"/>
      <c r="N25" s="44"/>
      <c r="O25" s="44"/>
      <c r="P25" s="44"/>
      <c r="Q25" s="44"/>
      <c r="R25" s="44"/>
      <c r="S25" s="44"/>
      <c r="T25" s="1"/>
      <c r="U25" s="60"/>
      <c r="V25" s="1"/>
      <c r="W25" s="1"/>
      <c r="X25" s="1"/>
      <c r="Y25" s="60"/>
    </row>
    <row r="26" spans="1:25">
      <c r="A26" s="61" t="str">
        <f t="shared" si="6"/>
        <v/>
      </c>
      <c r="B26" s="59" t="str">
        <f t="shared" si="2"/>
        <v/>
      </c>
      <c r="E26" s="848" t="str">
        <f t="shared" si="3"/>
        <v/>
      </c>
      <c r="F26" s="849" t="str">
        <f t="shared" si="3"/>
        <v/>
      </c>
      <c r="G26" s="850"/>
      <c r="H26" s="848" t="str">
        <f t="shared" si="4"/>
        <v/>
      </c>
      <c r="I26" s="849" t="str">
        <f t="shared" si="4"/>
        <v/>
      </c>
      <c r="J26" s="850"/>
      <c r="K26" s="847"/>
      <c r="M26" s="1"/>
      <c r="N26" s="62" t="s">
        <v>3355</v>
      </c>
      <c r="O26" s="60"/>
      <c r="P26" s="60"/>
      <c r="Q26" s="60"/>
      <c r="R26" s="62" t="s">
        <v>3356</v>
      </c>
      <c r="S26" s="60"/>
      <c r="T26" s="60"/>
      <c r="U26" s="60"/>
      <c r="V26" s="1"/>
      <c r="W26" s="1"/>
      <c r="X26" s="1"/>
      <c r="Y26" s="60"/>
    </row>
    <row r="27" spans="1:25">
      <c r="A27" s="61" t="str">
        <f t="shared" si="6"/>
        <v/>
      </c>
      <c r="B27" s="59" t="str">
        <f t="shared" si="2"/>
        <v/>
      </c>
      <c r="E27" s="848" t="str">
        <f t="shared" si="3"/>
        <v/>
      </c>
      <c r="F27" s="849" t="str">
        <f t="shared" si="3"/>
        <v/>
      </c>
      <c r="G27" s="850"/>
      <c r="H27" s="848" t="str">
        <f t="shared" si="4"/>
        <v/>
      </c>
      <c r="I27" s="849" t="str">
        <f t="shared" si="4"/>
        <v/>
      </c>
      <c r="J27" s="850"/>
      <c r="K27" s="847"/>
      <c r="M27" s="60"/>
      <c r="N27" s="1"/>
      <c r="O27" s="1"/>
      <c r="P27" s="98" t="str">
        <f>IF(ISERROR(IF(OR(AND(NOT(P28=""),NOT(ISNUMBER(P28))),AND(NOT(P29=""),NOT(ISNUMBER(P29))),AND(NOT(P30=""),NOT(ISNUMBER(P30))),AND(NOT(P31=""),NOT(ISNUMBER(P31))),AND(NOT(P33=""),NOT(ISNUMBER(P33)))),"ERROR","")),"ERROR",IF(OR(AND(NOT(P28=""),NOT(ISNUMBER(P28))),AND(NOT(P29=""),NOT(ISNUMBER(P29))),AND(NOT(P30=""),NOT(ISNUMBER(P30))),AND(NOT(P31=""),NOT(ISNUMBER(P31))),AND(NOT(P33=""),NOT(ISNUMBER(P33)))),"ERROR",""))</f>
        <v/>
      </c>
      <c r="Q27" s="60"/>
      <c r="R27" s="62"/>
      <c r="S27" s="60"/>
      <c r="T27" s="98" t="str">
        <f>IF(ISERROR(IF(OR(AND(NOT(T28=""),NOT(ISNUMBER(T28))),AND(NOT(T29=""),NOT(ISNUMBER(T29))),AND(NOT(T30=""),NOT(ISNUMBER(T30))),AND(NOT(T31=""),NOT(ISNUMBER(T31))),AND(NOT(T33=""),NOT(ISNUMBER(T33)))),"ERROR","")),"ERROR",IF(OR(AND(NOT(T28=""),NOT(ISNUMBER(T28))),AND(NOT(T29=""),NOT(ISNUMBER(T29))),AND(NOT(T30=""),NOT(ISNUMBER(T30))),AND(NOT(T31=""),NOT(ISNUMBER(T31))),AND(NOT(T33=""),NOT(ISNUMBER(T33)))),"ERROR",""))</f>
        <v/>
      </c>
      <c r="U27" s="60"/>
      <c r="V27" s="60"/>
      <c r="W27" s="98" t="str">
        <f>IF(ISERROR(IF(OR(AND(NOT(W28=""),NOT(ISNUMBER(W28))),AND(NOT(W29=""),NOT(ISNUMBER(W29))),AND(NOT(W32=""),NOT(ISNUMBER(W32))),AND(NOT(W33=""),NOT(ISNUMBER(W33)))),"ERROR","")),"ERROR",IF(OR(AND(NOT(W28=""),NOT(ISNUMBER(W28))),AND(NOT(W29=""),NOT(ISNUMBER(W29))),AND(NOT(W32=""),NOT(ISNUMBER(W32))),AND(NOT(W33=""),NOT(ISNUMBER(W33)))),"ERROR",""))</f>
        <v/>
      </c>
      <c r="X27" s="1"/>
      <c r="Y27" s="60"/>
    </row>
    <row r="28" spans="1:25">
      <c r="A28" s="61" t="str">
        <f t="shared" si="6"/>
        <v/>
      </c>
      <c r="B28" s="59" t="str">
        <f t="shared" si="2"/>
        <v/>
      </c>
      <c r="E28" s="848" t="str">
        <f t="shared" si="3"/>
        <v/>
      </c>
      <c r="F28" s="849" t="str">
        <f t="shared" si="3"/>
        <v/>
      </c>
      <c r="G28" s="850"/>
      <c r="H28" s="848" t="str">
        <f t="shared" si="4"/>
        <v/>
      </c>
      <c r="I28" s="849" t="str">
        <f t="shared" si="4"/>
        <v/>
      </c>
      <c r="J28" s="850"/>
      <c r="K28" s="847"/>
      <c r="M28" s="60"/>
      <c r="N28" s="1054" t="str">
        <f>IF($A28="","",IF(VLOOKUP($A28,$A$251:$W$1080,N$8,FALSE)="","",VLOOKUP($A28,$A$251:$W$1080,N$8,FALSE)))</f>
        <v/>
      </c>
      <c r="O28" s="1054" t="str">
        <f t="shared" ref="N28:O31" si="8">IF($A28="","",IF(VLOOKUP($A28,$A$251:$W$1080,O$8,FALSE)="","",VLOOKUP($A28,$A$251:$W$1080,O$8,FALSE)))</f>
        <v/>
      </c>
      <c r="P28" s="851"/>
      <c r="Q28" s="60"/>
      <c r="R28" s="1055" t="str">
        <f t="shared" ref="R28:S31" si="9">IF($A28="","",IF(VLOOKUP($A28,$A$251:$W$1080,R$8,FALSE)="","",VLOOKUP($A28,$A$251:$W$1080,R$8,FALSE)))</f>
        <v/>
      </c>
      <c r="S28" s="1054" t="str">
        <f t="shared" si="9"/>
        <v/>
      </c>
      <c r="T28" s="851"/>
      <c r="U28" s="60"/>
      <c r="X28" s="1"/>
      <c r="Y28" s="60"/>
    </row>
    <row r="29" spans="1:25">
      <c r="A29" s="61" t="str">
        <f t="shared" si="6"/>
        <v/>
      </c>
      <c r="B29" s="59" t="str">
        <f t="shared" si="2"/>
        <v/>
      </c>
      <c r="E29" s="848" t="str">
        <f t="shared" si="3"/>
        <v/>
      </c>
      <c r="F29" s="849" t="str">
        <f t="shared" si="3"/>
        <v/>
      </c>
      <c r="G29" s="850"/>
      <c r="H29" s="848" t="str">
        <f t="shared" si="4"/>
        <v/>
      </c>
      <c r="I29" s="849" t="str">
        <f t="shared" si="4"/>
        <v/>
      </c>
      <c r="J29" s="850"/>
      <c r="K29" s="847"/>
      <c r="M29" s="1"/>
      <c r="N29" s="1054" t="str">
        <f t="shared" si="8"/>
        <v/>
      </c>
      <c r="O29" s="1054" t="str">
        <f t="shared" si="8"/>
        <v/>
      </c>
      <c r="P29" s="851"/>
      <c r="Q29" s="60"/>
      <c r="R29" s="1055" t="str">
        <f t="shared" si="9"/>
        <v/>
      </c>
      <c r="S29" s="1054" t="str">
        <f t="shared" si="9"/>
        <v/>
      </c>
      <c r="T29" s="851"/>
      <c r="U29" s="60"/>
      <c r="V29" s="255" t="s">
        <v>339</v>
      </c>
      <c r="W29" s="103"/>
      <c r="X29" s="1"/>
      <c r="Y29" s="60"/>
    </row>
    <row r="30" spans="1:25">
      <c r="A30" s="61" t="str">
        <f t="shared" si="6"/>
        <v/>
      </c>
      <c r="B30" s="59" t="str">
        <f t="shared" si="2"/>
        <v/>
      </c>
      <c r="E30" s="848" t="str">
        <f t="shared" si="3"/>
        <v/>
      </c>
      <c r="F30" s="849" t="str">
        <f t="shared" si="3"/>
        <v/>
      </c>
      <c r="G30" s="850"/>
      <c r="H30" s="848" t="str">
        <f t="shared" si="4"/>
        <v/>
      </c>
      <c r="I30" s="849" t="str">
        <f t="shared" si="4"/>
        <v/>
      </c>
      <c r="J30" s="850"/>
      <c r="K30" s="847"/>
      <c r="M30" s="1"/>
      <c r="N30" s="1054" t="str">
        <f t="shared" si="8"/>
        <v/>
      </c>
      <c r="O30" s="1054" t="str">
        <f t="shared" si="8"/>
        <v/>
      </c>
      <c r="P30" s="851"/>
      <c r="Q30" s="60"/>
      <c r="R30" s="1055" t="str">
        <f t="shared" si="9"/>
        <v/>
      </c>
      <c r="S30" s="1054" t="str">
        <f t="shared" si="9"/>
        <v/>
      </c>
      <c r="T30" s="851"/>
      <c r="U30" s="60"/>
      <c r="V30" s="60"/>
      <c r="W30" s="60"/>
      <c r="X30" s="60"/>
      <c r="Y30" s="60"/>
    </row>
    <row r="31" spans="1:25">
      <c r="A31" s="61" t="str">
        <f t="shared" si="6"/>
        <v/>
      </c>
      <c r="B31" s="59" t="str">
        <f t="shared" si="2"/>
        <v/>
      </c>
      <c r="E31" s="848" t="str">
        <f t="shared" si="3"/>
        <v/>
      </c>
      <c r="F31" s="849" t="str">
        <f t="shared" si="3"/>
        <v/>
      </c>
      <c r="G31" s="850"/>
      <c r="H31" s="848" t="str">
        <f t="shared" ref="H31:I47" si="10">IF($A31="","",IF(VLOOKUP($A31,$A$251:$W$1080,H$8,FALSE)="","",VLOOKUP($A31,$A$251:$W$1080,H$8,FALSE)))</f>
        <v/>
      </c>
      <c r="I31" s="849" t="str">
        <f t="shared" si="10"/>
        <v/>
      </c>
      <c r="J31" s="850"/>
      <c r="K31" s="847"/>
      <c r="M31" s="1"/>
      <c r="N31" s="1054" t="str">
        <f t="shared" si="8"/>
        <v/>
      </c>
      <c r="O31" s="1054" t="str">
        <f t="shared" si="8"/>
        <v/>
      </c>
      <c r="P31" s="851"/>
      <c r="Q31" s="60"/>
      <c r="R31" s="1055" t="str">
        <f t="shared" si="9"/>
        <v/>
      </c>
      <c r="S31" s="1054" t="str">
        <f t="shared" si="9"/>
        <v/>
      </c>
      <c r="T31" s="851"/>
      <c r="U31" s="60"/>
      <c r="V31" s="60"/>
      <c r="W31" s="60"/>
      <c r="X31" s="1"/>
      <c r="Y31" s="1"/>
    </row>
    <row r="32" spans="1:25">
      <c r="A32" s="61" t="str">
        <f t="shared" si="6"/>
        <v/>
      </c>
      <c r="B32" s="59" t="str">
        <f t="shared" si="2"/>
        <v/>
      </c>
      <c r="E32" s="848" t="str">
        <f t="shared" si="3"/>
        <v/>
      </c>
      <c r="F32" s="849" t="str">
        <f t="shared" si="3"/>
        <v/>
      </c>
      <c r="G32" s="850"/>
      <c r="H32" s="848" t="str">
        <f t="shared" si="10"/>
        <v/>
      </c>
      <c r="I32" s="849" t="str">
        <f t="shared" si="10"/>
        <v/>
      </c>
      <c r="J32" s="850"/>
      <c r="K32" s="847"/>
      <c r="M32" s="1"/>
      <c r="N32" s="852"/>
      <c r="O32" s="158"/>
      <c r="P32" s="158"/>
      <c r="Q32" s="1"/>
      <c r="R32" s="853"/>
      <c r="S32" s="1"/>
      <c r="T32" s="1"/>
      <c r="U32" s="1"/>
      <c r="V32" s="255" t="s">
        <v>2763</v>
      </c>
      <c r="W32" s="104"/>
      <c r="X32" s="1"/>
      <c r="Y32" s="1"/>
    </row>
    <row r="33" spans="1:25">
      <c r="A33" s="61" t="str">
        <f t="shared" si="6"/>
        <v/>
      </c>
      <c r="B33" s="59" t="str">
        <f t="shared" si="2"/>
        <v/>
      </c>
      <c r="E33" s="848" t="str">
        <f t="shared" si="3"/>
        <v/>
      </c>
      <c r="F33" s="849" t="str">
        <f t="shared" si="3"/>
        <v/>
      </c>
      <c r="G33" s="850"/>
      <c r="H33" s="848" t="str">
        <f t="shared" si="10"/>
        <v/>
      </c>
      <c r="I33" s="849" t="str">
        <f t="shared" si="10"/>
        <v/>
      </c>
      <c r="J33" s="850"/>
      <c r="K33" s="847"/>
      <c r="M33" s="1"/>
      <c r="N33" s="1056" t="str">
        <f>IF($A33="","",IF(VLOOKUP($A33,$A$251:$W$1080,N$8,FALSE)="","",VLOOKUP($A33,$A$251:$W$1080,N$8,FALSE)))</f>
        <v/>
      </c>
      <c r="O33" s="1056" t="str">
        <f>IF($A33="","",IF(VLOOKUP($A33,$A$251:$W$1080,O$8,FALSE)="","",VLOOKUP($A33,$A$251:$W$1080,O$8,FALSE)))</f>
        <v/>
      </c>
      <c r="P33" s="102"/>
      <c r="Q33" s="1"/>
      <c r="R33" s="1057" t="str">
        <f>IF($A33="","",IF(VLOOKUP($A33,$A$251:$W$1080,R$8,FALSE)="","",VLOOKUP($A33,$A$251:$W$1080,R$8,FALSE)))</f>
        <v/>
      </c>
      <c r="S33" s="1058" t="str">
        <f>IF($A33="","",IF(VLOOKUP($A33,$A$251:$W$1080,S$8,FALSE)="","",VLOOKUP($A33,$A$251:$W$1080,S$8,FALSE)))</f>
        <v/>
      </c>
      <c r="T33" s="102"/>
      <c r="U33" s="60"/>
      <c r="V33" s="854" t="s">
        <v>358</v>
      </c>
      <c r="W33" s="103"/>
      <c r="X33" s="1"/>
      <c r="Y33" s="1"/>
    </row>
    <row r="34" spans="1:25">
      <c r="A34" s="61" t="str">
        <f t="shared" si="6"/>
        <v/>
      </c>
      <c r="B34" s="59" t="str">
        <f t="shared" si="2"/>
        <v/>
      </c>
      <c r="E34" s="848" t="str">
        <f t="shared" si="3"/>
        <v/>
      </c>
      <c r="F34" s="849" t="str">
        <f t="shared" si="3"/>
        <v/>
      </c>
      <c r="G34" s="850"/>
      <c r="H34" s="848" t="str">
        <f t="shared" si="10"/>
        <v/>
      </c>
      <c r="I34" s="849" t="str">
        <f t="shared" si="10"/>
        <v/>
      </c>
      <c r="J34" s="850"/>
      <c r="K34" s="847"/>
      <c r="M34" s="60"/>
      <c r="N34" s="707"/>
      <c r="O34" s="707"/>
      <c r="P34" s="707"/>
      <c r="Q34" s="707"/>
      <c r="R34" s="707"/>
      <c r="S34" s="707"/>
      <c r="T34" s="707"/>
      <c r="U34" s="1"/>
      <c r="V34" s="1"/>
      <c r="W34" s="105"/>
      <c r="X34" s="1"/>
      <c r="Y34" s="1"/>
    </row>
    <row r="35" spans="1:25">
      <c r="A35" s="61" t="str">
        <f t="shared" si="6"/>
        <v/>
      </c>
      <c r="B35" s="59" t="str">
        <f t="shared" si="2"/>
        <v/>
      </c>
      <c r="E35" s="848" t="str">
        <f t="shared" si="3"/>
        <v/>
      </c>
      <c r="F35" s="849" t="str">
        <f t="shared" si="3"/>
        <v/>
      </c>
      <c r="G35" s="850"/>
      <c r="H35" s="848" t="str">
        <f t="shared" si="10"/>
        <v/>
      </c>
      <c r="I35" s="849" t="str">
        <f t="shared" si="10"/>
        <v/>
      </c>
      <c r="J35" s="850"/>
      <c r="K35" s="847"/>
      <c r="N35" s="1"/>
      <c r="O35" s="1"/>
      <c r="P35" s="1"/>
      <c r="Q35" s="1"/>
      <c r="R35" s="1"/>
      <c r="S35" s="855" t="s">
        <v>3357</v>
      </c>
      <c r="T35" s="715"/>
      <c r="U35" s="765" t="str">
        <f>IF(OR(T35="",T35="x"),"","ERROR")</f>
        <v/>
      </c>
      <c r="V35" s="764"/>
      <c r="W35" s="1"/>
      <c r="X35" s="1"/>
      <c r="Y35" s="1"/>
    </row>
    <row r="36" spans="1:25">
      <c r="A36" s="61" t="str">
        <f t="shared" si="6"/>
        <v/>
      </c>
      <c r="B36" s="59" t="str">
        <f t="shared" si="2"/>
        <v/>
      </c>
      <c r="E36" s="848" t="str">
        <f t="shared" si="3"/>
        <v/>
      </c>
      <c r="F36" s="849" t="str">
        <f t="shared" si="3"/>
        <v/>
      </c>
      <c r="G36" s="850"/>
      <c r="H36" s="848" t="str">
        <f t="shared" si="10"/>
        <v/>
      </c>
      <c r="I36" s="849" t="str">
        <f t="shared" si="10"/>
        <v/>
      </c>
      <c r="J36" s="850"/>
      <c r="K36" s="847"/>
      <c r="N36" s="1"/>
      <c r="O36" s="1"/>
      <c r="P36" s="1"/>
      <c r="Q36" s="1"/>
      <c r="R36" s="1"/>
      <c r="S36" s="1"/>
      <c r="T36" s="856"/>
      <c r="U36" s="1"/>
      <c r="V36" s="1"/>
      <c r="W36" s="1"/>
      <c r="X36" s="1"/>
      <c r="Y36" s="1"/>
    </row>
    <row r="37" spans="1:25">
      <c r="A37" s="61" t="str">
        <f t="shared" si="6"/>
        <v/>
      </c>
      <c r="B37" s="59" t="str">
        <f t="shared" si="2"/>
        <v/>
      </c>
      <c r="E37" s="848" t="str">
        <f t="shared" si="3"/>
        <v/>
      </c>
      <c r="F37" s="849" t="str">
        <f t="shared" si="3"/>
        <v/>
      </c>
      <c r="G37" s="850"/>
      <c r="H37" s="848" t="str">
        <f t="shared" si="10"/>
        <v/>
      </c>
      <c r="I37" s="849" t="str">
        <f t="shared" si="10"/>
        <v/>
      </c>
      <c r="J37" s="850"/>
      <c r="K37" s="847"/>
      <c r="N37" s="1"/>
      <c r="O37" s="1"/>
      <c r="P37" s="1"/>
      <c r="Q37" s="1"/>
      <c r="R37" s="1"/>
      <c r="S37" s="855" t="s">
        <v>3358</v>
      </c>
      <c r="T37" s="715"/>
      <c r="U37" s="765" t="str">
        <f>IF(T37="","",IF(NOT(ISNUMBER(T37)),"ERROR",IF(AND(INT(T37)=T37,OR(AND(T37&gt;0,T37&lt;=75))),"","ERROR")))</f>
        <v/>
      </c>
      <c r="V37" s="1"/>
      <c r="W37" s="855" t="s">
        <v>3359</v>
      </c>
      <c r="X37" s="715"/>
      <c r="Y37" s="765" t="str">
        <f>IF(X37="","",IF(ISERROR(VLOOKUP(X37,O126:O135,1,FALSE)),"ERROR",""))</f>
        <v/>
      </c>
    </row>
    <row r="38" spans="1:25">
      <c r="A38" s="61" t="str">
        <f t="shared" si="6"/>
        <v/>
      </c>
      <c r="B38" s="59" t="str">
        <f t="shared" si="2"/>
        <v/>
      </c>
      <c r="E38" s="848" t="str">
        <f t="shared" si="3"/>
        <v/>
      </c>
      <c r="F38" s="849" t="str">
        <f t="shared" si="3"/>
        <v/>
      </c>
      <c r="G38" s="850"/>
      <c r="H38" s="848" t="str">
        <f t="shared" si="10"/>
        <v/>
      </c>
      <c r="I38" s="849" t="str">
        <f t="shared" si="10"/>
        <v/>
      </c>
      <c r="J38" s="850"/>
      <c r="K38" s="847"/>
      <c r="N38" s="1"/>
      <c r="O38" s="1"/>
      <c r="P38" s="1"/>
      <c r="Q38" s="1"/>
      <c r="R38" s="1"/>
      <c r="S38" s="1"/>
      <c r="T38" s="707"/>
      <c r="U38" s="1"/>
      <c r="V38" s="1"/>
      <c r="W38" s="1"/>
      <c r="X38" s="707"/>
      <c r="Y38" s="1"/>
    </row>
    <row r="39" spans="1:25">
      <c r="A39" s="61" t="str">
        <f t="shared" si="6"/>
        <v/>
      </c>
      <c r="B39" s="59" t="str">
        <f t="shared" si="2"/>
        <v/>
      </c>
      <c r="E39" s="848" t="str">
        <f t="shared" si="3"/>
        <v/>
      </c>
      <c r="F39" s="849" t="str">
        <f t="shared" si="3"/>
        <v/>
      </c>
      <c r="G39" s="850"/>
      <c r="H39" s="848" t="str">
        <f t="shared" si="10"/>
        <v/>
      </c>
      <c r="I39" s="849" t="str">
        <f t="shared" si="10"/>
        <v/>
      </c>
      <c r="J39" s="850"/>
      <c r="K39" s="847"/>
      <c r="N39" s="1"/>
      <c r="O39" s="1"/>
      <c r="P39" s="1"/>
      <c r="Q39" s="1"/>
      <c r="R39" s="1"/>
      <c r="S39" s="857" t="s">
        <v>410</v>
      </c>
      <c r="T39" s="858">
        <f>COUNTIF(L7:X33,"ERROR")</f>
        <v>0</v>
      </c>
      <c r="U39" s="1"/>
      <c r="V39" s="1"/>
      <c r="W39" s="859"/>
      <c r="X39" s="859"/>
      <c r="Y39" s="1"/>
    </row>
    <row r="40" spans="1:25" ht="17.149999999999999" customHeight="1">
      <c r="A40" s="61" t="str">
        <f t="shared" si="6"/>
        <v/>
      </c>
      <c r="B40" s="59" t="str">
        <f t="shared" si="2"/>
        <v/>
      </c>
      <c r="E40" s="848" t="str">
        <f>IF(ISERROR($F$215),"",IF($F$215="SI","No puede modificarse ese dato. Deshaga operación (Ctrl-Z) para seguir trabajando",""))</f>
        <v/>
      </c>
      <c r="F40" s="849"/>
      <c r="G40" s="850"/>
      <c r="H40" s="848"/>
      <c r="I40" s="849"/>
      <c r="J40" s="850"/>
      <c r="K40" s="847"/>
      <c r="N40" s="860" t="str">
        <f>IF(AND(T35="x",T39=0,NOT(T37=""),U37=""),IF(VLOOKUP($T$37,$O$50:$T$124,2,FALSE)="","",IF(ISERROR(CONCATENATE(VLOOKUP($T$37,$O$50:$T$124,2,FALSE)," = ",TEXT(VLOOKUP($T$37,$O$50:$T$124,4,FALSE),IF(ABS(VLOOKUP($T$37,$O$50:$T$124,4,FALSE))&gt;999,"#.##0","0,0000")))),"",CONCATENATE(VLOOKUP($T$37,$O$50:$T$124,2,FALSE)," = ",TEXT(VLOOKUP($T$37,$O$50:$T$124,4,FALSE),IF(ABS(VLOOKUP($T$37,$O$50:$T$124,4,FALSE))&gt;999,"#.##0","0,0000"))))),"")</f>
        <v/>
      </c>
      <c r="O40" s="256"/>
      <c r="P40" s="256"/>
      <c r="Q40" s="256"/>
      <c r="R40" s="256"/>
      <c r="S40" s="256"/>
      <c r="T40" s="256"/>
      <c r="U40" s="256"/>
      <c r="V40" s="256"/>
      <c r="W40" s="256"/>
      <c r="X40" s="256"/>
      <c r="Y40" s="1"/>
    </row>
    <row r="41" spans="1:25" ht="17.149999999999999" customHeight="1">
      <c r="A41" s="61" t="str">
        <f t="shared" si="6"/>
        <v/>
      </c>
      <c r="B41" s="59" t="str">
        <f t="shared" si="2"/>
        <v/>
      </c>
      <c r="E41" s="848" t="str">
        <f t="shared" si="3"/>
        <v/>
      </c>
      <c r="F41" s="849" t="str">
        <f t="shared" si="3"/>
        <v/>
      </c>
      <c r="G41" s="850"/>
      <c r="H41" s="848" t="str">
        <f t="shared" si="10"/>
        <v/>
      </c>
      <c r="I41" s="849" t="str">
        <f t="shared" si="10"/>
        <v/>
      </c>
      <c r="J41" s="850"/>
      <c r="K41" s="847"/>
      <c r="N41" s="861" t="str">
        <f>IF(AND(T35="x",T39=0,NOT(T37=""),U37=""),IF(N42="","",VLOOKUP(T37,$O$50:$T$124,6,FALSE)),"")</f>
        <v/>
      </c>
      <c r="O41" s="20"/>
      <c r="P41" s="20"/>
      <c r="Q41" s="20"/>
      <c r="R41" s="20"/>
      <c r="S41" s="20"/>
      <c r="T41" s="20"/>
      <c r="U41" s="20"/>
      <c r="V41" s="20"/>
      <c r="W41" s="20"/>
      <c r="X41" s="20"/>
      <c r="Y41" s="1"/>
    </row>
    <row r="42" spans="1:25" ht="17.149999999999999" customHeight="1">
      <c r="A42" s="61" t="str">
        <f t="shared" si="6"/>
        <v/>
      </c>
      <c r="B42" s="59" t="str">
        <f t="shared" si="2"/>
        <v/>
      </c>
      <c r="E42" s="848" t="str">
        <f t="shared" si="3"/>
        <v/>
      </c>
      <c r="F42" s="849" t="str">
        <f t="shared" si="3"/>
        <v/>
      </c>
      <c r="G42" s="850"/>
      <c r="H42" s="848" t="str">
        <f t="shared" si="10"/>
        <v/>
      </c>
      <c r="I42" s="849" t="str">
        <f t="shared" si="10"/>
        <v/>
      </c>
      <c r="J42" s="850"/>
      <c r="K42" s="847"/>
      <c r="N42" s="862" t="str">
        <f>IF(AND(T35="x",T39=0,NOT(T37=""),U37=""),IF(VLOOKUP(T37,$O$50:$T$124,5,FALSE)="","",VLOOKUP(T37,$O$50:$T$124,5,FALSE)),"")</f>
        <v/>
      </c>
      <c r="O42" s="20"/>
      <c r="P42" s="20"/>
      <c r="Q42" s="20"/>
      <c r="R42" s="20"/>
      <c r="S42" s="20"/>
      <c r="T42" s="20"/>
      <c r="U42" s="20"/>
      <c r="V42" s="20"/>
      <c r="W42" s="20"/>
      <c r="X42" s="20"/>
      <c r="Y42" s="1"/>
    </row>
    <row r="43" spans="1:25" ht="17.149999999999999" customHeight="1">
      <c r="A43" s="61" t="str">
        <f t="shared" si="6"/>
        <v/>
      </c>
      <c r="B43" s="59" t="str">
        <f t="shared" si="2"/>
        <v/>
      </c>
      <c r="E43" s="848" t="str">
        <f t="shared" si="3"/>
        <v/>
      </c>
      <c r="F43" s="849" t="str">
        <f t="shared" si="3"/>
        <v/>
      </c>
      <c r="G43" s="850"/>
      <c r="H43" s="848" t="str">
        <f t="shared" si="10"/>
        <v/>
      </c>
      <c r="I43" s="849" t="str">
        <f t="shared" si="10"/>
        <v/>
      </c>
      <c r="J43" s="850"/>
      <c r="K43" s="847"/>
      <c r="N43" s="1063" t="str">
        <f>IF(AND(T35="x",T39=0,NOT(X37=""),Y37=""),IF(VLOOKUP(X37,O126:P135,2,FALSE)="","",CONCATENATE(VLOOKUP(X37,O1174:P1179,2,FALSE),": 
",VLOOKUP(X37,O126:P135,2,FALSE))),"")</f>
        <v/>
      </c>
      <c r="O43" s="1063"/>
      <c r="P43" s="1063"/>
      <c r="Q43" s="1063"/>
      <c r="R43" s="1063"/>
      <c r="S43" s="1063"/>
      <c r="T43" s="1063"/>
      <c r="U43" s="1063"/>
      <c r="V43" s="1063"/>
      <c r="W43" s="1063"/>
      <c r="X43" s="1063"/>
      <c r="Y43" s="1"/>
    </row>
    <row r="44" spans="1:25" ht="17.149999999999999" customHeight="1">
      <c r="A44" s="61" t="str">
        <f t="shared" si="6"/>
        <v/>
      </c>
      <c r="B44" s="59" t="str">
        <f t="shared" si="2"/>
        <v/>
      </c>
      <c r="E44" s="848" t="str">
        <f t="shared" si="3"/>
        <v/>
      </c>
      <c r="F44" s="849" t="str">
        <f t="shared" si="3"/>
        <v/>
      </c>
      <c r="G44" s="850"/>
      <c r="H44" s="848" t="str">
        <f t="shared" si="10"/>
        <v/>
      </c>
      <c r="I44" s="849" t="str">
        <f t="shared" si="10"/>
        <v/>
      </c>
      <c r="J44" s="850"/>
      <c r="K44" s="847"/>
      <c r="N44" s="1063"/>
      <c r="O44" s="1063"/>
      <c r="P44" s="1063"/>
      <c r="Q44" s="1063"/>
      <c r="R44" s="1063"/>
      <c r="S44" s="1063"/>
      <c r="T44" s="1063"/>
      <c r="U44" s="1063"/>
      <c r="V44" s="1063"/>
      <c r="W44" s="1063"/>
      <c r="X44" s="1063"/>
      <c r="Y44" s="1"/>
    </row>
    <row r="45" spans="1:25" ht="17.149999999999999" customHeight="1">
      <c r="A45" s="61" t="str">
        <f t="shared" si="6"/>
        <v/>
      </c>
      <c r="B45" s="59" t="str">
        <f t="shared" si="2"/>
        <v/>
      </c>
      <c r="E45" s="848" t="str">
        <f t="shared" si="3"/>
        <v/>
      </c>
      <c r="F45" s="849" t="str">
        <f t="shared" si="3"/>
        <v/>
      </c>
      <c r="G45" s="850"/>
      <c r="H45" s="848" t="str">
        <f t="shared" si="10"/>
        <v/>
      </c>
      <c r="I45" s="849" t="str">
        <f t="shared" si="10"/>
        <v/>
      </c>
      <c r="J45" s="850"/>
      <c r="K45" s="847"/>
      <c r="N45" s="1063"/>
      <c r="O45" s="1063"/>
      <c r="P45" s="1063"/>
      <c r="Q45" s="1063"/>
      <c r="R45" s="1063"/>
      <c r="S45" s="1063"/>
      <c r="T45" s="1063"/>
      <c r="U45" s="1063"/>
      <c r="V45" s="1063"/>
      <c r="W45" s="1063"/>
      <c r="X45" s="1063"/>
      <c r="Y45" s="1"/>
    </row>
    <row r="46" spans="1:25" ht="17.149999999999999" customHeight="1">
      <c r="A46" s="61" t="str">
        <f t="shared" si="6"/>
        <v/>
      </c>
      <c r="B46" s="59" t="str">
        <f t="shared" si="2"/>
        <v/>
      </c>
      <c r="E46" s="848" t="str">
        <f t="shared" si="3"/>
        <v/>
      </c>
      <c r="F46" s="849" t="str">
        <f t="shared" si="3"/>
        <v/>
      </c>
      <c r="G46" s="850"/>
      <c r="H46" s="848" t="str">
        <f t="shared" si="10"/>
        <v/>
      </c>
      <c r="I46" s="849" t="str">
        <f t="shared" si="10"/>
        <v/>
      </c>
      <c r="J46" s="850"/>
      <c r="K46" s="847"/>
      <c r="N46" s="1063"/>
      <c r="O46" s="1063"/>
      <c r="P46" s="1063"/>
      <c r="Q46" s="1063"/>
      <c r="R46" s="1063"/>
      <c r="S46" s="1063"/>
      <c r="T46" s="1063"/>
      <c r="U46" s="1063"/>
      <c r="V46" s="1063"/>
      <c r="W46" s="1063"/>
      <c r="X46" s="1063"/>
      <c r="Y46" s="1"/>
    </row>
    <row r="47" spans="1:25" ht="17.149999999999999" customHeight="1">
      <c r="A47" s="61" t="str">
        <f t="shared" si="6"/>
        <v/>
      </c>
      <c r="B47" s="59" t="str">
        <f t="shared" si="2"/>
        <v/>
      </c>
      <c r="E47" s="848" t="str">
        <f t="shared" si="3"/>
        <v/>
      </c>
      <c r="F47" s="849" t="str">
        <f t="shared" si="3"/>
        <v/>
      </c>
      <c r="G47" s="850"/>
      <c r="H47" s="848" t="str">
        <f t="shared" si="10"/>
        <v/>
      </c>
      <c r="I47" s="849" t="str">
        <f t="shared" si="10"/>
        <v/>
      </c>
      <c r="J47" s="850"/>
      <c r="K47" s="847"/>
      <c r="N47" s="1063"/>
      <c r="O47" s="1063"/>
      <c r="P47" s="1063"/>
      <c r="Q47" s="1063"/>
      <c r="R47" s="1063"/>
      <c r="S47" s="1063"/>
      <c r="T47" s="1063"/>
      <c r="U47" s="1063"/>
      <c r="V47" s="1063"/>
      <c r="W47" s="1063"/>
      <c r="X47" s="1063"/>
      <c r="Y47" s="1"/>
    </row>
    <row r="48" spans="1:25" s="64" customFormat="1" ht="15" customHeight="1">
      <c r="A48" s="64" t="str">
        <f t="shared" si="6"/>
        <v/>
      </c>
      <c r="E48" s="30"/>
      <c r="F48" s="30"/>
      <c r="G48" s="88"/>
      <c r="H48" s="30"/>
      <c r="I48" s="30"/>
      <c r="J48" s="88"/>
      <c r="X48" s="132"/>
      <c r="Y48" s="132"/>
    </row>
    <row r="49" spans="1:25" s="64" customFormat="1" ht="15" hidden="1" customHeight="1">
      <c r="A49" s="64" t="str">
        <f t="shared" si="6"/>
        <v/>
      </c>
      <c r="E49" s="30"/>
      <c r="F49" s="30"/>
      <c r="G49" s="88"/>
      <c r="H49" s="30"/>
      <c r="I49" s="30"/>
      <c r="J49" s="88"/>
      <c r="X49" s="132"/>
      <c r="Y49" s="132"/>
    </row>
    <row r="50" spans="1:25" s="343" customFormat="1" ht="0.65" hidden="1" customHeight="1">
      <c r="A50" s="343" t="str">
        <f t="shared" si="6"/>
        <v/>
      </c>
      <c r="G50" s="653"/>
      <c r="J50" s="653"/>
      <c r="O50" s="343">
        <f>1+O49</f>
        <v>1</v>
      </c>
      <c r="P50" s="343" t="e">
        <f>IF(VLOOKUP($A50,$A$251:$W$1172,P$8,FALSE)="","",VLOOKUP($A50,$A$251:$W$1172,P$8,FALSE))</f>
        <v>#N/A</v>
      </c>
      <c r="Q50" s="343" t="e">
        <f t="shared" ref="Q50:T65" si="11">IF(VLOOKUP($A50,$A$251:$W$1172,Q$8,FALSE)="","",VLOOKUP($A50,$A$251:$W$1172,Q$8,FALSE))</f>
        <v>#N/A</v>
      </c>
      <c r="R50" s="863" t="e">
        <f t="shared" si="11"/>
        <v>#N/A</v>
      </c>
      <c r="S50" s="343" t="e">
        <f t="shared" si="11"/>
        <v>#N/A</v>
      </c>
      <c r="T50" s="343" t="e">
        <f t="shared" si="11"/>
        <v>#N/A</v>
      </c>
      <c r="X50" s="863"/>
      <c r="Y50" s="863"/>
    </row>
    <row r="51" spans="1:25" s="343" customFormat="1" ht="0.65" hidden="1" customHeight="1">
      <c r="A51" s="343" t="str">
        <f t="shared" si="6"/>
        <v/>
      </c>
      <c r="G51" s="653"/>
      <c r="J51" s="653"/>
      <c r="O51" s="343">
        <f t="shared" ref="O51:O114" si="12">1+O50</f>
        <v>2</v>
      </c>
      <c r="P51" s="343" t="e">
        <f t="shared" ref="P51:P114" si="13">IF(VLOOKUP($A51,$A$251:$W$1172,P$8,FALSE)="","",VLOOKUP($A51,$A$251:$W$1172,P$8,FALSE))</f>
        <v>#N/A</v>
      </c>
      <c r="R51" s="863" t="e">
        <f t="shared" si="11"/>
        <v>#N/A</v>
      </c>
      <c r="S51" s="343" t="e">
        <f t="shared" si="11"/>
        <v>#N/A</v>
      </c>
      <c r="T51" s="343" t="e">
        <f t="shared" si="11"/>
        <v>#N/A</v>
      </c>
      <c r="X51" s="863"/>
      <c r="Y51" s="863"/>
    </row>
    <row r="52" spans="1:25" s="343" customFormat="1" ht="0.65" hidden="1" customHeight="1">
      <c r="A52" s="343" t="str">
        <f t="shared" si="6"/>
        <v/>
      </c>
      <c r="G52" s="653"/>
      <c r="J52" s="653"/>
      <c r="O52" s="343">
        <f t="shared" si="12"/>
        <v>3</v>
      </c>
      <c r="P52" s="343" t="e">
        <f t="shared" si="13"/>
        <v>#N/A</v>
      </c>
      <c r="R52" s="863" t="e">
        <f t="shared" si="11"/>
        <v>#N/A</v>
      </c>
      <c r="S52" s="343" t="e">
        <f t="shared" si="11"/>
        <v>#N/A</v>
      </c>
      <c r="T52" s="343" t="e">
        <f t="shared" si="11"/>
        <v>#N/A</v>
      </c>
      <c r="X52" s="863"/>
      <c r="Y52" s="863"/>
    </row>
    <row r="53" spans="1:25" s="343" customFormat="1" ht="0.65" hidden="1" customHeight="1">
      <c r="A53" s="343" t="str">
        <f t="shared" si="6"/>
        <v/>
      </c>
      <c r="G53" s="653"/>
      <c r="J53" s="653"/>
      <c r="O53" s="343">
        <f t="shared" si="12"/>
        <v>4</v>
      </c>
      <c r="P53" s="343" t="e">
        <f t="shared" si="13"/>
        <v>#N/A</v>
      </c>
      <c r="R53" s="863" t="e">
        <f t="shared" si="11"/>
        <v>#N/A</v>
      </c>
      <c r="S53" s="343" t="e">
        <f t="shared" si="11"/>
        <v>#N/A</v>
      </c>
      <c r="T53" s="343" t="e">
        <f t="shared" si="11"/>
        <v>#N/A</v>
      </c>
      <c r="X53" s="863"/>
      <c r="Y53" s="863"/>
    </row>
    <row r="54" spans="1:25" s="343" customFormat="1" ht="0.65" hidden="1" customHeight="1">
      <c r="A54" s="343" t="str">
        <f t="shared" si="6"/>
        <v/>
      </c>
      <c r="G54" s="653"/>
      <c r="J54" s="653"/>
      <c r="O54" s="343">
        <f t="shared" si="12"/>
        <v>5</v>
      </c>
      <c r="P54" s="343" t="e">
        <f t="shared" si="13"/>
        <v>#N/A</v>
      </c>
      <c r="R54" s="863" t="e">
        <f t="shared" si="11"/>
        <v>#N/A</v>
      </c>
      <c r="S54" s="343" t="e">
        <f t="shared" si="11"/>
        <v>#N/A</v>
      </c>
      <c r="T54" s="343" t="e">
        <f t="shared" si="11"/>
        <v>#N/A</v>
      </c>
      <c r="X54" s="863"/>
      <c r="Y54" s="863"/>
    </row>
    <row r="55" spans="1:25" s="343" customFormat="1" ht="0.65" hidden="1" customHeight="1">
      <c r="A55" s="343" t="str">
        <f t="shared" si="6"/>
        <v/>
      </c>
      <c r="G55" s="653"/>
      <c r="J55" s="653"/>
      <c r="O55" s="343">
        <f t="shared" si="12"/>
        <v>6</v>
      </c>
      <c r="P55" s="343" t="e">
        <f t="shared" si="13"/>
        <v>#N/A</v>
      </c>
      <c r="R55" s="863" t="e">
        <f t="shared" si="11"/>
        <v>#N/A</v>
      </c>
      <c r="S55" s="343" t="e">
        <f t="shared" si="11"/>
        <v>#N/A</v>
      </c>
      <c r="T55" s="343" t="e">
        <f t="shared" si="11"/>
        <v>#N/A</v>
      </c>
      <c r="X55" s="863"/>
      <c r="Y55" s="863"/>
    </row>
    <row r="56" spans="1:25" s="343" customFormat="1" ht="0.65" hidden="1" customHeight="1">
      <c r="A56" s="343" t="str">
        <f t="shared" si="6"/>
        <v/>
      </c>
      <c r="G56" s="653"/>
      <c r="J56" s="653"/>
      <c r="O56" s="343">
        <f t="shared" si="12"/>
        <v>7</v>
      </c>
      <c r="P56" s="343" t="e">
        <f t="shared" si="13"/>
        <v>#N/A</v>
      </c>
      <c r="R56" s="863" t="e">
        <f t="shared" si="11"/>
        <v>#N/A</v>
      </c>
      <c r="S56" s="343" t="e">
        <f t="shared" si="11"/>
        <v>#N/A</v>
      </c>
      <c r="T56" s="343" t="e">
        <f t="shared" si="11"/>
        <v>#N/A</v>
      </c>
      <c r="X56" s="863"/>
      <c r="Y56" s="863"/>
    </row>
    <row r="57" spans="1:25" s="343" customFormat="1" ht="0.65" hidden="1" customHeight="1">
      <c r="A57" s="343" t="str">
        <f t="shared" si="6"/>
        <v/>
      </c>
      <c r="G57" s="653"/>
      <c r="J57" s="653"/>
      <c r="O57" s="343">
        <f t="shared" si="12"/>
        <v>8</v>
      </c>
      <c r="P57" s="343" t="e">
        <f t="shared" si="13"/>
        <v>#N/A</v>
      </c>
      <c r="R57" s="863" t="e">
        <f t="shared" si="11"/>
        <v>#N/A</v>
      </c>
      <c r="S57" s="343" t="e">
        <f t="shared" si="11"/>
        <v>#N/A</v>
      </c>
      <c r="T57" s="343" t="e">
        <f t="shared" si="11"/>
        <v>#N/A</v>
      </c>
      <c r="X57" s="863"/>
      <c r="Y57" s="863"/>
    </row>
    <row r="58" spans="1:25" s="343" customFormat="1" ht="0.65" hidden="1" customHeight="1">
      <c r="A58" s="343" t="str">
        <f t="shared" si="6"/>
        <v/>
      </c>
      <c r="G58" s="653"/>
      <c r="J58" s="653"/>
      <c r="O58" s="343">
        <f t="shared" si="12"/>
        <v>9</v>
      </c>
      <c r="P58" s="343" t="e">
        <f t="shared" si="13"/>
        <v>#N/A</v>
      </c>
      <c r="R58" s="863" t="e">
        <f t="shared" si="11"/>
        <v>#N/A</v>
      </c>
      <c r="S58" s="343" t="e">
        <f t="shared" si="11"/>
        <v>#N/A</v>
      </c>
      <c r="T58" s="343" t="e">
        <f t="shared" si="11"/>
        <v>#N/A</v>
      </c>
      <c r="X58" s="863"/>
      <c r="Y58" s="863"/>
    </row>
    <row r="59" spans="1:25" s="343" customFormat="1" ht="0.65" hidden="1" customHeight="1">
      <c r="A59" s="343" t="str">
        <f t="shared" si="6"/>
        <v/>
      </c>
      <c r="G59" s="653"/>
      <c r="J59" s="653"/>
      <c r="O59" s="343">
        <f t="shared" si="12"/>
        <v>10</v>
      </c>
      <c r="P59" s="343" t="e">
        <f t="shared" si="13"/>
        <v>#N/A</v>
      </c>
      <c r="R59" s="863" t="e">
        <f t="shared" si="11"/>
        <v>#N/A</v>
      </c>
      <c r="S59" s="343" t="e">
        <f t="shared" si="11"/>
        <v>#N/A</v>
      </c>
      <c r="T59" s="343" t="e">
        <f t="shared" si="11"/>
        <v>#N/A</v>
      </c>
      <c r="X59" s="863"/>
      <c r="Y59" s="863"/>
    </row>
    <row r="60" spans="1:25" s="343" customFormat="1" ht="0.65" hidden="1" customHeight="1">
      <c r="A60" s="343" t="str">
        <f t="shared" si="6"/>
        <v/>
      </c>
      <c r="G60" s="653"/>
      <c r="J60" s="653"/>
      <c r="O60" s="343">
        <f t="shared" si="12"/>
        <v>11</v>
      </c>
      <c r="P60" s="343" t="e">
        <f t="shared" si="13"/>
        <v>#N/A</v>
      </c>
      <c r="R60" s="863" t="e">
        <f t="shared" si="11"/>
        <v>#N/A</v>
      </c>
      <c r="S60" s="343" t="e">
        <f t="shared" si="11"/>
        <v>#N/A</v>
      </c>
      <c r="T60" s="343" t="e">
        <f t="shared" si="11"/>
        <v>#N/A</v>
      </c>
      <c r="X60" s="863"/>
      <c r="Y60" s="863"/>
    </row>
    <row r="61" spans="1:25" s="343" customFormat="1" ht="0.65" hidden="1" customHeight="1">
      <c r="A61" s="343" t="str">
        <f t="shared" si="6"/>
        <v/>
      </c>
      <c r="G61" s="653"/>
      <c r="J61" s="653"/>
      <c r="O61" s="343">
        <f t="shared" si="12"/>
        <v>12</v>
      </c>
      <c r="P61" s="343" t="e">
        <f t="shared" si="13"/>
        <v>#N/A</v>
      </c>
      <c r="R61" s="863" t="e">
        <f t="shared" si="11"/>
        <v>#N/A</v>
      </c>
      <c r="S61" s="343" t="e">
        <f t="shared" si="11"/>
        <v>#N/A</v>
      </c>
      <c r="T61" s="343" t="e">
        <f t="shared" si="11"/>
        <v>#N/A</v>
      </c>
      <c r="X61" s="863"/>
      <c r="Y61" s="863"/>
    </row>
    <row r="62" spans="1:25" s="343" customFormat="1" ht="0.65" hidden="1" customHeight="1">
      <c r="A62" s="343" t="str">
        <f t="shared" si="6"/>
        <v/>
      </c>
      <c r="G62" s="653"/>
      <c r="J62" s="653"/>
      <c r="O62" s="343">
        <f t="shared" si="12"/>
        <v>13</v>
      </c>
      <c r="P62" s="343" t="e">
        <f t="shared" si="13"/>
        <v>#N/A</v>
      </c>
      <c r="R62" s="863" t="e">
        <f t="shared" si="11"/>
        <v>#N/A</v>
      </c>
      <c r="S62" s="343" t="e">
        <f t="shared" si="11"/>
        <v>#N/A</v>
      </c>
      <c r="T62" s="343" t="e">
        <f t="shared" si="11"/>
        <v>#N/A</v>
      </c>
      <c r="X62" s="863"/>
      <c r="Y62" s="863"/>
    </row>
    <row r="63" spans="1:25" s="343" customFormat="1" ht="0.65" hidden="1" customHeight="1">
      <c r="A63" s="343" t="str">
        <f t="shared" si="6"/>
        <v/>
      </c>
      <c r="G63" s="653"/>
      <c r="J63" s="653"/>
      <c r="O63" s="343">
        <f t="shared" si="12"/>
        <v>14</v>
      </c>
      <c r="P63" s="343" t="e">
        <f t="shared" si="13"/>
        <v>#N/A</v>
      </c>
      <c r="R63" s="863" t="e">
        <f t="shared" si="11"/>
        <v>#N/A</v>
      </c>
      <c r="S63" s="343" t="e">
        <f t="shared" si="11"/>
        <v>#N/A</v>
      </c>
      <c r="T63" s="343" t="e">
        <f t="shared" si="11"/>
        <v>#N/A</v>
      </c>
      <c r="X63" s="863"/>
      <c r="Y63" s="863"/>
    </row>
    <row r="64" spans="1:25" s="343" customFormat="1" ht="0.65" hidden="1" customHeight="1">
      <c r="A64" s="343" t="str">
        <f t="shared" si="6"/>
        <v/>
      </c>
      <c r="G64" s="653"/>
      <c r="J64" s="653"/>
      <c r="O64" s="343">
        <f t="shared" si="12"/>
        <v>15</v>
      </c>
      <c r="P64" s="343" t="e">
        <f t="shared" si="13"/>
        <v>#N/A</v>
      </c>
      <c r="R64" s="863" t="e">
        <f t="shared" si="11"/>
        <v>#N/A</v>
      </c>
      <c r="S64" s="343" t="e">
        <f t="shared" si="11"/>
        <v>#N/A</v>
      </c>
      <c r="T64" s="343" t="e">
        <f t="shared" si="11"/>
        <v>#N/A</v>
      </c>
      <c r="X64" s="863"/>
      <c r="Y64" s="863"/>
    </row>
    <row r="65" spans="1:25" s="343" customFormat="1" ht="0.65" hidden="1" customHeight="1">
      <c r="A65" s="343" t="str">
        <f t="shared" si="6"/>
        <v/>
      </c>
      <c r="G65" s="653"/>
      <c r="J65" s="653"/>
      <c r="O65" s="343">
        <f t="shared" si="12"/>
        <v>16</v>
      </c>
      <c r="P65" s="343" t="e">
        <f t="shared" si="13"/>
        <v>#N/A</v>
      </c>
      <c r="R65" s="863" t="e">
        <f t="shared" si="11"/>
        <v>#N/A</v>
      </c>
      <c r="S65" s="343" t="e">
        <f t="shared" si="11"/>
        <v>#N/A</v>
      </c>
      <c r="T65" s="343" t="e">
        <f t="shared" si="11"/>
        <v>#N/A</v>
      </c>
      <c r="X65" s="863"/>
      <c r="Y65" s="863"/>
    </row>
    <row r="66" spans="1:25" s="343" customFormat="1" ht="0.65" hidden="1" customHeight="1">
      <c r="A66" s="343" t="str">
        <f t="shared" si="6"/>
        <v/>
      </c>
      <c r="G66" s="653"/>
      <c r="J66" s="653"/>
      <c r="O66" s="343">
        <f t="shared" si="12"/>
        <v>17</v>
      </c>
      <c r="P66" s="343" t="e">
        <f t="shared" si="13"/>
        <v>#N/A</v>
      </c>
      <c r="R66" s="863" t="e">
        <f t="shared" ref="R66:T124" si="14">IF(VLOOKUP($A66,$A$251:$W$1172,R$8,FALSE)="","",VLOOKUP($A66,$A$251:$W$1172,R$8,FALSE))</f>
        <v>#N/A</v>
      </c>
      <c r="S66" s="343" t="e">
        <f t="shared" si="14"/>
        <v>#N/A</v>
      </c>
      <c r="T66" s="343" t="e">
        <f t="shared" si="14"/>
        <v>#N/A</v>
      </c>
      <c r="X66" s="863"/>
      <c r="Y66" s="863"/>
    </row>
    <row r="67" spans="1:25" s="343" customFormat="1" ht="0.65" hidden="1" customHeight="1">
      <c r="A67" s="343" t="str">
        <f t="shared" si="6"/>
        <v/>
      </c>
      <c r="G67" s="653"/>
      <c r="J67" s="653"/>
      <c r="O67" s="343">
        <f t="shared" si="12"/>
        <v>18</v>
      </c>
      <c r="P67" s="343" t="e">
        <f t="shared" si="13"/>
        <v>#N/A</v>
      </c>
      <c r="R67" s="863" t="e">
        <f t="shared" si="14"/>
        <v>#N/A</v>
      </c>
      <c r="S67" s="343" t="e">
        <f t="shared" si="14"/>
        <v>#N/A</v>
      </c>
      <c r="T67" s="343" t="e">
        <f t="shared" si="14"/>
        <v>#N/A</v>
      </c>
      <c r="X67" s="863"/>
      <c r="Y67" s="863"/>
    </row>
    <row r="68" spans="1:25" s="343" customFormat="1" ht="0.65" hidden="1" customHeight="1">
      <c r="A68" s="343" t="str">
        <f t="shared" si="6"/>
        <v/>
      </c>
      <c r="G68" s="653"/>
      <c r="J68" s="653"/>
      <c r="O68" s="343">
        <f t="shared" si="12"/>
        <v>19</v>
      </c>
      <c r="P68" s="343" t="e">
        <f t="shared" si="13"/>
        <v>#N/A</v>
      </c>
      <c r="R68" s="863" t="e">
        <f t="shared" si="14"/>
        <v>#N/A</v>
      </c>
      <c r="S68" s="343" t="e">
        <f t="shared" si="14"/>
        <v>#N/A</v>
      </c>
      <c r="T68" s="343" t="e">
        <f t="shared" si="14"/>
        <v>#N/A</v>
      </c>
      <c r="X68" s="863"/>
      <c r="Y68" s="863"/>
    </row>
    <row r="69" spans="1:25" s="343" customFormat="1" ht="0.65" hidden="1" customHeight="1">
      <c r="A69" s="343" t="str">
        <f t="shared" si="6"/>
        <v/>
      </c>
      <c r="G69" s="653"/>
      <c r="J69" s="653"/>
      <c r="O69" s="343">
        <f t="shared" si="12"/>
        <v>20</v>
      </c>
      <c r="P69" s="343" t="e">
        <f t="shared" si="13"/>
        <v>#N/A</v>
      </c>
      <c r="R69" s="863" t="e">
        <f t="shared" si="14"/>
        <v>#N/A</v>
      </c>
      <c r="S69" s="343" t="e">
        <f t="shared" si="14"/>
        <v>#N/A</v>
      </c>
      <c r="T69" s="343" t="e">
        <f t="shared" si="14"/>
        <v>#N/A</v>
      </c>
      <c r="X69" s="863"/>
      <c r="Y69" s="863"/>
    </row>
    <row r="70" spans="1:25" s="343" customFormat="1" ht="0.65" hidden="1" customHeight="1">
      <c r="A70" s="343" t="str">
        <f t="shared" si="6"/>
        <v/>
      </c>
      <c r="G70" s="653"/>
      <c r="J70" s="653"/>
      <c r="O70" s="343">
        <f t="shared" si="12"/>
        <v>21</v>
      </c>
      <c r="P70" s="343" t="e">
        <f t="shared" si="13"/>
        <v>#N/A</v>
      </c>
      <c r="R70" s="863" t="e">
        <f t="shared" si="14"/>
        <v>#N/A</v>
      </c>
      <c r="S70" s="343" t="e">
        <f t="shared" si="14"/>
        <v>#N/A</v>
      </c>
      <c r="T70" s="343" t="e">
        <f t="shared" si="14"/>
        <v>#N/A</v>
      </c>
      <c r="X70" s="863"/>
      <c r="Y70" s="863"/>
    </row>
    <row r="71" spans="1:25" s="343" customFormat="1" ht="0.65" hidden="1" customHeight="1">
      <c r="A71" s="343" t="str">
        <f t="shared" si="6"/>
        <v/>
      </c>
      <c r="G71" s="653"/>
      <c r="J71" s="653"/>
      <c r="O71" s="343">
        <f t="shared" si="12"/>
        <v>22</v>
      </c>
      <c r="P71" s="343" t="e">
        <f t="shared" si="13"/>
        <v>#N/A</v>
      </c>
      <c r="R71" s="863" t="e">
        <f t="shared" si="14"/>
        <v>#N/A</v>
      </c>
      <c r="S71" s="343" t="e">
        <f t="shared" si="14"/>
        <v>#N/A</v>
      </c>
      <c r="T71" s="343" t="e">
        <f t="shared" si="14"/>
        <v>#N/A</v>
      </c>
      <c r="X71" s="863"/>
      <c r="Y71" s="863"/>
    </row>
    <row r="72" spans="1:25" s="343" customFormat="1" ht="0.65" hidden="1" customHeight="1">
      <c r="A72" s="343" t="str">
        <f t="shared" si="6"/>
        <v/>
      </c>
      <c r="G72" s="653"/>
      <c r="J72" s="653"/>
      <c r="O72" s="343">
        <f t="shared" si="12"/>
        <v>23</v>
      </c>
      <c r="P72" s="343" t="e">
        <f t="shared" si="13"/>
        <v>#N/A</v>
      </c>
      <c r="R72" s="863" t="e">
        <f t="shared" si="14"/>
        <v>#N/A</v>
      </c>
      <c r="S72" s="343" t="e">
        <f t="shared" si="14"/>
        <v>#N/A</v>
      </c>
      <c r="T72" s="343" t="e">
        <f t="shared" si="14"/>
        <v>#N/A</v>
      </c>
      <c r="X72" s="863"/>
      <c r="Y72" s="863"/>
    </row>
    <row r="73" spans="1:25" s="343" customFormat="1" ht="0.65" hidden="1" customHeight="1">
      <c r="A73" s="343" t="str">
        <f t="shared" si="6"/>
        <v/>
      </c>
      <c r="G73" s="653"/>
      <c r="J73" s="653"/>
      <c r="O73" s="343">
        <f t="shared" si="12"/>
        <v>24</v>
      </c>
      <c r="P73" s="343" t="e">
        <f t="shared" si="13"/>
        <v>#N/A</v>
      </c>
      <c r="R73" s="863" t="e">
        <f t="shared" si="14"/>
        <v>#N/A</v>
      </c>
      <c r="S73" s="343" t="e">
        <f t="shared" si="14"/>
        <v>#N/A</v>
      </c>
      <c r="T73" s="343" t="e">
        <f t="shared" si="14"/>
        <v>#N/A</v>
      </c>
      <c r="X73" s="863"/>
      <c r="Y73" s="863"/>
    </row>
    <row r="74" spans="1:25" s="343" customFormat="1" ht="0.65" hidden="1" customHeight="1">
      <c r="A74" s="343" t="str">
        <f t="shared" si="6"/>
        <v/>
      </c>
      <c r="G74" s="653"/>
      <c r="J74" s="653"/>
      <c r="O74" s="343">
        <f t="shared" si="12"/>
        <v>25</v>
      </c>
      <c r="P74" s="343" t="e">
        <f t="shared" si="13"/>
        <v>#N/A</v>
      </c>
      <c r="R74" s="863" t="e">
        <f t="shared" si="14"/>
        <v>#N/A</v>
      </c>
      <c r="S74" s="343" t="e">
        <f t="shared" si="14"/>
        <v>#N/A</v>
      </c>
      <c r="T74" s="343" t="e">
        <f t="shared" si="14"/>
        <v>#N/A</v>
      </c>
      <c r="X74" s="863"/>
      <c r="Y74" s="863"/>
    </row>
    <row r="75" spans="1:25" s="343" customFormat="1" ht="0.65" hidden="1" customHeight="1">
      <c r="A75" s="343" t="str">
        <f t="shared" si="6"/>
        <v/>
      </c>
      <c r="G75" s="653"/>
      <c r="J75" s="653"/>
      <c r="O75" s="343">
        <f t="shared" si="12"/>
        <v>26</v>
      </c>
      <c r="P75" s="343" t="e">
        <f t="shared" si="13"/>
        <v>#N/A</v>
      </c>
      <c r="R75" s="863" t="e">
        <f t="shared" si="14"/>
        <v>#N/A</v>
      </c>
      <c r="S75" s="343" t="e">
        <f t="shared" si="14"/>
        <v>#N/A</v>
      </c>
      <c r="T75" s="343" t="e">
        <f t="shared" si="14"/>
        <v>#N/A</v>
      </c>
      <c r="X75" s="863"/>
      <c r="Y75" s="863"/>
    </row>
    <row r="76" spans="1:25" s="343" customFormat="1" ht="0.65" hidden="1" customHeight="1">
      <c r="A76" s="343" t="str">
        <f t="shared" ref="A76:A139" si="15">IF(A75="","",1+A75)</f>
        <v/>
      </c>
      <c r="G76" s="653"/>
      <c r="J76" s="653"/>
      <c r="O76" s="343">
        <f t="shared" si="12"/>
        <v>27</v>
      </c>
      <c r="P76" s="343" t="e">
        <f t="shared" si="13"/>
        <v>#N/A</v>
      </c>
      <c r="R76" s="863" t="e">
        <f t="shared" si="14"/>
        <v>#N/A</v>
      </c>
      <c r="S76" s="343" t="e">
        <f t="shared" si="14"/>
        <v>#N/A</v>
      </c>
      <c r="T76" s="343" t="e">
        <f t="shared" si="14"/>
        <v>#N/A</v>
      </c>
      <c r="X76" s="863"/>
      <c r="Y76" s="863"/>
    </row>
    <row r="77" spans="1:25" s="343" customFormat="1" ht="0.65" hidden="1" customHeight="1">
      <c r="A77" s="343" t="str">
        <f t="shared" si="15"/>
        <v/>
      </c>
      <c r="G77" s="653"/>
      <c r="J77" s="653"/>
      <c r="O77" s="343">
        <f t="shared" si="12"/>
        <v>28</v>
      </c>
      <c r="P77" s="343" t="e">
        <f t="shared" si="13"/>
        <v>#N/A</v>
      </c>
      <c r="R77" s="863" t="e">
        <f t="shared" si="14"/>
        <v>#N/A</v>
      </c>
      <c r="S77" s="343" t="e">
        <f t="shared" si="14"/>
        <v>#N/A</v>
      </c>
      <c r="T77" s="343" t="e">
        <f t="shared" si="14"/>
        <v>#N/A</v>
      </c>
      <c r="X77" s="863"/>
      <c r="Y77" s="863"/>
    </row>
    <row r="78" spans="1:25" s="343" customFormat="1" ht="0.65" hidden="1" customHeight="1">
      <c r="A78" s="343" t="str">
        <f t="shared" si="15"/>
        <v/>
      </c>
      <c r="G78" s="653"/>
      <c r="J78" s="653"/>
      <c r="O78" s="343">
        <f t="shared" si="12"/>
        <v>29</v>
      </c>
      <c r="P78" s="343" t="e">
        <f t="shared" si="13"/>
        <v>#N/A</v>
      </c>
      <c r="R78" s="863" t="e">
        <f t="shared" si="14"/>
        <v>#N/A</v>
      </c>
      <c r="S78" s="343" t="e">
        <f t="shared" si="14"/>
        <v>#N/A</v>
      </c>
      <c r="T78" s="343" t="e">
        <f t="shared" si="14"/>
        <v>#N/A</v>
      </c>
      <c r="X78" s="863"/>
      <c r="Y78" s="863"/>
    </row>
    <row r="79" spans="1:25" s="343" customFormat="1" ht="0.65" hidden="1" customHeight="1">
      <c r="A79" s="343" t="str">
        <f t="shared" si="15"/>
        <v/>
      </c>
      <c r="G79" s="653"/>
      <c r="J79" s="653"/>
      <c r="O79" s="343">
        <f t="shared" si="12"/>
        <v>30</v>
      </c>
      <c r="P79" s="343" t="e">
        <f t="shared" si="13"/>
        <v>#N/A</v>
      </c>
      <c r="R79" s="863" t="e">
        <f t="shared" si="14"/>
        <v>#N/A</v>
      </c>
      <c r="S79" s="343" t="e">
        <f t="shared" si="14"/>
        <v>#N/A</v>
      </c>
      <c r="T79" s="343" t="e">
        <f t="shared" si="14"/>
        <v>#N/A</v>
      </c>
      <c r="X79" s="863"/>
      <c r="Y79" s="863"/>
    </row>
    <row r="80" spans="1:25" s="343" customFormat="1" ht="0.65" hidden="1" customHeight="1">
      <c r="A80" s="343" t="str">
        <f t="shared" si="15"/>
        <v/>
      </c>
      <c r="G80" s="653"/>
      <c r="J80" s="653"/>
      <c r="O80" s="343">
        <f t="shared" si="12"/>
        <v>31</v>
      </c>
      <c r="P80" s="343" t="e">
        <f t="shared" si="13"/>
        <v>#N/A</v>
      </c>
      <c r="R80" s="863" t="e">
        <f t="shared" si="14"/>
        <v>#N/A</v>
      </c>
      <c r="S80" s="343" t="e">
        <f t="shared" si="14"/>
        <v>#N/A</v>
      </c>
      <c r="T80" s="343" t="e">
        <f t="shared" si="14"/>
        <v>#N/A</v>
      </c>
      <c r="X80" s="863"/>
      <c r="Y80" s="863"/>
    </row>
    <row r="81" spans="1:25" s="343" customFormat="1" ht="0.65" hidden="1" customHeight="1">
      <c r="A81" s="343" t="str">
        <f t="shared" si="15"/>
        <v/>
      </c>
      <c r="G81" s="653"/>
      <c r="J81" s="653"/>
      <c r="O81" s="343">
        <f t="shared" si="12"/>
        <v>32</v>
      </c>
      <c r="P81" s="343" t="e">
        <f t="shared" si="13"/>
        <v>#N/A</v>
      </c>
      <c r="R81" s="863" t="e">
        <f t="shared" si="14"/>
        <v>#N/A</v>
      </c>
      <c r="S81" s="343" t="e">
        <f t="shared" si="14"/>
        <v>#N/A</v>
      </c>
      <c r="T81" s="343" t="e">
        <f t="shared" si="14"/>
        <v>#N/A</v>
      </c>
      <c r="X81" s="863"/>
      <c r="Y81" s="863"/>
    </row>
    <row r="82" spans="1:25" s="343" customFormat="1" ht="0.65" hidden="1" customHeight="1">
      <c r="A82" s="343" t="str">
        <f t="shared" si="15"/>
        <v/>
      </c>
      <c r="G82" s="653"/>
      <c r="J82" s="653"/>
      <c r="O82" s="343">
        <f t="shared" si="12"/>
        <v>33</v>
      </c>
      <c r="P82" s="343" t="e">
        <f t="shared" si="13"/>
        <v>#N/A</v>
      </c>
      <c r="R82" s="863" t="e">
        <f t="shared" si="14"/>
        <v>#N/A</v>
      </c>
      <c r="S82" s="343" t="e">
        <f t="shared" si="14"/>
        <v>#N/A</v>
      </c>
      <c r="T82" s="343" t="e">
        <f t="shared" si="14"/>
        <v>#N/A</v>
      </c>
      <c r="X82" s="863"/>
      <c r="Y82" s="863"/>
    </row>
    <row r="83" spans="1:25" s="343" customFormat="1" ht="0.65" hidden="1" customHeight="1">
      <c r="A83" s="343" t="str">
        <f t="shared" si="15"/>
        <v/>
      </c>
      <c r="G83" s="653"/>
      <c r="J83" s="653"/>
      <c r="O83" s="343">
        <f t="shared" si="12"/>
        <v>34</v>
      </c>
      <c r="P83" s="343" t="e">
        <f t="shared" si="13"/>
        <v>#N/A</v>
      </c>
      <c r="R83" s="863" t="e">
        <f t="shared" si="14"/>
        <v>#N/A</v>
      </c>
      <c r="S83" s="343" t="e">
        <f t="shared" si="14"/>
        <v>#N/A</v>
      </c>
      <c r="T83" s="343" t="e">
        <f t="shared" si="14"/>
        <v>#N/A</v>
      </c>
      <c r="X83" s="863"/>
      <c r="Y83" s="863"/>
    </row>
    <row r="84" spans="1:25" s="343" customFormat="1" ht="0.65" hidden="1" customHeight="1">
      <c r="A84" s="343" t="str">
        <f t="shared" si="15"/>
        <v/>
      </c>
      <c r="G84" s="653"/>
      <c r="J84" s="653"/>
      <c r="O84" s="343">
        <f t="shared" si="12"/>
        <v>35</v>
      </c>
      <c r="P84" s="343" t="e">
        <f t="shared" si="13"/>
        <v>#N/A</v>
      </c>
      <c r="R84" s="863" t="e">
        <f t="shared" si="14"/>
        <v>#N/A</v>
      </c>
      <c r="S84" s="343" t="e">
        <f t="shared" si="14"/>
        <v>#N/A</v>
      </c>
      <c r="T84" s="343" t="e">
        <f t="shared" si="14"/>
        <v>#N/A</v>
      </c>
      <c r="X84" s="863"/>
      <c r="Y84" s="863"/>
    </row>
    <row r="85" spans="1:25" s="343" customFormat="1" ht="0.65" hidden="1" customHeight="1">
      <c r="A85" s="343" t="str">
        <f t="shared" si="15"/>
        <v/>
      </c>
      <c r="G85" s="653"/>
      <c r="J85" s="653"/>
      <c r="O85" s="343">
        <f t="shared" si="12"/>
        <v>36</v>
      </c>
      <c r="P85" s="343" t="e">
        <f t="shared" si="13"/>
        <v>#N/A</v>
      </c>
      <c r="R85" s="863" t="e">
        <f t="shared" si="14"/>
        <v>#N/A</v>
      </c>
      <c r="S85" s="343" t="e">
        <f t="shared" si="14"/>
        <v>#N/A</v>
      </c>
      <c r="T85" s="343" t="e">
        <f t="shared" si="14"/>
        <v>#N/A</v>
      </c>
      <c r="X85" s="863"/>
      <c r="Y85" s="863"/>
    </row>
    <row r="86" spans="1:25" s="343" customFormat="1" ht="0.65" hidden="1" customHeight="1">
      <c r="A86" s="343" t="str">
        <f t="shared" si="15"/>
        <v/>
      </c>
      <c r="G86" s="653"/>
      <c r="J86" s="653"/>
      <c r="O86" s="343">
        <f t="shared" si="12"/>
        <v>37</v>
      </c>
      <c r="P86" s="343" t="e">
        <f t="shared" si="13"/>
        <v>#N/A</v>
      </c>
      <c r="R86" s="863" t="e">
        <f t="shared" si="14"/>
        <v>#N/A</v>
      </c>
      <c r="S86" s="343" t="e">
        <f t="shared" si="14"/>
        <v>#N/A</v>
      </c>
      <c r="T86" s="343" t="e">
        <f t="shared" si="14"/>
        <v>#N/A</v>
      </c>
      <c r="X86" s="863"/>
      <c r="Y86" s="863"/>
    </row>
    <row r="87" spans="1:25" s="343" customFormat="1" ht="0.65" hidden="1" customHeight="1">
      <c r="A87" s="343" t="str">
        <f t="shared" si="15"/>
        <v/>
      </c>
      <c r="G87" s="653"/>
      <c r="J87" s="653"/>
      <c r="O87" s="343">
        <f t="shared" si="12"/>
        <v>38</v>
      </c>
      <c r="P87" s="343" t="e">
        <f t="shared" si="13"/>
        <v>#N/A</v>
      </c>
      <c r="R87" s="863" t="e">
        <f t="shared" si="14"/>
        <v>#N/A</v>
      </c>
      <c r="S87" s="343" t="e">
        <f t="shared" si="14"/>
        <v>#N/A</v>
      </c>
      <c r="T87" s="343" t="e">
        <f t="shared" si="14"/>
        <v>#N/A</v>
      </c>
      <c r="X87" s="863"/>
      <c r="Y87" s="863"/>
    </row>
    <row r="88" spans="1:25" s="343" customFormat="1" ht="0.65" hidden="1" customHeight="1">
      <c r="A88" s="343" t="str">
        <f t="shared" si="15"/>
        <v/>
      </c>
      <c r="G88" s="653"/>
      <c r="J88" s="653"/>
      <c r="O88" s="343">
        <f t="shared" si="12"/>
        <v>39</v>
      </c>
      <c r="P88" s="343" t="e">
        <f t="shared" si="13"/>
        <v>#N/A</v>
      </c>
      <c r="R88" s="863" t="e">
        <f t="shared" si="14"/>
        <v>#N/A</v>
      </c>
      <c r="S88" s="343" t="e">
        <f t="shared" si="14"/>
        <v>#N/A</v>
      </c>
      <c r="T88" s="343" t="e">
        <f t="shared" si="14"/>
        <v>#N/A</v>
      </c>
      <c r="X88" s="863"/>
      <c r="Y88" s="863"/>
    </row>
    <row r="89" spans="1:25" s="343" customFormat="1" ht="0.65" hidden="1" customHeight="1">
      <c r="A89" s="343" t="str">
        <f t="shared" si="15"/>
        <v/>
      </c>
      <c r="G89" s="653"/>
      <c r="J89" s="653"/>
      <c r="O89" s="343">
        <f t="shared" si="12"/>
        <v>40</v>
      </c>
      <c r="P89" s="343" t="e">
        <f t="shared" si="13"/>
        <v>#N/A</v>
      </c>
      <c r="R89" s="863" t="e">
        <f t="shared" si="14"/>
        <v>#N/A</v>
      </c>
      <c r="S89" s="343" t="e">
        <f t="shared" si="14"/>
        <v>#N/A</v>
      </c>
      <c r="T89" s="343" t="e">
        <f t="shared" si="14"/>
        <v>#N/A</v>
      </c>
      <c r="X89" s="863"/>
      <c r="Y89" s="863"/>
    </row>
    <row r="90" spans="1:25" s="343" customFormat="1" ht="0.65" hidden="1" customHeight="1">
      <c r="A90" s="343" t="str">
        <f t="shared" si="15"/>
        <v/>
      </c>
      <c r="G90" s="653"/>
      <c r="J90" s="653"/>
      <c r="O90" s="343">
        <f t="shared" si="12"/>
        <v>41</v>
      </c>
      <c r="P90" s="343" t="e">
        <f t="shared" si="13"/>
        <v>#N/A</v>
      </c>
      <c r="R90" s="863" t="e">
        <f t="shared" si="14"/>
        <v>#N/A</v>
      </c>
      <c r="S90" s="343" t="e">
        <f t="shared" si="14"/>
        <v>#N/A</v>
      </c>
      <c r="T90" s="343" t="e">
        <f t="shared" si="14"/>
        <v>#N/A</v>
      </c>
      <c r="X90" s="863"/>
      <c r="Y90" s="863"/>
    </row>
    <row r="91" spans="1:25" s="343" customFormat="1" ht="0.65" hidden="1" customHeight="1">
      <c r="A91" s="343" t="str">
        <f t="shared" si="15"/>
        <v/>
      </c>
      <c r="G91" s="653"/>
      <c r="J91" s="653"/>
      <c r="O91" s="343">
        <f t="shared" si="12"/>
        <v>42</v>
      </c>
      <c r="P91" s="343" t="e">
        <f t="shared" si="13"/>
        <v>#N/A</v>
      </c>
      <c r="R91" s="863" t="e">
        <f t="shared" si="14"/>
        <v>#N/A</v>
      </c>
      <c r="S91" s="343" t="e">
        <f t="shared" si="14"/>
        <v>#N/A</v>
      </c>
      <c r="T91" s="343" t="e">
        <f t="shared" si="14"/>
        <v>#N/A</v>
      </c>
      <c r="X91" s="863"/>
      <c r="Y91" s="863"/>
    </row>
    <row r="92" spans="1:25" s="343" customFormat="1" ht="0.65" hidden="1" customHeight="1">
      <c r="A92" s="343" t="str">
        <f t="shared" si="15"/>
        <v/>
      </c>
      <c r="G92" s="653"/>
      <c r="J92" s="653"/>
      <c r="O92" s="343">
        <f t="shared" si="12"/>
        <v>43</v>
      </c>
      <c r="P92" s="343" t="e">
        <f t="shared" si="13"/>
        <v>#N/A</v>
      </c>
      <c r="R92" s="863" t="e">
        <f t="shared" si="14"/>
        <v>#N/A</v>
      </c>
      <c r="S92" s="343" t="e">
        <f t="shared" si="14"/>
        <v>#N/A</v>
      </c>
      <c r="T92" s="343" t="e">
        <f t="shared" si="14"/>
        <v>#N/A</v>
      </c>
      <c r="X92" s="863"/>
      <c r="Y92" s="863"/>
    </row>
    <row r="93" spans="1:25" s="343" customFormat="1" ht="0.65" hidden="1" customHeight="1">
      <c r="A93" s="343" t="str">
        <f t="shared" si="15"/>
        <v/>
      </c>
      <c r="G93" s="653"/>
      <c r="J93" s="653"/>
      <c r="O93" s="343">
        <f t="shared" si="12"/>
        <v>44</v>
      </c>
      <c r="P93" s="343" t="e">
        <f t="shared" si="13"/>
        <v>#N/A</v>
      </c>
      <c r="R93" s="863" t="e">
        <f t="shared" si="14"/>
        <v>#N/A</v>
      </c>
      <c r="S93" s="343" t="e">
        <f t="shared" si="14"/>
        <v>#N/A</v>
      </c>
      <c r="T93" s="343" t="e">
        <f t="shared" si="14"/>
        <v>#N/A</v>
      </c>
      <c r="X93" s="863"/>
      <c r="Y93" s="863"/>
    </row>
    <row r="94" spans="1:25" s="343" customFormat="1" ht="0.65" hidden="1" customHeight="1">
      <c r="A94" s="343" t="str">
        <f t="shared" si="15"/>
        <v/>
      </c>
      <c r="G94" s="653"/>
      <c r="J94" s="653"/>
      <c r="O94" s="343">
        <f t="shared" si="12"/>
        <v>45</v>
      </c>
      <c r="P94" s="343" t="e">
        <f t="shared" si="13"/>
        <v>#N/A</v>
      </c>
      <c r="R94" s="863" t="e">
        <f t="shared" si="14"/>
        <v>#N/A</v>
      </c>
      <c r="S94" s="343" t="e">
        <f t="shared" si="14"/>
        <v>#N/A</v>
      </c>
      <c r="T94" s="343" t="e">
        <f t="shared" si="14"/>
        <v>#N/A</v>
      </c>
      <c r="X94" s="863"/>
      <c r="Y94" s="863"/>
    </row>
    <row r="95" spans="1:25" s="343" customFormat="1" ht="0.65" hidden="1" customHeight="1">
      <c r="A95" s="343" t="str">
        <f t="shared" si="15"/>
        <v/>
      </c>
      <c r="G95" s="653"/>
      <c r="J95" s="653"/>
      <c r="O95" s="343">
        <f t="shared" si="12"/>
        <v>46</v>
      </c>
      <c r="P95" s="343" t="e">
        <f t="shared" si="13"/>
        <v>#N/A</v>
      </c>
      <c r="R95" s="863" t="e">
        <f t="shared" si="14"/>
        <v>#N/A</v>
      </c>
      <c r="S95" s="343" t="e">
        <f t="shared" si="14"/>
        <v>#N/A</v>
      </c>
      <c r="T95" s="343" t="e">
        <f t="shared" si="14"/>
        <v>#N/A</v>
      </c>
      <c r="X95" s="863"/>
      <c r="Y95" s="863"/>
    </row>
    <row r="96" spans="1:25" s="343" customFormat="1" ht="0.65" hidden="1" customHeight="1">
      <c r="A96" s="343" t="str">
        <f t="shared" si="15"/>
        <v/>
      </c>
      <c r="G96" s="653"/>
      <c r="J96" s="653"/>
      <c r="O96" s="343">
        <f t="shared" si="12"/>
        <v>47</v>
      </c>
      <c r="P96" s="343" t="e">
        <f t="shared" si="13"/>
        <v>#N/A</v>
      </c>
      <c r="R96" s="863" t="e">
        <f t="shared" si="14"/>
        <v>#N/A</v>
      </c>
      <c r="S96" s="343" t="e">
        <f t="shared" si="14"/>
        <v>#N/A</v>
      </c>
      <c r="T96" s="343" t="e">
        <f t="shared" si="14"/>
        <v>#N/A</v>
      </c>
      <c r="X96" s="863"/>
      <c r="Y96" s="863"/>
    </row>
    <row r="97" spans="1:25" s="343" customFormat="1" ht="0.65" hidden="1" customHeight="1">
      <c r="A97" s="343" t="str">
        <f t="shared" si="15"/>
        <v/>
      </c>
      <c r="G97" s="653"/>
      <c r="J97" s="653"/>
      <c r="O97" s="343">
        <f t="shared" si="12"/>
        <v>48</v>
      </c>
      <c r="P97" s="343" t="e">
        <f t="shared" si="13"/>
        <v>#N/A</v>
      </c>
      <c r="R97" s="863" t="e">
        <f t="shared" si="14"/>
        <v>#N/A</v>
      </c>
      <c r="S97" s="343" t="e">
        <f t="shared" si="14"/>
        <v>#N/A</v>
      </c>
      <c r="T97" s="343" t="e">
        <f t="shared" si="14"/>
        <v>#N/A</v>
      </c>
      <c r="X97" s="863"/>
      <c r="Y97" s="863"/>
    </row>
    <row r="98" spans="1:25" s="343" customFormat="1" ht="0.65" hidden="1" customHeight="1">
      <c r="A98" s="343" t="str">
        <f t="shared" si="15"/>
        <v/>
      </c>
      <c r="G98" s="653"/>
      <c r="J98" s="653"/>
      <c r="O98" s="343">
        <f t="shared" si="12"/>
        <v>49</v>
      </c>
      <c r="P98" s="343" t="e">
        <f t="shared" si="13"/>
        <v>#N/A</v>
      </c>
      <c r="R98" s="863" t="e">
        <f t="shared" si="14"/>
        <v>#N/A</v>
      </c>
      <c r="S98" s="343" t="e">
        <f t="shared" si="14"/>
        <v>#N/A</v>
      </c>
      <c r="T98" s="343" t="e">
        <f t="shared" si="14"/>
        <v>#N/A</v>
      </c>
      <c r="X98" s="863"/>
      <c r="Y98" s="863"/>
    </row>
    <row r="99" spans="1:25" s="343" customFormat="1" ht="0.65" hidden="1" customHeight="1">
      <c r="A99" s="343" t="str">
        <f t="shared" si="15"/>
        <v/>
      </c>
      <c r="G99" s="653"/>
      <c r="J99" s="653"/>
      <c r="O99" s="343">
        <f t="shared" si="12"/>
        <v>50</v>
      </c>
      <c r="P99" s="343" t="e">
        <f t="shared" si="13"/>
        <v>#N/A</v>
      </c>
      <c r="R99" s="863" t="e">
        <f t="shared" si="14"/>
        <v>#N/A</v>
      </c>
      <c r="S99" s="343" t="e">
        <f t="shared" si="14"/>
        <v>#N/A</v>
      </c>
      <c r="T99" s="343" t="e">
        <f t="shared" si="14"/>
        <v>#N/A</v>
      </c>
      <c r="X99" s="863"/>
      <c r="Y99" s="863"/>
    </row>
    <row r="100" spans="1:25" s="343" customFormat="1" ht="0.65" hidden="1" customHeight="1">
      <c r="A100" s="343" t="str">
        <f t="shared" si="15"/>
        <v/>
      </c>
      <c r="G100" s="653"/>
      <c r="J100" s="653"/>
      <c r="O100" s="343">
        <f t="shared" si="12"/>
        <v>51</v>
      </c>
      <c r="P100" s="343" t="e">
        <f t="shared" si="13"/>
        <v>#N/A</v>
      </c>
      <c r="R100" s="863" t="e">
        <f t="shared" si="14"/>
        <v>#N/A</v>
      </c>
      <c r="S100" s="343" t="e">
        <f t="shared" si="14"/>
        <v>#N/A</v>
      </c>
      <c r="T100" s="343" t="e">
        <f t="shared" si="14"/>
        <v>#N/A</v>
      </c>
      <c r="X100" s="863"/>
      <c r="Y100" s="863"/>
    </row>
    <row r="101" spans="1:25" s="343" customFormat="1" ht="0.65" hidden="1" customHeight="1">
      <c r="A101" s="343" t="str">
        <f t="shared" si="15"/>
        <v/>
      </c>
      <c r="G101" s="653"/>
      <c r="J101" s="653"/>
      <c r="O101" s="343">
        <f t="shared" si="12"/>
        <v>52</v>
      </c>
      <c r="P101" s="343" t="e">
        <f t="shared" si="13"/>
        <v>#N/A</v>
      </c>
      <c r="R101" s="863" t="e">
        <f t="shared" si="14"/>
        <v>#N/A</v>
      </c>
      <c r="S101" s="343" t="e">
        <f t="shared" si="14"/>
        <v>#N/A</v>
      </c>
      <c r="T101" s="343" t="e">
        <f t="shared" si="14"/>
        <v>#N/A</v>
      </c>
      <c r="X101" s="863"/>
      <c r="Y101" s="863"/>
    </row>
    <row r="102" spans="1:25" s="343" customFormat="1" ht="0.65" hidden="1" customHeight="1">
      <c r="A102" s="343" t="str">
        <f t="shared" si="15"/>
        <v/>
      </c>
      <c r="G102" s="653"/>
      <c r="J102" s="653"/>
      <c r="O102" s="343">
        <f t="shared" si="12"/>
        <v>53</v>
      </c>
      <c r="P102" s="343" t="e">
        <f t="shared" si="13"/>
        <v>#N/A</v>
      </c>
      <c r="R102" s="863" t="e">
        <f t="shared" si="14"/>
        <v>#N/A</v>
      </c>
      <c r="S102" s="343" t="e">
        <f t="shared" si="14"/>
        <v>#N/A</v>
      </c>
      <c r="T102" s="343" t="e">
        <f t="shared" si="14"/>
        <v>#N/A</v>
      </c>
      <c r="X102" s="863"/>
      <c r="Y102" s="863"/>
    </row>
    <row r="103" spans="1:25" s="343" customFormat="1" ht="0.65" hidden="1" customHeight="1">
      <c r="A103" s="343" t="str">
        <f t="shared" si="15"/>
        <v/>
      </c>
      <c r="G103" s="653"/>
      <c r="J103" s="653"/>
      <c r="O103" s="343">
        <f t="shared" si="12"/>
        <v>54</v>
      </c>
      <c r="P103" s="343" t="e">
        <f t="shared" si="13"/>
        <v>#N/A</v>
      </c>
      <c r="R103" s="863" t="e">
        <f t="shared" si="14"/>
        <v>#N/A</v>
      </c>
      <c r="S103" s="343" t="e">
        <f t="shared" si="14"/>
        <v>#N/A</v>
      </c>
      <c r="T103" s="343" t="e">
        <f t="shared" si="14"/>
        <v>#N/A</v>
      </c>
      <c r="X103" s="863"/>
      <c r="Y103" s="863"/>
    </row>
    <row r="104" spans="1:25" s="343" customFormat="1" ht="0.65" hidden="1" customHeight="1">
      <c r="A104" s="343" t="str">
        <f t="shared" si="15"/>
        <v/>
      </c>
      <c r="G104" s="653"/>
      <c r="J104" s="653"/>
      <c r="O104" s="343">
        <f t="shared" si="12"/>
        <v>55</v>
      </c>
      <c r="P104" s="343" t="e">
        <f t="shared" si="13"/>
        <v>#N/A</v>
      </c>
      <c r="R104" s="863" t="e">
        <f t="shared" si="14"/>
        <v>#N/A</v>
      </c>
      <c r="S104" s="343" t="e">
        <f t="shared" si="14"/>
        <v>#N/A</v>
      </c>
      <c r="T104" s="343" t="e">
        <f t="shared" si="14"/>
        <v>#N/A</v>
      </c>
      <c r="X104" s="863"/>
      <c r="Y104" s="863"/>
    </row>
    <row r="105" spans="1:25" s="343" customFormat="1" ht="0.65" hidden="1" customHeight="1">
      <c r="A105" s="343" t="str">
        <f t="shared" si="15"/>
        <v/>
      </c>
      <c r="G105" s="653"/>
      <c r="J105" s="653"/>
      <c r="O105" s="343">
        <f t="shared" si="12"/>
        <v>56</v>
      </c>
      <c r="P105" s="343" t="e">
        <f t="shared" si="13"/>
        <v>#N/A</v>
      </c>
      <c r="R105" s="863" t="e">
        <f t="shared" si="14"/>
        <v>#N/A</v>
      </c>
      <c r="S105" s="343" t="e">
        <f t="shared" si="14"/>
        <v>#N/A</v>
      </c>
      <c r="T105" s="343" t="e">
        <f t="shared" si="14"/>
        <v>#N/A</v>
      </c>
      <c r="X105" s="863"/>
      <c r="Y105" s="863"/>
    </row>
    <row r="106" spans="1:25" s="343" customFormat="1" ht="0.65" hidden="1" customHeight="1">
      <c r="A106" s="343" t="str">
        <f t="shared" si="15"/>
        <v/>
      </c>
      <c r="G106" s="653"/>
      <c r="J106" s="653"/>
      <c r="O106" s="343">
        <f t="shared" si="12"/>
        <v>57</v>
      </c>
      <c r="P106" s="343" t="e">
        <f t="shared" si="13"/>
        <v>#N/A</v>
      </c>
      <c r="R106" s="863" t="e">
        <f t="shared" si="14"/>
        <v>#N/A</v>
      </c>
      <c r="S106" s="343" t="e">
        <f t="shared" si="14"/>
        <v>#N/A</v>
      </c>
      <c r="T106" s="343" t="e">
        <f t="shared" si="14"/>
        <v>#N/A</v>
      </c>
      <c r="X106" s="863"/>
      <c r="Y106" s="863"/>
    </row>
    <row r="107" spans="1:25" s="343" customFormat="1" ht="0.65" hidden="1" customHeight="1">
      <c r="A107" s="343" t="str">
        <f t="shared" si="15"/>
        <v/>
      </c>
      <c r="G107" s="653"/>
      <c r="J107" s="653"/>
      <c r="O107" s="343">
        <f t="shared" si="12"/>
        <v>58</v>
      </c>
      <c r="P107" s="343" t="e">
        <f t="shared" si="13"/>
        <v>#N/A</v>
      </c>
      <c r="R107" s="863" t="e">
        <f t="shared" si="14"/>
        <v>#N/A</v>
      </c>
      <c r="S107" s="343" t="e">
        <f t="shared" si="14"/>
        <v>#N/A</v>
      </c>
      <c r="T107" s="343" t="e">
        <f t="shared" si="14"/>
        <v>#N/A</v>
      </c>
      <c r="X107" s="863"/>
      <c r="Y107" s="863"/>
    </row>
    <row r="108" spans="1:25" s="343" customFormat="1" ht="0.65" hidden="1" customHeight="1">
      <c r="A108" s="343" t="str">
        <f t="shared" si="15"/>
        <v/>
      </c>
      <c r="G108" s="653"/>
      <c r="J108" s="653"/>
      <c r="O108" s="343">
        <f t="shared" si="12"/>
        <v>59</v>
      </c>
      <c r="P108" s="343" t="e">
        <f t="shared" si="13"/>
        <v>#N/A</v>
      </c>
      <c r="R108" s="863" t="e">
        <f t="shared" si="14"/>
        <v>#N/A</v>
      </c>
      <c r="S108" s="343" t="e">
        <f t="shared" si="14"/>
        <v>#N/A</v>
      </c>
      <c r="T108" s="343" t="e">
        <f t="shared" si="14"/>
        <v>#N/A</v>
      </c>
      <c r="X108" s="863"/>
      <c r="Y108" s="863"/>
    </row>
    <row r="109" spans="1:25" s="343" customFormat="1" ht="0.65" hidden="1" customHeight="1">
      <c r="A109" s="343" t="str">
        <f t="shared" si="15"/>
        <v/>
      </c>
      <c r="G109" s="653"/>
      <c r="J109" s="653"/>
      <c r="O109" s="343">
        <f t="shared" si="12"/>
        <v>60</v>
      </c>
      <c r="P109" s="343" t="e">
        <f t="shared" si="13"/>
        <v>#N/A</v>
      </c>
      <c r="R109" s="863" t="e">
        <f t="shared" si="14"/>
        <v>#N/A</v>
      </c>
      <c r="S109" s="343" t="e">
        <f t="shared" si="14"/>
        <v>#N/A</v>
      </c>
      <c r="T109" s="343" t="e">
        <f t="shared" si="14"/>
        <v>#N/A</v>
      </c>
      <c r="X109" s="863"/>
      <c r="Y109" s="863"/>
    </row>
    <row r="110" spans="1:25" s="343" customFormat="1" ht="0.65" hidden="1" customHeight="1">
      <c r="A110" s="343" t="str">
        <f t="shared" si="15"/>
        <v/>
      </c>
      <c r="G110" s="653"/>
      <c r="J110" s="653"/>
      <c r="O110" s="343">
        <f t="shared" si="12"/>
        <v>61</v>
      </c>
      <c r="P110" s="343" t="e">
        <f t="shared" si="13"/>
        <v>#N/A</v>
      </c>
      <c r="R110" s="863" t="e">
        <f t="shared" si="14"/>
        <v>#N/A</v>
      </c>
      <c r="S110" s="343" t="e">
        <f t="shared" si="14"/>
        <v>#N/A</v>
      </c>
      <c r="T110" s="343" t="e">
        <f t="shared" si="14"/>
        <v>#N/A</v>
      </c>
      <c r="X110" s="863"/>
      <c r="Y110" s="863"/>
    </row>
    <row r="111" spans="1:25" s="343" customFormat="1" ht="0.65" hidden="1" customHeight="1">
      <c r="A111" s="343" t="str">
        <f t="shared" si="15"/>
        <v/>
      </c>
      <c r="G111" s="653"/>
      <c r="J111" s="653"/>
      <c r="O111" s="343">
        <f t="shared" si="12"/>
        <v>62</v>
      </c>
      <c r="P111" s="343" t="e">
        <f t="shared" si="13"/>
        <v>#N/A</v>
      </c>
      <c r="R111" s="863" t="e">
        <f t="shared" si="14"/>
        <v>#N/A</v>
      </c>
      <c r="S111" s="343" t="e">
        <f t="shared" si="14"/>
        <v>#N/A</v>
      </c>
      <c r="T111" s="343" t="e">
        <f t="shared" si="14"/>
        <v>#N/A</v>
      </c>
      <c r="X111" s="863"/>
      <c r="Y111" s="863"/>
    </row>
    <row r="112" spans="1:25" s="343" customFormat="1" ht="0.65" hidden="1" customHeight="1">
      <c r="A112" s="343" t="str">
        <f t="shared" si="15"/>
        <v/>
      </c>
      <c r="G112" s="653"/>
      <c r="J112" s="653"/>
      <c r="O112" s="343">
        <f t="shared" si="12"/>
        <v>63</v>
      </c>
      <c r="P112" s="343" t="e">
        <f t="shared" si="13"/>
        <v>#N/A</v>
      </c>
      <c r="R112" s="863" t="e">
        <f t="shared" si="14"/>
        <v>#N/A</v>
      </c>
      <c r="S112" s="343" t="e">
        <f t="shared" si="14"/>
        <v>#N/A</v>
      </c>
      <c r="T112" s="343" t="e">
        <f t="shared" si="14"/>
        <v>#N/A</v>
      </c>
      <c r="X112" s="863"/>
      <c r="Y112" s="863"/>
    </row>
    <row r="113" spans="1:25" s="343" customFormat="1" ht="0.65" hidden="1" customHeight="1">
      <c r="A113" s="343" t="str">
        <f t="shared" si="15"/>
        <v/>
      </c>
      <c r="G113" s="653"/>
      <c r="J113" s="653"/>
      <c r="O113" s="343">
        <f t="shared" si="12"/>
        <v>64</v>
      </c>
      <c r="P113" s="343" t="e">
        <f t="shared" si="13"/>
        <v>#N/A</v>
      </c>
      <c r="R113" s="863" t="e">
        <f t="shared" si="14"/>
        <v>#N/A</v>
      </c>
      <c r="S113" s="343" t="e">
        <f t="shared" si="14"/>
        <v>#N/A</v>
      </c>
      <c r="T113" s="343" t="e">
        <f t="shared" si="14"/>
        <v>#N/A</v>
      </c>
      <c r="X113" s="863"/>
      <c r="Y113" s="863"/>
    </row>
    <row r="114" spans="1:25" s="343" customFormat="1" ht="0.65" hidden="1" customHeight="1">
      <c r="A114" s="343" t="str">
        <f t="shared" si="15"/>
        <v/>
      </c>
      <c r="G114" s="653"/>
      <c r="J114" s="653"/>
      <c r="O114" s="343">
        <f t="shared" si="12"/>
        <v>65</v>
      </c>
      <c r="P114" s="343" t="e">
        <f t="shared" si="13"/>
        <v>#N/A</v>
      </c>
      <c r="R114" s="863" t="e">
        <f t="shared" si="14"/>
        <v>#N/A</v>
      </c>
      <c r="S114" s="343" t="e">
        <f t="shared" si="14"/>
        <v>#N/A</v>
      </c>
      <c r="T114" s="343" t="e">
        <f t="shared" si="14"/>
        <v>#N/A</v>
      </c>
      <c r="X114" s="863"/>
      <c r="Y114" s="863"/>
    </row>
    <row r="115" spans="1:25" s="343" customFormat="1" ht="0.65" hidden="1" customHeight="1">
      <c r="A115" s="343" t="str">
        <f t="shared" si="15"/>
        <v/>
      </c>
      <c r="G115" s="653"/>
      <c r="J115" s="653"/>
      <c r="O115" s="343">
        <f t="shared" ref="O115:O124" si="16">1+O114</f>
        <v>66</v>
      </c>
      <c r="P115" s="343" t="e">
        <f t="shared" ref="P115:P124" si="17">IF(VLOOKUP($A115,$A$251:$W$1172,P$8,FALSE)="","",VLOOKUP($A115,$A$251:$W$1172,P$8,FALSE))</f>
        <v>#N/A</v>
      </c>
      <c r="R115" s="863" t="e">
        <f t="shared" si="14"/>
        <v>#N/A</v>
      </c>
      <c r="S115" s="343" t="e">
        <f t="shared" si="14"/>
        <v>#N/A</v>
      </c>
      <c r="T115" s="343" t="e">
        <f t="shared" si="14"/>
        <v>#N/A</v>
      </c>
      <c r="X115" s="863"/>
      <c r="Y115" s="863"/>
    </row>
    <row r="116" spans="1:25" s="343" customFormat="1" ht="0.65" hidden="1" customHeight="1">
      <c r="A116" s="343" t="str">
        <f t="shared" si="15"/>
        <v/>
      </c>
      <c r="G116" s="653"/>
      <c r="J116" s="653"/>
      <c r="O116" s="343">
        <f t="shared" si="16"/>
        <v>67</v>
      </c>
      <c r="P116" s="343" t="e">
        <f t="shared" si="17"/>
        <v>#N/A</v>
      </c>
      <c r="R116" s="863" t="e">
        <f t="shared" si="14"/>
        <v>#N/A</v>
      </c>
      <c r="S116" s="343" t="e">
        <f t="shared" si="14"/>
        <v>#N/A</v>
      </c>
      <c r="T116" s="343" t="e">
        <f t="shared" si="14"/>
        <v>#N/A</v>
      </c>
      <c r="X116" s="863"/>
      <c r="Y116" s="863"/>
    </row>
    <row r="117" spans="1:25" s="343" customFormat="1" ht="0.65" hidden="1" customHeight="1">
      <c r="A117" s="343" t="str">
        <f t="shared" si="15"/>
        <v/>
      </c>
      <c r="G117" s="653"/>
      <c r="J117" s="653"/>
      <c r="O117" s="343">
        <f t="shared" si="16"/>
        <v>68</v>
      </c>
      <c r="P117" s="343" t="e">
        <f t="shared" si="17"/>
        <v>#N/A</v>
      </c>
      <c r="R117" s="863" t="e">
        <f t="shared" si="14"/>
        <v>#N/A</v>
      </c>
      <c r="S117" s="343" t="e">
        <f t="shared" si="14"/>
        <v>#N/A</v>
      </c>
      <c r="T117" s="343" t="e">
        <f t="shared" si="14"/>
        <v>#N/A</v>
      </c>
      <c r="X117" s="863"/>
      <c r="Y117" s="863"/>
    </row>
    <row r="118" spans="1:25" s="343" customFormat="1" ht="0.65" hidden="1" customHeight="1">
      <c r="A118" s="343" t="str">
        <f t="shared" si="15"/>
        <v/>
      </c>
      <c r="G118" s="653"/>
      <c r="J118" s="653"/>
      <c r="O118" s="343">
        <f t="shared" si="16"/>
        <v>69</v>
      </c>
      <c r="P118" s="343" t="e">
        <f t="shared" si="17"/>
        <v>#N/A</v>
      </c>
      <c r="R118" s="863" t="e">
        <f t="shared" si="14"/>
        <v>#N/A</v>
      </c>
      <c r="S118" s="343" t="e">
        <f t="shared" si="14"/>
        <v>#N/A</v>
      </c>
      <c r="T118" s="343" t="e">
        <f t="shared" si="14"/>
        <v>#N/A</v>
      </c>
      <c r="X118" s="863"/>
      <c r="Y118" s="863"/>
    </row>
    <row r="119" spans="1:25" s="343" customFormat="1" ht="0.65" hidden="1" customHeight="1">
      <c r="A119" s="343" t="str">
        <f t="shared" si="15"/>
        <v/>
      </c>
      <c r="G119" s="653"/>
      <c r="J119" s="653"/>
      <c r="O119" s="343">
        <f t="shared" si="16"/>
        <v>70</v>
      </c>
      <c r="P119" s="343" t="e">
        <f t="shared" si="17"/>
        <v>#N/A</v>
      </c>
      <c r="R119" s="863" t="e">
        <f t="shared" si="14"/>
        <v>#N/A</v>
      </c>
      <c r="S119" s="343" t="e">
        <f t="shared" si="14"/>
        <v>#N/A</v>
      </c>
      <c r="T119" s="343" t="e">
        <f t="shared" si="14"/>
        <v>#N/A</v>
      </c>
      <c r="X119" s="863"/>
      <c r="Y119" s="863"/>
    </row>
    <row r="120" spans="1:25" s="343" customFormat="1" ht="0.65" hidden="1" customHeight="1">
      <c r="A120" s="343" t="str">
        <f t="shared" si="15"/>
        <v/>
      </c>
      <c r="G120" s="653"/>
      <c r="J120" s="653"/>
      <c r="O120" s="343">
        <f t="shared" si="16"/>
        <v>71</v>
      </c>
      <c r="P120" s="343" t="e">
        <f t="shared" si="17"/>
        <v>#N/A</v>
      </c>
      <c r="R120" s="863" t="e">
        <f t="shared" si="14"/>
        <v>#N/A</v>
      </c>
      <c r="S120" s="343" t="e">
        <f t="shared" si="14"/>
        <v>#N/A</v>
      </c>
      <c r="T120" s="343" t="e">
        <f t="shared" si="14"/>
        <v>#N/A</v>
      </c>
      <c r="X120" s="863"/>
      <c r="Y120" s="863"/>
    </row>
    <row r="121" spans="1:25" s="343" customFormat="1" ht="0.65" hidden="1" customHeight="1">
      <c r="A121" s="343" t="str">
        <f t="shared" si="15"/>
        <v/>
      </c>
      <c r="G121" s="653"/>
      <c r="J121" s="653"/>
      <c r="O121" s="343">
        <f t="shared" si="16"/>
        <v>72</v>
      </c>
      <c r="P121" s="343" t="e">
        <f t="shared" si="17"/>
        <v>#N/A</v>
      </c>
      <c r="R121" s="863" t="e">
        <f t="shared" si="14"/>
        <v>#N/A</v>
      </c>
      <c r="S121" s="343" t="e">
        <f t="shared" si="14"/>
        <v>#N/A</v>
      </c>
      <c r="T121" s="343" t="e">
        <f t="shared" si="14"/>
        <v>#N/A</v>
      </c>
      <c r="X121" s="863"/>
      <c r="Y121" s="863"/>
    </row>
    <row r="122" spans="1:25" s="343" customFormat="1" ht="0.65" hidden="1" customHeight="1">
      <c r="A122" s="343" t="str">
        <f t="shared" si="15"/>
        <v/>
      </c>
      <c r="G122" s="653"/>
      <c r="J122" s="653"/>
      <c r="O122" s="343">
        <f t="shared" si="16"/>
        <v>73</v>
      </c>
      <c r="P122" s="343" t="e">
        <f t="shared" si="17"/>
        <v>#N/A</v>
      </c>
      <c r="R122" s="864" t="e">
        <f t="shared" si="14"/>
        <v>#N/A</v>
      </c>
      <c r="S122" s="343" t="e">
        <f t="shared" si="14"/>
        <v>#N/A</v>
      </c>
      <c r="T122" s="343" t="e">
        <f t="shared" si="14"/>
        <v>#N/A</v>
      </c>
      <c r="X122" s="863"/>
      <c r="Y122" s="863"/>
    </row>
    <row r="123" spans="1:25" s="343" customFormat="1" ht="0.65" hidden="1" customHeight="1">
      <c r="A123" s="343" t="str">
        <f t="shared" si="15"/>
        <v/>
      </c>
      <c r="G123" s="653"/>
      <c r="J123" s="653"/>
      <c r="O123" s="343">
        <f t="shared" si="16"/>
        <v>74</v>
      </c>
      <c r="P123" s="343" t="e">
        <f t="shared" si="17"/>
        <v>#N/A</v>
      </c>
      <c r="R123" s="863" t="e">
        <f t="shared" si="14"/>
        <v>#N/A</v>
      </c>
      <c r="S123" s="343" t="e">
        <f t="shared" si="14"/>
        <v>#N/A</v>
      </c>
      <c r="T123" s="343" t="e">
        <f t="shared" si="14"/>
        <v>#N/A</v>
      </c>
      <c r="X123" s="863"/>
      <c r="Y123" s="863"/>
    </row>
    <row r="124" spans="1:25" s="343" customFormat="1" ht="0.65" hidden="1" customHeight="1">
      <c r="A124" s="343" t="str">
        <f t="shared" si="15"/>
        <v/>
      </c>
      <c r="G124" s="653"/>
      <c r="J124" s="653"/>
      <c r="O124" s="343">
        <f t="shared" si="16"/>
        <v>75</v>
      </c>
      <c r="P124" s="343" t="e">
        <f t="shared" si="17"/>
        <v>#N/A</v>
      </c>
      <c r="R124" s="864" t="e">
        <f t="shared" si="14"/>
        <v>#N/A</v>
      </c>
      <c r="S124" s="343" t="e">
        <f t="shared" si="14"/>
        <v>#N/A</v>
      </c>
      <c r="T124" s="343" t="e">
        <f t="shared" si="14"/>
        <v>#N/A</v>
      </c>
      <c r="X124" s="863"/>
      <c r="Y124" s="863"/>
    </row>
    <row r="125" spans="1:25" s="343" customFormat="1" ht="0.65" hidden="1" customHeight="1">
      <c r="A125" s="343" t="str">
        <f t="shared" si="15"/>
        <v/>
      </c>
      <c r="G125" s="653"/>
      <c r="J125" s="653"/>
      <c r="X125" s="863"/>
      <c r="Y125" s="863"/>
    </row>
    <row r="126" spans="1:25" s="343" customFormat="1" ht="0.65" hidden="1" customHeight="1">
      <c r="A126" s="343" t="str">
        <f t="shared" si="15"/>
        <v/>
      </c>
      <c r="G126" s="653"/>
      <c r="J126" s="653"/>
      <c r="O126" s="343">
        <v>1</v>
      </c>
      <c r="P126" s="343" t="e">
        <f t="shared" ref="P126:P135" si="18">IF(VLOOKUP($A126,$A$251:$W$1172,P$8,FALSE)="","",VLOOKUP($A126,$A$251:$W$1172,P$8,FALSE))</f>
        <v>#N/A</v>
      </c>
      <c r="X126" s="863"/>
      <c r="Y126" s="863"/>
    </row>
    <row r="127" spans="1:25" s="343" customFormat="1" ht="0.65" hidden="1" customHeight="1">
      <c r="A127" s="343" t="str">
        <f t="shared" si="15"/>
        <v/>
      </c>
      <c r="G127" s="653"/>
      <c r="J127" s="653"/>
      <c r="O127" s="343">
        <v>2</v>
      </c>
      <c r="P127" s="343" t="e">
        <f t="shared" si="18"/>
        <v>#N/A</v>
      </c>
      <c r="X127" s="863"/>
      <c r="Y127" s="863"/>
    </row>
    <row r="128" spans="1:25" s="343" customFormat="1" ht="0.65" hidden="1" customHeight="1">
      <c r="A128" s="343" t="str">
        <f t="shared" si="15"/>
        <v/>
      </c>
      <c r="G128" s="653"/>
      <c r="J128" s="653"/>
      <c r="O128" s="343">
        <v>3</v>
      </c>
      <c r="P128" s="343" t="e">
        <f t="shared" si="18"/>
        <v>#N/A</v>
      </c>
      <c r="X128" s="863"/>
      <c r="Y128" s="863"/>
    </row>
    <row r="129" spans="1:25" s="343" customFormat="1" ht="0.65" hidden="1" customHeight="1">
      <c r="A129" s="343" t="str">
        <f t="shared" si="15"/>
        <v/>
      </c>
      <c r="G129" s="653"/>
      <c r="J129" s="653"/>
      <c r="O129" s="343">
        <v>4</v>
      </c>
      <c r="P129" s="343" t="e">
        <f t="shared" si="18"/>
        <v>#N/A</v>
      </c>
      <c r="X129" s="863"/>
      <c r="Y129" s="863"/>
    </row>
    <row r="130" spans="1:25" s="343" customFormat="1" ht="0.65" hidden="1" customHeight="1">
      <c r="A130" s="343" t="str">
        <f t="shared" si="15"/>
        <v/>
      </c>
      <c r="G130" s="653"/>
      <c r="J130" s="653"/>
      <c r="O130" s="343">
        <v>5</v>
      </c>
      <c r="P130" s="343" t="e">
        <f t="shared" si="18"/>
        <v>#N/A</v>
      </c>
      <c r="X130" s="863"/>
      <c r="Y130" s="863"/>
    </row>
    <row r="131" spans="1:25" s="343" customFormat="1" ht="0.65" hidden="1" customHeight="1">
      <c r="A131" s="343" t="str">
        <f t="shared" si="15"/>
        <v/>
      </c>
      <c r="G131" s="653"/>
      <c r="J131" s="653"/>
      <c r="O131" s="343">
        <v>6</v>
      </c>
      <c r="P131" s="343" t="e">
        <f t="shared" si="18"/>
        <v>#N/A</v>
      </c>
      <c r="X131" s="863"/>
      <c r="Y131" s="863"/>
    </row>
    <row r="132" spans="1:25" s="343" customFormat="1" ht="0.65" hidden="1" customHeight="1">
      <c r="A132" s="343" t="str">
        <f t="shared" si="15"/>
        <v/>
      </c>
      <c r="G132" s="653"/>
      <c r="J132" s="653"/>
      <c r="P132" s="343" t="e">
        <f t="shared" si="18"/>
        <v>#N/A</v>
      </c>
      <c r="X132" s="863"/>
      <c r="Y132" s="863"/>
    </row>
    <row r="133" spans="1:25" s="343" customFormat="1" ht="0.65" hidden="1" customHeight="1">
      <c r="A133" s="343" t="str">
        <f t="shared" si="15"/>
        <v/>
      </c>
      <c r="G133" s="653"/>
      <c r="J133" s="653"/>
      <c r="P133" s="343" t="e">
        <f t="shared" si="18"/>
        <v>#N/A</v>
      </c>
      <c r="X133" s="863"/>
      <c r="Y133" s="863"/>
    </row>
    <row r="134" spans="1:25" s="343" customFormat="1" ht="0.65" hidden="1" customHeight="1">
      <c r="A134" s="343" t="str">
        <f t="shared" si="15"/>
        <v/>
      </c>
      <c r="G134" s="653"/>
      <c r="J134" s="653"/>
      <c r="P134" s="343" t="e">
        <f t="shared" si="18"/>
        <v>#N/A</v>
      </c>
      <c r="X134" s="863"/>
      <c r="Y134" s="863"/>
    </row>
    <row r="135" spans="1:25" s="343" customFormat="1" ht="0.65" hidden="1" customHeight="1">
      <c r="A135" s="343" t="str">
        <f t="shared" si="15"/>
        <v/>
      </c>
      <c r="G135" s="653"/>
      <c r="J135" s="653"/>
      <c r="P135" s="343" t="e">
        <f t="shared" si="18"/>
        <v>#N/A</v>
      </c>
      <c r="X135" s="863"/>
      <c r="Y135" s="863"/>
    </row>
    <row r="136" spans="1:25" s="343" customFormat="1" ht="0.65" hidden="1" customHeight="1">
      <c r="A136" s="343" t="str">
        <f t="shared" si="15"/>
        <v/>
      </c>
      <c r="G136" s="653"/>
      <c r="J136" s="653"/>
      <c r="X136" s="863"/>
      <c r="Y136" s="863"/>
    </row>
    <row r="137" spans="1:25" s="343" customFormat="1" ht="0.65" hidden="1" customHeight="1">
      <c r="A137" s="343" t="str">
        <f t="shared" si="15"/>
        <v/>
      </c>
      <c r="E137" s="653">
        <f>74-COUNTIF(F138:F174,"")-COUNTIF(I138:I174,"")+8</f>
        <v>8</v>
      </c>
      <c r="F137" s="343" t="s">
        <v>3360</v>
      </c>
      <c r="G137" s="653"/>
      <c r="J137" s="653"/>
      <c r="M137" s="863" t="e">
        <f t="shared" ref="M137:V144" si="19">IF(VLOOKUP($A137-127,$A$251:$W$1080,M$8,FALSE)="","",VLOOKUP($A137-127,$A$251:$W$1080,M$8,FALSE))</f>
        <v>#VALUE!</v>
      </c>
      <c r="N137" s="863"/>
      <c r="O137" s="863"/>
      <c r="P137" s="863"/>
      <c r="Q137" s="863"/>
      <c r="R137" s="863"/>
      <c r="S137" s="863"/>
      <c r="T137" s="863"/>
      <c r="U137" s="863"/>
      <c r="V137" s="863"/>
      <c r="X137" s="863"/>
      <c r="Y137" s="863"/>
    </row>
    <row r="138" spans="1:25" s="343" customFormat="1" ht="0.65" hidden="1" customHeight="1">
      <c r="A138" s="343" t="str">
        <f t="shared" si="15"/>
        <v/>
      </c>
      <c r="D138" s="653" t="s">
        <v>0</v>
      </c>
      <c r="E138" s="343" t="str">
        <f>IF($A11="","",IF(VLOOKUP($A11,$A$251:$W$1080,E$8,FALSE)="","blanco",VLOOKUP($A11,$A$251:$W$1080,E$8,FALSE)))</f>
        <v/>
      </c>
      <c r="F138" s="343" t="str">
        <f t="shared" ref="F138:I153" si="20">IF($A11="","",IF(VLOOKUP($A11,$A$251:$W$1080,F$8,FALSE)="","",VLOOKUP($A11,$A$251:$W$1080,F$8,FALSE)))</f>
        <v/>
      </c>
      <c r="G138" s="343" t="str">
        <f t="shared" si="20"/>
        <v/>
      </c>
      <c r="H138" s="343" t="str">
        <f>IF($A11="","",IF(VLOOKUP($A11,$A$251:$W$1080,H$8,FALSE)="","blanco",VLOOKUP($A11,$A$251:$W$1080,H$8,FALSE)))</f>
        <v/>
      </c>
      <c r="I138" s="343" t="str">
        <f t="shared" si="20"/>
        <v/>
      </c>
      <c r="J138" s="653"/>
      <c r="M138" s="863"/>
      <c r="N138" s="865" t="s">
        <v>55</v>
      </c>
      <c r="O138" s="865" t="s">
        <v>55</v>
      </c>
      <c r="P138" s="865" t="s">
        <v>55</v>
      </c>
      <c r="Q138" s="865" t="s">
        <v>55</v>
      </c>
      <c r="R138" s="865" t="s">
        <v>55</v>
      </c>
      <c r="S138" s="865" t="s">
        <v>55</v>
      </c>
      <c r="T138" s="865" t="s">
        <v>55</v>
      </c>
      <c r="U138" s="865" t="s">
        <v>55</v>
      </c>
      <c r="V138" s="865" t="s">
        <v>55</v>
      </c>
      <c r="X138" s="863"/>
      <c r="Y138" s="863"/>
    </row>
    <row r="139" spans="1:25" s="343" customFormat="1" ht="0.65" hidden="1" customHeight="1">
      <c r="A139" s="343" t="str">
        <f t="shared" si="15"/>
        <v/>
      </c>
      <c r="D139" s="653">
        <v>0</v>
      </c>
      <c r="E139" s="343" t="str">
        <f t="shared" ref="E139:E174" si="21">IF($A12="","",IF(VLOOKUP($A12,$A$251:$W$1080,E$8,FALSE)="","blanco",VLOOKUP($A12,$A$251:$W$1080,E$8,FALSE)))</f>
        <v/>
      </c>
      <c r="F139" s="343" t="str">
        <f t="shared" si="20"/>
        <v/>
      </c>
      <c r="G139" s="343" t="str">
        <f t="shared" si="20"/>
        <v/>
      </c>
      <c r="H139" s="343" t="str">
        <f t="shared" ref="H139:H174" si="22">IF($A12="","",IF(VLOOKUP($A12,$A$251:$W$1080,H$8,FALSE)="","blanco",VLOOKUP($A12,$A$251:$W$1080,H$8,FALSE)))</f>
        <v/>
      </c>
      <c r="I139" s="343" t="str">
        <f t="shared" si="20"/>
        <v/>
      </c>
      <c r="J139" s="653"/>
      <c r="M139" s="659"/>
      <c r="N139" s="866"/>
      <c r="O139" s="866"/>
      <c r="P139" s="866"/>
      <c r="Q139" s="866"/>
      <c r="R139" s="866"/>
      <c r="S139" s="866"/>
      <c r="T139" s="866"/>
      <c r="U139" s="866"/>
      <c r="V139" s="866"/>
      <c r="X139" s="863"/>
      <c r="Y139" s="863"/>
    </row>
    <row r="140" spans="1:25" s="343" customFormat="1" ht="0.65" hidden="1" customHeight="1">
      <c r="A140" s="343" t="str">
        <f t="shared" ref="A140:A174" si="23">IF(A139="","",1+A139)</f>
        <v/>
      </c>
      <c r="D140" s="653">
        <v>1</v>
      </c>
      <c r="E140" s="343" t="str">
        <f t="shared" si="21"/>
        <v/>
      </c>
      <c r="F140" s="343" t="str">
        <f t="shared" si="20"/>
        <v/>
      </c>
      <c r="G140" s="343" t="str">
        <f t="shared" si="20"/>
        <v/>
      </c>
      <c r="H140" s="343" t="str">
        <f t="shared" si="22"/>
        <v/>
      </c>
      <c r="I140" s="343" t="str">
        <f t="shared" si="20"/>
        <v/>
      </c>
      <c r="J140" s="653"/>
      <c r="M140" s="663"/>
      <c r="N140" s="343" t="e">
        <f t="shared" si="19"/>
        <v>#VALUE!</v>
      </c>
      <c r="O140" s="343" t="e">
        <f t="shared" si="19"/>
        <v>#VALUE!</v>
      </c>
      <c r="P140" s="343" t="e">
        <f t="shared" si="19"/>
        <v>#VALUE!</v>
      </c>
      <c r="Q140" s="343" t="e">
        <f t="shared" si="19"/>
        <v>#VALUE!</v>
      </c>
      <c r="R140" s="343" t="e">
        <f t="shared" si="19"/>
        <v>#VALUE!</v>
      </c>
      <c r="S140" s="343" t="e">
        <f t="shared" si="19"/>
        <v>#VALUE!</v>
      </c>
      <c r="T140" s="343" t="e">
        <f t="shared" si="19"/>
        <v>#VALUE!</v>
      </c>
      <c r="U140" s="343" t="e">
        <f t="shared" si="19"/>
        <v>#VALUE!</v>
      </c>
      <c r="V140" s="863" t="e">
        <f t="shared" si="19"/>
        <v>#VALUE!</v>
      </c>
      <c r="X140" s="863"/>
      <c r="Y140" s="863"/>
    </row>
    <row r="141" spans="1:25" s="343" customFormat="1" ht="0.65" hidden="1" customHeight="1">
      <c r="A141" s="343" t="str">
        <f t="shared" si="23"/>
        <v/>
      </c>
      <c r="D141" s="653">
        <v>2</v>
      </c>
      <c r="E141" s="343" t="str">
        <f t="shared" si="21"/>
        <v/>
      </c>
      <c r="F141" s="343" t="str">
        <f t="shared" si="20"/>
        <v/>
      </c>
      <c r="G141" s="343" t="str">
        <f t="shared" si="20"/>
        <v/>
      </c>
      <c r="H141" s="343" t="str">
        <f t="shared" si="22"/>
        <v/>
      </c>
      <c r="I141" s="343" t="str">
        <f t="shared" si="20"/>
        <v/>
      </c>
      <c r="J141" s="653"/>
      <c r="M141" s="663"/>
      <c r="N141" s="863" t="e">
        <f t="shared" si="19"/>
        <v>#VALUE!</v>
      </c>
      <c r="O141" s="863" t="e">
        <f t="shared" si="19"/>
        <v>#VALUE!</v>
      </c>
      <c r="P141" s="863" t="e">
        <f t="shared" si="19"/>
        <v>#VALUE!</v>
      </c>
      <c r="Q141" s="863" t="e">
        <f t="shared" si="19"/>
        <v>#VALUE!</v>
      </c>
      <c r="R141" s="863" t="e">
        <f t="shared" si="19"/>
        <v>#VALUE!</v>
      </c>
      <c r="S141" s="863" t="e">
        <f t="shared" si="19"/>
        <v>#VALUE!</v>
      </c>
      <c r="T141" s="863" t="e">
        <f t="shared" si="19"/>
        <v>#VALUE!</v>
      </c>
      <c r="U141" s="863" t="e">
        <f t="shared" si="19"/>
        <v>#VALUE!</v>
      </c>
      <c r="V141" s="863" t="e">
        <f t="shared" si="19"/>
        <v>#VALUE!</v>
      </c>
      <c r="X141" s="863"/>
      <c r="Y141" s="863"/>
    </row>
    <row r="142" spans="1:25" s="343" customFormat="1" ht="0.65" hidden="1" customHeight="1">
      <c r="A142" s="343" t="str">
        <f t="shared" si="23"/>
        <v/>
      </c>
      <c r="D142" s="653">
        <v>3</v>
      </c>
      <c r="E142" s="343" t="str">
        <f t="shared" si="21"/>
        <v/>
      </c>
      <c r="F142" s="343" t="str">
        <f t="shared" si="20"/>
        <v/>
      </c>
      <c r="G142" s="343" t="str">
        <f t="shared" si="20"/>
        <v/>
      </c>
      <c r="H142" s="343" t="str">
        <f t="shared" si="22"/>
        <v/>
      </c>
      <c r="I142" s="343" t="str">
        <f t="shared" si="20"/>
        <v/>
      </c>
      <c r="J142" s="653"/>
      <c r="M142" s="663"/>
      <c r="N142" s="863" t="e">
        <f t="shared" si="19"/>
        <v>#VALUE!</v>
      </c>
      <c r="O142" s="863" t="e">
        <f t="shared" si="19"/>
        <v>#VALUE!</v>
      </c>
      <c r="P142" s="863" t="e">
        <f t="shared" si="19"/>
        <v>#VALUE!</v>
      </c>
      <c r="Q142" s="863" t="e">
        <f t="shared" si="19"/>
        <v>#VALUE!</v>
      </c>
      <c r="R142" s="863" t="e">
        <f t="shared" si="19"/>
        <v>#VALUE!</v>
      </c>
      <c r="S142" s="863" t="e">
        <f t="shared" si="19"/>
        <v>#VALUE!</v>
      </c>
      <c r="T142" s="863" t="e">
        <f t="shared" si="19"/>
        <v>#VALUE!</v>
      </c>
      <c r="U142" s="863" t="e">
        <f t="shared" si="19"/>
        <v>#VALUE!</v>
      </c>
      <c r="V142" s="863" t="e">
        <f t="shared" si="19"/>
        <v>#VALUE!</v>
      </c>
      <c r="X142" s="863"/>
      <c r="Y142" s="863"/>
    </row>
    <row r="143" spans="1:25" s="343" customFormat="1" ht="0.65" hidden="1" customHeight="1">
      <c r="A143" s="343" t="str">
        <f t="shared" si="23"/>
        <v/>
      </c>
      <c r="D143" s="653">
        <v>4</v>
      </c>
      <c r="E143" s="343" t="str">
        <f t="shared" si="21"/>
        <v/>
      </c>
      <c r="F143" s="343" t="str">
        <f t="shared" si="20"/>
        <v/>
      </c>
      <c r="G143" s="343" t="str">
        <f t="shared" si="20"/>
        <v/>
      </c>
      <c r="H143" s="343" t="str">
        <f t="shared" si="22"/>
        <v/>
      </c>
      <c r="I143" s="343" t="str">
        <f t="shared" si="20"/>
        <v/>
      </c>
      <c r="J143" s="653"/>
      <c r="M143" s="663"/>
      <c r="N143" s="863" t="e">
        <f t="shared" si="19"/>
        <v>#VALUE!</v>
      </c>
      <c r="O143" s="863" t="e">
        <f t="shared" si="19"/>
        <v>#VALUE!</v>
      </c>
      <c r="P143" s="863" t="e">
        <f t="shared" si="19"/>
        <v>#VALUE!</v>
      </c>
      <c r="Q143" s="863" t="e">
        <f t="shared" si="19"/>
        <v>#VALUE!</v>
      </c>
      <c r="R143" s="863" t="e">
        <f t="shared" si="19"/>
        <v>#VALUE!</v>
      </c>
      <c r="S143" s="863" t="e">
        <f t="shared" si="19"/>
        <v>#VALUE!</v>
      </c>
      <c r="T143" s="863" t="e">
        <f t="shared" si="19"/>
        <v>#VALUE!</v>
      </c>
      <c r="U143" s="863" t="e">
        <f t="shared" si="19"/>
        <v>#VALUE!</v>
      </c>
      <c r="V143" s="863" t="e">
        <f t="shared" si="19"/>
        <v>#VALUE!</v>
      </c>
      <c r="X143" s="863"/>
      <c r="Y143" s="863"/>
    </row>
    <row r="144" spans="1:25" s="343" customFormat="1" ht="0.65" hidden="1" customHeight="1">
      <c r="A144" s="343" t="str">
        <f t="shared" si="23"/>
        <v/>
      </c>
      <c r="D144" s="653"/>
      <c r="E144" s="343" t="str">
        <f t="shared" si="21"/>
        <v/>
      </c>
      <c r="F144" s="343" t="str">
        <f t="shared" si="20"/>
        <v/>
      </c>
      <c r="G144" s="343" t="str">
        <f t="shared" si="20"/>
        <v/>
      </c>
      <c r="H144" s="343" t="str">
        <f t="shared" si="22"/>
        <v/>
      </c>
      <c r="I144" s="343" t="str">
        <f t="shared" si="20"/>
        <v/>
      </c>
      <c r="J144" s="653"/>
      <c r="M144" s="663"/>
      <c r="N144" s="863" t="e">
        <f t="shared" si="19"/>
        <v>#VALUE!</v>
      </c>
      <c r="O144" s="863" t="e">
        <f t="shared" si="19"/>
        <v>#VALUE!</v>
      </c>
      <c r="P144" s="863" t="e">
        <f t="shared" si="19"/>
        <v>#VALUE!</v>
      </c>
      <c r="Q144" s="863" t="e">
        <f t="shared" si="19"/>
        <v>#VALUE!</v>
      </c>
      <c r="R144" s="863" t="e">
        <f t="shared" si="19"/>
        <v>#VALUE!</v>
      </c>
      <c r="S144" s="863" t="e">
        <f t="shared" si="19"/>
        <v>#VALUE!</v>
      </c>
      <c r="T144" s="863" t="e">
        <f t="shared" si="19"/>
        <v>#VALUE!</v>
      </c>
      <c r="U144" s="863" t="e">
        <f t="shared" si="19"/>
        <v>#VALUE!</v>
      </c>
      <c r="V144" s="863" t="e">
        <f t="shared" si="19"/>
        <v>#VALUE!</v>
      </c>
      <c r="X144" s="863"/>
      <c r="Y144" s="863"/>
    </row>
    <row r="145" spans="1:25" s="343" customFormat="1" ht="0.65" hidden="1" customHeight="1">
      <c r="A145" s="343" t="str">
        <f t="shared" si="23"/>
        <v/>
      </c>
      <c r="D145" s="653" t="s">
        <v>0</v>
      </c>
      <c r="E145" s="343" t="str">
        <f t="shared" si="21"/>
        <v/>
      </c>
      <c r="F145" s="343" t="str">
        <f t="shared" si="20"/>
        <v/>
      </c>
      <c r="G145" s="343" t="str">
        <f t="shared" si="20"/>
        <v/>
      </c>
      <c r="H145" s="343" t="str">
        <f t="shared" si="22"/>
        <v/>
      </c>
      <c r="I145" s="343" t="str">
        <f t="shared" si="20"/>
        <v/>
      </c>
      <c r="J145" s="653"/>
      <c r="N145" s="865" t="s">
        <v>55</v>
      </c>
      <c r="O145" s="865" t="s">
        <v>55</v>
      </c>
      <c r="P145" s="865" t="s">
        <v>55</v>
      </c>
      <c r="Q145" s="865" t="s">
        <v>55</v>
      </c>
      <c r="R145" s="865" t="s">
        <v>55</v>
      </c>
      <c r="T145" s="653"/>
      <c r="U145" s="653"/>
      <c r="V145" s="653"/>
      <c r="W145" s="659"/>
      <c r="X145" s="863"/>
      <c r="Y145" s="863"/>
    </row>
    <row r="146" spans="1:25" s="343" customFormat="1" ht="0.65" hidden="1" customHeight="1">
      <c r="A146" s="343" t="str">
        <f t="shared" si="23"/>
        <v/>
      </c>
      <c r="D146" s="653">
        <v>0</v>
      </c>
      <c r="E146" s="343" t="str">
        <f t="shared" si="21"/>
        <v/>
      </c>
      <c r="F146" s="343" t="str">
        <f t="shared" si="20"/>
        <v/>
      </c>
      <c r="G146" s="343" t="str">
        <f t="shared" si="20"/>
        <v/>
      </c>
      <c r="H146" s="343" t="str">
        <f t="shared" si="22"/>
        <v/>
      </c>
      <c r="I146" s="343" t="str">
        <f t="shared" si="20"/>
        <v/>
      </c>
      <c r="J146" s="653"/>
      <c r="M146" s="659"/>
      <c r="N146" s="866"/>
      <c r="O146" s="866"/>
      <c r="P146" s="866"/>
      <c r="Q146" s="866"/>
      <c r="R146" s="866"/>
      <c r="U146" s="863"/>
      <c r="V146" s="863"/>
      <c r="W146" s="863"/>
      <c r="X146" s="863"/>
      <c r="Y146" s="863"/>
    </row>
    <row r="147" spans="1:25" s="343" customFormat="1" ht="0.65" hidden="1" customHeight="1">
      <c r="A147" s="343" t="str">
        <f t="shared" si="23"/>
        <v/>
      </c>
      <c r="D147" s="653">
        <v>1</v>
      </c>
      <c r="E147" s="343" t="str">
        <f t="shared" si="21"/>
        <v/>
      </c>
      <c r="F147" s="343" t="str">
        <f t="shared" si="20"/>
        <v/>
      </c>
      <c r="G147" s="343" t="str">
        <f t="shared" si="20"/>
        <v/>
      </c>
      <c r="H147" s="343" t="str">
        <f t="shared" si="22"/>
        <v/>
      </c>
      <c r="I147" s="343" t="str">
        <f t="shared" si="20"/>
        <v/>
      </c>
      <c r="J147" s="653"/>
      <c r="M147" s="663"/>
      <c r="N147" s="863" t="e">
        <f t="shared" ref="N147:R151" si="24">IF(VLOOKUP($A147-127,$A$251:$W$1080,N$8,FALSE)="","",VLOOKUP($A147-127,$A$251:$W$1080,N$8,FALSE))</f>
        <v>#VALUE!</v>
      </c>
      <c r="O147" s="863" t="e">
        <f t="shared" si="24"/>
        <v>#VALUE!</v>
      </c>
      <c r="P147" s="863" t="e">
        <f t="shared" si="24"/>
        <v>#VALUE!</v>
      </c>
      <c r="Q147" s="863" t="e">
        <f t="shared" si="24"/>
        <v>#VALUE!</v>
      </c>
      <c r="R147" s="863" t="e">
        <f t="shared" si="24"/>
        <v>#VALUE!</v>
      </c>
      <c r="U147" s="1064" t="s">
        <v>55</v>
      </c>
      <c r="V147" s="1064"/>
      <c r="W147" s="863"/>
      <c r="X147" s="863"/>
      <c r="Y147" s="863"/>
    </row>
    <row r="148" spans="1:25" s="343" customFormat="1" ht="0.65" hidden="1" customHeight="1">
      <c r="A148" s="343" t="str">
        <f t="shared" si="23"/>
        <v/>
      </c>
      <c r="D148" s="653">
        <v>2</v>
      </c>
      <c r="E148" s="343" t="str">
        <f t="shared" si="21"/>
        <v/>
      </c>
      <c r="F148" s="343" t="str">
        <f t="shared" si="20"/>
        <v/>
      </c>
      <c r="G148" s="343" t="str">
        <f t="shared" si="20"/>
        <v/>
      </c>
      <c r="H148" s="343" t="str">
        <f t="shared" si="22"/>
        <v/>
      </c>
      <c r="I148" s="343" t="str">
        <f t="shared" si="20"/>
        <v/>
      </c>
      <c r="J148" s="653"/>
      <c r="M148" s="663"/>
      <c r="N148" s="863" t="e">
        <f t="shared" si="24"/>
        <v>#VALUE!</v>
      </c>
      <c r="O148" s="863" t="e">
        <f t="shared" si="24"/>
        <v>#VALUE!</v>
      </c>
      <c r="P148" s="863" t="e">
        <f t="shared" si="24"/>
        <v>#VALUE!</v>
      </c>
      <c r="Q148" s="863" t="e">
        <f t="shared" si="24"/>
        <v>#VALUE!</v>
      </c>
      <c r="R148" s="863" t="e">
        <f t="shared" si="24"/>
        <v>#VALUE!</v>
      </c>
      <c r="U148" s="1064"/>
      <c r="V148" s="1064"/>
      <c r="W148" s="863"/>
      <c r="X148" s="863"/>
      <c r="Y148" s="863"/>
    </row>
    <row r="149" spans="1:25" s="343" customFormat="1" ht="0.65" hidden="1" customHeight="1">
      <c r="A149" s="343" t="str">
        <f t="shared" si="23"/>
        <v/>
      </c>
      <c r="D149" s="653">
        <v>3</v>
      </c>
      <c r="E149" s="343" t="str">
        <f t="shared" si="21"/>
        <v/>
      </c>
      <c r="F149" s="343" t="str">
        <f t="shared" si="20"/>
        <v/>
      </c>
      <c r="G149" s="343" t="str">
        <f t="shared" si="20"/>
        <v/>
      </c>
      <c r="H149" s="343" t="str">
        <f t="shared" si="22"/>
        <v/>
      </c>
      <c r="I149" s="343" t="str">
        <f t="shared" si="20"/>
        <v/>
      </c>
      <c r="J149" s="653"/>
      <c r="M149" s="663"/>
      <c r="N149" s="863" t="e">
        <f t="shared" si="24"/>
        <v>#VALUE!</v>
      </c>
      <c r="O149" s="863" t="e">
        <f t="shared" si="24"/>
        <v>#VALUE!</v>
      </c>
      <c r="P149" s="863" t="e">
        <f t="shared" si="24"/>
        <v>#VALUE!</v>
      </c>
      <c r="Q149" s="863" t="e">
        <f t="shared" si="24"/>
        <v>#VALUE!</v>
      </c>
      <c r="R149" s="863" t="e">
        <f t="shared" si="24"/>
        <v>#VALUE!</v>
      </c>
      <c r="U149" s="1064"/>
      <c r="V149" s="1064"/>
      <c r="W149" s="863"/>
      <c r="X149" s="863"/>
      <c r="Y149" s="863"/>
    </row>
    <row r="150" spans="1:25" s="343" customFormat="1" ht="0.65" hidden="1" customHeight="1">
      <c r="A150" s="343" t="str">
        <f t="shared" si="23"/>
        <v/>
      </c>
      <c r="D150" s="653">
        <v>4</v>
      </c>
      <c r="E150" s="343" t="str">
        <f t="shared" si="21"/>
        <v/>
      </c>
      <c r="F150" s="343" t="str">
        <f t="shared" si="20"/>
        <v/>
      </c>
      <c r="G150" s="343" t="str">
        <f t="shared" si="20"/>
        <v/>
      </c>
      <c r="H150" s="343" t="str">
        <f t="shared" si="22"/>
        <v/>
      </c>
      <c r="I150" s="343" t="str">
        <f t="shared" si="20"/>
        <v/>
      </c>
      <c r="J150" s="653"/>
      <c r="M150" s="663"/>
      <c r="N150" s="863" t="e">
        <f t="shared" si="24"/>
        <v>#VALUE!</v>
      </c>
      <c r="O150" s="863" t="e">
        <f t="shared" si="24"/>
        <v>#VALUE!</v>
      </c>
      <c r="P150" s="863" t="e">
        <f t="shared" si="24"/>
        <v>#VALUE!</v>
      </c>
      <c r="Q150" s="863" t="e">
        <f t="shared" si="24"/>
        <v>#VALUE!</v>
      </c>
      <c r="R150" s="863" t="e">
        <f t="shared" si="24"/>
        <v>#VALUE!</v>
      </c>
      <c r="U150" s="1064"/>
      <c r="V150" s="1064"/>
      <c r="W150" s="863"/>
      <c r="X150" s="863"/>
      <c r="Y150" s="863"/>
    </row>
    <row r="151" spans="1:25" s="343" customFormat="1" ht="0.65" hidden="1" customHeight="1">
      <c r="A151" s="343" t="str">
        <f t="shared" si="23"/>
        <v/>
      </c>
      <c r="E151" s="343" t="str">
        <f t="shared" si="21"/>
        <v/>
      </c>
      <c r="F151" s="343" t="str">
        <f t="shared" si="20"/>
        <v/>
      </c>
      <c r="G151" s="343" t="str">
        <f t="shared" si="20"/>
        <v/>
      </c>
      <c r="H151" s="343" t="str">
        <f t="shared" si="22"/>
        <v/>
      </c>
      <c r="I151" s="343" t="str">
        <f t="shared" si="20"/>
        <v/>
      </c>
      <c r="J151" s="653"/>
      <c r="M151" s="663"/>
      <c r="N151" s="863" t="e">
        <f t="shared" si="24"/>
        <v>#VALUE!</v>
      </c>
      <c r="O151" s="863" t="e">
        <f t="shared" si="24"/>
        <v>#VALUE!</v>
      </c>
      <c r="P151" s="863" t="e">
        <f t="shared" si="24"/>
        <v>#VALUE!</v>
      </c>
      <c r="Q151" s="863" t="e">
        <f t="shared" si="24"/>
        <v>#VALUE!</v>
      </c>
      <c r="R151" s="863" t="e">
        <f t="shared" si="24"/>
        <v>#VALUE!</v>
      </c>
      <c r="T151" s="863"/>
      <c r="U151" s="863"/>
      <c r="V151" s="863"/>
      <c r="W151" s="863"/>
      <c r="X151" s="863"/>
      <c r="Y151" s="863"/>
    </row>
    <row r="152" spans="1:25" s="343" customFormat="1" ht="0.65" hidden="1" customHeight="1">
      <c r="A152" s="343" t="str">
        <f t="shared" si="23"/>
        <v/>
      </c>
      <c r="E152" s="343" t="str">
        <f t="shared" si="21"/>
        <v/>
      </c>
      <c r="F152" s="343" t="str">
        <f t="shared" si="20"/>
        <v/>
      </c>
      <c r="G152" s="343" t="str">
        <f t="shared" si="20"/>
        <v/>
      </c>
      <c r="H152" s="343" t="str">
        <f t="shared" si="22"/>
        <v/>
      </c>
      <c r="I152" s="343" t="str">
        <f t="shared" si="20"/>
        <v/>
      </c>
      <c r="J152" s="653"/>
      <c r="M152" s="863"/>
      <c r="N152" s="653"/>
      <c r="O152" s="653"/>
      <c r="P152" s="653"/>
      <c r="Q152" s="653"/>
      <c r="R152" s="653"/>
      <c r="S152" s="653"/>
      <c r="T152" s="863"/>
      <c r="V152" s="863"/>
      <c r="W152" s="863"/>
      <c r="X152" s="863"/>
      <c r="Y152" s="863"/>
    </row>
    <row r="153" spans="1:25" s="343" customFormat="1" ht="0.65" hidden="1" customHeight="1">
      <c r="A153" s="343" t="str">
        <f t="shared" si="23"/>
        <v/>
      </c>
      <c r="E153" s="343" t="str">
        <f t="shared" si="21"/>
        <v/>
      </c>
      <c r="F153" s="343" t="str">
        <f t="shared" si="20"/>
        <v/>
      </c>
      <c r="G153" s="343" t="str">
        <f t="shared" si="20"/>
        <v/>
      </c>
      <c r="H153" s="343" t="str">
        <f t="shared" si="22"/>
        <v/>
      </c>
      <c r="I153" s="343" t="str">
        <f t="shared" si="20"/>
        <v/>
      </c>
      <c r="J153" s="653"/>
      <c r="M153" s="863"/>
      <c r="V153" s="863"/>
      <c r="W153" s="863"/>
      <c r="X153" s="863"/>
      <c r="Y153" s="863"/>
    </row>
    <row r="154" spans="1:25" s="343" customFormat="1" ht="0.65" hidden="1" customHeight="1">
      <c r="A154" s="343" t="str">
        <f t="shared" si="23"/>
        <v/>
      </c>
      <c r="D154" s="663">
        <f>M13</f>
        <v>0</v>
      </c>
      <c r="E154" s="343" t="str">
        <f t="shared" si="21"/>
        <v/>
      </c>
      <c r="F154" s="343" t="str">
        <f t="shared" ref="F154:I169" si="25">IF($A27="","",IF(VLOOKUP($A27,$A$251:$W$1080,F$8,FALSE)="","",VLOOKUP($A27,$A$251:$W$1080,F$8,FALSE)))</f>
        <v/>
      </c>
      <c r="G154" s="343" t="str">
        <f t="shared" si="25"/>
        <v/>
      </c>
      <c r="H154" s="343" t="str">
        <f t="shared" si="22"/>
        <v/>
      </c>
      <c r="I154" s="343" t="str">
        <f t="shared" si="25"/>
        <v/>
      </c>
      <c r="J154" s="653"/>
      <c r="N154" s="863"/>
      <c r="O154" s="863"/>
      <c r="P154" s="865"/>
      <c r="T154" s="865"/>
      <c r="W154" s="865"/>
      <c r="X154" s="863"/>
      <c r="Y154" s="863"/>
    </row>
    <row r="155" spans="1:25" s="343" customFormat="1" ht="0.65" hidden="1" customHeight="1">
      <c r="A155" s="343" t="str">
        <f t="shared" si="23"/>
        <v/>
      </c>
      <c r="D155" s="663">
        <f t="shared" ref="D155:D165" si="26">M14</f>
        <v>1</v>
      </c>
      <c r="E155" s="343" t="str">
        <f t="shared" si="21"/>
        <v/>
      </c>
      <c r="F155" s="343" t="str">
        <f t="shared" si="25"/>
        <v/>
      </c>
      <c r="G155" s="343" t="str">
        <f t="shared" si="25"/>
        <v/>
      </c>
      <c r="H155" s="343" t="str">
        <f t="shared" si="22"/>
        <v/>
      </c>
      <c r="I155" s="343" t="str">
        <f t="shared" si="25"/>
        <v/>
      </c>
      <c r="J155" s="653"/>
      <c r="N155" s="1061" t="e">
        <f t="shared" ref="N155:T158" si="27">IF(VLOOKUP($A155-127,$A$251:$W$1080,N$8,FALSE)="","",VLOOKUP($A155-127,$A$251:$W$1080,N$8,FALSE))</f>
        <v>#VALUE!</v>
      </c>
      <c r="O155" s="1061" t="e">
        <f t="shared" si="27"/>
        <v>#VALUE!</v>
      </c>
      <c r="P155" s="863" t="e">
        <f t="shared" si="27"/>
        <v>#VALUE!</v>
      </c>
      <c r="Q155" s="343" t="e">
        <f t="shared" si="27"/>
        <v>#VALUE!</v>
      </c>
      <c r="R155" s="1061" t="e">
        <f t="shared" si="27"/>
        <v>#VALUE!</v>
      </c>
      <c r="S155" s="1061" t="e">
        <f t="shared" si="27"/>
        <v>#VALUE!</v>
      </c>
      <c r="T155" s="863" t="e">
        <f t="shared" si="27"/>
        <v>#VALUE!</v>
      </c>
      <c r="V155" s="343" t="e">
        <f>IF(VLOOKUP($A155-127,$A$251:$W$1080,V$8,FALSE)="","",VLOOKUP($A155-127,$A$251:$W$1080,V$8,FALSE))</f>
        <v>#VALUE!</v>
      </c>
      <c r="W155" s="343" t="e">
        <f>IF(VLOOKUP($A155-127,$A$251:$W$1080,W$8,FALSE)="","",VLOOKUP($A155-127,$A$251:$W$1080,W$8,FALSE))</f>
        <v>#VALUE!</v>
      </c>
      <c r="X155" s="863"/>
      <c r="Y155" s="863"/>
    </row>
    <row r="156" spans="1:25" s="343" customFormat="1" ht="0.65" hidden="1" customHeight="1">
      <c r="A156" s="343" t="str">
        <f t="shared" si="23"/>
        <v/>
      </c>
      <c r="D156" s="663">
        <f t="shared" si="26"/>
        <v>2</v>
      </c>
      <c r="E156" s="343" t="str">
        <f t="shared" si="21"/>
        <v/>
      </c>
      <c r="F156" s="343" t="str">
        <f t="shared" si="25"/>
        <v/>
      </c>
      <c r="G156" s="343" t="str">
        <f t="shared" si="25"/>
        <v/>
      </c>
      <c r="H156" s="343" t="str">
        <f t="shared" si="22"/>
        <v/>
      </c>
      <c r="I156" s="343" t="str">
        <f t="shared" si="25"/>
        <v/>
      </c>
      <c r="J156" s="653"/>
      <c r="M156" s="863"/>
      <c r="N156" s="1061" t="e">
        <f t="shared" si="27"/>
        <v>#VALUE!</v>
      </c>
      <c r="O156" s="1061" t="e">
        <f t="shared" si="27"/>
        <v>#VALUE!</v>
      </c>
      <c r="P156" s="863" t="e">
        <f t="shared" si="27"/>
        <v>#VALUE!</v>
      </c>
      <c r="Q156" s="343" t="e">
        <f t="shared" si="27"/>
        <v>#VALUE!</v>
      </c>
      <c r="R156" s="1061" t="e">
        <f t="shared" si="27"/>
        <v>#VALUE!</v>
      </c>
      <c r="S156" s="1061" t="e">
        <f t="shared" si="27"/>
        <v>#VALUE!</v>
      </c>
      <c r="T156" s="863" t="e">
        <f t="shared" si="27"/>
        <v>#VALUE!</v>
      </c>
      <c r="V156" s="662" t="s">
        <v>339</v>
      </c>
      <c r="W156" s="358" t="e">
        <f>IF(VLOOKUP($A156-127,$A$251:$W$1080,W$8,FALSE)="","",VLOOKUP($A156-127,$A$251:$W$1080,W$8,FALSE))</f>
        <v>#VALUE!</v>
      </c>
      <c r="X156" s="863"/>
      <c r="Y156" s="863"/>
    </row>
    <row r="157" spans="1:25" s="343" customFormat="1" ht="0.65" hidden="1" customHeight="1">
      <c r="A157" s="343" t="str">
        <f t="shared" si="23"/>
        <v/>
      </c>
      <c r="D157" s="663">
        <f t="shared" si="26"/>
        <v>3</v>
      </c>
      <c r="E157" s="343" t="str">
        <f t="shared" si="21"/>
        <v/>
      </c>
      <c r="F157" s="343" t="str">
        <f t="shared" si="25"/>
        <v/>
      </c>
      <c r="G157" s="343" t="str">
        <f t="shared" si="25"/>
        <v/>
      </c>
      <c r="H157" s="343" t="str">
        <f t="shared" si="22"/>
        <v/>
      </c>
      <c r="I157" s="343" t="str">
        <f t="shared" si="25"/>
        <v/>
      </c>
      <c r="J157" s="653"/>
      <c r="M157" s="863"/>
      <c r="N157" s="1061" t="e">
        <f t="shared" si="27"/>
        <v>#VALUE!</v>
      </c>
      <c r="O157" s="1061" t="e">
        <f t="shared" si="27"/>
        <v>#VALUE!</v>
      </c>
      <c r="P157" s="863" t="e">
        <f t="shared" si="27"/>
        <v>#VALUE!</v>
      </c>
      <c r="Q157" s="343" t="e">
        <f t="shared" si="27"/>
        <v>#VALUE!</v>
      </c>
      <c r="R157" s="1061" t="e">
        <f t="shared" si="27"/>
        <v>#VALUE!</v>
      </c>
      <c r="S157" s="1061" t="e">
        <f t="shared" si="27"/>
        <v>#VALUE!</v>
      </c>
      <c r="T157" s="863" t="e">
        <f t="shared" si="27"/>
        <v>#VALUE!</v>
      </c>
      <c r="X157" s="863"/>
      <c r="Y157" s="863"/>
    </row>
    <row r="158" spans="1:25" s="343" customFormat="1" ht="0.65" hidden="1" customHeight="1">
      <c r="A158" s="343" t="str">
        <f t="shared" si="23"/>
        <v/>
      </c>
      <c r="D158" s="663">
        <f t="shared" si="26"/>
        <v>4</v>
      </c>
      <c r="E158" s="343" t="str">
        <f t="shared" si="21"/>
        <v/>
      </c>
      <c r="F158" s="343" t="str">
        <f t="shared" si="25"/>
        <v/>
      </c>
      <c r="G158" s="343" t="str">
        <f t="shared" si="25"/>
        <v/>
      </c>
      <c r="H158" s="343" t="str">
        <f t="shared" si="22"/>
        <v/>
      </c>
      <c r="I158" s="343" t="str">
        <f t="shared" si="25"/>
        <v/>
      </c>
      <c r="J158" s="653"/>
      <c r="M158" s="863"/>
      <c r="N158" s="1061" t="e">
        <f t="shared" si="27"/>
        <v>#VALUE!</v>
      </c>
      <c r="O158" s="1061" t="e">
        <f t="shared" si="27"/>
        <v>#VALUE!</v>
      </c>
      <c r="P158" s="863" t="e">
        <f t="shared" si="27"/>
        <v>#VALUE!</v>
      </c>
      <c r="Q158" s="343" t="e">
        <f t="shared" si="27"/>
        <v>#VALUE!</v>
      </c>
      <c r="R158" s="1061" t="e">
        <f t="shared" si="27"/>
        <v>#VALUE!</v>
      </c>
      <c r="S158" s="1061" t="e">
        <f t="shared" si="27"/>
        <v>#VALUE!</v>
      </c>
      <c r="T158" s="863" t="e">
        <f t="shared" si="27"/>
        <v>#VALUE!</v>
      </c>
      <c r="X158" s="863"/>
      <c r="Y158" s="863"/>
    </row>
    <row r="159" spans="1:25" s="343" customFormat="1" ht="0.65" hidden="1" customHeight="1">
      <c r="A159" s="343" t="str">
        <f t="shared" si="23"/>
        <v/>
      </c>
      <c r="D159" s="663"/>
      <c r="E159" s="343" t="str">
        <f t="shared" si="21"/>
        <v/>
      </c>
      <c r="F159" s="343" t="str">
        <f t="shared" si="25"/>
        <v/>
      </c>
      <c r="G159" s="343" t="str">
        <f t="shared" si="25"/>
        <v/>
      </c>
      <c r="H159" s="343" t="str">
        <f t="shared" si="22"/>
        <v/>
      </c>
      <c r="I159" s="343" t="str">
        <f t="shared" si="25"/>
        <v/>
      </c>
      <c r="J159" s="653"/>
      <c r="M159" s="863"/>
      <c r="N159" s="867"/>
      <c r="Q159" s="863"/>
      <c r="R159" s="868"/>
      <c r="S159" s="863"/>
      <c r="T159" s="863"/>
      <c r="U159" s="863"/>
      <c r="V159" s="662" t="s">
        <v>2763</v>
      </c>
      <c r="W159" s="659" t="e">
        <f>IF(VLOOKUP($A159-127,$A$251:$W$1080,W$8,FALSE)="","",VLOOKUP($A159-127,$A$251:$W$1080,W$8,FALSE))</f>
        <v>#VALUE!</v>
      </c>
      <c r="X159" s="863"/>
      <c r="Y159" s="863"/>
    </row>
    <row r="160" spans="1:25" s="343" customFormat="1" ht="0.65" hidden="1" customHeight="1">
      <c r="A160" s="343" t="str">
        <f t="shared" si="23"/>
        <v/>
      </c>
      <c r="D160" s="663"/>
      <c r="E160" s="343" t="str">
        <f t="shared" si="21"/>
        <v/>
      </c>
      <c r="F160" s="343" t="str">
        <f t="shared" si="25"/>
        <v/>
      </c>
      <c r="G160" s="343" t="str">
        <f t="shared" si="25"/>
        <v/>
      </c>
      <c r="H160" s="343" t="str">
        <f t="shared" si="22"/>
        <v/>
      </c>
      <c r="I160" s="343" t="str">
        <f t="shared" si="25"/>
        <v/>
      </c>
      <c r="J160" s="653"/>
      <c r="M160" s="863"/>
      <c r="N160" s="1062" t="e">
        <f t="shared" ref="N160:T160" si="28">IF(VLOOKUP($A160-127,$A$251:$W$1080,N$8,FALSE)="","",VLOOKUP($A160-127,$A$251:$W$1080,N$8,FALSE))</f>
        <v>#VALUE!</v>
      </c>
      <c r="O160" s="1062" t="e">
        <f t="shared" si="28"/>
        <v>#VALUE!</v>
      </c>
      <c r="P160" s="863" t="e">
        <f t="shared" si="28"/>
        <v>#VALUE!</v>
      </c>
      <c r="Q160" s="863" t="e">
        <f t="shared" si="28"/>
        <v>#VALUE!</v>
      </c>
      <c r="R160" s="1062" t="e">
        <f t="shared" si="28"/>
        <v>#VALUE!</v>
      </c>
      <c r="S160" s="1062" t="e">
        <f t="shared" si="28"/>
        <v>#VALUE!</v>
      </c>
      <c r="T160" s="863" t="e">
        <f t="shared" si="28"/>
        <v>#VALUE!</v>
      </c>
      <c r="V160" s="869" t="s">
        <v>358</v>
      </c>
      <c r="W160" s="358" t="e">
        <f>IF(VLOOKUP($A160-127,$A$251:$W$1080,W$8,FALSE)="","",VLOOKUP($A160-127,$A$251:$W$1080,W$8,FALSE))</f>
        <v>#VALUE!</v>
      </c>
      <c r="X160" s="863"/>
      <c r="Y160" s="863"/>
    </row>
    <row r="161" spans="1:25" s="343" customFormat="1" ht="0.65" hidden="1" customHeight="1">
      <c r="A161" s="343" t="str">
        <f t="shared" si="23"/>
        <v/>
      </c>
      <c r="D161" s="663">
        <f t="shared" si="26"/>
        <v>0</v>
      </c>
      <c r="E161" s="343" t="str">
        <f t="shared" si="21"/>
        <v/>
      </c>
      <c r="F161" s="343" t="str">
        <f t="shared" si="25"/>
        <v/>
      </c>
      <c r="G161" s="343" t="str">
        <f t="shared" si="25"/>
        <v/>
      </c>
      <c r="H161" s="343" t="str">
        <f t="shared" si="22"/>
        <v/>
      </c>
      <c r="I161" s="343" t="str">
        <f t="shared" si="25"/>
        <v/>
      </c>
      <c r="J161" s="653"/>
      <c r="X161" s="863"/>
      <c r="Y161" s="863"/>
    </row>
    <row r="162" spans="1:25" s="343" customFormat="1" ht="0.65" hidden="1" customHeight="1">
      <c r="A162" s="343" t="str">
        <f t="shared" si="23"/>
        <v/>
      </c>
      <c r="D162" s="663">
        <f t="shared" si="26"/>
        <v>1</v>
      </c>
      <c r="E162" s="343" t="str">
        <f t="shared" si="21"/>
        <v/>
      </c>
      <c r="F162" s="343" t="str">
        <f t="shared" si="25"/>
        <v/>
      </c>
      <c r="G162" s="343" t="str">
        <f t="shared" si="25"/>
        <v/>
      </c>
      <c r="H162" s="343" t="str">
        <f t="shared" si="22"/>
        <v/>
      </c>
      <c r="I162" s="343" t="str">
        <f t="shared" si="25"/>
        <v/>
      </c>
      <c r="J162" s="653"/>
      <c r="X162" s="863"/>
      <c r="Y162" s="863"/>
    </row>
    <row r="163" spans="1:25" s="343" customFormat="1" ht="0.65" hidden="1" customHeight="1">
      <c r="A163" s="343" t="str">
        <f t="shared" si="23"/>
        <v/>
      </c>
      <c r="D163" s="663">
        <f t="shared" si="26"/>
        <v>2</v>
      </c>
      <c r="E163" s="343" t="str">
        <f t="shared" si="21"/>
        <v/>
      </c>
      <c r="F163" s="343" t="str">
        <f t="shared" si="25"/>
        <v/>
      </c>
      <c r="G163" s="343" t="str">
        <f t="shared" si="25"/>
        <v/>
      </c>
      <c r="H163" s="343" t="str">
        <f t="shared" si="22"/>
        <v/>
      </c>
      <c r="I163" s="343" t="str">
        <f t="shared" si="25"/>
        <v/>
      </c>
      <c r="J163" s="653"/>
      <c r="N163" s="652">
        <v>9.9999999999999995E-7</v>
      </c>
      <c r="O163" s="866"/>
      <c r="P163" s="866"/>
      <c r="Q163" s="866"/>
      <c r="R163" s="866"/>
      <c r="S163" s="866"/>
      <c r="T163" s="866"/>
      <c r="U163" s="866"/>
      <c r="V163" s="866"/>
      <c r="X163" s="863"/>
      <c r="Y163" s="863"/>
    </row>
    <row r="164" spans="1:25" s="343" customFormat="1" ht="0.65" hidden="1" customHeight="1">
      <c r="A164" s="343" t="str">
        <f t="shared" si="23"/>
        <v/>
      </c>
      <c r="D164" s="663">
        <f t="shared" si="26"/>
        <v>3</v>
      </c>
      <c r="E164" s="343" t="str">
        <f t="shared" si="21"/>
        <v/>
      </c>
      <c r="F164" s="343" t="str">
        <f t="shared" si="25"/>
        <v/>
      </c>
      <c r="G164" s="343" t="str">
        <f t="shared" si="25"/>
        <v/>
      </c>
      <c r="H164" s="343" t="str">
        <f t="shared" si="22"/>
        <v/>
      </c>
      <c r="I164" s="343" t="str">
        <f t="shared" si="25"/>
        <v/>
      </c>
      <c r="J164" s="653"/>
      <c r="M164" s="663"/>
      <c r="N164" s="653"/>
      <c r="O164" s="653"/>
      <c r="P164" s="653"/>
      <c r="Q164" s="653"/>
      <c r="R164" s="653"/>
      <c r="S164" s="653"/>
      <c r="T164" s="653"/>
      <c r="U164" s="653"/>
      <c r="V164" s="659" t="e">
        <f>IF(ABS(V13-V140)&lt;$N$163,1,0)</f>
        <v>#VALUE!</v>
      </c>
      <c r="W164" s="653"/>
      <c r="X164" s="863"/>
      <c r="Y164" s="863"/>
    </row>
    <row r="165" spans="1:25" s="343" customFormat="1" ht="0.65" hidden="1" customHeight="1">
      <c r="A165" s="343" t="str">
        <f t="shared" si="23"/>
        <v/>
      </c>
      <c r="D165" s="663">
        <f t="shared" si="26"/>
        <v>4</v>
      </c>
      <c r="E165" s="343" t="str">
        <f t="shared" si="21"/>
        <v/>
      </c>
      <c r="F165" s="343" t="str">
        <f t="shared" si="25"/>
        <v/>
      </c>
      <c r="G165" s="343" t="str">
        <f t="shared" si="25"/>
        <v/>
      </c>
      <c r="H165" s="343" t="str">
        <f t="shared" si="22"/>
        <v/>
      </c>
      <c r="I165" s="343" t="str">
        <f t="shared" si="25"/>
        <v/>
      </c>
      <c r="J165" s="653"/>
      <c r="M165" s="663"/>
      <c r="N165" s="659" t="e">
        <f t="shared" ref="N165:U168" si="29">IF(ABS(N14-N141)&lt;$N$163,1,0)</f>
        <v>#VALUE!</v>
      </c>
      <c r="O165" s="659" t="e">
        <f t="shared" si="29"/>
        <v>#VALUE!</v>
      </c>
      <c r="P165" s="659" t="e">
        <f t="shared" si="29"/>
        <v>#VALUE!</v>
      </c>
      <c r="Q165" s="659" t="e">
        <f t="shared" si="29"/>
        <v>#VALUE!</v>
      </c>
      <c r="R165" s="659" t="e">
        <f t="shared" si="29"/>
        <v>#VALUE!</v>
      </c>
      <c r="S165" s="659" t="e">
        <f t="shared" si="29"/>
        <v>#VALUE!</v>
      </c>
      <c r="T165" s="659" t="e">
        <f t="shared" si="29"/>
        <v>#VALUE!</v>
      </c>
      <c r="U165" s="659" t="e">
        <f t="shared" si="29"/>
        <v>#VALUE!</v>
      </c>
      <c r="V165" s="659" t="e">
        <f>IF(ABS(V14-V141)&lt;$N$163,1,0)</f>
        <v>#VALUE!</v>
      </c>
      <c r="W165" s="653"/>
      <c r="X165" s="863"/>
      <c r="Y165" s="863"/>
    </row>
    <row r="166" spans="1:25" s="343" customFormat="1" ht="0.65" hidden="1" customHeight="1">
      <c r="A166" s="343" t="str">
        <f t="shared" si="23"/>
        <v/>
      </c>
      <c r="D166" s="870"/>
      <c r="E166" s="343" t="str">
        <f t="shared" si="21"/>
        <v/>
      </c>
      <c r="F166" s="343" t="str">
        <f t="shared" si="25"/>
        <v/>
      </c>
      <c r="G166" s="343" t="str">
        <f t="shared" si="25"/>
        <v/>
      </c>
      <c r="H166" s="343" t="str">
        <f t="shared" si="22"/>
        <v/>
      </c>
      <c r="I166" s="343" t="str">
        <f t="shared" si="25"/>
        <v/>
      </c>
      <c r="J166" s="653"/>
      <c r="M166" s="663"/>
      <c r="N166" s="659" t="e">
        <f t="shared" si="29"/>
        <v>#VALUE!</v>
      </c>
      <c r="O166" s="659" t="e">
        <f t="shared" si="29"/>
        <v>#VALUE!</v>
      </c>
      <c r="P166" s="659" t="e">
        <f t="shared" si="29"/>
        <v>#VALUE!</v>
      </c>
      <c r="Q166" s="659" t="e">
        <f t="shared" si="29"/>
        <v>#VALUE!</v>
      </c>
      <c r="R166" s="659" t="e">
        <f t="shared" si="29"/>
        <v>#VALUE!</v>
      </c>
      <c r="S166" s="659" t="e">
        <f t="shared" si="29"/>
        <v>#VALUE!</v>
      </c>
      <c r="T166" s="659" t="e">
        <f t="shared" si="29"/>
        <v>#VALUE!</v>
      </c>
      <c r="U166" s="659" t="e">
        <f t="shared" si="29"/>
        <v>#VALUE!</v>
      </c>
      <c r="V166" s="659" t="e">
        <f>IF(ABS(V15-V142)&lt;$N$163,1,0)</f>
        <v>#VALUE!</v>
      </c>
      <c r="W166" s="653"/>
      <c r="X166" s="863"/>
      <c r="Y166" s="863"/>
    </row>
    <row r="167" spans="1:25" s="343" customFormat="1" ht="0.65" hidden="1" customHeight="1">
      <c r="A167" s="343" t="str">
        <f t="shared" si="23"/>
        <v/>
      </c>
      <c r="E167" s="343" t="str">
        <f t="shared" si="21"/>
        <v/>
      </c>
      <c r="F167" s="343" t="str">
        <f t="shared" si="25"/>
        <v/>
      </c>
      <c r="G167" s="343" t="str">
        <f t="shared" si="25"/>
        <v/>
      </c>
      <c r="H167" s="343" t="str">
        <f t="shared" si="22"/>
        <v/>
      </c>
      <c r="I167" s="343" t="str">
        <f t="shared" si="25"/>
        <v/>
      </c>
      <c r="J167" s="653"/>
      <c r="M167" s="663"/>
      <c r="N167" s="659" t="e">
        <f t="shared" si="29"/>
        <v>#VALUE!</v>
      </c>
      <c r="O167" s="659" t="e">
        <f t="shared" si="29"/>
        <v>#VALUE!</v>
      </c>
      <c r="P167" s="659" t="e">
        <f t="shared" si="29"/>
        <v>#VALUE!</v>
      </c>
      <c r="Q167" s="659" t="e">
        <f t="shared" si="29"/>
        <v>#VALUE!</v>
      </c>
      <c r="R167" s="659" t="e">
        <f t="shared" si="29"/>
        <v>#VALUE!</v>
      </c>
      <c r="S167" s="659" t="e">
        <f t="shared" si="29"/>
        <v>#VALUE!</v>
      </c>
      <c r="T167" s="659" t="e">
        <f t="shared" si="29"/>
        <v>#VALUE!</v>
      </c>
      <c r="U167" s="659" t="e">
        <f t="shared" si="29"/>
        <v>#VALUE!</v>
      </c>
      <c r="V167" s="659" t="e">
        <f>IF(ABS(V16-V143)&lt;$N$163,1,0)</f>
        <v>#VALUE!</v>
      </c>
      <c r="W167" s="653"/>
      <c r="X167" s="863"/>
      <c r="Y167" s="863"/>
    </row>
    <row r="168" spans="1:25" s="343" customFormat="1" ht="0.65" hidden="1" customHeight="1">
      <c r="A168" s="343" t="str">
        <f t="shared" si="23"/>
        <v/>
      </c>
      <c r="E168" s="343" t="str">
        <f t="shared" si="21"/>
        <v/>
      </c>
      <c r="F168" s="343" t="str">
        <f t="shared" si="25"/>
        <v/>
      </c>
      <c r="G168" s="343" t="str">
        <f t="shared" si="25"/>
        <v/>
      </c>
      <c r="H168" s="343" t="str">
        <f t="shared" si="22"/>
        <v/>
      </c>
      <c r="I168" s="343" t="str">
        <f t="shared" si="25"/>
        <v/>
      </c>
      <c r="J168" s="653"/>
      <c r="M168" s="663"/>
      <c r="N168" s="659" t="e">
        <f t="shared" si="29"/>
        <v>#VALUE!</v>
      </c>
      <c r="O168" s="659" t="e">
        <f t="shared" si="29"/>
        <v>#VALUE!</v>
      </c>
      <c r="P168" s="659" t="e">
        <f t="shared" si="29"/>
        <v>#VALUE!</v>
      </c>
      <c r="Q168" s="659" t="e">
        <f t="shared" si="29"/>
        <v>#VALUE!</v>
      </c>
      <c r="R168" s="659" t="e">
        <f t="shared" si="29"/>
        <v>#VALUE!</v>
      </c>
      <c r="S168" s="659" t="e">
        <f t="shared" si="29"/>
        <v>#VALUE!</v>
      </c>
      <c r="T168" s="659" t="e">
        <f t="shared" si="29"/>
        <v>#VALUE!</v>
      </c>
      <c r="U168" s="659" t="e">
        <f t="shared" si="29"/>
        <v>#VALUE!</v>
      </c>
      <c r="V168" s="659" t="e">
        <f>IF(ABS(V17-V144)&lt;$N$163,1,0)</f>
        <v>#VALUE!</v>
      </c>
      <c r="W168" s="653"/>
      <c r="X168" s="863"/>
      <c r="Y168" s="863"/>
    </row>
    <row r="169" spans="1:25" s="343" customFormat="1" ht="0.65" hidden="1" customHeight="1">
      <c r="A169" s="343" t="str">
        <f t="shared" si="23"/>
        <v/>
      </c>
      <c r="E169" s="343" t="str">
        <f t="shared" si="21"/>
        <v/>
      </c>
      <c r="F169" s="343" t="str">
        <f t="shared" si="25"/>
        <v/>
      </c>
      <c r="G169" s="343" t="str">
        <f t="shared" si="25"/>
        <v/>
      </c>
      <c r="H169" s="343" t="str">
        <f t="shared" si="22"/>
        <v/>
      </c>
      <c r="I169" s="343" t="str">
        <f t="shared" si="25"/>
        <v/>
      </c>
      <c r="J169" s="653"/>
      <c r="N169" s="865"/>
      <c r="O169" s="865"/>
      <c r="P169" s="865"/>
      <c r="Q169" s="865"/>
      <c r="R169" s="865"/>
      <c r="S169" s="653"/>
      <c r="T169" s="653"/>
      <c r="U169" s="653"/>
      <c r="V169" s="653"/>
      <c r="W169" s="659"/>
      <c r="X169" s="863"/>
      <c r="Y169" s="863"/>
    </row>
    <row r="170" spans="1:25" s="343" customFormat="1" ht="0.65" hidden="1" customHeight="1">
      <c r="A170" s="343" t="str">
        <f t="shared" si="23"/>
        <v/>
      </c>
      <c r="E170" s="343" t="str">
        <f t="shared" si="21"/>
        <v/>
      </c>
      <c r="F170" s="343" t="str">
        <f t="shared" ref="F170:I174" si="30">IF($A43="","",IF(VLOOKUP($A43,$A$251:$W$1080,F$8,FALSE)="","",VLOOKUP($A43,$A$251:$W$1080,F$8,FALSE)))</f>
        <v/>
      </c>
      <c r="G170" s="343" t="str">
        <f t="shared" si="30"/>
        <v/>
      </c>
      <c r="H170" s="343" t="str">
        <f t="shared" si="22"/>
        <v/>
      </c>
      <c r="I170" s="343" t="str">
        <f t="shared" si="30"/>
        <v/>
      </c>
      <c r="J170" s="653"/>
      <c r="M170" s="659"/>
      <c r="N170" s="866"/>
      <c r="O170" s="866"/>
      <c r="P170" s="866"/>
      <c r="Q170" s="866"/>
      <c r="R170" s="866"/>
      <c r="S170" s="653"/>
      <c r="T170" s="653"/>
      <c r="U170" s="659"/>
      <c r="V170" s="659"/>
      <c r="W170" s="659"/>
      <c r="X170" s="863"/>
      <c r="Y170" s="863"/>
    </row>
    <row r="171" spans="1:25" s="343" customFormat="1" ht="0.65" hidden="1" customHeight="1">
      <c r="A171" s="343" t="str">
        <f t="shared" si="23"/>
        <v/>
      </c>
      <c r="E171" s="343" t="str">
        <f t="shared" si="21"/>
        <v/>
      </c>
      <c r="F171" s="343" t="str">
        <f t="shared" si="30"/>
        <v/>
      </c>
      <c r="G171" s="343" t="str">
        <f t="shared" si="30"/>
        <v/>
      </c>
      <c r="H171" s="343" t="str">
        <f t="shared" si="22"/>
        <v/>
      </c>
      <c r="I171" s="343" t="str">
        <f t="shared" si="30"/>
        <v/>
      </c>
      <c r="J171" s="653"/>
      <c r="M171" s="663"/>
      <c r="N171" s="659" t="e">
        <f t="shared" ref="N171:R175" si="31">IF(ABS(N20-N147)&lt;$N$163,1,0)</f>
        <v>#VALUE!</v>
      </c>
      <c r="O171" s="659" t="e">
        <f t="shared" si="31"/>
        <v>#VALUE!</v>
      </c>
      <c r="P171" s="659" t="e">
        <f t="shared" si="31"/>
        <v>#VALUE!</v>
      </c>
      <c r="Q171" s="659" t="e">
        <f t="shared" si="31"/>
        <v>#VALUE!</v>
      </c>
      <c r="R171" s="659" t="e">
        <f t="shared" si="31"/>
        <v>#VALUE!</v>
      </c>
      <c r="S171" s="653"/>
      <c r="T171" s="653"/>
      <c r="U171" s="1064"/>
      <c r="V171" s="1064"/>
      <c r="W171" s="659"/>
      <c r="X171" s="863"/>
      <c r="Y171" s="863"/>
    </row>
    <row r="172" spans="1:25" s="343" customFormat="1" ht="0.65" hidden="1" customHeight="1">
      <c r="A172" s="343" t="str">
        <f t="shared" si="23"/>
        <v/>
      </c>
      <c r="E172" s="343" t="str">
        <f t="shared" si="21"/>
        <v/>
      </c>
      <c r="F172" s="343" t="str">
        <f t="shared" si="30"/>
        <v/>
      </c>
      <c r="G172" s="343" t="str">
        <f t="shared" si="30"/>
        <v/>
      </c>
      <c r="H172" s="343" t="str">
        <f t="shared" si="22"/>
        <v/>
      </c>
      <c r="I172" s="343" t="str">
        <f t="shared" si="30"/>
        <v/>
      </c>
      <c r="J172" s="653"/>
      <c r="M172" s="663"/>
      <c r="N172" s="659" t="e">
        <f t="shared" si="31"/>
        <v>#VALUE!</v>
      </c>
      <c r="O172" s="659" t="e">
        <f t="shared" si="31"/>
        <v>#VALUE!</v>
      </c>
      <c r="P172" s="659" t="e">
        <f t="shared" si="31"/>
        <v>#VALUE!</v>
      </c>
      <c r="Q172" s="659" t="e">
        <f t="shared" si="31"/>
        <v>#VALUE!</v>
      </c>
      <c r="R172" s="659" t="e">
        <f t="shared" si="31"/>
        <v>#VALUE!</v>
      </c>
      <c r="S172" s="653"/>
      <c r="T172" s="653"/>
      <c r="U172" s="1064"/>
      <c r="V172" s="1064"/>
      <c r="W172" s="659"/>
      <c r="X172" s="863"/>
      <c r="Y172" s="863"/>
    </row>
    <row r="173" spans="1:25" s="343" customFormat="1" ht="0.65" hidden="1" customHeight="1">
      <c r="A173" s="343" t="str">
        <f t="shared" si="23"/>
        <v/>
      </c>
      <c r="E173" s="343" t="str">
        <f t="shared" si="21"/>
        <v/>
      </c>
      <c r="F173" s="343" t="str">
        <f t="shared" si="30"/>
        <v/>
      </c>
      <c r="G173" s="343" t="str">
        <f t="shared" si="30"/>
        <v/>
      </c>
      <c r="H173" s="343" t="str">
        <f t="shared" si="22"/>
        <v/>
      </c>
      <c r="I173" s="343" t="str">
        <f t="shared" si="30"/>
        <v/>
      </c>
      <c r="J173" s="653"/>
      <c r="M173" s="663"/>
      <c r="N173" s="659" t="e">
        <f t="shared" si="31"/>
        <v>#VALUE!</v>
      </c>
      <c r="O173" s="659" t="e">
        <f t="shared" si="31"/>
        <v>#VALUE!</v>
      </c>
      <c r="P173" s="659" t="e">
        <f t="shared" si="31"/>
        <v>#VALUE!</v>
      </c>
      <c r="Q173" s="659" t="e">
        <f t="shared" si="31"/>
        <v>#VALUE!</v>
      </c>
      <c r="R173" s="659" t="e">
        <f t="shared" si="31"/>
        <v>#VALUE!</v>
      </c>
      <c r="S173" s="653"/>
      <c r="T173" s="653"/>
      <c r="U173" s="1064"/>
      <c r="V173" s="1064"/>
      <c r="W173" s="659"/>
      <c r="X173" s="863"/>
      <c r="Y173" s="863"/>
    </row>
    <row r="174" spans="1:25" s="343" customFormat="1" ht="0.65" hidden="1" customHeight="1">
      <c r="A174" s="343" t="str">
        <f t="shared" si="23"/>
        <v/>
      </c>
      <c r="E174" s="343" t="str">
        <f t="shared" si="21"/>
        <v/>
      </c>
      <c r="F174" s="343" t="str">
        <f t="shared" si="30"/>
        <v/>
      </c>
      <c r="G174" s="343" t="str">
        <f t="shared" si="30"/>
        <v/>
      </c>
      <c r="H174" s="343" t="str">
        <f t="shared" si="22"/>
        <v/>
      </c>
      <c r="I174" s="343" t="str">
        <f t="shared" si="30"/>
        <v/>
      </c>
      <c r="J174" s="653"/>
      <c r="M174" s="663"/>
      <c r="N174" s="659" t="e">
        <f t="shared" si="31"/>
        <v>#VALUE!</v>
      </c>
      <c r="O174" s="659" t="e">
        <f t="shared" si="31"/>
        <v>#VALUE!</v>
      </c>
      <c r="P174" s="659" t="e">
        <f t="shared" si="31"/>
        <v>#VALUE!</v>
      </c>
      <c r="Q174" s="659" t="e">
        <f t="shared" si="31"/>
        <v>#VALUE!</v>
      </c>
      <c r="R174" s="659" t="e">
        <f t="shared" si="31"/>
        <v>#VALUE!</v>
      </c>
      <c r="S174" s="653"/>
      <c r="T174" s="653"/>
      <c r="U174" s="1064"/>
      <c r="V174" s="1064"/>
      <c r="W174" s="659"/>
      <c r="X174" s="863"/>
      <c r="Y174" s="863"/>
    </row>
    <row r="175" spans="1:25" s="343" customFormat="1" ht="0.65" hidden="1" customHeight="1">
      <c r="G175" s="653"/>
      <c r="J175" s="653"/>
      <c r="M175" s="663"/>
      <c r="N175" s="659" t="e">
        <f t="shared" si="31"/>
        <v>#VALUE!</v>
      </c>
      <c r="O175" s="659" t="e">
        <f t="shared" si="31"/>
        <v>#VALUE!</v>
      </c>
      <c r="P175" s="659" t="e">
        <f t="shared" si="31"/>
        <v>#VALUE!</v>
      </c>
      <c r="Q175" s="659" t="e">
        <f t="shared" si="31"/>
        <v>#VALUE!</v>
      </c>
      <c r="R175" s="659" t="e">
        <f t="shared" si="31"/>
        <v>#VALUE!</v>
      </c>
      <c r="S175" s="653"/>
      <c r="T175" s="659"/>
      <c r="U175" s="659"/>
      <c r="V175" s="659"/>
      <c r="W175" s="659"/>
      <c r="X175" s="863"/>
      <c r="Y175" s="863"/>
    </row>
    <row r="176" spans="1:25" s="343" customFormat="1" ht="0.65" hidden="1" customHeight="1">
      <c r="D176" s="653">
        <f>IF(ABS(D139-D154)&lt;$N$163,1,0)</f>
        <v>1</v>
      </c>
      <c r="E176" s="343" t="str">
        <f>IF(E11="","",E11)</f>
        <v/>
      </c>
      <c r="F176" s="871" t="str">
        <f>F11</f>
        <v/>
      </c>
      <c r="G176" s="653"/>
      <c r="I176" s="343" t="str">
        <f t="shared" ref="I176:I204" si="32">I11</f>
        <v/>
      </c>
      <c r="J176" s="653" t="e">
        <f>IF(F138="blanco",IF(F138=F176,1,0),IF(OR(F138="M",F138="C"),IF(F138=F176,1,0),IF(ABS(F138-F176)&lt;$N$163,1,0)))</f>
        <v>#VALUE!</v>
      </c>
      <c r="K176" s="653" t="e">
        <f t="shared" ref="K176" si="33">IF(OR(H138="blanco",I138="blanco"),IF(I138=I176,1,0),IF(ABS(I138-I176)&lt;$N$163,1,0))</f>
        <v>#VALUE!</v>
      </c>
      <c r="M176" s="863"/>
      <c r="N176" s="653"/>
      <c r="O176" s="653"/>
      <c r="P176" s="653"/>
      <c r="Q176" s="653"/>
      <c r="R176" s="653"/>
      <c r="S176" s="653"/>
      <c r="T176" s="659"/>
      <c r="U176" s="653"/>
      <c r="V176" s="659"/>
      <c r="W176" s="659"/>
      <c r="X176" s="863"/>
      <c r="Y176" s="863"/>
    </row>
    <row r="177" spans="4:25" s="343" customFormat="1" ht="0.65" hidden="1" customHeight="1">
      <c r="D177" s="653">
        <f t="shared" ref="D177:D180" si="34">IF(ABS(D140-D155)&lt;$N$163,1,0)</f>
        <v>1</v>
      </c>
      <c r="F177" s="343" t="str">
        <f t="shared" ref="F177:F204" si="35">F12</f>
        <v/>
      </c>
      <c r="G177" s="653"/>
      <c r="I177" s="343" t="str">
        <f t="shared" si="32"/>
        <v/>
      </c>
      <c r="J177" s="653" t="e">
        <f t="shared" ref="J177:J212" si="36">IF(F139="blanco",IF(F139=F177,1,0),IF(OR(F139="M",F139="C"),IF(F139=F177,1,0),IF(ABS(F139-F177)&lt;$N$163,1,0)))</f>
        <v>#VALUE!</v>
      </c>
      <c r="K177" s="653" t="e">
        <f>IF(OR(H139="blanco",I139="blanco"),IF(I139=I177,1,0),IF(ABS(I139-I177)&lt;$N$163,1,0))</f>
        <v>#VALUE!</v>
      </c>
      <c r="M177" s="863"/>
      <c r="N177" s="653"/>
      <c r="O177" s="653"/>
      <c r="P177" s="653"/>
      <c r="Q177" s="653"/>
      <c r="R177" s="653"/>
      <c r="S177" s="653"/>
      <c r="T177" s="653"/>
      <c r="U177" s="653"/>
      <c r="V177" s="659"/>
      <c r="W177" s="659"/>
      <c r="X177" s="863"/>
      <c r="Y177" s="863"/>
    </row>
    <row r="178" spans="4:25" s="343" customFormat="1" ht="0.65" hidden="1" customHeight="1">
      <c r="D178" s="653">
        <f t="shared" si="34"/>
        <v>1</v>
      </c>
      <c r="F178" s="343" t="str">
        <f t="shared" si="35"/>
        <v/>
      </c>
      <c r="G178" s="653"/>
      <c r="I178" s="343" t="str">
        <f t="shared" si="32"/>
        <v/>
      </c>
      <c r="J178" s="653" t="e">
        <f t="shared" si="36"/>
        <v>#VALUE!</v>
      </c>
      <c r="K178" s="653" t="e">
        <f t="shared" ref="K178:K212" si="37">IF(OR(H140="blanco",I140="blanco"),IF(I140=I178,1,0),IF(ABS(I140-I178)&lt;$N$163,1,0))</f>
        <v>#VALUE!</v>
      </c>
      <c r="N178" s="659"/>
      <c r="O178" s="659"/>
      <c r="P178" s="865"/>
      <c r="Q178" s="653"/>
      <c r="R178" s="653"/>
      <c r="S178" s="653"/>
      <c r="T178" s="865"/>
      <c r="U178" s="653"/>
      <c r="V178" s="653"/>
      <c r="W178" s="865"/>
      <c r="X178" s="863"/>
      <c r="Y178" s="863"/>
    </row>
    <row r="179" spans="4:25" s="343" customFormat="1" ht="0.65" hidden="1" customHeight="1">
      <c r="D179" s="653">
        <f t="shared" si="34"/>
        <v>1</v>
      </c>
      <c r="F179" s="343" t="str">
        <f t="shared" si="35"/>
        <v/>
      </c>
      <c r="G179" s="653"/>
      <c r="I179" s="343" t="str">
        <f t="shared" si="32"/>
        <v/>
      </c>
      <c r="J179" s="653" t="e">
        <f t="shared" si="36"/>
        <v>#VALUE!</v>
      </c>
      <c r="K179" s="653" t="e">
        <f t="shared" si="37"/>
        <v>#VALUE!</v>
      </c>
      <c r="N179" s="1065"/>
      <c r="O179" s="1065"/>
      <c r="P179" s="659" t="str">
        <f>IF(N28="","",IF(ABS(P28-P155)&lt;$N$163,1,0))</f>
        <v/>
      </c>
      <c r="Q179" s="653"/>
      <c r="R179" s="1065"/>
      <c r="S179" s="1065"/>
      <c r="T179" s="659" t="str">
        <f>IF(R28="","",IF(ABS(T28-T155)&lt;$N$163,1,0))</f>
        <v/>
      </c>
      <c r="U179" s="653"/>
      <c r="V179" s="653"/>
      <c r="W179" s="653"/>
      <c r="X179" s="863"/>
      <c r="Y179" s="863"/>
    </row>
    <row r="180" spans="4:25" s="343" customFormat="1" ht="0.65" hidden="1" customHeight="1">
      <c r="D180" s="653">
        <f t="shared" si="34"/>
        <v>1</v>
      </c>
      <c r="F180" s="343" t="str">
        <f t="shared" si="35"/>
        <v/>
      </c>
      <c r="G180" s="653"/>
      <c r="I180" s="343" t="str">
        <f t="shared" si="32"/>
        <v/>
      </c>
      <c r="J180" s="653" t="e">
        <f t="shared" si="36"/>
        <v>#VALUE!</v>
      </c>
      <c r="K180" s="653" t="e">
        <f t="shared" si="37"/>
        <v>#VALUE!</v>
      </c>
      <c r="M180" s="863"/>
      <c r="N180" s="1065"/>
      <c r="O180" s="1065"/>
      <c r="P180" s="659" t="str">
        <f>IF(N29="","",IF(ABS(P29-P156)&lt;$N$163,1,0))</f>
        <v/>
      </c>
      <c r="Q180" s="653"/>
      <c r="R180" s="1065"/>
      <c r="S180" s="1065"/>
      <c r="T180" s="659" t="str">
        <f>IF(R29="","",IF(ABS(T29-T156)&lt;$N$163,1,0))</f>
        <v/>
      </c>
      <c r="U180" s="653"/>
      <c r="V180" s="659"/>
      <c r="W180" s="652" t="e">
        <f>IF(ABS(W29-W156)&lt;$N$163,1,0)</f>
        <v>#VALUE!</v>
      </c>
      <c r="X180" s="863"/>
      <c r="Y180" s="863"/>
    </row>
    <row r="181" spans="4:25" s="343" customFormat="1" ht="0.65" hidden="1" customHeight="1">
      <c r="D181" s="653"/>
      <c r="F181" s="343" t="str">
        <f t="shared" si="35"/>
        <v/>
      </c>
      <c r="G181" s="653"/>
      <c r="I181" s="343" t="str">
        <f t="shared" si="32"/>
        <v/>
      </c>
      <c r="J181" s="653" t="e">
        <f t="shared" si="36"/>
        <v>#VALUE!</v>
      </c>
      <c r="K181" s="653" t="e">
        <f t="shared" si="37"/>
        <v>#VALUE!</v>
      </c>
      <c r="M181" s="863"/>
      <c r="N181" s="1065"/>
      <c r="O181" s="1065"/>
      <c r="P181" s="659" t="str">
        <f>IF(N30="","",IF(ABS(P30-P157)&lt;$N$163,1,0))</f>
        <v/>
      </c>
      <c r="Q181" s="653"/>
      <c r="R181" s="1065"/>
      <c r="S181" s="1065"/>
      <c r="T181" s="659" t="str">
        <f>IF(R30="","",IF(ABS(T30-T157)&lt;$N$163,1,0))</f>
        <v/>
      </c>
      <c r="U181" s="653"/>
      <c r="V181" s="653"/>
      <c r="W181" s="653"/>
      <c r="X181" s="863"/>
      <c r="Y181" s="863"/>
    </row>
    <row r="182" spans="4:25" s="343" customFormat="1" ht="0.65" hidden="1" customHeight="1">
      <c r="D182" s="653"/>
      <c r="F182" s="343" t="str">
        <f t="shared" si="35"/>
        <v/>
      </c>
      <c r="G182" s="653"/>
      <c r="I182" s="343" t="str">
        <f t="shared" si="32"/>
        <v/>
      </c>
      <c r="J182" s="653" t="e">
        <f t="shared" si="36"/>
        <v>#VALUE!</v>
      </c>
      <c r="K182" s="653" t="e">
        <f t="shared" si="37"/>
        <v>#VALUE!</v>
      </c>
      <c r="M182" s="863"/>
      <c r="N182" s="1065"/>
      <c r="O182" s="1065"/>
      <c r="P182" s="659" t="str">
        <f>IF(N31="","",IF(ABS(P31-P158)&lt;$N$163,1,0))</f>
        <v/>
      </c>
      <c r="Q182" s="653"/>
      <c r="R182" s="1065"/>
      <c r="S182" s="1065"/>
      <c r="T182" s="659" t="str">
        <f>IF(R31="","",IF(ABS(T31-T158)&lt;$N$163,1,0))</f>
        <v/>
      </c>
      <c r="U182" s="653"/>
      <c r="V182" s="653"/>
      <c r="W182" s="653"/>
      <c r="X182" s="863"/>
      <c r="Y182" s="863"/>
    </row>
    <row r="183" spans="4:25" s="343" customFormat="1" ht="0.65" hidden="1" customHeight="1">
      <c r="D183" s="653">
        <f>IF(ABS(D146-D161)&lt;$N$163,1,0)</f>
        <v>1</v>
      </c>
      <c r="F183" s="343" t="str">
        <f t="shared" si="35"/>
        <v/>
      </c>
      <c r="G183" s="653"/>
      <c r="I183" s="343" t="str">
        <f t="shared" si="32"/>
        <v/>
      </c>
      <c r="J183" s="653" t="e">
        <f t="shared" si="36"/>
        <v>#VALUE!</v>
      </c>
      <c r="K183" s="653" t="e">
        <f t="shared" si="37"/>
        <v>#VALUE!</v>
      </c>
      <c r="M183" s="863"/>
      <c r="N183" s="653"/>
      <c r="O183" s="653"/>
      <c r="P183" s="653"/>
      <c r="Q183" s="659"/>
      <c r="R183" s="659"/>
      <c r="S183" s="659"/>
      <c r="T183" s="659"/>
      <c r="U183" s="659"/>
      <c r="V183" s="659"/>
      <c r="W183" s="659" t="e">
        <f>IF(ABS(W32-W159)&lt;$N$163,1,0)</f>
        <v>#VALUE!</v>
      </c>
      <c r="X183" s="863"/>
      <c r="Y183" s="863"/>
    </row>
    <row r="184" spans="4:25" s="343" customFormat="1" ht="0.65" hidden="1" customHeight="1">
      <c r="D184" s="653">
        <f t="shared" ref="D184:D187" si="38">IF(ABS(D147-D162)&lt;$N$163,1,0)</f>
        <v>1</v>
      </c>
      <c r="F184" s="343" t="str">
        <f t="shared" si="35"/>
        <v/>
      </c>
      <c r="G184" s="653"/>
      <c r="I184" s="343" t="str">
        <f t="shared" si="32"/>
        <v/>
      </c>
      <c r="J184" s="653" t="e">
        <f t="shared" si="36"/>
        <v>#VALUE!</v>
      </c>
      <c r="K184" s="653" t="e">
        <f t="shared" si="37"/>
        <v>#VALUE!</v>
      </c>
      <c r="M184" s="863"/>
      <c r="N184" s="1066"/>
      <c r="O184" s="1066"/>
      <c r="P184" s="659" t="e">
        <f>IF(ABS(P33-P160)&lt;$N$163,1,0)</f>
        <v>#VALUE!</v>
      </c>
      <c r="Q184" s="659"/>
      <c r="R184" s="1066"/>
      <c r="S184" s="1066"/>
      <c r="T184" s="659" t="e">
        <f>IF(ABS(T33-T160)&lt;$N$163,1,0)</f>
        <v>#VALUE!</v>
      </c>
      <c r="U184" s="653"/>
      <c r="V184" s="653"/>
      <c r="W184" s="652" t="e">
        <f>IF(ABS(W33-W160)&lt;$N$163,1,0)</f>
        <v>#VALUE!</v>
      </c>
      <c r="X184" s="863"/>
      <c r="Y184" s="863"/>
    </row>
    <row r="185" spans="4:25" s="343" customFormat="1" ht="0.65" hidden="1" customHeight="1">
      <c r="D185" s="653">
        <f t="shared" si="38"/>
        <v>1</v>
      </c>
      <c r="F185" s="343" t="str">
        <f t="shared" si="35"/>
        <v/>
      </c>
      <c r="G185" s="653"/>
      <c r="I185" s="343" t="str">
        <f t="shared" si="32"/>
        <v/>
      </c>
      <c r="J185" s="653" t="e">
        <f t="shared" si="36"/>
        <v>#VALUE!</v>
      </c>
      <c r="K185" s="653" t="e">
        <f t="shared" si="37"/>
        <v>#VALUE!</v>
      </c>
      <c r="X185" s="863"/>
      <c r="Y185" s="863"/>
    </row>
    <row r="186" spans="4:25" s="343" customFormat="1" ht="0.65" hidden="1" customHeight="1">
      <c r="D186" s="653">
        <f t="shared" si="38"/>
        <v>1</v>
      </c>
      <c r="F186" s="343" t="str">
        <f t="shared" si="35"/>
        <v/>
      </c>
      <c r="G186" s="653"/>
      <c r="I186" s="343" t="str">
        <f t="shared" si="32"/>
        <v/>
      </c>
      <c r="J186" s="653" t="e">
        <f t="shared" si="36"/>
        <v>#VALUE!</v>
      </c>
      <c r="K186" s="653" t="e">
        <f t="shared" si="37"/>
        <v>#VALUE!</v>
      </c>
      <c r="L186" s="343" t="s">
        <v>2136</v>
      </c>
      <c r="M186" s="659" t="e">
        <f>SUM(N164:W184)</f>
        <v>#VALUE!</v>
      </c>
      <c r="X186" s="863"/>
      <c r="Y186" s="863"/>
    </row>
    <row r="187" spans="4:25" s="343" customFormat="1" ht="0.65" hidden="1" customHeight="1">
      <c r="D187" s="653">
        <f t="shared" si="38"/>
        <v>1</v>
      </c>
      <c r="F187" s="343" t="str">
        <f t="shared" si="35"/>
        <v/>
      </c>
      <c r="G187" s="653"/>
      <c r="I187" s="343" t="str">
        <f t="shared" si="32"/>
        <v/>
      </c>
      <c r="J187" s="653" t="e">
        <f t="shared" si="36"/>
        <v>#VALUE!</v>
      </c>
      <c r="K187" s="653" t="e">
        <f t="shared" si="37"/>
        <v>#VALUE!</v>
      </c>
      <c r="X187" s="863"/>
      <c r="Y187" s="863"/>
    </row>
    <row r="188" spans="4:25" s="343" customFormat="1" ht="0.65" hidden="1" customHeight="1">
      <c r="F188" s="343" t="str">
        <f t="shared" si="35"/>
        <v/>
      </c>
      <c r="G188" s="653"/>
      <c r="I188" s="343" t="str">
        <f t="shared" si="32"/>
        <v/>
      </c>
      <c r="J188" s="653" t="e">
        <f t="shared" si="36"/>
        <v>#VALUE!</v>
      </c>
      <c r="K188" s="653" t="e">
        <f t="shared" si="37"/>
        <v>#VALUE!</v>
      </c>
      <c r="X188" s="863"/>
      <c r="Y188" s="863"/>
    </row>
    <row r="189" spans="4:25" s="343" customFormat="1" ht="0.65" hidden="1" customHeight="1">
      <c r="F189" s="343" t="str">
        <f t="shared" si="35"/>
        <v/>
      </c>
      <c r="G189" s="653"/>
      <c r="I189" s="343" t="str">
        <f t="shared" si="32"/>
        <v/>
      </c>
      <c r="J189" s="653" t="e">
        <f t="shared" si="36"/>
        <v>#VALUE!</v>
      </c>
      <c r="K189" s="653" t="e">
        <f t="shared" si="37"/>
        <v>#VALUE!</v>
      </c>
      <c r="X189" s="863"/>
      <c r="Y189" s="863"/>
    </row>
    <row r="190" spans="4:25" s="343" customFormat="1" ht="0.65" hidden="1" customHeight="1">
      <c r="F190" s="343" t="str">
        <f t="shared" si="35"/>
        <v/>
      </c>
      <c r="G190" s="653"/>
      <c r="I190" s="343" t="str">
        <f t="shared" si="32"/>
        <v/>
      </c>
      <c r="J190" s="653" t="e">
        <f t="shared" si="36"/>
        <v>#VALUE!</v>
      </c>
      <c r="K190" s="653" t="e">
        <f t="shared" si="37"/>
        <v>#VALUE!</v>
      </c>
      <c r="X190" s="863"/>
      <c r="Y190" s="863"/>
    </row>
    <row r="191" spans="4:25" s="343" customFormat="1" ht="0.65" hidden="1" customHeight="1">
      <c r="F191" s="343" t="str">
        <f t="shared" si="35"/>
        <v/>
      </c>
      <c r="G191" s="653"/>
      <c r="I191" s="343" t="str">
        <f t="shared" si="32"/>
        <v/>
      </c>
      <c r="J191" s="653" t="e">
        <f t="shared" si="36"/>
        <v>#VALUE!</v>
      </c>
      <c r="K191" s="653" t="e">
        <f t="shared" si="37"/>
        <v>#VALUE!</v>
      </c>
      <c r="X191" s="863"/>
      <c r="Y191" s="863"/>
    </row>
    <row r="192" spans="4:25" s="343" customFormat="1" ht="0.65" hidden="1" customHeight="1">
      <c r="F192" s="343" t="str">
        <f t="shared" si="35"/>
        <v/>
      </c>
      <c r="G192" s="653"/>
      <c r="I192" s="343" t="str">
        <f t="shared" si="32"/>
        <v/>
      </c>
      <c r="J192" s="653" t="e">
        <f t="shared" si="36"/>
        <v>#VALUE!</v>
      </c>
      <c r="K192" s="653" t="e">
        <f t="shared" si="37"/>
        <v>#VALUE!</v>
      </c>
      <c r="X192" s="863"/>
      <c r="Y192" s="863"/>
    </row>
    <row r="193" spans="6:25" s="343" customFormat="1" ht="0.65" hidden="1" customHeight="1">
      <c r="F193" s="343" t="str">
        <f t="shared" si="35"/>
        <v/>
      </c>
      <c r="G193" s="653"/>
      <c r="I193" s="343" t="str">
        <f t="shared" si="32"/>
        <v/>
      </c>
      <c r="J193" s="653" t="e">
        <f t="shared" si="36"/>
        <v>#VALUE!</v>
      </c>
      <c r="K193" s="653" t="e">
        <f t="shared" si="37"/>
        <v>#VALUE!</v>
      </c>
      <c r="X193" s="863"/>
      <c r="Y193" s="863"/>
    </row>
    <row r="194" spans="6:25" s="343" customFormat="1" ht="0.65" hidden="1" customHeight="1">
      <c r="F194" s="343" t="str">
        <f t="shared" si="35"/>
        <v/>
      </c>
      <c r="G194" s="653"/>
      <c r="I194" s="343" t="str">
        <f t="shared" si="32"/>
        <v/>
      </c>
      <c r="J194" s="653" t="e">
        <f t="shared" si="36"/>
        <v>#VALUE!</v>
      </c>
      <c r="K194" s="653" t="e">
        <f t="shared" si="37"/>
        <v>#VALUE!</v>
      </c>
      <c r="X194" s="863"/>
      <c r="Y194" s="863"/>
    </row>
    <row r="195" spans="6:25" s="343" customFormat="1" ht="0.65" hidden="1" customHeight="1">
      <c r="F195" s="343" t="str">
        <f t="shared" si="35"/>
        <v/>
      </c>
      <c r="G195" s="653"/>
      <c r="I195" s="343" t="str">
        <f t="shared" si="32"/>
        <v/>
      </c>
      <c r="J195" s="653" t="e">
        <f t="shared" si="36"/>
        <v>#VALUE!</v>
      </c>
      <c r="K195" s="653" t="e">
        <f t="shared" si="37"/>
        <v>#VALUE!</v>
      </c>
      <c r="X195" s="863"/>
      <c r="Y195" s="863"/>
    </row>
    <row r="196" spans="6:25" s="343" customFormat="1" ht="0.65" hidden="1" customHeight="1">
      <c r="F196" s="343" t="str">
        <f t="shared" si="35"/>
        <v/>
      </c>
      <c r="G196" s="653"/>
      <c r="I196" s="343" t="str">
        <f t="shared" si="32"/>
        <v/>
      </c>
      <c r="J196" s="653" t="e">
        <f t="shared" si="36"/>
        <v>#VALUE!</v>
      </c>
      <c r="K196" s="653" t="e">
        <f t="shared" si="37"/>
        <v>#VALUE!</v>
      </c>
      <c r="X196" s="863"/>
      <c r="Y196" s="863"/>
    </row>
    <row r="197" spans="6:25" s="343" customFormat="1" ht="0.65" hidden="1" customHeight="1">
      <c r="F197" s="343" t="str">
        <f t="shared" si="35"/>
        <v/>
      </c>
      <c r="G197" s="653"/>
      <c r="I197" s="343" t="str">
        <f t="shared" si="32"/>
        <v/>
      </c>
      <c r="J197" s="653" t="e">
        <f t="shared" si="36"/>
        <v>#VALUE!</v>
      </c>
      <c r="K197" s="653" t="e">
        <f t="shared" si="37"/>
        <v>#VALUE!</v>
      </c>
      <c r="X197" s="863"/>
      <c r="Y197" s="863"/>
    </row>
    <row r="198" spans="6:25" s="343" customFormat="1" ht="0.65" hidden="1" customHeight="1">
      <c r="F198" s="343" t="str">
        <f t="shared" si="35"/>
        <v/>
      </c>
      <c r="G198" s="653"/>
      <c r="I198" s="343" t="str">
        <f t="shared" si="32"/>
        <v/>
      </c>
      <c r="J198" s="653" t="e">
        <f t="shared" si="36"/>
        <v>#VALUE!</v>
      </c>
      <c r="K198" s="653" t="e">
        <f t="shared" si="37"/>
        <v>#VALUE!</v>
      </c>
      <c r="X198" s="863"/>
      <c r="Y198" s="863"/>
    </row>
    <row r="199" spans="6:25" s="343" customFormat="1" ht="0.65" hidden="1" customHeight="1">
      <c r="F199" s="343" t="str">
        <f t="shared" si="35"/>
        <v/>
      </c>
      <c r="G199" s="653"/>
      <c r="I199" s="343" t="str">
        <f t="shared" si="32"/>
        <v/>
      </c>
      <c r="J199" s="653" t="e">
        <f t="shared" si="36"/>
        <v>#VALUE!</v>
      </c>
      <c r="K199" s="653" t="e">
        <f t="shared" si="37"/>
        <v>#VALUE!</v>
      </c>
      <c r="X199" s="863"/>
      <c r="Y199" s="863"/>
    </row>
    <row r="200" spans="6:25" s="343" customFormat="1" ht="0.65" hidden="1" customHeight="1">
      <c r="F200" s="343" t="str">
        <f t="shared" si="35"/>
        <v/>
      </c>
      <c r="G200" s="653"/>
      <c r="I200" s="343" t="str">
        <f t="shared" si="32"/>
        <v/>
      </c>
      <c r="J200" s="653" t="e">
        <f t="shared" si="36"/>
        <v>#VALUE!</v>
      </c>
      <c r="K200" s="653" t="e">
        <f t="shared" si="37"/>
        <v>#VALUE!</v>
      </c>
      <c r="X200" s="863"/>
      <c r="Y200" s="863"/>
    </row>
    <row r="201" spans="6:25" s="343" customFormat="1" ht="0.65" hidden="1" customHeight="1">
      <c r="F201" s="343" t="str">
        <f t="shared" si="35"/>
        <v/>
      </c>
      <c r="G201" s="653"/>
      <c r="I201" s="343" t="str">
        <f t="shared" si="32"/>
        <v/>
      </c>
      <c r="J201" s="653" t="e">
        <f t="shared" si="36"/>
        <v>#VALUE!</v>
      </c>
      <c r="K201" s="653" t="e">
        <f t="shared" si="37"/>
        <v>#VALUE!</v>
      </c>
      <c r="X201" s="863"/>
      <c r="Y201" s="863"/>
    </row>
    <row r="202" spans="6:25" s="343" customFormat="1" ht="0.65" hidden="1" customHeight="1">
      <c r="F202" s="343" t="str">
        <f t="shared" si="35"/>
        <v/>
      </c>
      <c r="G202" s="653"/>
      <c r="I202" s="343" t="str">
        <f t="shared" si="32"/>
        <v/>
      </c>
      <c r="J202" s="653" t="e">
        <f t="shared" si="36"/>
        <v>#VALUE!</v>
      </c>
      <c r="K202" s="653" t="e">
        <f t="shared" si="37"/>
        <v>#VALUE!</v>
      </c>
      <c r="X202" s="863"/>
      <c r="Y202" s="863"/>
    </row>
    <row r="203" spans="6:25" s="343" customFormat="1" ht="0.65" hidden="1" customHeight="1">
      <c r="F203" s="343" t="str">
        <f t="shared" si="35"/>
        <v/>
      </c>
      <c r="G203" s="653"/>
      <c r="I203" s="343" t="str">
        <f t="shared" si="32"/>
        <v/>
      </c>
      <c r="J203" s="653" t="e">
        <f t="shared" si="36"/>
        <v>#VALUE!</v>
      </c>
      <c r="K203" s="653" t="e">
        <f t="shared" si="37"/>
        <v>#VALUE!</v>
      </c>
      <c r="X203" s="863"/>
      <c r="Y203" s="863"/>
    </row>
    <row r="204" spans="6:25" s="343" customFormat="1" ht="0.65" hidden="1" customHeight="1">
      <c r="F204" s="343" t="str">
        <f t="shared" si="35"/>
        <v/>
      </c>
      <c r="G204" s="653"/>
      <c r="I204" s="343" t="str">
        <f t="shared" si="32"/>
        <v/>
      </c>
      <c r="J204" s="653" t="e">
        <f t="shared" si="36"/>
        <v>#VALUE!</v>
      </c>
      <c r="K204" s="653" t="e">
        <f t="shared" si="37"/>
        <v>#VALUE!</v>
      </c>
      <c r="X204" s="863"/>
      <c r="Y204" s="863"/>
    </row>
    <row r="205" spans="6:25" s="343" customFormat="1" ht="0.65" hidden="1" customHeight="1">
      <c r="G205" s="653"/>
      <c r="J205" s="653" t="e">
        <f t="shared" si="36"/>
        <v>#VALUE!</v>
      </c>
      <c r="K205" s="653" t="e">
        <f t="shared" si="37"/>
        <v>#VALUE!</v>
      </c>
      <c r="X205" s="863"/>
      <c r="Y205" s="863"/>
    </row>
    <row r="206" spans="6:25" s="343" customFormat="1" ht="0.65" hidden="1" customHeight="1">
      <c r="F206" s="343" t="str">
        <f t="shared" ref="F206:F212" si="39">F41</f>
        <v/>
      </c>
      <c r="G206" s="653"/>
      <c r="I206" s="343" t="str">
        <f t="shared" ref="I206:I212" si="40">I41</f>
        <v/>
      </c>
      <c r="J206" s="653" t="e">
        <f t="shared" si="36"/>
        <v>#VALUE!</v>
      </c>
      <c r="K206" s="653" t="e">
        <f t="shared" si="37"/>
        <v>#VALUE!</v>
      </c>
      <c r="X206" s="863"/>
      <c r="Y206" s="863"/>
    </row>
    <row r="207" spans="6:25" s="343" customFormat="1" ht="0.65" hidden="1" customHeight="1">
      <c r="F207" s="343" t="str">
        <f t="shared" si="39"/>
        <v/>
      </c>
      <c r="G207" s="653"/>
      <c r="I207" s="343" t="str">
        <f t="shared" si="40"/>
        <v/>
      </c>
      <c r="J207" s="653" t="e">
        <f t="shared" si="36"/>
        <v>#VALUE!</v>
      </c>
      <c r="K207" s="653" t="e">
        <f t="shared" si="37"/>
        <v>#VALUE!</v>
      </c>
      <c r="X207" s="863"/>
      <c r="Y207" s="863"/>
    </row>
    <row r="208" spans="6:25" s="343" customFormat="1" ht="0.65" hidden="1" customHeight="1">
      <c r="F208" s="343" t="str">
        <f t="shared" si="39"/>
        <v/>
      </c>
      <c r="G208" s="653"/>
      <c r="I208" s="343" t="str">
        <f t="shared" si="40"/>
        <v/>
      </c>
      <c r="J208" s="653" t="e">
        <f t="shared" si="36"/>
        <v>#VALUE!</v>
      </c>
      <c r="K208" s="653" t="e">
        <f t="shared" si="37"/>
        <v>#VALUE!</v>
      </c>
      <c r="X208" s="863"/>
      <c r="Y208" s="863"/>
    </row>
    <row r="209" spans="5:25" s="343" customFormat="1" ht="0.65" hidden="1" customHeight="1">
      <c r="F209" s="343" t="str">
        <f t="shared" si="39"/>
        <v/>
      </c>
      <c r="G209" s="653"/>
      <c r="I209" s="343" t="str">
        <f t="shared" si="40"/>
        <v/>
      </c>
      <c r="J209" s="653" t="e">
        <f t="shared" si="36"/>
        <v>#VALUE!</v>
      </c>
      <c r="K209" s="653" t="e">
        <f t="shared" si="37"/>
        <v>#VALUE!</v>
      </c>
      <c r="X209" s="863"/>
      <c r="Y209" s="863"/>
    </row>
    <row r="210" spans="5:25" s="343" customFormat="1" ht="0.65" hidden="1" customHeight="1">
      <c r="F210" s="343" t="str">
        <f t="shared" si="39"/>
        <v/>
      </c>
      <c r="G210" s="653"/>
      <c r="I210" s="343" t="str">
        <f t="shared" si="40"/>
        <v/>
      </c>
      <c r="J210" s="653" t="e">
        <f t="shared" si="36"/>
        <v>#VALUE!</v>
      </c>
      <c r="K210" s="653" t="e">
        <f t="shared" si="37"/>
        <v>#VALUE!</v>
      </c>
      <c r="X210" s="863"/>
      <c r="Y210" s="863"/>
    </row>
    <row r="211" spans="5:25" s="343" customFormat="1" ht="0.65" hidden="1" customHeight="1">
      <c r="F211" s="343" t="str">
        <f t="shared" si="39"/>
        <v/>
      </c>
      <c r="G211" s="653"/>
      <c r="I211" s="343" t="str">
        <f t="shared" si="40"/>
        <v/>
      </c>
      <c r="J211" s="653" t="e">
        <f t="shared" si="36"/>
        <v>#VALUE!</v>
      </c>
      <c r="K211" s="653" t="e">
        <f t="shared" si="37"/>
        <v>#VALUE!</v>
      </c>
      <c r="X211" s="863"/>
      <c r="Y211" s="863"/>
    </row>
    <row r="212" spans="5:25" s="343" customFormat="1" ht="0.65" hidden="1" customHeight="1">
      <c r="F212" s="343" t="str">
        <f t="shared" si="39"/>
        <v/>
      </c>
      <c r="G212" s="653"/>
      <c r="I212" s="343" t="str">
        <f t="shared" si="40"/>
        <v/>
      </c>
      <c r="J212" s="653" t="e">
        <f t="shared" si="36"/>
        <v>#VALUE!</v>
      </c>
      <c r="K212" s="653" t="e">
        <f t="shared" si="37"/>
        <v>#VALUE!</v>
      </c>
      <c r="X212" s="863"/>
      <c r="Y212" s="863"/>
    </row>
    <row r="213" spans="5:25" s="343" customFormat="1" ht="0.65" hidden="1" customHeight="1">
      <c r="G213" s="653"/>
      <c r="J213" s="653"/>
      <c r="X213" s="863"/>
      <c r="Y213" s="863"/>
    </row>
    <row r="214" spans="5:25" s="343" customFormat="1" ht="0.65" hidden="1" customHeight="1">
      <c r="E214" s="869" t="s">
        <v>3361</v>
      </c>
      <c r="F214" s="653" t="str">
        <f>IF(OR(C4="",NOT(D4="")),"",SUM(D176:D212)+SUM(J176:K212))</f>
        <v/>
      </c>
      <c r="G214" s="653"/>
      <c r="J214" s="653"/>
      <c r="X214" s="863"/>
      <c r="Y214" s="863"/>
    </row>
    <row r="215" spans="5:25" s="343" customFormat="1" ht="0.65" hidden="1" customHeight="1">
      <c r="E215" s="869" t="s">
        <v>423</v>
      </c>
      <c r="F215" s="653" t="str">
        <f>IF(OR(C4="",NOT(D4="")),"",IF(F214=E137,"NO","SI"))</f>
        <v/>
      </c>
      <c r="G215" s="653"/>
      <c r="J215" s="653"/>
      <c r="X215" s="863"/>
      <c r="Y215" s="863"/>
    </row>
    <row r="216" spans="5:25" s="343" customFormat="1" ht="0.65" hidden="1" customHeight="1">
      <c r="G216" s="653"/>
      <c r="J216" s="653"/>
      <c r="X216" s="863"/>
      <c r="Y216" s="863"/>
    </row>
    <row r="217" spans="5:25" s="343" customFormat="1" ht="0.65" hidden="1" customHeight="1">
      <c r="G217" s="653"/>
      <c r="J217" s="653"/>
      <c r="X217" s="863"/>
      <c r="Y217" s="863"/>
    </row>
    <row r="218" spans="5:25" s="343" customFormat="1" ht="0.65" hidden="1" customHeight="1">
      <c r="G218" s="653"/>
      <c r="J218" s="653"/>
      <c r="X218" s="863"/>
      <c r="Y218" s="863"/>
    </row>
    <row r="219" spans="5:25" s="343" customFormat="1" ht="0.65" hidden="1" customHeight="1">
      <c r="G219" s="653"/>
      <c r="J219" s="653"/>
      <c r="X219" s="863"/>
      <c r="Y219" s="863"/>
    </row>
    <row r="220" spans="5:25" s="343" customFormat="1" ht="0.65" hidden="1" customHeight="1">
      <c r="G220" s="653"/>
      <c r="J220" s="653"/>
      <c r="X220" s="863"/>
      <c r="Y220" s="863"/>
    </row>
    <row r="221" spans="5:25" s="343" customFormat="1" ht="0.65" hidden="1" customHeight="1">
      <c r="G221" s="653"/>
      <c r="J221" s="653"/>
      <c r="X221" s="863"/>
      <c r="Y221" s="863"/>
    </row>
    <row r="222" spans="5:25" s="343" customFormat="1" ht="0.65" hidden="1" customHeight="1">
      <c r="G222" s="653"/>
      <c r="J222" s="653"/>
      <c r="X222" s="863"/>
      <c r="Y222" s="863"/>
    </row>
    <row r="223" spans="5:25" s="343" customFormat="1" ht="0.65" hidden="1" customHeight="1">
      <c r="G223" s="653"/>
      <c r="J223" s="653"/>
      <c r="X223" s="863"/>
      <c r="Y223" s="863"/>
    </row>
    <row r="224" spans="5:25" s="343" customFormat="1" ht="0.65" hidden="1" customHeight="1">
      <c r="G224" s="653"/>
      <c r="J224" s="653"/>
      <c r="X224" s="863"/>
      <c r="Y224" s="863"/>
    </row>
    <row r="225" spans="7:25" s="343" customFormat="1" ht="0.65" hidden="1" customHeight="1">
      <c r="G225" s="653"/>
      <c r="J225" s="653"/>
      <c r="X225" s="863"/>
      <c r="Y225" s="863"/>
    </row>
    <row r="226" spans="7:25" s="343" customFormat="1" ht="0.65" hidden="1" customHeight="1">
      <c r="G226" s="653"/>
      <c r="J226" s="653"/>
      <c r="X226" s="863"/>
      <c r="Y226" s="863"/>
    </row>
    <row r="227" spans="7:25" s="343" customFormat="1" ht="0.65" hidden="1" customHeight="1">
      <c r="G227" s="653"/>
      <c r="J227" s="653"/>
      <c r="X227" s="863"/>
      <c r="Y227" s="863"/>
    </row>
    <row r="228" spans="7:25" s="343" customFormat="1" ht="0.65" hidden="1" customHeight="1">
      <c r="G228" s="653"/>
      <c r="J228" s="653"/>
      <c r="X228" s="863"/>
      <c r="Y228" s="863"/>
    </row>
    <row r="229" spans="7:25" s="343" customFormat="1" ht="0.65" hidden="1" customHeight="1">
      <c r="G229" s="653"/>
      <c r="J229" s="653"/>
      <c r="X229" s="863"/>
      <c r="Y229" s="863"/>
    </row>
    <row r="230" spans="7:25" s="343" customFormat="1" ht="0.65" hidden="1" customHeight="1">
      <c r="G230" s="653"/>
      <c r="J230" s="653"/>
      <c r="X230" s="863"/>
      <c r="Y230" s="863"/>
    </row>
    <row r="231" spans="7:25" s="343" customFormat="1" ht="0.65" hidden="1" customHeight="1">
      <c r="G231" s="653"/>
      <c r="J231" s="653"/>
      <c r="X231" s="863"/>
      <c r="Y231" s="863"/>
    </row>
    <row r="232" spans="7:25" s="343" customFormat="1" ht="0.65" hidden="1" customHeight="1">
      <c r="G232" s="653"/>
      <c r="J232" s="653"/>
      <c r="X232" s="863"/>
      <c r="Y232" s="863"/>
    </row>
    <row r="233" spans="7:25" s="343" customFormat="1" ht="0.65" hidden="1" customHeight="1">
      <c r="G233" s="653"/>
      <c r="J233" s="653"/>
      <c r="X233" s="863"/>
      <c r="Y233" s="863"/>
    </row>
    <row r="234" spans="7:25" s="343" customFormat="1" ht="0.65" hidden="1" customHeight="1">
      <c r="G234" s="653"/>
      <c r="J234" s="653"/>
      <c r="X234" s="863"/>
      <c r="Y234" s="863"/>
    </row>
    <row r="235" spans="7:25" s="343" customFormat="1" ht="0.65" hidden="1" customHeight="1">
      <c r="G235" s="653"/>
      <c r="J235" s="653"/>
      <c r="X235" s="863"/>
      <c r="Y235" s="863"/>
    </row>
    <row r="236" spans="7:25" s="343" customFormat="1" ht="0.65" hidden="1" customHeight="1">
      <c r="G236" s="653"/>
      <c r="J236" s="653"/>
      <c r="X236" s="863"/>
      <c r="Y236" s="863"/>
    </row>
    <row r="237" spans="7:25" s="343" customFormat="1" ht="0.65" hidden="1" customHeight="1">
      <c r="G237" s="653"/>
      <c r="J237" s="653"/>
      <c r="X237" s="863"/>
      <c r="Y237" s="863"/>
    </row>
    <row r="238" spans="7:25" s="343" customFormat="1" ht="0.65" hidden="1" customHeight="1">
      <c r="G238" s="653"/>
      <c r="J238" s="653"/>
      <c r="X238" s="863"/>
      <c r="Y238" s="863"/>
    </row>
    <row r="239" spans="7:25" s="343" customFormat="1" ht="0.65" hidden="1" customHeight="1">
      <c r="G239" s="653"/>
      <c r="J239" s="653"/>
      <c r="X239" s="863"/>
      <c r="Y239" s="863"/>
    </row>
    <row r="240" spans="7:25" s="343" customFormat="1" ht="0.65" hidden="1" customHeight="1">
      <c r="G240" s="653"/>
      <c r="J240" s="653"/>
      <c r="X240" s="863"/>
      <c r="Y240" s="863"/>
    </row>
    <row r="241" spans="1:25" s="343" customFormat="1" ht="0.65" hidden="1" customHeight="1">
      <c r="G241" s="653"/>
      <c r="J241" s="653"/>
      <c r="X241" s="863"/>
      <c r="Y241" s="863"/>
    </row>
    <row r="242" spans="1:25" s="343" customFormat="1" ht="0.65" hidden="1" customHeight="1">
      <c r="G242" s="653"/>
      <c r="J242" s="653"/>
      <c r="X242" s="863"/>
      <c r="Y242" s="863"/>
    </row>
    <row r="243" spans="1:25" s="343" customFormat="1" ht="0.65" hidden="1" customHeight="1">
      <c r="G243" s="653"/>
      <c r="J243" s="653"/>
      <c r="X243" s="863"/>
      <c r="Y243" s="863"/>
    </row>
    <row r="244" spans="1:25" s="343" customFormat="1" ht="0.65" hidden="1" customHeight="1">
      <c r="G244" s="653"/>
      <c r="J244" s="653"/>
      <c r="X244" s="863"/>
      <c r="Y244" s="863"/>
    </row>
    <row r="245" spans="1:25" s="343" customFormat="1" ht="0.65" hidden="1" customHeight="1">
      <c r="G245" s="653"/>
      <c r="J245" s="653"/>
      <c r="X245" s="863"/>
      <c r="Y245" s="863"/>
    </row>
    <row r="246" spans="1:25" s="343" customFormat="1" ht="0.65" hidden="1" customHeight="1">
      <c r="G246" s="653"/>
      <c r="J246" s="653"/>
      <c r="X246" s="863"/>
      <c r="Y246" s="863"/>
    </row>
    <row r="247" spans="1:25" s="343" customFormat="1" ht="0.65" hidden="1" customHeight="1">
      <c r="G247" s="653"/>
      <c r="J247" s="653"/>
      <c r="X247" s="863"/>
      <c r="Y247" s="863"/>
    </row>
    <row r="248" spans="1:25" s="343" customFormat="1" ht="0.65" hidden="1" customHeight="1"/>
    <row r="249" spans="1:25" s="343" customFormat="1" ht="0.65" hidden="1" customHeight="1">
      <c r="A249" s="653">
        <v>1</v>
      </c>
      <c r="B249" s="653">
        <f t="shared" ref="B249:D249" si="41">1+A249</f>
        <v>2</v>
      </c>
      <c r="C249" s="653">
        <f t="shared" si="41"/>
        <v>3</v>
      </c>
      <c r="D249" s="653">
        <f t="shared" si="41"/>
        <v>4</v>
      </c>
      <c r="E249" s="653">
        <f>1+D249</f>
        <v>5</v>
      </c>
      <c r="F249" s="653">
        <f t="shared" ref="F249:W249" si="42">1+E249</f>
        <v>6</v>
      </c>
      <c r="G249" s="653">
        <f t="shared" si="42"/>
        <v>7</v>
      </c>
      <c r="H249" s="653">
        <f t="shared" si="42"/>
        <v>8</v>
      </c>
      <c r="I249" s="653">
        <f t="shared" si="42"/>
        <v>9</v>
      </c>
      <c r="J249" s="653">
        <f t="shared" si="42"/>
        <v>10</v>
      </c>
      <c r="K249" s="653">
        <f t="shared" si="42"/>
        <v>11</v>
      </c>
      <c r="L249" s="653">
        <f t="shared" si="42"/>
        <v>12</v>
      </c>
      <c r="M249" s="653">
        <f t="shared" si="42"/>
        <v>13</v>
      </c>
      <c r="N249" s="653">
        <f t="shared" si="42"/>
        <v>14</v>
      </c>
      <c r="O249" s="653">
        <f t="shared" si="42"/>
        <v>15</v>
      </c>
      <c r="P249" s="653">
        <f t="shared" si="42"/>
        <v>16</v>
      </c>
      <c r="Q249" s="653">
        <f t="shared" si="42"/>
        <v>17</v>
      </c>
      <c r="R249" s="653">
        <f t="shared" si="42"/>
        <v>18</v>
      </c>
      <c r="S249" s="653">
        <f t="shared" si="42"/>
        <v>19</v>
      </c>
      <c r="T249" s="653">
        <f t="shared" si="42"/>
        <v>20</v>
      </c>
      <c r="U249" s="653">
        <f t="shared" si="42"/>
        <v>21</v>
      </c>
      <c r="V249" s="653">
        <f t="shared" si="42"/>
        <v>22</v>
      </c>
      <c r="W249" s="653">
        <f t="shared" si="42"/>
        <v>23</v>
      </c>
    </row>
    <row r="250" spans="1:25" s="343" customFormat="1" ht="0.65" hidden="1" customHeight="1">
      <c r="A250" s="343">
        <v>1</v>
      </c>
    </row>
    <row r="251" spans="1:25" s="343" customFormat="1" ht="0.65" hidden="1" customHeight="1">
      <c r="A251" s="343">
        <v>1001</v>
      </c>
      <c r="B251" s="343" t="s">
        <v>3362</v>
      </c>
      <c r="E251" s="343" t="s">
        <v>3363</v>
      </c>
      <c r="M251" s="863" t="s">
        <v>3363</v>
      </c>
      <c r="N251" s="863"/>
      <c r="O251" s="863"/>
      <c r="P251" s="863"/>
      <c r="Q251" s="863"/>
      <c r="R251" s="863"/>
      <c r="S251" s="863"/>
      <c r="T251" s="863"/>
      <c r="U251" s="863"/>
      <c r="V251" s="863"/>
    </row>
    <row r="252" spans="1:25" s="343" customFormat="1" ht="0.65" hidden="1" customHeight="1">
      <c r="A252" s="343">
        <v>1002</v>
      </c>
      <c r="F252" s="343" t="s">
        <v>463</v>
      </c>
      <c r="I252" s="343" t="s">
        <v>463</v>
      </c>
      <c r="M252" s="863"/>
      <c r="N252" s="865" t="s">
        <v>55</v>
      </c>
      <c r="O252" s="865" t="s">
        <v>55</v>
      </c>
      <c r="P252" s="865" t="s">
        <v>55</v>
      </c>
      <c r="Q252" s="865" t="s">
        <v>55</v>
      </c>
      <c r="R252" s="865" t="s">
        <v>55</v>
      </c>
      <c r="S252" s="865" t="s">
        <v>55</v>
      </c>
      <c r="T252" s="865" t="s">
        <v>55</v>
      </c>
      <c r="U252" s="865" t="s">
        <v>55</v>
      </c>
      <c r="V252" s="865" t="s">
        <v>55</v>
      </c>
    </row>
    <row r="253" spans="1:25" s="343" customFormat="1" ht="0.65" hidden="1" customHeight="1">
      <c r="A253" s="343">
        <v>1003</v>
      </c>
      <c r="B253" s="343" t="s">
        <v>3364</v>
      </c>
      <c r="F253" s="343" t="s">
        <v>463</v>
      </c>
      <c r="H253" s="343" t="s">
        <v>3365</v>
      </c>
      <c r="I253" s="659">
        <v>300000</v>
      </c>
      <c r="M253" s="659"/>
      <c r="N253" s="866"/>
      <c r="O253" s="866"/>
      <c r="P253" s="866"/>
      <c r="Q253" s="866"/>
      <c r="R253" s="866"/>
      <c r="S253" s="866"/>
      <c r="T253" s="866"/>
      <c r="U253" s="866"/>
      <c r="V253" s="866"/>
    </row>
    <row r="254" spans="1:25" s="343" customFormat="1" ht="0.65" hidden="1" customHeight="1">
      <c r="A254" s="343">
        <v>1004</v>
      </c>
      <c r="B254" s="343" t="s">
        <v>3366</v>
      </c>
      <c r="E254" s="343" t="s">
        <v>3367</v>
      </c>
      <c r="F254" s="343" t="s">
        <v>463</v>
      </c>
      <c r="H254" s="343" t="s">
        <v>3368</v>
      </c>
      <c r="I254" s="659">
        <v>240000</v>
      </c>
      <c r="M254" s="663"/>
      <c r="N254" s="343">
        <v>0</v>
      </c>
      <c r="O254" s="343">
        <v>0</v>
      </c>
      <c r="P254" s="343">
        <v>0</v>
      </c>
      <c r="Q254" s="343">
        <v>0</v>
      </c>
      <c r="R254" s="343">
        <v>0</v>
      </c>
      <c r="S254" s="343">
        <v>0</v>
      </c>
      <c r="T254" s="343">
        <v>0</v>
      </c>
      <c r="U254" s="343">
        <v>0</v>
      </c>
      <c r="V254" s="863">
        <v>-143000</v>
      </c>
    </row>
    <row r="255" spans="1:25" s="343" customFormat="1" ht="0.65" hidden="1" customHeight="1">
      <c r="A255" s="343">
        <v>1005</v>
      </c>
      <c r="B255" s="343" t="s">
        <v>3369</v>
      </c>
      <c r="F255" s="343" t="s">
        <v>463</v>
      </c>
      <c r="I255" s="343" t="s">
        <v>463</v>
      </c>
      <c r="M255" s="663"/>
      <c r="N255" s="863">
        <v>300000</v>
      </c>
      <c r="O255" s="863">
        <v>240000</v>
      </c>
      <c r="P255" s="863">
        <v>20000</v>
      </c>
      <c r="Q255" s="863">
        <v>40000</v>
      </c>
      <c r="R255" s="863">
        <v>12000</v>
      </c>
      <c r="S255" s="863">
        <v>28000</v>
      </c>
      <c r="T255" s="863">
        <v>48000</v>
      </c>
      <c r="U255" s="863">
        <v>48000</v>
      </c>
      <c r="V255" s="863">
        <v>48000</v>
      </c>
    </row>
    <row r="256" spans="1:25" s="343" customFormat="1" ht="0.65" hidden="1" customHeight="1">
      <c r="A256" s="343">
        <v>1006</v>
      </c>
      <c r="E256" s="343" t="s">
        <v>3370</v>
      </c>
      <c r="F256" s="659">
        <v>200000</v>
      </c>
      <c r="H256" s="343" t="s">
        <v>3371</v>
      </c>
      <c r="I256" s="653">
        <v>90</v>
      </c>
      <c r="M256" s="663"/>
      <c r="N256" s="863">
        <v>300000</v>
      </c>
      <c r="O256" s="863">
        <v>240000</v>
      </c>
      <c r="P256" s="863">
        <v>20000</v>
      </c>
      <c r="Q256" s="863">
        <v>40000</v>
      </c>
      <c r="R256" s="863">
        <v>12000</v>
      </c>
      <c r="S256" s="863">
        <v>28000</v>
      </c>
      <c r="T256" s="863">
        <v>48000</v>
      </c>
      <c r="U256" s="863">
        <v>48000</v>
      </c>
      <c r="V256" s="863">
        <v>48000</v>
      </c>
    </row>
    <row r="257" spans="1:25" s="343" customFormat="1" ht="0.65" hidden="1" customHeight="1">
      <c r="A257" s="343">
        <v>1007</v>
      </c>
      <c r="B257" s="343" t="s">
        <v>3372</v>
      </c>
      <c r="E257" s="343" t="s">
        <v>3373</v>
      </c>
      <c r="F257" s="659">
        <v>40000</v>
      </c>
      <c r="H257" s="343" t="s">
        <v>3374</v>
      </c>
      <c r="I257" s="653">
        <v>60</v>
      </c>
      <c r="M257" s="663"/>
      <c r="N257" s="863">
        <v>300000</v>
      </c>
      <c r="O257" s="863">
        <v>240000</v>
      </c>
      <c r="P257" s="863">
        <v>20000</v>
      </c>
      <c r="Q257" s="863">
        <v>40000</v>
      </c>
      <c r="R257" s="863">
        <v>12000</v>
      </c>
      <c r="S257" s="863">
        <v>28000</v>
      </c>
      <c r="T257" s="863">
        <v>48000</v>
      </c>
      <c r="U257" s="863">
        <v>48000</v>
      </c>
      <c r="V257" s="863">
        <v>48000</v>
      </c>
    </row>
    <row r="258" spans="1:25" s="343" customFormat="1" ht="0.65" hidden="1" customHeight="1">
      <c r="A258" s="343">
        <v>1008</v>
      </c>
      <c r="B258" s="343" t="s">
        <v>3375</v>
      </c>
      <c r="E258" s="343" t="s">
        <v>2886</v>
      </c>
      <c r="F258" s="659">
        <v>20000</v>
      </c>
      <c r="H258" s="343" t="s">
        <v>3376</v>
      </c>
      <c r="I258" s="653">
        <v>30</v>
      </c>
      <c r="M258" s="663"/>
      <c r="N258" s="863">
        <v>300000</v>
      </c>
      <c r="O258" s="863">
        <v>240000</v>
      </c>
      <c r="P258" s="863">
        <v>20000</v>
      </c>
      <c r="Q258" s="863">
        <v>40000</v>
      </c>
      <c r="R258" s="863">
        <v>12000</v>
      </c>
      <c r="S258" s="863">
        <v>28000</v>
      </c>
      <c r="T258" s="863">
        <v>48000</v>
      </c>
      <c r="U258" s="863">
        <v>48000</v>
      </c>
      <c r="V258" s="863">
        <v>146000</v>
      </c>
    </row>
    <row r="259" spans="1:25" s="343" customFormat="1" ht="0.65" hidden="1" customHeight="1">
      <c r="A259" s="343">
        <v>1009</v>
      </c>
      <c r="B259" s="343" t="s">
        <v>3377</v>
      </c>
      <c r="E259" s="343" t="s">
        <v>3378</v>
      </c>
      <c r="F259" s="659">
        <v>10000</v>
      </c>
      <c r="I259" s="343" t="s">
        <v>463</v>
      </c>
      <c r="N259" s="865" t="s">
        <v>55</v>
      </c>
      <c r="O259" s="865" t="s">
        <v>55</v>
      </c>
      <c r="P259" s="865" t="s">
        <v>55</v>
      </c>
      <c r="Q259" s="865" t="s">
        <v>55</v>
      </c>
      <c r="R259" s="865" t="s">
        <v>55</v>
      </c>
      <c r="T259" s="653"/>
      <c r="U259" s="653"/>
      <c r="V259" s="653"/>
      <c r="W259" s="659"/>
      <c r="X259" s="659"/>
      <c r="Y259" s="659"/>
    </row>
    <row r="260" spans="1:25" s="343" customFormat="1" ht="0.65" hidden="1" customHeight="1">
      <c r="A260" s="343">
        <v>1010</v>
      </c>
      <c r="B260" s="343" t="s">
        <v>3379</v>
      </c>
      <c r="F260" s="343" t="s">
        <v>463</v>
      </c>
      <c r="H260" s="343" t="s">
        <v>3380</v>
      </c>
      <c r="I260" s="358">
        <v>0.1</v>
      </c>
      <c r="M260" s="659"/>
      <c r="N260" s="866"/>
      <c r="O260" s="866"/>
      <c r="P260" s="866"/>
      <c r="Q260" s="866"/>
      <c r="R260" s="866"/>
      <c r="U260" s="863"/>
      <c r="V260" s="863"/>
      <c r="W260" s="863"/>
      <c r="X260" s="863"/>
      <c r="Y260" s="863"/>
    </row>
    <row r="261" spans="1:25" s="343" customFormat="1" ht="0.65" hidden="1" customHeight="1">
      <c r="A261" s="343">
        <v>1011</v>
      </c>
      <c r="F261" s="343" t="s">
        <v>463</v>
      </c>
      <c r="H261" s="343" t="s">
        <v>3381</v>
      </c>
      <c r="I261" s="358">
        <v>0.3</v>
      </c>
      <c r="M261" s="663"/>
      <c r="N261" s="863">
        <v>20000</v>
      </c>
      <c r="O261" s="863">
        <v>75000</v>
      </c>
      <c r="P261" s="863">
        <v>40000</v>
      </c>
      <c r="Q261" s="863">
        <v>55000</v>
      </c>
      <c r="R261" s="863">
        <v>55000</v>
      </c>
      <c r="U261" s="1064" t="s">
        <v>55</v>
      </c>
      <c r="V261" s="1064"/>
      <c r="W261" s="863"/>
      <c r="X261" s="863"/>
      <c r="Y261" s="863"/>
    </row>
    <row r="262" spans="1:25" s="343" customFormat="1" ht="0.65" hidden="1" customHeight="1">
      <c r="A262" s="343">
        <v>1012</v>
      </c>
      <c r="B262" s="343" t="s">
        <v>3382</v>
      </c>
      <c r="F262" s="343" t="s">
        <v>463</v>
      </c>
      <c r="I262" s="343" t="s">
        <v>463</v>
      </c>
      <c r="M262" s="663"/>
      <c r="N262" s="863">
        <v>20000</v>
      </c>
      <c r="O262" s="863">
        <v>75000</v>
      </c>
      <c r="P262" s="863">
        <v>40000</v>
      </c>
      <c r="Q262" s="863">
        <v>55000</v>
      </c>
      <c r="R262" s="863">
        <v>0</v>
      </c>
      <c r="U262" s="1064"/>
      <c r="V262" s="1064"/>
      <c r="W262" s="863"/>
      <c r="X262" s="863"/>
      <c r="Y262" s="863"/>
    </row>
    <row r="263" spans="1:25" s="343" customFormat="1" ht="0.65" hidden="1" customHeight="1">
      <c r="A263" s="343">
        <v>1013</v>
      </c>
      <c r="B263" s="343" t="s">
        <v>3383</v>
      </c>
      <c r="F263" s="343" t="s">
        <v>463</v>
      </c>
      <c r="I263" s="343" t="s">
        <v>463</v>
      </c>
      <c r="M263" s="663"/>
      <c r="N263" s="863">
        <v>20000</v>
      </c>
      <c r="O263" s="863">
        <v>75000</v>
      </c>
      <c r="P263" s="863">
        <v>40000</v>
      </c>
      <c r="Q263" s="863">
        <v>55000</v>
      </c>
      <c r="R263" s="863">
        <v>0</v>
      </c>
      <c r="U263" s="1064"/>
      <c r="V263" s="1064"/>
      <c r="W263" s="863"/>
      <c r="X263" s="863"/>
      <c r="Y263" s="863"/>
    </row>
    <row r="264" spans="1:25" s="343" customFormat="1" ht="0.65" hidden="1" customHeight="1">
      <c r="A264" s="343">
        <v>1014</v>
      </c>
      <c r="B264" s="343" t="s">
        <v>3384</v>
      </c>
      <c r="F264" s="343" t="s">
        <v>463</v>
      </c>
      <c r="I264" s="343" t="s">
        <v>463</v>
      </c>
      <c r="M264" s="663"/>
      <c r="N264" s="863">
        <v>20000</v>
      </c>
      <c r="O264" s="863">
        <v>75000</v>
      </c>
      <c r="P264" s="863">
        <v>40000</v>
      </c>
      <c r="Q264" s="863">
        <v>55000</v>
      </c>
      <c r="R264" s="863">
        <v>0</v>
      </c>
      <c r="U264" s="1064"/>
      <c r="V264" s="1064"/>
      <c r="W264" s="863"/>
      <c r="X264" s="863"/>
      <c r="Y264" s="863"/>
    </row>
    <row r="265" spans="1:25" s="343" customFormat="1" ht="0.65" hidden="1" customHeight="1">
      <c r="A265" s="343">
        <v>1015</v>
      </c>
      <c r="F265" s="343" t="s">
        <v>463</v>
      </c>
      <c r="I265" s="343" t="s">
        <v>463</v>
      </c>
      <c r="M265" s="663"/>
      <c r="N265" s="863">
        <v>20000</v>
      </c>
      <c r="O265" s="863">
        <v>75000</v>
      </c>
      <c r="P265" s="863">
        <v>40000</v>
      </c>
      <c r="Q265" s="863">
        <v>55000</v>
      </c>
      <c r="R265" s="863">
        <v>0</v>
      </c>
      <c r="T265" s="863"/>
      <c r="U265" s="863"/>
      <c r="V265" s="863"/>
      <c r="W265" s="863"/>
      <c r="X265" s="863"/>
      <c r="Y265" s="863"/>
    </row>
    <row r="266" spans="1:25" s="343" customFormat="1" ht="0.65" hidden="1" customHeight="1">
      <c r="A266" s="343">
        <v>1016</v>
      </c>
      <c r="B266" s="343" t="s">
        <v>3385</v>
      </c>
      <c r="F266" s="343" t="s">
        <v>463</v>
      </c>
      <c r="I266" s="343" t="s">
        <v>463</v>
      </c>
      <c r="M266" s="863"/>
      <c r="N266" s="653"/>
      <c r="O266" s="653"/>
      <c r="P266" s="653"/>
      <c r="Q266" s="653"/>
      <c r="R266" s="653"/>
      <c r="S266" s="653"/>
      <c r="T266" s="863"/>
      <c r="V266" s="863"/>
      <c r="W266" s="863"/>
      <c r="X266" s="863"/>
    </row>
    <row r="267" spans="1:25" s="343" customFormat="1" ht="0.65" hidden="1" customHeight="1">
      <c r="A267" s="343">
        <v>1017</v>
      </c>
      <c r="B267" s="343" t="s">
        <v>3386</v>
      </c>
      <c r="F267" s="343" t="s">
        <v>463</v>
      </c>
      <c r="I267" s="343" t="s">
        <v>463</v>
      </c>
      <c r="M267" s="863"/>
      <c r="V267" s="863"/>
      <c r="W267" s="863"/>
      <c r="X267" s="863"/>
    </row>
    <row r="268" spans="1:25" s="343" customFormat="1" ht="0.65" hidden="1" customHeight="1">
      <c r="A268" s="343">
        <v>1018</v>
      </c>
      <c r="B268" s="343" t="s">
        <v>3387</v>
      </c>
      <c r="F268" s="343" t="s">
        <v>463</v>
      </c>
      <c r="I268" s="343" t="s">
        <v>463</v>
      </c>
      <c r="N268" s="863"/>
      <c r="O268" s="863"/>
      <c r="P268" s="865" t="s">
        <v>55</v>
      </c>
      <c r="T268" s="865" t="s">
        <v>55</v>
      </c>
      <c r="W268" s="865" t="s">
        <v>55</v>
      </c>
      <c r="X268" s="863"/>
    </row>
    <row r="269" spans="1:25" s="343" customFormat="1" ht="0.65" hidden="1" customHeight="1">
      <c r="A269" s="343">
        <v>1019</v>
      </c>
      <c r="F269" s="343" t="s">
        <v>463</v>
      </c>
      <c r="I269" s="343" t="s">
        <v>463</v>
      </c>
      <c r="N269" s="1061" t="s">
        <v>3388</v>
      </c>
      <c r="O269" s="1061"/>
      <c r="P269" s="863">
        <v>88000</v>
      </c>
      <c r="R269" s="1061" t="s">
        <v>3389</v>
      </c>
      <c r="S269" s="1061"/>
      <c r="T269" s="863">
        <v>55000</v>
      </c>
      <c r="X269" s="863"/>
    </row>
    <row r="270" spans="1:25" s="343" customFormat="1" ht="0.65" hidden="1" customHeight="1">
      <c r="A270" s="343">
        <v>1020</v>
      </c>
      <c r="B270" s="343" t="s">
        <v>3390</v>
      </c>
      <c r="F270" s="343" t="s">
        <v>463</v>
      </c>
      <c r="I270" s="343" t="s">
        <v>463</v>
      </c>
      <c r="M270" s="863"/>
      <c r="N270" s="1061" t="s">
        <v>3391</v>
      </c>
      <c r="O270" s="1061"/>
      <c r="P270" s="863">
        <v>55000</v>
      </c>
      <c r="R270" s="1061" t="s">
        <v>3392</v>
      </c>
      <c r="S270" s="1061"/>
      <c r="T270" s="863">
        <v>43000</v>
      </c>
      <c r="V270" s="662"/>
      <c r="W270" s="358">
        <v>0.1</v>
      </c>
      <c r="X270" s="863"/>
    </row>
    <row r="271" spans="1:25" s="343" customFormat="1" ht="0.65" hidden="1" customHeight="1">
      <c r="A271" s="343">
        <v>1021</v>
      </c>
      <c r="F271" s="343" t="s">
        <v>463</v>
      </c>
      <c r="I271" s="343" t="s">
        <v>463</v>
      </c>
      <c r="M271" s="863"/>
      <c r="N271" s="1061"/>
      <c r="O271" s="1061"/>
      <c r="P271" s="863"/>
      <c r="R271" s="1061"/>
      <c r="S271" s="1061"/>
      <c r="T271" s="863"/>
    </row>
    <row r="272" spans="1:25" s="343" customFormat="1" ht="0.65" hidden="1" customHeight="1">
      <c r="A272" s="343">
        <v>1022</v>
      </c>
      <c r="B272" s="343" t="s">
        <v>3393</v>
      </c>
      <c r="F272" s="343" t="s">
        <v>463</v>
      </c>
      <c r="I272" s="343" t="s">
        <v>463</v>
      </c>
      <c r="M272" s="863"/>
      <c r="N272" s="1061"/>
      <c r="O272" s="1061"/>
      <c r="P272" s="863"/>
      <c r="R272" s="1061"/>
      <c r="S272" s="1061"/>
      <c r="T272" s="863"/>
      <c r="X272" s="863"/>
      <c r="Y272" s="863"/>
    </row>
    <row r="273" spans="1:25" s="343" customFormat="1" ht="0.65" hidden="1" customHeight="1">
      <c r="A273" s="343">
        <v>1023</v>
      </c>
      <c r="F273" s="343" t="s">
        <v>463</v>
      </c>
      <c r="I273" s="343" t="s">
        <v>463</v>
      </c>
      <c r="M273" s="863"/>
      <c r="N273" s="867"/>
      <c r="Q273" s="863"/>
      <c r="R273" s="868"/>
      <c r="S273" s="863"/>
      <c r="T273" s="863"/>
      <c r="U273" s="863"/>
      <c r="V273" s="662"/>
      <c r="W273" s="659">
        <v>76088.860050542949</v>
      </c>
      <c r="X273" s="863"/>
      <c r="Y273" s="863"/>
    </row>
    <row r="274" spans="1:25" s="343" customFormat="1" ht="0.65" hidden="1" customHeight="1">
      <c r="A274" s="343">
        <v>1024</v>
      </c>
      <c r="F274" s="343" t="s">
        <v>463</v>
      </c>
      <c r="I274" s="343" t="s">
        <v>463</v>
      </c>
      <c r="M274" s="863"/>
      <c r="N274" s="1062" t="s">
        <v>129</v>
      </c>
      <c r="O274" s="1062"/>
      <c r="P274" s="863">
        <v>143000</v>
      </c>
      <c r="Q274" s="863"/>
      <c r="R274" s="1062" t="s">
        <v>3394</v>
      </c>
      <c r="S274" s="1062"/>
      <c r="T274" s="863">
        <v>98000</v>
      </c>
      <c r="V274" s="869"/>
      <c r="W274" s="358">
        <v>0.2836182382173551</v>
      </c>
      <c r="X274" s="863"/>
      <c r="Y274" s="863"/>
    </row>
    <row r="275" spans="1:25" s="343" customFormat="1" ht="0.65" hidden="1" customHeight="1">
      <c r="A275" s="343">
        <v>1025</v>
      </c>
      <c r="F275" s="343" t="s">
        <v>463</v>
      </c>
      <c r="I275" s="343" t="s">
        <v>463</v>
      </c>
      <c r="N275" s="863"/>
      <c r="P275" s="653"/>
      <c r="T275" s="653"/>
      <c r="W275" s="653"/>
      <c r="X275" s="863"/>
      <c r="Y275" s="863"/>
    </row>
    <row r="276" spans="1:25" s="343" customFormat="1" ht="0.65" hidden="1" customHeight="1">
      <c r="A276" s="343">
        <v>1026</v>
      </c>
      <c r="F276" s="343" t="s">
        <v>463</v>
      </c>
      <c r="I276" s="343" t="s">
        <v>463</v>
      </c>
      <c r="X276" s="863"/>
      <c r="Y276" s="863"/>
    </row>
    <row r="277" spans="1:25" s="343" customFormat="1" ht="0.65" hidden="1" customHeight="1">
      <c r="A277" s="343">
        <v>1027</v>
      </c>
      <c r="F277" s="343" t="s">
        <v>463</v>
      </c>
      <c r="I277" s="343" t="s">
        <v>463</v>
      </c>
      <c r="X277" s="863"/>
      <c r="Y277" s="863"/>
    </row>
    <row r="278" spans="1:25" s="343" customFormat="1" ht="0.65" hidden="1" customHeight="1">
      <c r="A278" s="343">
        <v>1028</v>
      </c>
      <c r="F278" s="343" t="s">
        <v>463</v>
      </c>
      <c r="I278" s="343" t="s">
        <v>463</v>
      </c>
      <c r="X278" s="863"/>
      <c r="Y278" s="863"/>
    </row>
    <row r="279" spans="1:25" s="343" customFormat="1" ht="0.65" hidden="1" customHeight="1">
      <c r="A279" s="343">
        <v>1029</v>
      </c>
      <c r="F279" s="343" t="s">
        <v>463</v>
      </c>
      <c r="I279" s="343" t="s">
        <v>463</v>
      </c>
      <c r="X279" s="863"/>
      <c r="Y279" s="863"/>
    </row>
    <row r="280" spans="1:25" s="343" customFormat="1" ht="0.65" hidden="1" customHeight="1">
      <c r="A280" s="343">
        <v>1030</v>
      </c>
      <c r="F280" s="343" t="s">
        <v>463</v>
      </c>
      <c r="I280" s="343" t="s">
        <v>463</v>
      </c>
      <c r="X280" s="863"/>
      <c r="Y280" s="863"/>
    </row>
    <row r="281" spans="1:25" s="343" customFormat="1" ht="0.65" hidden="1" customHeight="1">
      <c r="A281" s="343">
        <v>1031</v>
      </c>
      <c r="F281" s="343" t="s">
        <v>463</v>
      </c>
      <c r="I281" s="343" t="s">
        <v>463</v>
      </c>
      <c r="X281" s="863"/>
      <c r="Y281" s="863"/>
    </row>
    <row r="282" spans="1:25" s="343" customFormat="1" ht="0.65" hidden="1" customHeight="1">
      <c r="A282" s="343">
        <v>1032</v>
      </c>
      <c r="F282" s="343" t="s">
        <v>463</v>
      </c>
      <c r="I282" s="343" t="s">
        <v>463</v>
      </c>
      <c r="X282" s="863"/>
      <c r="Y282" s="863"/>
    </row>
    <row r="283" spans="1:25" s="343" customFormat="1" ht="0.65" hidden="1" customHeight="1">
      <c r="A283" s="343">
        <v>1033</v>
      </c>
      <c r="F283" s="343" t="s">
        <v>463</v>
      </c>
      <c r="I283" s="343" t="s">
        <v>463</v>
      </c>
      <c r="X283" s="863"/>
      <c r="Y283" s="863"/>
    </row>
    <row r="284" spans="1:25" s="343" customFormat="1" ht="0.65" hidden="1" customHeight="1">
      <c r="A284" s="343">
        <v>1034</v>
      </c>
      <c r="F284" s="343" t="s">
        <v>463</v>
      </c>
      <c r="I284" s="343" t="s">
        <v>463</v>
      </c>
      <c r="X284" s="863"/>
      <c r="Y284" s="863"/>
    </row>
    <row r="285" spans="1:25" s="343" customFormat="1" ht="0.65" hidden="1" customHeight="1">
      <c r="A285" s="343">
        <v>1035</v>
      </c>
      <c r="F285" s="343" t="s">
        <v>463</v>
      </c>
      <c r="I285" s="343" t="s">
        <v>463</v>
      </c>
      <c r="X285" s="863"/>
      <c r="Y285" s="863"/>
    </row>
    <row r="286" spans="1:25" s="343" customFormat="1" ht="0.65" hidden="1" customHeight="1">
      <c r="A286" s="343">
        <v>1036</v>
      </c>
      <c r="F286" s="343" t="s">
        <v>463</v>
      </c>
      <c r="I286" s="343" t="s">
        <v>463</v>
      </c>
      <c r="X286" s="863"/>
      <c r="Y286" s="863"/>
    </row>
    <row r="287" spans="1:25" s="343" customFormat="1" ht="0.65" hidden="1" customHeight="1">
      <c r="A287" s="343">
        <v>1037</v>
      </c>
      <c r="F287" s="343" t="s">
        <v>463</v>
      </c>
      <c r="I287" s="343" t="s">
        <v>463</v>
      </c>
      <c r="X287" s="863"/>
      <c r="Y287" s="863"/>
    </row>
    <row r="288" spans="1:25" s="343" customFormat="1" ht="0.65" hidden="1" customHeight="1">
      <c r="A288" s="343">
        <v>1038</v>
      </c>
      <c r="F288" s="343" t="s">
        <v>463</v>
      </c>
      <c r="I288" s="343" t="s">
        <v>463</v>
      </c>
      <c r="X288" s="863"/>
      <c r="Y288" s="863"/>
    </row>
    <row r="289" spans="1:25" s="343" customFormat="1" ht="0.65" hidden="1" customHeight="1">
      <c r="A289" s="343">
        <v>1039</v>
      </c>
      <c r="X289" s="863"/>
      <c r="Y289" s="863"/>
    </row>
    <row r="290" spans="1:25" s="343" customFormat="1" ht="0.65" hidden="1" customHeight="1">
      <c r="A290" s="343">
        <v>1040</v>
      </c>
      <c r="P290" s="343" t="s">
        <v>3395</v>
      </c>
      <c r="Q290" s="343" t="s">
        <v>320</v>
      </c>
      <c r="R290" s="343" t="s">
        <v>318</v>
      </c>
      <c r="S290" s="343" t="s">
        <v>3396</v>
      </c>
      <c r="T290" s="343" t="s">
        <v>3397</v>
      </c>
      <c r="X290" s="863"/>
      <c r="Y290" s="863"/>
    </row>
    <row r="291" spans="1:25" s="343" customFormat="1" ht="0.65" hidden="1" customHeight="1">
      <c r="A291" s="343">
        <v>1041</v>
      </c>
      <c r="M291" s="343">
        <v>0</v>
      </c>
      <c r="O291" s="343">
        <v>1</v>
      </c>
      <c r="P291" s="343" t="s">
        <v>3388</v>
      </c>
      <c r="R291" s="863">
        <v>88000</v>
      </c>
      <c r="S291" s="343" t="s">
        <v>3398</v>
      </c>
      <c r="T291" s="343" t="s">
        <v>3399</v>
      </c>
      <c r="X291" s="863"/>
      <c r="Y291" s="863"/>
    </row>
    <row r="292" spans="1:25" s="343" customFormat="1" ht="0.65" hidden="1" customHeight="1">
      <c r="A292" s="343">
        <v>1042</v>
      </c>
      <c r="O292" s="343">
        <v>2</v>
      </c>
      <c r="P292" s="343" t="s">
        <v>3391</v>
      </c>
      <c r="R292" s="863">
        <v>55000</v>
      </c>
      <c r="S292" s="343" t="s">
        <v>3400</v>
      </c>
      <c r="T292" s="343" t="s">
        <v>3401</v>
      </c>
      <c r="X292" s="863"/>
      <c r="Y292" s="863"/>
    </row>
    <row r="293" spans="1:25" s="343" customFormat="1" ht="0.65" hidden="1" customHeight="1">
      <c r="A293" s="343">
        <v>1043</v>
      </c>
      <c r="O293" s="343">
        <v>3</v>
      </c>
      <c r="P293" s="343" t="s">
        <v>55</v>
      </c>
      <c r="R293" s="863" t="s">
        <v>55</v>
      </c>
      <c r="X293" s="863"/>
      <c r="Y293" s="863"/>
    </row>
    <row r="294" spans="1:25" s="343" customFormat="1" ht="0.65" hidden="1" customHeight="1">
      <c r="A294" s="343">
        <v>1044</v>
      </c>
      <c r="O294" s="343">
        <v>4</v>
      </c>
      <c r="P294" s="343" t="s">
        <v>55</v>
      </c>
      <c r="R294" s="863" t="s">
        <v>55</v>
      </c>
      <c r="X294" s="863"/>
      <c r="Y294" s="863"/>
    </row>
    <row r="295" spans="1:25" s="343" customFormat="1" ht="0.65" hidden="1" customHeight="1">
      <c r="A295" s="343">
        <v>1045</v>
      </c>
      <c r="O295" s="343">
        <v>5</v>
      </c>
      <c r="P295" s="343" t="s">
        <v>129</v>
      </c>
      <c r="R295" s="863">
        <v>143000</v>
      </c>
      <c r="S295" s="343" t="s">
        <v>3402</v>
      </c>
      <c r="T295" s="343" t="s">
        <v>3403</v>
      </c>
      <c r="X295" s="863"/>
      <c r="Y295" s="863"/>
    </row>
    <row r="296" spans="1:25" s="343" customFormat="1" ht="0.65" hidden="1" customHeight="1">
      <c r="A296" s="343">
        <v>1046</v>
      </c>
      <c r="O296" s="343">
        <v>6</v>
      </c>
      <c r="P296" s="343" t="s">
        <v>3404</v>
      </c>
      <c r="R296" s="863">
        <v>300000</v>
      </c>
      <c r="S296" s="343" t="s">
        <v>3405</v>
      </c>
      <c r="T296" s="343" t="s">
        <v>3406</v>
      </c>
      <c r="X296" s="863"/>
      <c r="Y296" s="863"/>
    </row>
    <row r="297" spans="1:25" s="343" customFormat="1" ht="0.65" hidden="1" customHeight="1">
      <c r="A297" s="343">
        <v>1047</v>
      </c>
      <c r="O297" s="343">
        <v>7</v>
      </c>
      <c r="P297" s="343" t="s">
        <v>3407</v>
      </c>
      <c r="R297" s="863">
        <v>300000</v>
      </c>
      <c r="S297" s="343" t="s">
        <v>3405</v>
      </c>
      <c r="T297" s="343" t="s">
        <v>3406</v>
      </c>
      <c r="X297" s="863"/>
      <c r="Y297" s="863"/>
    </row>
    <row r="298" spans="1:25" s="343" customFormat="1" ht="0.65" hidden="1" customHeight="1">
      <c r="A298" s="343">
        <v>1048</v>
      </c>
      <c r="O298" s="343">
        <v>8</v>
      </c>
      <c r="P298" s="343" t="s">
        <v>3408</v>
      </c>
      <c r="R298" s="863">
        <v>300000</v>
      </c>
      <c r="S298" s="343" t="s">
        <v>3405</v>
      </c>
      <c r="T298" s="343" t="s">
        <v>3406</v>
      </c>
      <c r="X298" s="863"/>
      <c r="Y298" s="863"/>
    </row>
    <row r="299" spans="1:25" s="343" customFormat="1" ht="0.65" hidden="1" customHeight="1">
      <c r="A299" s="343">
        <v>1049</v>
      </c>
      <c r="O299" s="343">
        <v>9</v>
      </c>
      <c r="P299" s="343" t="s">
        <v>3409</v>
      </c>
      <c r="R299" s="863">
        <v>300000</v>
      </c>
      <c r="S299" s="343" t="s">
        <v>3405</v>
      </c>
      <c r="T299" s="343" t="s">
        <v>3406</v>
      </c>
      <c r="X299" s="863"/>
      <c r="Y299" s="863"/>
    </row>
    <row r="300" spans="1:25" s="343" customFormat="1" ht="0.65" hidden="1" customHeight="1">
      <c r="A300" s="343">
        <v>1050</v>
      </c>
      <c r="O300" s="343">
        <v>10</v>
      </c>
      <c r="P300" s="343" t="s">
        <v>3410</v>
      </c>
      <c r="R300" s="863">
        <v>240000</v>
      </c>
      <c r="S300" s="343" t="s">
        <v>3411</v>
      </c>
      <c r="T300" s="343" t="s">
        <v>3412</v>
      </c>
      <c r="X300" s="863"/>
      <c r="Y300" s="863"/>
    </row>
    <row r="301" spans="1:25" s="343" customFormat="1" ht="0.65" hidden="1" customHeight="1">
      <c r="A301" s="343">
        <v>1051</v>
      </c>
      <c r="O301" s="343">
        <v>11</v>
      </c>
      <c r="P301" s="343" t="s">
        <v>3413</v>
      </c>
      <c r="R301" s="863">
        <v>240000</v>
      </c>
      <c r="S301" s="343" t="s">
        <v>3411</v>
      </c>
      <c r="T301" s="343" t="s">
        <v>3412</v>
      </c>
      <c r="X301" s="863"/>
      <c r="Y301" s="863"/>
    </row>
    <row r="302" spans="1:25" s="343" customFormat="1" ht="0.65" hidden="1" customHeight="1">
      <c r="A302" s="343">
        <v>1052</v>
      </c>
      <c r="O302" s="343">
        <v>12</v>
      </c>
      <c r="P302" s="343" t="s">
        <v>3414</v>
      </c>
      <c r="R302" s="863">
        <v>240000</v>
      </c>
      <c r="S302" s="343" t="s">
        <v>3411</v>
      </c>
      <c r="T302" s="343" t="s">
        <v>3412</v>
      </c>
      <c r="X302" s="863"/>
      <c r="Y302" s="863"/>
    </row>
    <row r="303" spans="1:25" s="343" customFormat="1" ht="0.65" hidden="1" customHeight="1">
      <c r="A303" s="343">
        <v>1053</v>
      </c>
      <c r="O303" s="343">
        <v>13</v>
      </c>
      <c r="P303" s="343" t="s">
        <v>3415</v>
      </c>
      <c r="R303" s="863">
        <v>240000</v>
      </c>
      <c r="S303" s="343" t="s">
        <v>3411</v>
      </c>
      <c r="T303" s="343" t="s">
        <v>3412</v>
      </c>
      <c r="X303" s="863"/>
      <c r="Y303" s="863"/>
    </row>
    <row r="304" spans="1:25" s="343" customFormat="1" ht="0.65" hidden="1" customHeight="1">
      <c r="A304" s="343">
        <v>1054</v>
      </c>
      <c r="O304" s="343">
        <v>14</v>
      </c>
      <c r="P304" s="343" t="s">
        <v>3416</v>
      </c>
      <c r="R304" s="863">
        <v>20000</v>
      </c>
      <c r="S304" s="343" t="s">
        <v>3417</v>
      </c>
      <c r="T304" s="343" t="s">
        <v>3418</v>
      </c>
      <c r="X304" s="863"/>
      <c r="Y304" s="863"/>
    </row>
    <row r="305" spans="1:25" s="343" customFormat="1" ht="0.65" hidden="1" customHeight="1">
      <c r="A305" s="343">
        <v>1055</v>
      </c>
      <c r="O305" s="343">
        <v>15</v>
      </c>
      <c r="P305" s="343" t="s">
        <v>3419</v>
      </c>
      <c r="R305" s="863">
        <v>20000</v>
      </c>
      <c r="S305" s="343" t="s">
        <v>3417</v>
      </c>
      <c r="T305" s="343" t="s">
        <v>3418</v>
      </c>
      <c r="X305" s="863"/>
      <c r="Y305" s="863"/>
    </row>
    <row r="306" spans="1:25" s="343" customFormat="1" ht="0.65" hidden="1" customHeight="1">
      <c r="A306" s="343">
        <v>1056</v>
      </c>
      <c r="O306" s="343">
        <v>16</v>
      </c>
      <c r="P306" s="343" t="s">
        <v>3420</v>
      </c>
      <c r="R306" s="863">
        <v>20000</v>
      </c>
      <c r="S306" s="343" t="s">
        <v>3417</v>
      </c>
      <c r="T306" s="343" t="s">
        <v>3418</v>
      </c>
      <c r="X306" s="863"/>
      <c r="Y306" s="863"/>
    </row>
    <row r="307" spans="1:25" s="343" customFormat="1" ht="0.65" hidden="1" customHeight="1">
      <c r="A307" s="343">
        <v>1057</v>
      </c>
      <c r="O307" s="343">
        <v>17</v>
      </c>
      <c r="P307" s="343" t="s">
        <v>3421</v>
      </c>
      <c r="R307" s="863">
        <v>20000</v>
      </c>
      <c r="S307" s="343" t="s">
        <v>3417</v>
      </c>
      <c r="T307" s="343" t="s">
        <v>3418</v>
      </c>
      <c r="X307" s="863"/>
      <c r="Y307" s="863"/>
    </row>
    <row r="308" spans="1:25" s="343" customFormat="1" ht="0.65" hidden="1" customHeight="1">
      <c r="A308" s="343">
        <v>1058</v>
      </c>
      <c r="O308" s="343">
        <v>18</v>
      </c>
      <c r="P308" s="343" t="s">
        <v>3422</v>
      </c>
      <c r="R308" s="863">
        <v>40000</v>
      </c>
      <c r="S308" s="343" t="s">
        <v>3423</v>
      </c>
      <c r="T308" s="343" t="s">
        <v>3424</v>
      </c>
      <c r="X308" s="863"/>
      <c r="Y308" s="863"/>
    </row>
    <row r="309" spans="1:25" s="343" customFormat="1" ht="0.65" hidden="1" customHeight="1">
      <c r="A309" s="343">
        <v>1059</v>
      </c>
      <c r="O309" s="343">
        <v>19</v>
      </c>
      <c r="P309" s="343" t="s">
        <v>3425</v>
      </c>
      <c r="R309" s="863">
        <v>40000</v>
      </c>
      <c r="S309" s="343" t="s">
        <v>3423</v>
      </c>
      <c r="T309" s="343" t="s">
        <v>3426</v>
      </c>
      <c r="X309" s="863"/>
      <c r="Y309" s="863"/>
    </row>
    <row r="310" spans="1:25" s="343" customFormat="1" ht="0.65" hidden="1" customHeight="1">
      <c r="A310" s="343">
        <v>1060</v>
      </c>
      <c r="O310" s="343">
        <v>20</v>
      </c>
      <c r="P310" s="343" t="s">
        <v>3427</v>
      </c>
      <c r="R310" s="863">
        <v>40000</v>
      </c>
      <c r="S310" s="343" t="s">
        <v>3423</v>
      </c>
      <c r="T310" s="343" t="s">
        <v>3428</v>
      </c>
      <c r="X310" s="863"/>
      <c r="Y310" s="863"/>
    </row>
    <row r="311" spans="1:25" s="343" customFormat="1" ht="0.65" hidden="1" customHeight="1">
      <c r="A311" s="343">
        <v>1061</v>
      </c>
      <c r="O311" s="343">
        <v>21</v>
      </c>
      <c r="P311" s="343" t="s">
        <v>3429</v>
      </c>
      <c r="R311" s="863">
        <v>40000</v>
      </c>
      <c r="S311" s="343" t="s">
        <v>3423</v>
      </c>
      <c r="T311" s="343" t="s">
        <v>3430</v>
      </c>
      <c r="X311" s="863"/>
      <c r="Y311" s="863"/>
    </row>
    <row r="312" spans="1:25" s="343" customFormat="1" ht="0.65" hidden="1" customHeight="1">
      <c r="A312" s="343">
        <v>1062</v>
      </c>
      <c r="O312" s="343">
        <v>22</v>
      </c>
      <c r="P312" s="343" t="s">
        <v>3431</v>
      </c>
      <c r="R312" s="863">
        <v>12000</v>
      </c>
      <c r="S312" s="343" t="s">
        <v>3432</v>
      </c>
      <c r="T312" s="343" t="s">
        <v>3433</v>
      </c>
      <c r="X312" s="863"/>
      <c r="Y312" s="863"/>
    </row>
    <row r="313" spans="1:25" s="343" customFormat="1" ht="0.65" hidden="1" customHeight="1">
      <c r="A313" s="343">
        <v>1063</v>
      </c>
      <c r="O313" s="343">
        <v>23</v>
      </c>
      <c r="P313" s="343" t="s">
        <v>3434</v>
      </c>
      <c r="R313" s="863">
        <v>12000</v>
      </c>
      <c r="S313" s="343" t="s">
        <v>3432</v>
      </c>
      <c r="T313" s="343" t="s">
        <v>3435</v>
      </c>
      <c r="X313" s="863"/>
      <c r="Y313" s="863"/>
    </row>
    <row r="314" spans="1:25" s="343" customFormat="1" ht="0.65" hidden="1" customHeight="1">
      <c r="A314" s="343">
        <v>1064</v>
      </c>
      <c r="O314" s="343">
        <v>24</v>
      </c>
      <c r="P314" s="343" t="s">
        <v>3436</v>
      </c>
      <c r="R314" s="863">
        <v>12000</v>
      </c>
      <c r="S314" s="343" t="s">
        <v>3432</v>
      </c>
      <c r="T314" s="343" t="s">
        <v>3437</v>
      </c>
      <c r="X314" s="863"/>
      <c r="Y314" s="863"/>
    </row>
    <row r="315" spans="1:25" s="343" customFormat="1" ht="0.65" hidden="1" customHeight="1">
      <c r="A315" s="343">
        <v>1065</v>
      </c>
      <c r="O315" s="343">
        <v>25</v>
      </c>
      <c r="P315" s="343" t="s">
        <v>3438</v>
      </c>
      <c r="R315" s="863">
        <v>12000</v>
      </c>
      <c r="S315" s="343" t="s">
        <v>3432</v>
      </c>
      <c r="T315" s="343" t="s">
        <v>3439</v>
      </c>
      <c r="X315" s="863"/>
      <c r="Y315" s="863"/>
    </row>
    <row r="316" spans="1:25" s="343" customFormat="1" ht="0.65" hidden="1" customHeight="1">
      <c r="A316" s="343">
        <v>1066</v>
      </c>
      <c r="O316" s="343">
        <v>26</v>
      </c>
      <c r="P316" s="343" t="s">
        <v>3440</v>
      </c>
      <c r="R316" s="863">
        <v>28000</v>
      </c>
      <c r="S316" s="343" t="s">
        <v>3441</v>
      </c>
      <c r="T316" s="343" t="s">
        <v>3442</v>
      </c>
      <c r="X316" s="863"/>
      <c r="Y316" s="863"/>
    </row>
    <row r="317" spans="1:25" s="343" customFormat="1" ht="0.65" hidden="1" customHeight="1">
      <c r="A317" s="343">
        <v>1067</v>
      </c>
      <c r="O317" s="343">
        <v>27</v>
      </c>
      <c r="P317" s="343" t="s">
        <v>3443</v>
      </c>
      <c r="R317" s="863">
        <v>28000</v>
      </c>
      <c r="S317" s="343" t="s">
        <v>3441</v>
      </c>
      <c r="T317" s="343" t="s">
        <v>3444</v>
      </c>
      <c r="X317" s="863"/>
      <c r="Y317" s="863"/>
    </row>
    <row r="318" spans="1:25" s="343" customFormat="1" ht="0.65" hidden="1" customHeight="1">
      <c r="A318" s="343">
        <v>1068</v>
      </c>
      <c r="O318" s="343">
        <v>28</v>
      </c>
      <c r="P318" s="343" t="s">
        <v>3445</v>
      </c>
      <c r="R318" s="863">
        <v>28000</v>
      </c>
      <c r="S318" s="343" t="s">
        <v>3441</v>
      </c>
      <c r="T318" s="343" t="s">
        <v>3446</v>
      </c>
      <c r="X318" s="863"/>
      <c r="Y318" s="863"/>
    </row>
    <row r="319" spans="1:25" s="343" customFormat="1" ht="0.65" hidden="1" customHeight="1">
      <c r="A319" s="343">
        <v>1069</v>
      </c>
      <c r="O319" s="343">
        <v>29</v>
      </c>
      <c r="P319" s="343" t="s">
        <v>3447</v>
      </c>
      <c r="R319" s="863">
        <v>28000</v>
      </c>
      <c r="S319" s="343" t="s">
        <v>3441</v>
      </c>
      <c r="T319" s="343" t="s">
        <v>3448</v>
      </c>
      <c r="X319" s="863"/>
      <c r="Y319" s="863"/>
    </row>
    <row r="320" spans="1:25" s="343" customFormat="1" ht="0.65" hidden="1" customHeight="1">
      <c r="A320" s="343">
        <v>1070</v>
      </c>
      <c r="O320" s="343">
        <v>30</v>
      </c>
      <c r="P320" s="343" t="s">
        <v>3449</v>
      </c>
      <c r="R320" s="863">
        <v>48000</v>
      </c>
      <c r="S320" s="863" t="s">
        <v>3450</v>
      </c>
      <c r="T320" s="343" t="s">
        <v>3451</v>
      </c>
      <c r="X320" s="863"/>
      <c r="Y320" s="863"/>
    </row>
    <row r="321" spans="1:25" s="343" customFormat="1" ht="0.65" hidden="1" customHeight="1">
      <c r="A321" s="343">
        <v>1071</v>
      </c>
      <c r="O321" s="343">
        <v>31</v>
      </c>
      <c r="P321" s="343" t="s">
        <v>3452</v>
      </c>
      <c r="R321" s="863">
        <v>48000</v>
      </c>
      <c r="S321" s="863" t="s">
        <v>3450</v>
      </c>
      <c r="T321" s="343" t="s">
        <v>3453</v>
      </c>
      <c r="X321" s="863"/>
      <c r="Y321" s="863"/>
    </row>
    <row r="322" spans="1:25" s="343" customFormat="1" ht="0.65" hidden="1" customHeight="1">
      <c r="A322" s="343">
        <v>1072</v>
      </c>
      <c r="O322" s="343">
        <v>32</v>
      </c>
      <c r="P322" s="343" t="s">
        <v>3454</v>
      </c>
      <c r="R322" s="863">
        <v>48000</v>
      </c>
      <c r="S322" s="863" t="s">
        <v>3450</v>
      </c>
      <c r="T322" s="343" t="s">
        <v>3455</v>
      </c>
      <c r="X322" s="863"/>
      <c r="Y322" s="863"/>
    </row>
    <row r="323" spans="1:25" s="343" customFormat="1" ht="0.65" hidden="1" customHeight="1">
      <c r="A323" s="343">
        <v>1073</v>
      </c>
      <c r="O323" s="343">
        <v>33</v>
      </c>
      <c r="P323" s="343" t="s">
        <v>3456</v>
      </c>
      <c r="R323" s="863">
        <v>48000</v>
      </c>
      <c r="S323" s="863" t="s">
        <v>3450</v>
      </c>
      <c r="T323" s="343" t="s">
        <v>3457</v>
      </c>
      <c r="X323" s="863"/>
      <c r="Y323" s="863"/>
    </row>
    <row r="324" spans="1:25" s="343" customFormat="1" ht="0.65" hidden="1" customHeight="1">
      <c r="A324" s="343">
        <v>1074</v>
      </c>
      <c r="O324" s="343">
        <v>34</v>
      </c>
      <c r="P324" s="343" t="s">
        <v>3458</v>
      </c>
      <c r="R324" s="863">
        <v>20000</v>
      </c>
      <c r="S324" s="343" t="s">
        <v>3459</v>
      </c>
      <c r="T324" s="343" t="s">
        <v>3460</v>
      </c>
      <c r="X324" s="863"/>
      <c r="Y324" s="863"/>
    </row>
    <row r="325" spans="1:25" s="343" customFormat="1" ht="0.65" hidden="1" customHeight="1">
      <c r="A325" s="343">
        <v>1075</v>
      </c>
      <c r="O325" s="343">
        <v>35</v>
      </c>
      <c r="P325" s="343" t="s">
        <v>3461</v>
      </c>
      <c r="R325" s="863">
        <v>20000</v>
      </c>
      <c r="S325" s="863" t="s">
        <v>3459</v>
      </c>
      <c r="T325" s="343" t="s">
        <v>3462</v>
      </c>
      <c r="X325" s="863"/>
      <c r="Y325" s="863"/>
    </row>
    <row r="326" spans="1:25" s="343" customFormat="1" ht="0.65" hidden="1" customHeight="1">
      <c r="A326" s="343">
        <v>1076</v>
      </c>
      <c r="O326" s="343">
        <v>36</v>
      </c>
      <c r="P326" s="343" t="s">
        <v>3463</v>
      </c>
      <c r="R326" s="863">
        <v>20000</v>
      </c>
      <c r="S326" s="863" t="s">
        <v>3459</v>
      </c>
      <c r="T326" s="343" t="s">
        <v>3464</v>
      </c>
      <c r="X326" s="863"/>
      <c r="Y326" s="863"/>
    </row>
    <row r="327" spans="1:25" s="343" customFormat="1" ht="0.65" hidden="1" customHeight="1">
      <c r="A327" s="343">
        <v>1077</v>
      </c>
      <c r="O327" s="343">
        <v>37</v>
      </c>
      <c r="P327" s="343" t="s">
        <v>3465</v>
      </c>
      <c r="R327" s="863">
        <v>20000</v>
      </c>
      <c r="S327" s="863" t="s">
        <v>3459</v>
      </c>
      <c r="T327" s="343" t="s">
        <v>3466</v>
      </c>
      <c r="X327" s="863"/>
      <c r="Y327" s="863"/>
    </row>
    <row r="328" spans="1:25" s="343" customFormat="1" ht="0.65" hidden="1" customHeight="1">
      <c r="A328" s="343">
        <v>1078</v>
      </c>
      <c r="O328" s="343">
        <v>38</v>
      </c>
      <c r="P328" s="343" t="s">
        <v>3467</v>
      </c>
      <c r="R328" s="863">
        <v>20000</v>
      </c>
      <c r="S328" s="863" t="s">
        <v>3459</v>
      </c>
      <c r="T328" s="343" t="s">
        <v>3466</v>
      </c>
      <c r="X328" s="863"/>
      <c r="Y328" s="863"/>
    </row>
    <row r="329" spans="1:25" s="343" customFormat="1" ht="0.65" hidden="1" customHeight="1">
      <c r="A329" s="343">
        <v>1079</v>
      </c>
      <c r="O329" s="343">
        <v>39</v>
      </c>
      <c r="P329" s="343" t="s">
        <v>3468</v>
      </c>
      <c r="R329" s="863">
        <v>75000</v>
      </c>
      <c r="S329" s="343" t="s">
        <v>3469</v>
      </c>
      <c r="T329" s="343" t="s">
        <v>3470</v>
      </c>
      <c r="X329" s="863"/>
      <c r="Y329" s="863"/>
    </row>
    <row r="330" spans="1:25" s="343" customFormat="1" ht="0.65" hidden="1" customHeight="1">
      <c r="A330" s="343">
        <v>1080</v>
      </c>
      <c r="O330" s="343">
        <v>40</v>
      </c>
      <c r="P330" s="343" t="s">
        <v>3471</v>
      </c>
      <c r="R330" s="863">
        <v>75000</v>
      </c>
      <c r="S330" s="863" t="s">
        <v>3469</v>
      </c>
      <c r="T330" s="343" t="s">
        <v>3472</v>
      </c>
      <c r="X330" s="863"/>
      <c r="Y330" s="863"/>
    </row>
    <row r="331" spans="1:25" s="343" customFormat="1" ht="0.65" hidden="1" customHeight="1">
      <c r="A331" s="343">
        <v>1081</v>
      </c>
      <c r="O331" s="343">
        <v>41</v>
      </c>
      <c r="P331" s="343" t="s">
        <v>3473</v>
      </c>
      <c r="R331" s="863">
        <v>75000</v>
      </c>
      <c r="S331" s="863" t="s">
        <v>3469</v>
      </c>
      <c r="T331" s="343" t="s">
        <v>3474</v>
      </c>
      <c r="X331" s="863"/>
      <c r="Y331" s="863"/>
    </row>
    <row r="332" spans="1:25" s="343" customFormat="1" ht="0.65" hidden="1" customHeight="1">
      <c r="A332" s="343">
        <v>1082</v>
      </c>
      <c r="O332" s="343">
        <v>42</v>
      </c>
      <c r="P332" s="343" t="s">
        <v>3475</v>
      </c>
      <c r="R332" s="863">
        <v>75000</v>
      </c>
      <c r="S332" s="863" t="s">
        <v>3469</v>
      </c>
      <c r="T332" s="343" t="s">
        <v>3476</v>
      </c>
      <c r="X332" s="863"/>
      <c r="Y332" s="863"/>
    </row>
    <row r="333" spans="1:25" s="343" customFormat="1" ht="0.65" hidden="1" customHeight="1">
      <c r="A333" s="343">
        <v>1083</v>
      </c>
      <c r="O333" s="343">
        <v>43</v>
      </c>
      <c r="P333" s="343" t="s">
        <v>3477</v>
      </c>
      <c r="R333" s="863">
        <v>75000</v>
      </c>
      <c r="S333" s="863" t="s">
        <v>3469</v>
      </c>
      <c r="T333" s="343" t="s">
        <v>3478</v>
      </c>
      <c r="X333" s="863"/>
      <c r="Y333" s="863"/>
    </row>
    <row r="334" spans="1:25" s="343" customFormat="1" ht="0.65" hidden="1" customHeight="1">
      <c r="A334" s="343">
        <v>1084</v>
      </c>
      <c r="O334" s="343">
        <v>44</v>
      </c>
      <c r="P334" s="343" t="s">
        <v>3479</v>
      </c>
      <c r="R334" s="863">
        <v>40000</v>
      </c>
      <c r="S334" s="343" t="s">
        <v>3480</v>
      </c>
      <c r="T334" s="343" t="s">
        <v>3481</v>
      </c>
      <c r="X334" s="863"/>
      <c r="Y334" s="863"/>
    </row>
    <row r="335" spans="1:25" s="343" customFormat="1" ht="0.65" hidden="1" customHeight="1">
      <c r="A335" s="343">
        <v>1085</v>
      </c>
      <c r="O335" s="343">
        <v>45</v>
      </c>
      <c r="P335" s="343" t="s">
        <v>3482</v>
      </c>
      <c r="R335" s="863">
        <v>40000</v>
      </c>
      <c r="S335" s="863" t="s">
        <v>3480</v>
      </c>
      <c r="T335" s="343" t="s">
        <v>3483</v>
      </c>
      <c r="X335" s="863"/>
      <c r="Y335" s="863"/>
    </row>
    <row r="336" spans="1:25" s="343" customFormat="1" ht="0.65" hidden="1" customHeight="1">
      <c r="A336" s="343">
        <v>1086</v>
      </c>
      <c r="O336" s="343">
        <v>46</v>
      </c>
      <c r="P336" s="343" t="s">
        <v>3484</v>
      </c>
      <c r="R336" s="863">
        <v>40000</v>
      </c>
      <c r="S336" s="863" t="s">
        <v>3480</v>
      </c>
      <c r="T336" s="343" t="s">
        <v>3485</v>
      </c>
      <c r="X336" s="863"/>
      <c r="Y336" s="863"/>
    </row>
    <row r="337" spans="1:25" s="343" customFormat="1" ht="0.65" hidden="1" customHeight="1">
      <c r="A337" s="343">
        <v>1087</v>
      </c>
      <c r="O337" s="343">
        <v>47</v>
      </c>
      <c r="P337" s="343" t="s">
        <v>3486</v>
      </c>
      <c r="R337" s="863">
        <v>40000</v>
      </c>
      <c r="S337" s="863" t="s">
        <v>3480</v>
      </c>
      <c r="T337" s="343" t="s">
        <v>3487</v>
      </c>
      <c r="X337" s="863"/>
      <c r="Y337" s="863"/>
    </row>
    <row r="338" spans="1:25" s="343" customFormat="1" ht="0.65" hidden="1" customHeight="1">
      <c r="A338" s="343">
        <v>1088</v>
      </c>
      <c r="O338" s="343">
        <v>48</v>
      </c>
      <c r="P338" s="343" t="s">
        <v>3488</v>
      </c>
      <c r="R338" s="863">
        <v>40000</v>
      </c>
      <c r="S338" s="863" t="s">
        <v>3480</v>
      </c>
      <c r="T338" s="343" t="s">
        <v>3489</v>
      </c>
      <c r="X338" s="863"/>
      <c r="Y338" s="863"/>
    </row>
    <row r="339" spans="1:25" s="343" customFormat="1" ht="0.65" hidden="1" customHeight="1">
      <c r="A339" s="343">
        <v>1089</v>
      </c>
      <c r="O339" s="343">
        <v>49</v>
      </c>
      <c r="P339" s="343" t="s">
        <v>3490</v>
      </c>
      <c r="R339" s="863">
        <v>55000</v>
      </c>
      <c r="S339" s="863" t="s">
        <v>3491</v>
      </c>
      <c r="T339" s="343" t="s">
        <v>3492</v>
      </c>
      <c r="X339" s="863"/>
      <c r="Y339" s="863"/>
    </row>
    <row r="340" spans="1:25" s="343" customFormat="1" ht="0.65" hidden="1" customHeight="1">
      <c r="A340" s="343">
        <v>1090</v>
      </c>
      <c r="O340" s="343">
        <v>50</v>
      </c>
      <c r="P340" s="343" t="s">
        <v>3493</v>
      </c>
      <c r="R340" s="863">
        <v>55000</v>
      </c>
      <c r="S340" s="863" t="s">
        <v>3491</v>
      </c>
      <c r="T340" s="343" t="s">
        <v>3494</v>
      </c>
      <c r="X340" s="863"/>
      <c r="Y340" s="863"/>
    </row>
    <row r="341" spans="1:25" s="343" customFormat="1" ht="0.65" hidden="1" customHeight="1">
      <c r="A341" s="343">
        <v>1091</v>
      </c>
      <c r="O341" s="343">
        <v>51</v>
      </c>
      <c r="P341" s="343" t="s">
        <v>3495</v>
      </c>
      <c r="R341" s="863">
        <v>55000</v>
      </c>
      <c r="S341" s="863" t="s">
        <v>3491</v>
      </c>
      <c r="T341" s="343" t="s">
        <v>3496</v>
      </c>
      <c r="X341" s="863"/>
      <c r="Y341" s="863"/>
    </row>
    <row r="342" spans="1:25" s="343" customFormat="1" ht="0.65" hidden="1" customHeight="1">
      <c r="A342" s="343">
        <v>1092</v>
      </c>
      <c r="O342" s="343">
        <v>52</v>
      </c>
      <c r="P342" s="343" t="s">
        <v>3497</v>
      </c>
      <c r="R342" s="863">
        <v>55000</v>
      </c>
      <c r="S342" s="863" t="s">
        <v>3491</v>
      </c>
      <c r="T342" s="343" t="s">
        <v>3498</v>
      </c>
      <c r="X342" s="863"/>
      <c r="Y342" s="863"/>
    </row>
    <row r="343" spans="1:25" s="343" customFormat="1" ht="0.65" hidden="1" customHeight="1">
      <c r="A343" s="343">
        <v>1093</v>
      </c>
      <c r="O343" s="343">
        <v>53</v>
      </c>
      <c r="P343" s="343" t="s">
        <v>3499</v>
      </c>
      <c r="R343" s="863">
        <v>55000</v>
      </c>
      <c r="S343" s="863" t="s">
        <v>3491</v>
      </c>
      <c r="T343" s="343" t="s">
        <v>3500</v>
      </c>
      <c r="X343" s="863"/>
      <c r="Y343" s="863"/>
    </row>
    <row r="344" spans="1:25" s="343" customFormat="1" ht="0.65" hidden="1" customHeight="1">
      <c r="A344" s="343">
        <v>1094</v>
      </c>
      <c r="O344" s="343">
        <v>54</v>
      </c>
      <c r="P344" s="343" t="s">
        <v>3501</v>
      </c>
      <c r="R344" s="863">
        <v>55000</v>
      </c>
      <c r="S344" s="343" t="s">
        <v>3502</v>
      </c>
      <c r="T344" s="343" t="s">
        <v>3503</v>
      </c>
      <c r="X344" s="863"/>
      <c r="Y344" s="863"/>
    </row>
    <row r="345" spans="1:25" s="343" customFormat="1" ht="0.65" hidden="1" customHeight="1">
      <c r="A345" s="343">
        <v>1095</v>
      </c>
      <c r="O345" s="343">
        <v>55</v>
      </c>
      <c r="P345" s="343" t="s">
        <v>3504</v>
      </c>
      <c r="R345" s="863">
        <v>0</v>
      </c>
      <c r="S345" s="343" t="s">
        <v>3505</v>
      </c>
      <c r="T345" s="343" t="s">
        <v>3506</v>
      </c>
      <c r="X345" s="863"/>
      <c r="Y345" s="863"/>
    </row>
    <row r="346" spans="1:25" s="343" customFormat="1" ht="0.65" hidden="1" customHeight="1">
      <c r="A346" s="343">
        <v>1096</v>
      </c>
      <c r="O346" s="343">
        <v>56</v>
      </c>
      <c r="P346" s="343" t="s">
        <v>3507</v>
      </c>
      <c r="R346" s="863">
        <v>0</v>
      </c>
      <c r="S346" s="343" t="s">
        <v>3505</v>
      </c>
      <c r="T346" s="343" t="s">
        <v>3508</v>
      </c>
      <c r="X346" s="863"/>
      <c r="Y346" s="863"/>
    </row>
    <row r="347" spans="1:25" s="343" customFormat="1" ht="0.65" hidden="1" customHeight="1">
      <c r="A347" s="343">
        <v>1097</v>
      </c>
      <c r="O347" s="343">
        <v>57</v>
      </c>
      <c r="P347" s="343" t="s">
        <v>3509</v>
      </c>
      <c r="R347" s="863">
        <v>0</v>
      </c>
      <c r="S347" s="343" t="s">
        <v>3505</v>
      </c>
      <c r="T347" s="343" t="s">
        <v>3510</v>
      </c>
      <c r="X347" s="863"/>
      <c r="Y347" s="863"/>
    </row>
    <row r="348" spans="1:25" s="343" customFormat="1" ht="0.65" hidden="1" customHeight="1">
      <c r="A348" s="343">
        <v>1098</v>
      </c>
      <c r="O348" s="343">
        <v>58</v>
      </c>
      <c r="P348" s="343" t="s">
        <v>3511</v>
      </c>
      <c r="R348" s="863">
        <v>0</v>
      </c>
      <c r="S348" s="343" t="s">
        <v>3505</v>
      </c>
      <c r="T348" s="343" t="s">
        <v>3512</v>
      </c>
      <c r="X348" s="863"/>
      <c r="Y348" s="863"/>
    </row>
    <row r="349" spans="1:25" s="343" customFormat="1" ht="0.65" hidden="1" customHeight="1">
      <c r="A349" s="343">
        <v>1099</v>
      </c>
      <c r="O349" s="343">
        <v>59</v>
      </c>
      <c r="P349" s="343" t="s">
        <v>3513</v>
      </c>
      <c r="R349" s="863">
        <v>48000</v>
      </c>
      <c r="S349" s="863" t="s">
        <v>3514</v>
      </c>
      <c r="T349" s="343" t="s">
        <v>3515</v>
      </c>
      <c r="X349" s="863"/>
      <c r="Y349" s="863"/>
    </row>
    <row r="350" spans="1:25" s="343" customFormat="1" ht="0.65" hidden="1" customHeight="1">
      <c r="A350" s="343">
        <v>1100</v>
      </c>
      <c r="O350" s="343">
        <v>60</v>
      </c>
      <c r="P350" s="343" t="s">
        <v>3516</v>
      </c>
      <c r="R350" s="863">
        <v>48000</v>
      </c>
      <c r="S350" s="863" t="s">
        <v>3514</v>
      </c>
      <c r="T350" s="343" t="s">
        <v>3517</v>
      </c>
      <c r="X350" s="863"/>
      <c r="Y350" s="863"/>
    </row>
    <row r="351" spans="1:25" s="343" customFormat="1" ht="0.65" hidden="1" customHeight="1">
      <c r="A351" s="343">
        <v>1101</v>
      </c>
      <c r="O351" s="343">
        <v>61</v>
      </c>
      <c r="P351" s="343" t="s">
        <v>3518</v>
      </c>
      <c r="R351" s="863">
        <v>48000</v>
      </c>
      <c r="S351" s="863" t="s">
        <v>3514</v>
      </c>
      <c r="T351" s="343" t="s">
        <v>3519</v>
      </c>
      <c r="X351" s="863"/>
      <c r="Y351" s="863"/>
    </row>
    <row r="352" spans="1:25" s="343" customFormat="1" ht="0.65" hidden="1" customHeight="1">
      <c r="A352" s="343">
        <v>1102</v>
      </c>
      <c r="O352" s="343">
        <v>62</v>
      </c>
      <c r="P352" s="343" t="s">
        <v>3520</v>
      </c>
      <c r="R352" s="863">
        <v>48000</v>
      </c>
      <c r="S352" s="863" t="s">
        <v>3514</v>
      </c>
      <c r="T352" s="343" t="s">
        <v>3521</v>
      </c>
      <c r="X352" s="863"/>
      <c r="Y352" s="863"/>
    </row>
    <row r="353" spans="1:25" s="343" customFormat="1" ht="0.65" hidden="1" customHeight="1">
      <c r="A353" s="343">
        <v>1103</v>
      </c>
      <c r="O353" s="343">
        <v>63</v>
      </c>
      <c r="P353" s="343" t="s">
        <v>3389</v>
      </c>
      <c r="R353" s="863">
        <v>55000</v>
      </c>
      <c r="S353" s="343" t="s">
        <v>3502</v>
      </c>
      <c r="T353" s="343" t="s">
        <v>3522</v>
      </c>
      <c r="X353" s="863"/>
      <c r="Y353" s="863"/>
    </row>
    <row r="354" spans="1:25" s="343" customFormat="1" ht="0.65" hidden="1" customHeight="1">
      <c r="A354" s="343">
        <v>1104</v>
      </c>
      <c r="O354" s="343">
        <v>64</v>
      </c>
      <c r="P354" s="343" t="s">
        <v>3392</v>
      </c>
      <c r="R354" s="863">
        <v>43000</v>
      </c>
      <c r="S354" s="343" t="s">
        <v>3523</v>
      </c>
      <c r="T354" s="343" t="s">
        <v>3524</v>
      </c>
      <c r="X354" s="863"/>
      <c r="Y354" s="863"/>
    </row>
    <row r="355" spans="1:25" s="343" customFormat="1" ht="0.65" hidden="1" customHeight="1">
      <c r="A355" s="343">
        <v>1105</v>
      </c>
      <c r="O355" s="343">
        <v>65</v>
      </c>
      <c r="P355" s="343" t="s">
        <v>55</v>
      </c>
      <c r="R355" s="863" t="s">
        <v>55</v>
      </c>
      <c r="X355" s="863"/>
      <c r="Y355" s="863"/>
    </row>
    <row r="356" spans="1:25" s="343" customFormat="1" ht="0.65" hidden="1" customHeight="1">
      <c r="A356" s="343">
        <v>1106</v>
      </c>
      <c r="O356" s="343">
        <v>66</v>
      </c>
      <c r="P356" s="343" t="s">
        <v>55</v>
      </c>
      <c r="R356" s="863" t="s">
        <v>55</v>
      </c>
      <c r="X356" s="863"/>
      <c r="Y356" s="863"/>
    </row>
    <row r="357" spans="1:25" s="343" customFormat="1" ht="0.65" hidden="1" customHeight="1">
      <c r="A357" s="343">
        <v>1107</v>
      </c>
      <c r="O357" s="343">
        <v>67</v>
      </c>
      <c r="P357" s="343" t="s">
        <v>3394</v>
      </c>
      <c r="R357" s="863">
        <v>98000</v>
      </c>
      <c r="S357" s="343" t="s">
        <v>3525</v>
      </c>
      <c r="T357" s="343" t="s">
        <v>3526</v>
      </c>
      <c r="X357" s="863"/>
      <c r="Y357" s="863"/>
    </row>
    <row r="358" spans="1:25" s="343" customFormat="1" ht="0.65" hidden="1" customHeight="1">
      <c r="A358" s="343">
        <v>1108</v>
      </c>
      <c r="O358" s="343">
        <v>68</v>
      </c>
      <c r="P358" s="343" t="s">
        <v>3527</v>
      </c>
      <c r="R358" s="863">
        <v>-143000</v>
      </c>
      <c r="S358" s="343" t="s">
        <v>3528</v>
      </c>
      <c r="T358" s="343" t="s">
        <v>3529</v>
      </c>
      <c r="X358" s="863"/>
      <c r="Y358" s="863"/>
    </row>
    <row r="359" spans="1:25" s="343" customFormat="1" ht="0.65" hidden="1" customHeight="1">
      <c r="A359" s="343">
        <v>1109</v>
      </c>
      <c r="O359" s="343">
        <v>69</v>
      </c>
      <c r="P359" s="343" t="s">
        <v>3530</v>
      </c>
      <c r="R359" s="863">
        <v>48000</v>
      </c>
      <c r="S359" s="343" t="s">
        <v>3531</v>
      </c>
      <c r="T359" s="343" t="s">
        <v>3532</v>
      </c>
      <c r="X359" s="863"/>
      <c r="Y359" s="863"/>
    </row>
    <row r="360" spans="1:25" s="343" customFormat="1" ht="0.65" hidden="1" customHeight="1">
      <c r="A360" s="343">
        <v>1110</v>
      </c>
      <c r="O360" s="343">
        <v>70</v>
      </c>
      <c r="P360" s="343" t="s">
        <v>3533</v>
      </c>
      <c r="R360" s="863">
        <v>48000</v>
      </c>
      <c r="S360" s="343" t="s">
        <v>3531</v>
      </c>
      <c r="T360" s="343" t="s">
        <v>3534</v>
      </c>
      <c r="X360" s="863"/>
      <c r="Y360" s="863"/>
    </row>
    <row r="361" spans="1:25" s="343" customFormat="1" ht="0.65" hidden="1" customHeight="1">
      <c r="A361" s="343">
        <v>1111</v>
      </c>
      <c r="O361" s="343">
        <v>71</v>
      </c>
      <c r="P361" s="343" t="s">
        <v>3535</v>
      </c>
      <c r="R361" s="863">
        <v>48000</v>
      </c>
      <c r="S361" s="343" t="s">
        <v>3531</v>
      </c>
      <c r="T361" s="343" t="s">
        <v>3536</v>
      </c>
      <c r="X361" s="863"/>
      <c r="Y361" s="863"/>
    </row>
    <row r="362" spans="1:25" s="343" customFormat="1" ht="0.65" hidden="1" customHeight="1">
      <c r="A362" s="343">
        <v>1112</v>
      </c>
      <c r="O362" s="343">
        <v>72</v>
      </c>
      <c r="P362" s="343" t="s">
        <v>3537</v>
      </c>
      <c r="R362" s="863">
        <v>146000</v>
      </c>
      <c r="S362" s="343" t="s">
        <v>3538</v>
      </c>
      <c r="T362" s="343" t="s">
        <v>3539</v>
      </c>
      <c r="X362" s="863"/>
      <c r="Y362" s="863"/>
    </row>
    <row r="363" spans="1:25" s="343" customFormat="1" ht="0.65" hidden="1" customHeight="1">
      <c r="A363" s="343">
        <v>1113</v>
      </c>
      <c r="O363" s="343">
        <v>73</v>
      </c>
      <c r="P363" s="343" t="s">
        <v>3540</v>
      </c>
      <c r="R363" s="864">
        <v>0.1</v>
      </c>
      <c r="S363" s="343" t="s">
        <v>3541</v>
      </c>
      <c r="T363" s="343" t="s">
        <v>3542</v>
      </c>
      <c r="X363" s="863"/>
      <c r="Y363" s="863"/>
    </row>
    <row r="364" spans="1:25" s="343" customFormat="1" ht="0.65" hidden="1" customHeight="1">
      <c r="A364" s="343">
        <v>1114</v>
      </c>
      <c r="O364" s="343">
        <v>74</v>
      </c>
      <c r="P364" s="343" t="s">
        <v>13</v>
      </c>
      <c r="R364" s="863">
        <v>76088.860050542949</v>
      </c>
      <c r="S364" s="343" t="s">
        <v>3543</v>
      </c>
      <c r="T364" s="343" t="s">
        <v>3544</v>
      </c>
      <c r="X364" s="863"/>
      <c r="Y364" s="863"/>
    </row>
    <row r="365" spans="1:25" s="343" customFormat="1" ht="0.65" hidden="1" customHeight="1">
      <c r="A365" s="343">
        <v>1115</v>
      </c>
      <c r="O365" s="343">
        <v>75</v>
      </c>
      <c r="P365" s="343" t="s">
        <v>28</v>
      </c>
      <c r="R365" s="864">
        <v>0.2836182382173551</v>
      </c>
      <c r="S365" s="343" t="s">
        <v>3545</v>
      </c>
      <c r="T365" s="343" t="s">
        <v>3546</v>
      </c>
      <c r="X365" s="863"/>
      <c r="Y365" s="863"/>
    </row>
    <row r="366" spans="1:25" s="343" customFormat="1" ht="0.65" hidden="1" customHeight="1">
      <c r="A366" s="343">
        <v>1116</v>
      </c>
      <c r="X366" s="863"/>
      <c r="Y366" s="863"/>
    </row>
    <row r="367" spans="1:25" s="343" customFormat="1" ht="0.65" hidden="1" customHeight="1">
      <c r="A367" s="343">
        <v>1117</v>
      </c>
      <c r="O367" s="343">
        <v>1</v>
      </c>
      <c r="P367" s="343" t="s">
        <v>3547</v>
      </c>
      <c r="X367" s="863"/>
      <c r="Y367" s="863"/>
    </row>
    <row r="368" spans="1:25" s="343" customFormat="1" ht="0.65" hidden="1" customHeight="1">
      <c r="A368" s="343">
        <v>1118</v>
      </c>
      <c r="O368" s="343">
        <v>2</v>
      </c>
      <c r="P368" s="343" t="s">
        <v>3548</v>
      </c>
      <c r="X368" s="863"/>
      <c r="Y368" s="863"/>
    </row>
    <row r="369" spans="1:25" s="343" customFormat="1" ht="0.65" hidden="1" customHeight="1">
      <c r="A369" s="343">
        <v>1119</v>
      </c>
      <c r="O369" s="343">
        <v>3</v>
      </c>
      <c r="P369" s="343" t="s">
        <v>3549</v>
      </c>
      <c r="X369" s="863"/>
      <c r="Y369" s="863"/>
    </row>
    <row r="370" spans="1:25" s="343" customFormat="1" ht="0.65" hidden="1" customHeight="1">
      <c r="A370" s="343">
        <v>1120</v>
      </c>
      <c r="O370" s="343">
        <v>4</v>
      </c>
      <c r="P370" s="343" t="s">
        <v>3550</v>
      </c>
      <c r="X370" s="863"/>
      <c r="Y370" s="863"/>
    </row>
    <row r="371" spans="1:25" s="343" customFormat="1" ht="0.65" hidden="1" customHeight="1">
      <c r="A371" s="343">
        <v>1121</v>
      </c>
      <c r="O371" s="343">
        <v>5</v>
      </c>
      <c r="P371" s="343" t="s">
        <v>3551</v>
      </c>
      <c r="X371" s="863"/>
      <c r="Y371" s="863"/>
    </row>
    <row r="372" spans="1:25" s="343" customFormat="1" ht="0.65" hidden="1" customHeight="1">
      <c r="A372" s="343">
        <v>1122</v>
      </c>
      <c r="O372" s="343">
        <v>6</v>
      </c>
      <c r="P372" s="343" t="s">
        <v>3552</v>
      </c>
      <c r="X372" s="863"/>
      <c r="Y372" s="863"/>
    </row>
    <row r="373" spans="1:25" s="343" customFormat="1" ht="0.65" hidden="1" customHeight="1">
      <c r="A373" s="343">
        <v>1123</v>
      </c>
      <c r="O373" s="343">
        <v>7</v>
      </c>
      <c r="X373" s="863"/>
      <c r="Y373" s="863"/>
    </row>
    <row r="374" spans="1:25" s="343" customFormat="1" ht="0.65" hidden="1" customHeight="1">
      <c r="A374" s="343">
        <v>1124</v>
      </c>
      <c r="O374" s="343">
        <v>8</v>
      </c>
      <c r="X374" s="863"/>
      <c r="Y374" s="863"/>
    </row>
    <row r="375" spans="1:25" s="343" customFormat="1" ht="0.65" hidden="1" customHeight="1">
      <c r="A375" s="343">
        <v>1125</v>
      </c>
      <c r="O375" s="343">
        <v>9</v>
      </c>
      <c r="X375" s="863"/>
      <c r="Y375" s="863"/>
    </row>
    <row r="376" spans="1:25" s="343" customFormat="1" ht="0.65" hidden="1" customHeight="1">
      <c r="A376" s="343">
        <v>1126</v>
      </c>
      <c r="O376" s="343">
        <v>10</v>
      </c>
      <c r="X376" s="863"/>
      <c r="Y376" s="863"/>
    </row>
    <row r="377" spans="1:25" s="343" customFormat="1" ht="0.65" hidden="1" customHeight="1">
      <c r="A377" s="343">
        <v>1127</v>
      </c>
      <c r="X377" s="863"/>
      <c r="Y377" s="863"/>
    </row>
    <row r="378" spans="1:25" s="343" customFormat="1" ht="0.65" hidden="1" customHeight="1">
      <c r="A378" s="343">
        <v>1128</v>
      </c>
      <c r="X378" s="863"/>
      <c r="Y378" s="863"/>
    </row>
    <row r="379" spans="1:25" s="343" customFormat="1" ht="0.65" hidden="1" customHeight="1">
      <c r="A379" s="343">
        <v>1129</v>
      </c>
      <c r="X379" s="863"/>
      <c r="Y379" s="863"/>
    </row>
    <row r="380" spans="1:25" s="343" customFormat="1" ht="0.65" hidden="1" customHeight="1">
      <c r="A380" s="343">
        <v>1130</v>
      </c>
      <c r="X380" s="863"/>
      <c r="Y380" s="863"/>
    </row>
    <row r="381" spans="1:25" s="343" customFormat="1" ht="0.65" hidden="1" customHeight="1">
      <c r="A381" s="653">
        <v>1</v>
      </c>
      <c r="B381" s="653">
        <v>2</v>
      </c>
      <c r="C381" s="653">
        <v>3</v>
      </c>
      <c r="D381" s="653">
        <v>4</v>
      </c>
      <c r="E381" s="653">
        <v>5</v>
      </c>
      <c r="F381" s="653">
        <v>6</v>
      </c>
      <c r="G381" s="653">
        <v>7</v>
      </c>
      <c r="H381" s="653">
        <v>8</v>
      </c>
      <c r="I381" s="653">
        <v>9</v>
      </c>
      <c r="J381" s="653">
        <v>10</v>
      </c>
      <c r="K381" s="653">
        <v>11</v>
      </c>
      <c r="L381" s="653">
        <v>12</v>
      </c>
      <c r="M381" s="653">
        <v>13</v>
      </c>
      <c r="N381" s="653">
        <v>14</v>
      </c>
      <c r="O381" s="653">
        <v>15</v>
      </c>
      <c r="P381" s="653">
        <v>16</v>
      </c>
      <c r="Q381" s="653">
        <v>17</v>
      </c>
      <c r="R381" s="653">
        <v>18</v>
      </c>
      <c r="S381" s="653">
        <v>19</v>
      </c>
      <c r="T381" s="653">
        <v>20</v>
      </c>
      <c r="U381" s="653">
        <v>21</v>
      </c>
      <c r="V381" s="653">
        <v>22</v>
      </c>
      <c r="W381" s="653">
        <v>23</v>
      </c>
    </row>
    <row r="382" spans="1:25" s="343" customFormat="1" ht="0.65" hidden="1" customHeight="1">
      <c r="A382" s="343">
        <v>2</v>
      </c>
    </row>
    <row r="383" spans="1:25" s="343" customFormat="1" ht="0.65" hidden="1" customHeight="1">
      <c r="A383" s="343">
        <v>2001</v>
      </c>
      <c r="B383" s="343" t="s">
        <v>3553</v>
      </c>
      <c r="E383" s="343" t="s">
        <v>3554</v>
      </c>
      <c r="M383" s="863" t="s">
        <v>3554</v>
      </c>
      <c r="N383" s="863"/>
      <c r="O383" s="863"/>
      <c r="P383" s="863"/>
      <c r="Q383" s="863"/>
      <c r="R383" s="863"/>
      <c r="S383" s="863"/>
      <c r="T383" s="863"/>
      <c r="U383" s="863"/>
      <c r="V383" s="863"/>
    </row>
    <row r="384" spans="1:25" s="343" customFormat="1" ht="0.65" hidden="1" customHeight="1">
      <c r="A384" s="343">
        <v>2002</v>
      </c>
      <c r="F384" s="343" t="s">
        <v>463</v>
      </c>
      <c r="I384" s="343" t="s">
        <v>463</v>
      </c>
      <c r="M384" s="863"/>
      <c r="N384" s="865" t="s">
        <v>55</v>
      </c>
      <c r="O384" s="865" t="s">
        <v>55</v>
      </c>
      <c r="P384" s="865" t="s">
        <v>55</v>
      </c>
      <c r="Q384" s="865" t="s">
        <v>55</v>
      </c>
      <c r="R384" s="865" t="s">
        <v>55</v>
      </c>
      <c r="S384" s="865" t="s">
        <v>55</v>
      </c>
      <c r="T384" s="865" t="s">
        <v>55</v>
      </c>
      <c r="U384" s="865" t="s">
        <v>55</v>
      </c>
      <c r="V384" s="865" t="s">
        <v>55</v>
      </c>
    </row>
    <row r="385" spans="1:25" s="343" customFormat="1" ht="0.65" hidden="1" customHeight="1">
      <c r="A385" s="343">
        <v>2003</v>
      </c>
      <c r="B385" s="343" t="s">
        <v>3555</v>
      </c>
      <c r="E385" s="343" t="s">
        <v>3556</v>
      </c>
      <c r="F385" s="659">
        <v>50000</v>
      </c>
      <c r="H385" s="343" t="s">
        <v>3365</v>
      </c>
      <c r="I385" s="659">
        <v>300000</v>
      </c>
      <c r="M385" s="659"/>
      <c r="N385" s="866"/>
      <c r="O385" s="866"/>
      <c r="P385" s="866"/>
      <c r="Q385" s="866"/>
      <c r="R385" s="866"/>
      <c r="S385" s="866"/>
      <c r="T385" s="866"/>
      <c r="U385" s="866"/>
      <c r="V385" s="866"/>
    </row>
    <row r="386" spans="1:25" s="343" customFormat="1" ht="0.65" hidden="1" customHeight="1">
      <c r="A386" s="343">
        <v>2004</v>
      </c>
      <c r="B386" s="343" t="s">
        <v>3557</v>
      </c>
      <c r="E386" s="343" t="s">
        <v>3558</v>
      </c>
      <c r="F386" s="653" t="s">
        <v>396</v>
      </c>
      <c r="H386" s="343" t="s">
        <v>3368</v>
      </c>
      <c r="I386" s="659">
        <v>240000</v>
      </c>
      <c r="M386" s="663"/>
      <c r="N386" s="343">
        <v>0</v>
      </c>
      <c r="O386" s="343">
        <v>0</v>
      </c>
      <c r="P386" s="343">
        <v>0</v>
      </c>
      <c r="Q386" s="343">
        <v>0</v>
      </c>
      <c r="R386" s="343">
        <v>0</v>
      </c>
      <c r="S386" s="343">
        <v>0</v>
      </c>
      <c r="T386" s="343">
        <v>0</v>
      </c>
      <c r="U386" s="343">
        <v>0</v>
      </c>
      <c r="V386" s="863">
        <v>-193000</v>
      </c>
    </row>
    <row r="387" spans="1:25" s="343" customFormat="1" ht="0.65" hidden="1" customHeight="1">
      <c r="A387" s="343">
        <v>2005</v>
      </c>
      <c r="B387" s="343" t="s">
        <v>3559</v>
      </c>
      <c r="F387" s="343" t="s">
        <v>463</v>
      </c>
      <c r="I387" s="343" t="s">
        <v>463</v>
      </c>
      <c r="M387" s="663"/>
      <c r="N387" s="863">
        <v>300000</v>
      </c>
      <c r="O387" s="863">
        <v>240000</v>
      </c>
      <c r="P387" s="863">
        <v>25000</v>
      </c>
      <c r="Q387" s="863">
        <v>35000</v>
      </c>
      <c r="R387" s="863">
        <v>10500</v>
      </c>
      <c r="S387" s="863">
        <v>24500</v>
      </c>
      <c r="T387" s="863">
        <v>49500</v>
      </c>
      <c r="U387" s="863">
        <v>49500</v>
      </c>
      <c r="V387" s="863">
        <v>49500</v>
      </c>
    </row>
    <row r="388" spans="1:25" s="343" customFormat="1" ht="0.65" hidden="1" customHeight="1">
      <c r="A388" s="343">
        <v>2006</v>
      </c>
      <c r="B388" s="343" t="s">
        <v>3560</v>
      </c>
      <c r="E388" s="343" t="s">
        <v>3561</v>
      </c>
      <c r="F388" s="659">
        <v>200000</v>
      </c>
      <c r="H388" s="343" t="s">
        <v>3371</v>
      </c>
      <c r="I388" s="653">
        <v>90</v>
      </c>
      <c r="M388" s="663"/>
      <c r="N388" s="863">
        <v>300000</v>
      </c>
      <c r="O388" s="863">
        <v>240000</v>
      </c>
      <c r="P388" s="863">
        <v>25000</v>
      </c>
      <c r="Q388" s="863">
        <v>35000</v>
      </c>
      <c r="R388" s="863">
        <v>10500</v>
      </c>
      <c r="S388" s="863">
        <v>24500</v>
      </c>
      <c r="T388" s="863">
        <v>49500</v>
      </c>
      <c r="U388" s="863">
        <v>49500</v>
      </c>
      <c r="V388" s="863">
        <v>49500</v>
      </c>
    </row>
    <row r="389" spans="1:25" s="343" customFormat="1" ht="0.65" hidden="1" customHeight="1">
      <c r="A389" s="343">
        <v>2007</v>
      </c>
      <c r="B389" s="343" t="s">
        <v>3562</v>
      </c>
      <c r="E389" s="343" t="s">
        <v>3563</v>
      </c>
      <c r="F389" s="659">
        <v>40000</v>
      </c>
      <c r="H389" s="343" t="s">
        <v>3374</v>
      </c>
      <c r="I389" s="653">
        <v>60</v>
      </c>
      <c r="M389" s="663"/>
      <c r="N389" s="863">
        <v>300000</v>
      </c>
      <c r="O389" s="863">
        <v>240000</v>
      </c>
      <c r="P389" s="863">
        <v>25000</v>
      </c>
      <c r="Q389" s="863">
        <v>35000</v>
      </c>
      <c r="R389" s="863">
        <v>10500</v>
      </c>
      <c r="S389" s="863">
        <v>24500</v>
      </c>
      <c r="T389" s="863">
        <v>49500</v>
      </c>
      <c r="U389" s="863">
        <v>49500</v>
      </c>
      <c r="V389" s="863">
        <v>49500</v>
      </c>
    </row>
    <row r="390" spans="1:25" s="343" customFormat="1" ht="0.65" hidden="1" customHeight="1">
      <c r="A390" s="343">
        <v>2008</v>
      </c>
      <c r="E390" s="343" t="s">
        <v>3564</v>
      </c>
      <c r="F390" s="659">
        <v>20000</v>
      </c>
      <c r="H390" s="343" t="s">
        <v>3376</v>
      </c>
      <c r="I390" s="653">
        <v>30</v>
      </c>
      <c r="M390" s="663"/>
      <c r="N390" s="863">
        <v>300000</v>
      </c>
      <c r="O390" s="863">
        <v>240000</v>
      </c>
      <c r="P390" s="863">
        <v>25000</v>
      </c>
      <c r="Q390" s="863">
        <v>35000</v>
      </c>
      <c r="R390" s="863">
        <v>10500</v>
      </c>
      <c r="S390" s="863">
        <v>24500</v>
      </c>
      <c r="T390" s="863">
        <v>49500</v>
      </c>
      <c r="U390" s="863">
        <v>49500</v>
      </c>
      <c r="V390" s="863">
        <v>219500</v>
      </c>
    </row>
    <row r="391" spans="1:25" s="343" customFormat="1" ht="0.65" hidden="1" customHeight="1">
      <c r="A391" s="343">
        <v>2009</v>
      </c>
      <c r="B391" s="343" t="s">
        <v>3372</v>
      </c>
      <c r="E391" s="343" t="s">
        <v>3565</v>
      </c>
      <c r="F391" s="659">
        <v>100000</v>
      </c>
      <c r="I391" s="343" t="s">
        <v>463</v>
      </c>
      <c r="N391" s="865" t="s">
        <v>55</v>
      </c>
      <c r="O391" s="865" t="s">
        <v>55</v>
      </c>
      <c r="P391" s="865" t="s">
        <v>55</v>
      </c>
      <c r="Q391" s="865" t="s">
        <v>55</v>
      </c>
      <c r="R391" s="865" t="s">
        <v>55</v>
      </c>
      <c r="T391" s="653"/>
      <c r="U391" s="653"/>
      <c r="V391" s="653"/>
      <c r="W391" s="659"/>
      <c r="X391" s="659"/>
      <c r="Y391" s="659"/>
    </row>
    <row r="392" spans="1:25" s="343" customFormat="1" ht="0.65" hidden="1" customHeight="1">
      <c r="A392" s="343">
        <v>2010</v>
      </c>
      <c r="B392" s="343" t="s">
        <v>3375</v>
      </c>
      <c r="F392" s="343" t="s">
        <v>463</v>
      </c>
      <c r="H392" s="343" t="s">
        <v>3380</v>
      </c>
      <c r="I392" s="358">
        <v>0.1</v>
      </c>
      <c r="M392" s="659"/>
      <c r="N392" s="866"/>
      <c r="O392" s="866"/>
      <c r="P392" s="866"/>
      <c r="Q392" s="866"/>
      <c r="R392" s="866"/>
      <c r="U392" s="863"/>
      <c r="V392" s="863"/>
      <c r="W392" s="863"/>
      <c r="X392" s="863"/>
      <c r="Y392" s="863"/>
    </row>
    <row r="393" spans="1:25" s="343" customFormat="1" ht="0.65" hidden="1" customHeight="1">
      <c r="A393" s="343">
        <v>2011</v>
      </c>
      <c r="B393" s="343" t="s">
        <v>3377</v>
      </c>
      <c r="F393" s="343" t="s">
        <v>463</v>
      </c>
      <c r="H393" s="343" t="s">
        <v>3381</v>
      </c>
      <c r="I393" s="358">
        <v>0.3</v>
      </c>
      <c r="M393" s="663"/>
      <c r="N393" s="863">
        <v>20000</v>
      </c>
      <c r="O393" s="863">
        <v>75000</v>
      </c>
      <c r="P393" s="863">
        <v>40000</v>
      </c>
      <c r="Q393" s="863">
        <v>55000</v>
      </c>
      <c r="R393" s="863">
        <v>55000</v>
      </c>
      <c r="U393" s="1064" t="s">
        <v>55</v>
      </c>
      <c r="V393" s="1064"/>
      <c r="W393" s="863"/>
      <c r="X393" s="863"/>
      <c r="Y393" s="863"/>
    </row>
    <row r="394" spans="1:25" s="343" customFormat="1" ht="0.65" hidden="1" customHeight="1">
      <c r="A394" s="343">
        <v>2012</v>
      </c>
      <c r="B394" s="343" t="s">
        <v>3379</v>
      </c>
      <c r="F394" s="343" t="s">
        <v>463</v>
      </c>
      <c r="I394" s="343" t="s">
        <v>463</v>
      </c>
      <c r="M394" s="663"/>
      <c r="N394" s="863">
        <v>20000</v>
      </c>
      <c r="O394" s="863">
        <v>75000</v>
      </c>
      <c r="P394" s="863">
        <v>40000</v>
      </c>
      <c r="Q394" s="863">
        <v>55000</v>
      </c>
      <c r="R394" s="863">
        <v>0</v>
      </c>
      <c r="U394" s="1064"/>
      <c r="V394" s="1064"/>
      <c r="W394" s="863"/>
      <c r="X394" s="863"/>
      <c r="Y394" s="863"/>
    </row>
    <row r="395" spans="1:25" s="343" customFormat="1" ht="0.65" hidden="1" customHeight="1">
      <c r="A395" s="343">
        <v>2013</v>
      </c>
      <c r="F395" s="343" t="s">
        <v>463</v>
      </c>
      <c r="I395" s="343" t="s">
        <v>463</v>
      </c>
      <c r="M395" s="663"/>
      <c r="N395" s="863">
        <v>20000</v>
      </c>
      <c r="O395" s="863">
        <v>75000</v>
      </c>
      <c r="P395" s="863">
        <v>40000</v>
      </c>
      <c r="Q395" s="863">
        <v>55000</v>
      </c>
      <c r="R395" s="863">
        <v>0</v>
      </c>
      <c r="U395" s="1064"/>
      <c r="V395" s="1064"/>
      <c r="W395" s="863"/>
      <c r="X395" s="863"/>
      <c r="Y395" s="863"/>
    </row>
    <row r="396" spans="1:25" s="343" customFormat="1" ht="0.65" hidden="1" customHeight="1">
      <c r="A396" s="343">
        <v>2014</v>
      </c>
      <c r="B396" s="343" t="s">
        <v>3566</v>
      </c>
      <c r="F396" s="343" t="s">
        <v>463</v>
      </c>
      <c r="I396" s="872" t="s">
        <v>463</v>
      </c>
      <c r="J396" s="872"/>
      <c r="K396" s="872"/>
      <c r="M396" s="663"/>
      <c r="N396" s="863">
        <v>20000</v>
      </c>
      <c r="O396" s="863">
        <v>75000</v>
      </c>
      <c r="P396" s="863">
        <v>40000</v>
      </c>
      <c r="Q396" s="863">
        <v>55000</v>
      </c>
      <c r="R396" s="863">
        <v>0</v>
      </c>
      <c r="U396" s="1064"/>
      <c r="V396" s="1064"/>
      <c r="W396" s="863"/>
      <c r="X396" s="863"/>
      <c r="Y396" s="863"/>
    </row>
    <row r="397" spans="1:25" s="343" customFormat="1" ht="0.65" hidden="1" customHeight="1">
      <c r="A397" s="343">
        <v>2015</v>
      </c>
      <c r="B397" s="343" t="s">
        <v>3567</v>
      </c>
      <c r="F397" s="343" t="s">
        <v>463</v>
      </c>
      <c r="I397" s="343" t="s">
        <v>463</v>
      </c>
      <c r="J397" s="872"/>
      <c r="M397" s="663"/>
      <c r="N397" s="863">
        <v>20000</v>
      </c>
      <c r="O397" s="863">
        <v>75000</v>
      </c>
      <c r="P397" s="863">
        <v>40000</v>
      </c>
      <c r="Q397" s="863">
        <v>55000</v>
      </c>
      <c r="R397" s="863">
        <v>0</v>
      </c>
      <c r="T397" s="863"/>
      <c r="U397" s="863"/>
      <c r="V397" s="863"/>
      <c r="W397" s="863"/>
      <c r="X397" s="863"/>
      <c r="Y397" s="863"/>
    </row>
    <row r="398" spans="1:25" s="343" customFormat="1" ht="0.65" hidden="1" customHeight="1">
      <c r="A398" s="343">
        <v>2016</v>
      </c>
      <c r="B398" s="343" t="s">
        <v>3568</v>
      </c>
      <c r="F398" s="343" t="s">
        <v>463</v>
      </c>
      <c r="I398" s="343" t="s">
        <v>463</v>
      </c>
      <c r="M398" s="863"/>
      <c r="N398" s="653"/>
      <c r="O398" s="653"/>
      <c r="P398" s="653"/>
      <c r="Q398" s="653"/>
      <c r="R398" s="653"/>
      <c r="S398" s="653"/>
      <c r="T398" s="863"/>
      <c r="V398" s="863"/>
      <c r="W398" s="863"/>
      <c r="X398" s="863"/>
    </row>
    <row r="399" spans="1:25" s="343" customFormat="1" ht="0.65" hidden="1" customHeight="1">
      <c r="A399" s="343">
        <v>2017</v>
      </c>
      <c r="B399" s="343" t="s">
        <v>3569</v>
      </c>
      <c r="F399" s="343" t="s">
        <v>463</v>
      </c>
      <c r="I399" s="343" t="s">
        <v>463</v>
      </c>
      <c r="M399" s="863"/>
      <c r="V399" s="863"/>
      <c r="W399" s="863"/>
      <c r="X399" s="863"/>
    </row>
    <row r="400" spans="1:25" s="343" customFormat="1" ht="0.65" hidden="1" customHeight="1">
      <c r="A400" s="343">
        <v>2018</v>
      </c>
      <c r="B400" s="343" t="s">
        <v>3570</v>
      </c>
      <c r="F400" s="343" t="s">
        <v>463</v>
      </c>
      <c r="I400" s="343" t="s">
        <v>463</v>
      </c>
      <c r="N400" s="863"/>
      <c r="O400" s="863"/>
      <c r="P400" s="865" t="s">
        <v>55</v>
      </c>
      <c r="T400" s="865" t="s">
        <v>55</v>
      </c>
      <c r="W400" s="865" t="s">
        <v>55</v>
      </c>
      <c r="X400" s="863"/>
    </row>
    <row r="401" spans="1:25" s="343" customFormat="1" ht="0.65" hidden="1" customHeight="1">
      <c r="A401" s="343">
        <v>2019</v>
      </c>
      <c r="F401" s="343" t="s">
        <v>463</v>
      </c>
      <c r="I401" s="343" t="s">
        <v>463</v>
      </c>
      <c r="N401" s="1061" t="s">
        <v>3571</v>
      </c>
      <c r="O401" s="1061"/>
      <c r="P401" s="863">
        <v>50000</v>
      </c>
      <c r="R401" s="1061" t="s">
        <v>3389</v>
      </c>
      <c r="S401" s="1061"/>
      <c r="T401" s="863">
        <v>55000</v>
      </c>
      <c r="X401" s="863"/>
    </row>
    <row r="402" spans="1:25" s="343" customFormat="1" ht="0.65" hidden="1" customHeight="1">
      <c r="A402" s="343">
        <v>2020</v>
      </c>
      <c r="B402" s="343" t="s">
        <v>3385</v>
      </c>
      <c r="F402" s="343" t="s">
        <v>463</v>
      </c>
      <c r="I402" s="343" t="s">
        <v>463</v>
      </c>
      <c r="M402" s="863"/>
      <c r="N402" s="1061" t="s">
        <v>3388</v>
      </c>
      <c r="O402" s="1061"/>
      <c r="P402" s="863">
        <v>88000</v>
      </c>
      <c r="R402" s="1061" t="s">
        <v>3392</v>
      </c>
      <c r="S402" s="1061"/>
      <c r="T402" s="863">
        <v>115000</v>
      </c>
      <c r="V402" s="662"/>
      <c r="W402" s="358">
        <v>0.1</v>
      </c>
      <c r="X402" s="863"/>
    </row>
    <row r="403" spans="1:25" s="343" customFormat="1" ht="0.65" hidden="1" customHeight="1">
      <c r="A403" s="343">
        <v>2021</v>
      </c>
      <c r="B403" s="343" t="s">
        <v>3386</v>
      </c>
      <c r="F403" s="343" t="s">
        <v>463</v>
      </c>
      <c r="I403" s="343" t="s">
        <v>463</v>
      </c>
      <c r="M403" s="863"/>
      <c r="N403" s="1061" t="s">
        <v>3391</v>
      </c>
      <c r="O403" s="1061"/>
      <c r="P403" s="863">
        <v>55000</v>
      </c>
      <c r="R403" s="1061"/>
      <c r="S403" s="1061"/>
      <c r="T403" s="863"/>
    </row>
    <row r="404" spans="1:25" s="343" customFormat="1" ht="0.65" hidden="1" customHeight="1">
      <c r="A404" s="343">
        <v>2022</v>
      </c>
      <c r="B404" s="343" t="s">
        <v>3387</v>
      </c>
      <c r="F404" s="343" t="s">
        <v>463</v>
      </c>
      <c r="I404" s="343" t="s">
        <v>463</v>
      </c>
      <c r="M404" s="863"/>
      <c r="N404" s="1061"/>
      <c r="O404" s="1061"/>
      <c r="P404" s="863"/>
      <c r="R404" s="1061"/>
      <c r="S404" s="1061"/>
      <c r="T404" s="863"/>
      <c r="X404" s="863"/>
      <c r="Y404" s="863"/>
    </row>
    <row r="405" spans="1:25" s="343" customFormat="1" ht="0.65" hidden="1" customHeight="1">
      <c r="A405" s="343">
        <v>2023</v>
      </c>
      <c r="F405" s="343" t="s">
        <v>463</v>
      </c>
      <c r="I405" s="343" t="s">
        <v>463</v>
      </c>
      <c r="M405" s="863"/>
      <c r="N405" s="867"/>
      <c r="Q405" s="863"/>
      <c r="R405" s="868"/>
      <c r="S405" s="863"/>
      <c r="T405" s="863"/>
      <c r="U405" s="863"/>
      <c r="V405" s="662"/>
      <c r="W405" s="659">
        <v>80020.627006351948</v>
      </c>
      <c r="X405" s="863"/>
      <c r="Y405" s="863"/>
    </row>
    <row r="406" spans="1:25" s="343" customFormat="1" ht="0.65" hidden="1" customHeight="1">
      <c r="A406" s="343">
        <v>2024</v>
      </c>
      <c r="B406" s="343" t="s">
        <v>3572</v>
      </c>
      <c r="F406" s="343" t="s">
        <v>463</v>
      </c>
      <c r="I406" s="343" t="s">
        <v>463</v>
      </c>
      <c r="M406" s="863"/>
      <c r="N406" s="1062" t="s">
        <v>129</v>
      </c>
      <c r="O406" s="1062"/>
      <c r="P406" s="863">
        <v>193000</v>
      </c>
      <c r="Q406" s="863"/>
      <c r="R406" s="1062" t="s">
        <v>3394</v>
      </c>
      <c r="S406" s="1062"/>
      <c r="T406" s="863">
        <v>170000</v>
      </c>
      <c r="V406" s="869"/>
      <c r="W406" s="358">
        <v>0.23537281324646608</v>
      </c>
      <c r="X406" s="863"/>
      <c r="Y406" s="863"/>
    </row>
    <row r="407" spans="1:25" s="343" customFormat="1" ht="0.65" hidden="1" customHeight="1">
      <c r="A407" s="343">
        <v>2025</v>
      </c>
      <c r="F407" s="343" t="s">
        <v>463</v>
      </c>
      <c r="I407" s="343" t="s">
        <v>463</v>
      </c>
      <c r="N407" s="863"/>
      <c r="P407" s="653"/>
      <c r="T407" s="653"/>
      <c r="W407" s="653"/>
      <c r="X407" s="863"/>
      <c r="Y407" s="863"/>
    </row>
    <row r="408" spans="1:25" s="343" customFormat="1" ht="0.65" hidden="1" customHeight="1">
      <c r="A408" s="343">
        <v>2026</v>
      </c>
      <c r="B408" s="343" t="s">
        <v>3573</v>
      </c>
      <c r="F408" s="343" t="s">
        <v>463</v>
      </c>
      <c r="I408" s="343" t="s">
        <v>463</v>
      </c>
      <c r="X408" s="863"/>
      <c r="Y408" s="863"/>
    </row>
    <row r="409" spans="1:25" s="343" customFormat="1" ht="0.65" hidden="1" customHeight="1">
      <c r="A409" s="343">
        <v>2027</v>
      </c>
      <c r="F409" s="343" t="s">
        <v>463</v>
      </c>
      <c r="I409" s="343" t="s">
        <v>463</v>
      </c>
      <c r="X409" s="863"/>
      <c r="Y409" s="863"/>
    </row>
    <row r="410" spans="1:25" s="343" customFormat="1" ht="0.65" hidden="1" customHeight="1">
      <c r="A410" s="343">
        <v>2028</v>
      </c>
      <c r="F410" s="343" t="s">
        <v>463</v>
      </c>
      <c r="I410" s="343" t="s">
        <v>463</v>
      </c>
      <c r="X410" s="863"/>
      <c r="Y410" s="863"/>
    </row>
    <row r="411" spans="1:25" s="343" customFormat="1" ht="0.65" hidden="1" customHeight="1">
      <c r="A411" s="343">
        <v>2029</v>
      </c>
      <c r="F411" s="343" t="s">
        <v>463</v>
      </c>
      <c r="I411" s="343" t="s">
        <v>463</v>
      </c>
      <c r="X411" s="863"/>
      <c r="Y411" s="863"/>
    </row>
    <row r="412" spans="1:25" s="343" customFormat="1" ht="0.65" hidden="1" customHeight="1">
      <c r="A412" s="343">
        <v>2030</v>
      </c>
      <c r="F412" s="343" t="s">
        <v>463</v>
      </c>
      <c r="I412" s="343" t="s">
        <v>463</v>
      </c>
      <c r="X412" s="863"/>
      <c r="Y412" s="863"/>
    </row>
    <row r="413" spans="1:25" s="343" customFormat="1" ht="0.65" hidden="1" customHeight="1">
      <c r="A413" s="343">
        <v>2031</v>
      </c>
      <c r="F413" s="343" t="s">
        <v>463</v>
      </c>
      <c r="I413" s="343" t="s">
        <v>463</v>
      </c>
      <c r="X413" s="863"/>
      <c r="Y413" s="863"/>
    </row>
    <row r="414" spans="1:25" s="343" customFormat="1" ht="0.65" hidden="1" customHeight="1">
      <c r="A414" s="343">
        <v>2032</v>
      </c>
      <c r="F414" s="343" t="s">
        <v>463</v>
      </c>
      <c r="I414" s="343" t="s">
        <v>463</v>
      </c>
      <c r="X414" s="863"/>
      <c r="Y414" s="863"/>
    </row>
    <row r="415" spans="1:25" s="343" customFormat="1" ht="0.65" hidden="1" customHeight="1">
      <c r="A415" s="343">
        <v>2033</v>
      </c>
      <c r="F415" s="343" t="s">
        <v>463</v>
      </c>
      <c r="I415" s="343" t="s">
        <v>463</v>
      </c>
      <c r="X415" s="863"/>
      <c r="Y415" s="863"/>
    </row>
    <row r="416" spans="1:25" s="343" customFormat="1" ht="0.65" hidden="1" customHeight="1">
      <c r="A416" s="343">
        <v>2034</v>
      </c>
      <c r="F416" s="343" t="s">
        <v>463</v>
      </c>
      <c r="I416" s="343" t="s">
        <v>463</v>
      </c>
      <c r="X416" s="863"/>
      <c r="Y416" s="863"/>
    </row>
    <row r="417" spans="1:25" s="343" customFormat="1" ht="0.65" hidden="1" customHeight="1">
      <c r="A417" s="343">
        <v>2035</v>
      </c>
      <c r="F417" s="343" t="s">
        <v>463</v>
      </c>
      <c r="I417" s="343" t="s">
        <v>463</v>
      </c>
      <c r="X417" s="863"/>
      <c r="Y417" s="863"/>
    </row>
    <row r="418" spans="1:25" s="343" customFormat="1" ht="0.65" hidden="1" customHeight="1">
      <c r="A418" s="343">
        <v>2036</v>
      </c>
      <c r="F418" s="343" t="s">
        <v>463</v>
      </c>
      <c r="I418" s="343" t="s">
        <v>463</v>
      </c>
      <c r="X418" s="863"/>
      <c r="Y418" s="863"/>
    </row>
    <row r="419" spans="1:25" s="343" customFormat="1" ht="0.65" hidden="1" customHeight="1">
      <c r="A419" s="343">
        <v>2037</v>
      </c>
      <c r="F419" s="343" t="s">
        <v>463</v>
      </c>
      <c r="I419" s="343" t="s">
        <v>463</v>
      </c>
      <c r="X419" s="863"/>
      <c r="Y419" s="863"/>
    </row>
    <row r="420" spans="1:25" s="343" customFormat="1" ht="0.65" hidden="1" customHeight="1">
      <c r="A420" s="343">
        <v>2038</v>
      </c>
      <c r="F420" s="343" t="s">
        <v>463</v>
      </c>
      <c r="I420" s="343" t="s">
        <v>463</v>
      </c>
      <c r="X420" s="863"/>
      <c r="Y420" s="863"/>
    </row>
    <row r="421" spans="1:25" s="343" customFormat="1" ht="0.65" hidden="1" customHeight="1">
      <c r="A421" s="343">
        <v>2039</v>
      </c>
    </row>
    <row r="422" spans="1:25" s="343" customFormat="1" ht="0.65" hidden="1" customHeight="1">
      <c r="A422" s="343">
        <v>2040</v>
      </c>
    </row>
    <row r="423" spans="1:25" s="343" customFormat="1" ht="0.65" hidden="1" customHeight="1">
      <c r="A423" s="343">
        <v>2041</v>
      </c>
      <c r="M423" s="343">
        <v>0</v>
      </c>
      <c r="O423" s="343">
        <v>1</v>
      </c>
      <c r="P423" s="343" t="s">
        <v>3571</v>
      </c>
      <c r="R423" s="863">
        <v>50000</v>
      </c>
      <c r="S423" s="343" t="s">
        <v>3574</v>
      </c>
      <c r="T423" s="343" t="s">
        <v>3575</v>
      </c>
    </row>
    <row r="424" spans="1:25" s="343" customFormat="1" ht="0.65" hidden="1" customHeight="1">
      <c r="A424" s="343">
        <v>2042</v>
      </c>
      <c r="O424" s="343">
        <v>2</v>
      </c>
      <c r="P424" s="343" t="s">
        <v>3388</v>
      </c>
      <c r="R424" s="863">
        <v>88000</v>
      </c>
      <c r="S424" s="343" t="s">
        <v>3398</v>
      </c>
      <c r="T424" s="343" t="s">
        <v>3576</v>
      </c>
    </row>
    <row r="425" spans="1:25" s="343" customFormat="1" ht="0.65" hidden="1" customHeight="1">
      <c r="A425" s="343">
        <v>2043</v>
      </c>
      <c r="O425" s="343">
        <v>3</v>
      </c>
      <c r="P425" s="343" t="s">
        <v>3391</v>
      </c>
      <c r="R425" s="863">
        <v>55000</v>
      </c>
      <c r="S425" s="343" t="s">
        <v>3577</v>
      </c>
      <c r="T425" s="343" t="s">
        <v>3401</v>
      </c>
    </row>
    <row r="426" spans="1:25" s="343" customFormat="1" ht="0.65" hidden="1" customHeight="1">
      <c r="A426" s="343">
        <v>2044</v>
      </c>
      <c r="O426" s="343">
        <v>4</v>
      </c>
      <c r="P426" s="343" t="s">
        <v>55</v>
      </c>
      <c r="R426" s="863" t="s">
        <v>55</v>
      </c>
    </row>
    <row r="427" spans="1:25" s="343" customFormat="1" ht="0.65" hidden="1" customHeight="1">
      <c r="A427" s="343">
        <v>2045</v>
      </c>
      <c r="O427" s="343">
        <v>5</v>
      </c>
      <c r="P427" s="343" t="s">
        <v>129</v>
      </c>
      <c r="R427" s="863">
        <v>193000</v>
      </c>
      <c r="S427" s="343" t="s">
        <v>3578</v>
      </c>
      <c r="T427" s="343" t="s">
        <v>3579</v>
      </c>
    </row>
    <row r="428" spans="1:25" s="343" customFormat="1" ht="0.65" hidden="1" customHeight="1">
      <c r="A428" s="343">
        <v>2046</v>
      </c>
      <c r="O428" s="343">
        <v>6</v>
      </c>
      <c r="P428" s="343" t="s">
        <v>3404</v>
      </c>
      <c r="R428" s="863">
        <v>300000</v>
      </c>
      <c r="S428" s="343" t="s">
        <v>3405</v>
      </c>
      <c r="T428" s="343" t="s">
        <v>3406</v>
      </c>
    </row>
    <row r="429" spans="1:25" s="343" customFormat="1" ht="0.65" hidden="1" customHeight="1">
      <c r="A429" s="343">
        <v>2047</v>
      </c>
      <c r="O429" s="343">
        <v>7</v>
      </c>
      <c r="P429" s="343" t="s">
        <v>3407</v>
      </c>
      <c r="R429" s="863">
        <v>300000</v>
      </c>
      <c r="S429" s="343" t="s">
        <v>3405</v>
      </c>
      <c r="T429" s="343" t="s">
        <v>3406</v>
      </c>
    </row>
    <row r="430" spans="1:25" s="343" customFormat="1" ht="0.65" hidden="1" customHeight="1">
      <c r="A430" s="343">
        <v>2048</v>
      </c>
      <c r="O430" s="343">
        <v>8</v>
      </c>
      <c r="P430" s="343" t="s">
        <v>3408</v>
      </c>
      <c r="R430" s="863">
        <v>300000</v>
      </c>
      <c r="S430" s="343" t="s">
        <v>3405</v>
      </c>
      <c r="T430" s="343" t="s">
        <v>3406</v>
      </c>
    </row>
    <row r="431" spans="1:25" s="343" customFormat="1" ht="0.65" hidden="1" customHeight="1">
      <c r="A431" s="343">
        <v>2049</v>
      </c>
      <c r="O431" s="343">
        <v>9</v>
      </c>
      <c r="P431" s="343" t="s">
        <v>3409</v>
      </c>
      <c r="R431" s="863">
        <v>300000</v>
      </c>
      <c r="S431" s="343" t="s">
        <v>3405</v>
      </c>
      <c r="T431" s="343" t="s">
        <v>3406</v>
      </c>
    </row>
    <row r="432" spans="1:25" s="343" customFormat="1" ht="0.65" hidden="1" customHeight="1">
      <c r="A432" s="343">
        <v>2050</v>
      </c>
      <c r="O432" s="343">
        <v>10</v>
      </c>
      <c r="P432" s="343" t="s">
        <v>3410</v>
      </c>
      <c r="R432" s="863">
        <v>240000</v>
      </c>
      <c r="S432" s="343" t="s">
        <v>3411</v>
      </c>
      <c r="T432" s="343" t="s">
        <v>3412</v>
      </c>
    </row>
    <row r="433" spans="1:20" s="343" customFormat="1" ht="0.65" hidden="1" customHeight="1">
      <c r="A433" s="343">
        <v>2051</v>
      </c>
      <c r="O433" s="343">
        <v>11</v>
      </c>
      <c r="P433" s="343" t="s">
        <v>3413</v>
      </c>
      <c r="R433" s="863">
        <v>240000</v>
      </c>
      <c r="S433" s="343" t="s">
        <v>3411</v>
      </c>
      <c r="T433" s="343" t="s">
        <v>3412</v>
      </c>
    </row>
    <row r="434" spans="1:20" s="343" customFormat="1" ht="0.65" hidden="1" customHeight="1">
      <c r="A434" s="343">
        <v>2052</v>
      </c>
      <c r="O434" s="343">
        <v>12</v>
      </c>
      <c r="P434" s="343" t="s">
        <v>3414</v>
      </c>
      <c r="R434" s="863">
        <v>240000</v>
      </c>
      <c r="S434" s="343" t="s">
        <v>3411</v>
      </c>
      <c r="T434" s="343" t="s">
        <v>3412</v>
      </c>
    </row>
    <row r="435" spans="1:20" s="343" customFormat="1" ht="0.65" hidden="1" customHeight="1">
      <c r="A435" s="343">
        <v>2053</v>
      </c>
      <c r="O435" s="343">
        <v>13</v>
      </c>
      <c r="P435" s="343" t="s">
        <v>3415</v>
      </c>
      <c r="R435" s="863">
        <v>240000</v>
      </c>
      <c r="S435" s="343" t="s">
        <v>3411</v>
      </c>
      <c r="T435" s="343" t="s">
        <v>3412</v>
      </c>
    </row>
    <row r="436" spans="1:20" s="343" customFormat="1" ht="0.65" hidden="1" customHeight="1">
      <c r="A436" s="343">
        <v>2054</v>
      </c>
      <c r="O436" s="343">
        <v>14</v>
      </c>
      <c r="P436" s="343" t="s">
        <v>3416</v>
      </c>
      <c r="R436" s="863">
        <v>25000</v>
      </c>
      <c r="S436" s="343" t="s">
        <v>3580</v>
      </c>
      <c r="T436" s="343" t="s">
        <v>3581</v>
      </c>
    </row>
    <row r="437" spans="1:20" s="343" customFormat="1" ht="0.65" hidden="1" customHeight="1">
      <c r="A437" s="343">
        <v>2055</v>
      </c>
      <c r="O437" s="343">
        <v>15</v>
      </c>
      <c r="P437" s="343" t="s">
        <v>3419</v>
      </c>
      <c r="R437" s="863">
        <v>25000</v>
      </c>
      <c r="S437" s="343" t="s">
        <v>3580</v>
      </c>
      <c r="T437" s="343" t="s">
        <v>3581</v>
      </c>
    </row>
    <row r="438" spans="1:20" s="343" customFormat="1" ht="0.65" hidden="1" customHeight="1">
      <c r="A438" s="343">
        <v>2056</v>
      </c>
      <c r="O438" s="343">
        <v>16</v>
      </c>
      <c r="P438" s="343" t="s">
        <v>3420</v>
      </c>
      <c r="R438" s="863">
        <v>25000</v>
      </c>
      <c r="S438" s="343" t="s">
        <v>3580</v>
      </c>
      <c r="T438" s="343" t="s">
        <v>3581</v>
      </c>
    </row>
    <row r="439" spans="1:20" s="343" customFormat="1" ht="0.65" hidden="1" customHeight="1">
      <c r="A439" s="343">
        <v>2057</v>
      </c>
      <c r="O439" s="343">
        <v>17</v>
      </c>
      <c r="P439" s="343" t="s">
        <v>3421</v>
      </c>
      <c r="R439" s="863">
        <v>25000</v>
      </c>
      <c r="S439" s="343" t="s">
        <v>3580</v>
      </c>
      <c r="T439" s="343" t="s">
        <v>3581</v>
      </c>
    </row>
    <row r="440" spans="1:20" s="343" customFormat="1" ht="0.65" hidden="1" customHeight="1">
      <c r="A440" s="343">
        <v>2058</v>
      </c>
      <c r="O440" s="343">
        <v>18</v>
      </c>
      <c r="P440" s="343" t="s">
        <v>3422</v>
      </c>
      <c r="R440" s="863">
        <v>35000</v>
      </c>
      <c r="S440" s="343" t="s">
        <v>3582</v>
      </c>
      <c r="T440" s="343" t="s">
        <v>3424</v>
      </c>
    </row>
    <row r="441" spans="1:20" s="343" customFormat="1" ht="0.65" hidden="1" customHeight="1">
      <c r="A441" s="343">
        <v>2059</v>
      </c>
      <c r="O441" s="343">
        <v>19</v>
      </c>
      <c r="P441" s="343" t="s">
        <v>3425</v>
      </c>
      <c r="R441" s="863">
        <v>35000</v>
      </c>
      <c r="S441" s="343" t="s">
        <v>3582</v>
      </c>
      <c r="T441" s="343" t="s">
        <v>3426</v>
      </c>
    </row>
    <row r="442" spans="1:20" s="343" customFormat="1" ht="0.65" hidden="1" customHeight="1">
      <c r="A442" s="343">
        <v>2060</v>
      </c>
      <c r="O442" s="343">
        <v>20</v>
      </c>
      <c r="P442" s="343" t="s">
        <v>3427</v>
      </c>
      <c r="R442" s="863">
        <v>35000</v>
      </c>
      <c r="S442" s="343" t="s">
        <v>3582</v>
      </c>
      <c r="T442" s="343" t="s">
        <v>3428</v>
      </c>
    </row>
    <row r="443" spans="1:20" s="343" customFormat="1" ht="0.65" hidden="1" customHeight="1">
      <c r="A443" s="343">
        <v>2061</v>
      </c>
      <c r="O443" s="343">
        <v>21</v>
      </c>
      <c r="P443" s="343" t="s">
        <v>3429</v>
      </c>
      <c r="R443" s="863">
        <v>35000</v>
      </c>
      <c r="S443" s="343" t="s">
        <v>3582</v>
      </c>
      <c r="T443" s="343" t="s">
        <v>3430</v>
      </c>
    </row>
    <row r="444" spans="1:20" s="343" customFormat="1" ht="0.65" hidden="1" customHeight="1">
      <c r="A444" s="343">
        <v>2062</v>
      </c>
      <c r="O444" s="343">
        <v>22</v>
      </c>
      <c r="P444" s="343" t="s">
        <v>3431</v>
      </c>
      <c r="R444" s="863">
        <v>10500</v>
      </c>
      <c r="S444" s="343" t="s">
        <v>3583</v>
      </c>
      <c r="T444" s="343" t="s">
        <v>3433</v>
      </c>
    </row>
    <row r="445" spans="1:20" s="343" customFormat="1" ht="0.65" hidden="1" customHeight="1">
      <c r="A445" s="343">
        <v>2063</v>
      </c>
      <c r="O445" s="343">
        <v>23</v>
      </c>
      <c r="P445" s="343" t="s">
        <v>3434</v>
      </c>
      <c r="R445" s="863">
        <v>10500</v>
      </c>
      <c r="S445" s="343" t="s">
        <v>3583</v>
      </c>
      <c r="T445" s="343" t="s">
        <v>3435</v>
      </c>
    </row>
    <row r="446" spans="1:20" s="343" customFormat="1" ht="0.65" hidden="1" customHeight="1">
      <c r="A446" s="343">
        <v>2064</v>
      </c>
      <c r="O446" s="343">
        <v>24</v>
      </c>
      <c r="P446" s="343" t="s">
        <v>3436</v>
      </c>
      <c r="R446" s="863">
        <v>10500</v>
      </c>
      <c r="S446" s="343" t="s">
        <v>3583</v>
      </c>
      <c r="T446" s="343" t="s">
        <v>3437</v>
      </c>
    </row>
    <row r="447" spans="1:20" s="343" customFormat="1" ht="0.65" hidden="1" customHeight="1">
      <c r="A447" s="343">
        <v>2065</v>
      </c>
      <c r="O447" s="343">
        <v>25</v>
      </c>
      <c r="P447" s="343" t="s">
        <v>3438</v>
      </c>
      <c r="R447" s="863">
        <v>10500</v>
      </c>
      <c r="S447" s="343" t="s">
        <v>3583</v>
      </c>
      <c r="T447" s="343" t="s">
        <v>3439</v>
      </c>
    </row>
    <row r="448" spans="1:20" s="343" customFormat="1" ht="0.65" hidden="1" customHeight="1">
      <c r="A448" s="343">
        <v>2066</v>
      </c>
      <c r="O448" s="343">
        <v>26</v>
      </c>
      <c r="P448" s="343" t="s">
        <v>3440</v>
      </c>
      <c r="R448" s="863">
        <v>24500</v>
      </c>
      <c r="S448" s="343" t="s">
        <v>3584</v>
      </c>
      <c r="T448" s="343" t="s">
        <v>3442</v>
      </c>
    </row>
    <row r="449" spans="1:20" s="343" customFormat="1" ht="0.65" hidden="1" customHeight="1">
      <c r="A449" s="343">
        <v>2067</v>
      </c>
      <c r="O449" s="343">
        <v>27</v>
      </c>
      <c r="P449" s="343" t="s">
        <v>3443</v>
      </c>
      <c r="R449" s="863">
        <v>24500</v>
      </c>
      <c r="S449" s="343" t="s">
        <v>3584</v>
      </c>
      <c r="T449" s="343" t="s">
        <v>3444</v>
      </c>
    </row>
    <row r="450" spans="1:20" s="343" customFormat="1" ht="0.65" hidden="1" customHeight="1">
      <c r="A450" s="343">
        <v>2068</v>
      </c>
      <c r="O450" s="343">
        <v>28</v>
      </c>
      <c r="P450" s="343" t="s">
        <v>3445</v>
      </c>
      <c r="R450" s="863">
        <v>24500</v>
      </c>
      <c r="S450" s="343" t="s">
        <v>3584</v>
      </c>
      <c r="T450" s="343" t="s">
        <v>3446</v>
      </c>
    </row>
    <row r="451" spans="1:20" s="343" customFormat="1" ht="0.65" hidden="1" customHeight="1">
      <c r="A451" s="343">
        <v>2069</v>
      </c>
      <c r="O451" s="343">
        <v>29</v>
      </c>
      <c r="P451" s="343" t="s">
        <v>3447</v>
      </c>
      <c r="R451" s="863">
        <v>24500</v>
      </c>
      <c r="S451" s="343" t="s">
        <v>3584</v>
      </c>
      <c r="T451" s="343" t="s">
        <v>3448</v>
      </c>
    </row>
    <row r="452" spans="1:20" s="343" customFormat="1" ht="0.65" hidden="1" customHeight="1">
      <c r="A452" s="343">
        <v>2070</v>
      </c>
      <c r="O452" s="343">
        <v>30</v>
      </c>
      <c r="P452" s="343" t="s">
        <v>3449</v>
      </c>
      <c r="R452" s="863">
        <v>49500</v>
      </c>
      <c r="S452" s="863" t="s">
        <v>3585</v>
      </c>
      <c r="T452" s="343" t="s">
        <v>3451</v>
      </c>
    </row>
    <row r="453" spans="1:20" s="343" customFormat="1" ht="0.65" hidden="1" customHeight="1">
      <c r="A453" s="343">
        <v>2071</v>
      </c>
      <c r="O453" s="343">
        <v>31</v>
      </c>
      <c r="P453" s="343" t="s">
        <v>3452</v>
      </c>
      <c r="R453" s="863">
        <v>49500</v>
      </c>
      <c r="S453" s="863" t="s">
        <v>3585</v>
      </c>
      <c r="T453" s="343" t="s">
        <v>3453</v>
      </c>
    </row>
    <row r="454" spans="1:20" s="343" customFormat="1" ht="0.65" hidden="1" customHeight="1">
      <c r="A454" s="343">
        <v>2072</v>
      </c>
      <c r="O454" s="343">
        <v>32</v>
      </c>
      <c r="P454" s="343" t="s">
        <v>3454</v>
      </c>
      <c r="R454" s="863">
        <v>49500</v>
      </c>
      <c r="S454" s="863" t="s">
        <v>3585</v>
      </c>
      <c r="T454" s="343" t="s">
        <v>3455</v>
      </c>
    </row>
    <row r="455" spans="1:20" s="343" customFormat="1" ht="0.65" hidden="1" customHeight="1">
      <c r="A455" s="343">
        <v>2073</v>
      </c>
      <c r="O455" s="343">
        <v>33</v>
      </c>
      <c r="P455" s="343" t="s">
        <v>3456</v>
      </c>
      <c r="R455" s="863">
        <v>49500</v>
      </c>
      <c r="S455" s="863" t="s">
        <v>3585</v>
      </c>
      <c r="T455" s="343" t="s">
        <v>3457</v>
      </c>
    </row>
    <row r="456" spans="1:20" s="343" customFormat="1" ht="0.65" hidden="1" customHeight="1">
      <c r="A456" s="343">
        <v>2074</v>
      </c>
      <c r="O456" s="343">
        <v>34</v>
      </c>
      <c r="P456" s="343" t="s">
        <v>3458</v>
      </c>
      <c r="R456" s="863">
        <v>20000</v>
      </c>
      <c r="S456" s="343" t="s">
        <v>3459</v>
      </c>
      <c r="T456" s="343" t="s">
        <v>3460</v>
      </c>
    </row>
    <row r="457" spans="1:20" s="343" customFormat="1" ht="0.65" hidden="1" customHeight="1">
      <c r="A457" s="343">
        <v>2075</v>
      </c>
      <c r="O457" s="343">
        <v>35</v>
      </c>
      <c r="P457" s="343" t="s">
        <v>3461</v>
      </c>
      <c r="R457" s="863">
        <v>20000</v>
      </c>
      <c r="S457" s="863" t="s">
        <v>3459</v>
      </c>
      <c r="T457" s="343" t="s">
        <v>3462</v>
      </c>
    </row>
    <row r="458" spans="1:20" s="343" customFormat="1" ht="0.65" hidden="1" customHeight="1">
      <c r="A458" s="343">
        <v>2076</v>
      </c>
      <c r="O458" s="343">
        <v>36</v>
      </c>
      <c r="P458" s="343" t="s">
        <v>3463</v>
      </c>
      <c r="R458" s="863">
        <v>20000</v>
      </c>
      <c r="S458" s="863" t="s">
        <v>3459</v>
      </c>
      <c r="T458" s="343" t="s">
        <v>3464</v>
      </c>
    </row>
    <row r="459" spans="1:20" s="343" customFormat="1" ht="0.65" hidden="1" customHeight="1">
      <c r="A459" s="343">
        <v>2077</v>
      </c>
      <c r="O459" s="343">
        <v>37</v>
      </c>
      <c r="P459" s="343" t="s">
        <v>3465</v>
      </c>
      <c r="R459" s="863">
        <v>20000</v>
      </c>
      <c r="S459" s="863" t="s">
        <v>3459</v>
      </c>
      <c r="T459" s="343" t="s">
        <v>3466</v>
      </c>
    </row>
    <row r="460" spans="1:20" s="343" customFormat="1" ht="0.65" hidden="1" customHeight="1">
      <c r="A460" s="343">
        <v>2078</v>
      </c>
      <c r="O460" s="343">
        <v>38</v>
      </c>
      <c r="P460" s="343" t="s">
        <v>3467</v>
      </c>
      <c r="R460" s="863">
        <v>20000</v>
      </c>
      <c r="S460" s="863" t="s">
        <v>3459</v>
      </c>
      <c r="T460" s="343" t="s">
        <v>3466</v>
      </c>
    </row>
    <row r="461" spans="1:20" s="343" customFormat="1" ht="0.65" hidden="1" customHeight="1">
      <c r="A461" s="343">
        <v>2079</v>
      </c>
      <c r="O461" s="343">
        <v>39</v>
      </c>
      <c r="P461" s="343" t="s">
        <v>3468</v>
      </c>
      <c r="R461" s="863">
        <v>75000</v>
      </c>
      <c r="S461" s="343" t="s">
        <v>3469</v>
      </c>
      <c r="T461" s="343" t="s">
        <v>3470</v>
      </c>
    </row>
    <row r="462" spans="1:20" s="343" customFormat="1" ht="0.65" hidden="1" customHeight="1">
      <c r="A462" s="343">
        <v>2080</v>
      </c>
      <c r="O462" s="343">
        <v>40</v>
      </c>
      <c r="P462" s="343" t="s">
        <v>3471</v>
      </c>
      <c r="R462" s="863">
        <v>75000</v>
      </c>
      <c r="S462" s="863" t="s">
        <v>3469</v>
      </c>
      <c r="T462" s="343" t="s">
        <v>3472</v>
      </c>
    </row>
    <row r="463" spans="1:20" s="343" customFormat="1" ht="0.65" hidden="1" customHeight="1">
      <c r="A463" s="343">
        <v>2081</v>
      </c>
      <c r="O463" s="343">
        <v>41</v>
      </c>
      <c r="P463" s="343" t="s">
        <v>3473</v>
      </c>
      <c r="R463" s="863">
        <v>75000</v>
      </c>
      <c r="S463" s="863" t="s">
        <v>3469</v>
      </c>
      <c r="T463" s="343" t="s">
        <v>3474</v>
      </c>
    </row>
    <row r="464" spans="1:20" s="343" customFormat="1" ht="0.65" hidden="1" customHeight="1">
      <c r="A464" s="343">
        <v>2082</v>
      </c>
      <c r="O464" s="343">
        <v>42</v>
      </c>
      <c r="P464" s="343" t="s">
        <v>3475</v>
      </c>
      <c r="R464" s="863">
        <v>75000</v>
      </c>
      <c r="S464" s="863" t="s">
        <v>3469</v>
      </c>
      <c r="T464" s="343" t="s">
        <v>3476</v>
      </c>
    </row>
    <row r="465" spans="1:20" s="343" customFormat="1" ht="0.65" hidden="1" customHeight="1">
      <c r="A465" s="343">
        <v>2083</v>
      </c>
      <c r="O465" s="343">
        <v>43</v>
      </c>
      <c r="P465" s="343" t="s">
        <v>3477</v>
      </c>
      <c r="R465" s="863">
        <v>75000</v>
      </c>
      <c r="S465" s="863" t="s">
        <v>3469</v>
      </c>
      <c r="T465" s="343" t="s">
        <v>3478</v>
      </c>
    </row>
    <row r="466" spans="1:20" s="343" customFormat="1" ht="0.65" hidden="1" customHeight="1">
      <c r="A466" s="343">
        <v>2084</v>
      </c>
      <c r="O466" s="343">
        <v>44</v>
      </c>
      <c r="P466" s="343" t="s">
        <v>3479</v>
      </c>
      <c r="R466" s="863">
        <v>40000</v>
      </c>
      <c r="S466" s="343" t="s">
        <v>3480</v>
      </c>
      <c r="T466" s="343" t="s">
        <v>3481</v>
      </c>
    </row>
    <row r="467" spans="1:20" s="343" customFormat="1" ht="0.65" hidden="1" customHeight="1">
      <c r="A467" s="343">
        <v>2085</v>
      </c>
      <c r="O467" s="343">
        <v>45</v>
      </c>
      <c r="P467" s="343" t="s">
        <v>3482</v>
      </c>
      <c r="R467" s="863">
        <v>40000</v>
      </c>
      <c r="S467" s="863" t="s">
        <v>3480</v>
      </c>
      <c r="T467" s="343" t="s">
        <v>3483</v>
      </c>
    </row>
    <row r="468" spans="1:20" s="343" customFormat="1" ht="0.65" hidden="1" customHeight="1">
      <c r="A468" s="343">
        <v>2086</v>
      </c>
      <c r="O468" s="343">
        <v>46</v>
      </c>
      <c r="P468" s="343" t="s">
        <v>3484</v>
      </c>
      <c r="R468" s="863">
        <v>40000</v>
      </c>
      <c r="S468" s="863" t="s">
        <v>3480</v>
      </c>
      <c r="T468" s="343" t="s">
        <v>3485</v>
      </c>
    </row>
    <row r="469" spans="1:20" s="343" customFormat="1" ht="0.65" hidden="1" customHeight="1">
      <c r="A469" s="343">
        <v>2087</v>
      </c>
      <c r="O469" s="343">
        <v>47</v>
      </c>
      <c r="P469" s="343" t="s">
        <v>3486</v>
      </c>
      <c r="R469" s="863">
        <v>40000</v>
      </c>
      <c r="S469" s="863" t="s">
        <v>3480</v>
      </c>
      <c r="T469" s="343" t="s">
        <v>3487</v>
      </c>
    </row>
    <row r="470" spans="1:20" s="343" customFormat="1" ht="0.65" hidden="1" customHeight="1">
      <c r="A470" s="343">
        <v>2088</v>
      </c>
      <c r="O470" s="343">
        <v>48</v>
      </c>
      <c r="P470" s="343" t="s">
        <v>3488</v>
      </c>
      <c r="R470" s="863">
        <v>40000</v>
      </c>
      <c r="S470" s="863" t="s">
        <v>3480</v>
      </c>
      <c r="T470" s="343" t="s">
        <v>3489</v>
      </c>
    </row>
    <row r="471" spans="1:20" s="343" customFormat="1" ht="0.65" hidden="1" customHeight="1">
      <c r="A471" s="343">
        <v>2089</v>
      </c>
      <c r="O471" s="343">
        <v>49</v>
      </c>
      <c r="P471" s="343" t="s">
        <v>3490</v>
      </c>
      <c r="R471" s="863">
        <v>55000</v>
      </c>
      <c r="S471" s="863" t="s">
        <v>3491</v>
      </c>
      <c r="T471" s="343" t="s">
        <v>3492</v>
      </c>
    </row>
    <row r="472" spans="1:20" s="343" customFormat="1" ht="0.65" hidden="1" customHeight="1">
      <c r="A472" s="343">
        <v>2090</v>
      </c>
      <c r="O472" s="343">
        <v>50</v>
      </c>
      <c r="P472" s="343" t="s">
        <v>3493</v>
      </c>
      <c r="R472" s="863">
        <v>55000</v>
      </c>
      <c r="S472" s="863" t="s">
        <v>3491</v>
      </c>
      <c r="T472" s="343" t="s">
        <v>3494</v>
      </c>
    </row>
    <row r="473" spans="1:20" s="343" customFormat="1" ht="0.65" hidden="1" customHeight="1">
      <c r="A473" s="343">
        <v>2091</v>
      </c>
      <c r="O473" s="343">
        <v>51</v>
      </c>
      <c r="P473" s="343" t="s">
        <v>3495</v>
      </c>
      <c r="R473" s="863">
        <v>55000</v>
      </c>
      <c r="S473" s="863" t="s">
        <v>3491</v>
      </c>
      <c r="T473" s="343" t="s">
        <v>3496</v>
      </c>
    </row>
    <row r="474" spans="1:20" s="343" customFormat="1" ht="0.65" hidden="1" customHeight="1">
      <c r="A474" s="343">
        <v>2092</v>
      </c>
      <c r="O474" s="343">
        <v>52</v>
      </c>
      <c r="P474" s="343" t="s">
        <v>3497</v>
      </c>
      <c r="R474" s="863">
        <v>55000</v>
      </c>
      <c r="S474" s="863" t="s">
        <v>3491</v>
      </c>
      <c r="T474" s="343" t="s">
        <v>3498</v>
      </c>
    </row>
    <row r="475" spans="1:20" s="343" customFormat="1" ht="0.65" hidden="1" customHeight="1">
      <c r="A475" s="343">
        <v>2093</v>
      </c>
      <c r="O475" s="343">
        <v>53</v>
      </c>
      <c r="P475" s="343" t="s">
        <v>3499</v>
      </c>
      <c r="R475" s="863">
        <v>55000</v>
      </c>
      <c r="S475" s="863" t="s">
        <v>3491</v>
      </c>
      <c r="T475" s="343" t="s">
        <v>3500</v>
      </c>
    </row>
    <row r="476" spans="1:20" s="343" customFormat="1" ht="0.65" hidden="1" customHeight="1">
      <c r="A476" s="343">
        <v>2094</v>
      </c>
      <c r="O476" s="343">
        <v>54</v>
      </c>
      <c r="P476" s="343" t="s">
        <v>3501</v>
      </c>
      <c r="R476" s="863">
        <v>55000</v>
      </c>
      <c r="S476" s="343" t="s">
        <v>3502</v>
      </c>
      <c r="T476" s="343" t="s">
        <v>3503</v>
      </c>
    </row>
    <row r="477" spans="1:20" s="343" customFormat="1" ht="0.65" hidden="1" customHeight="1">
      <c r="A477" s="343">
        <v>2095</v>
      </c>
      <c r="O477" s="343">
        <v>55</v>
      </c>
      <c r="P477" s="343" t="s">
        <v>3504</v>
      </c>
      <c r="R477" s="863">
        <v>0</v>
      </c>
      <c r="S477" s="343" t="s">
        <v>3505</v>
      </c>
      <c r="T477" s="343" t="s">
        <v>3506</v>
      </c>
    </row>
    <row r="478" spans="1:20" s="343" customFormat="1" ht="0.65" hidden="1" customHeight="1">
      <c r="A478" s="343">
        <v>2096</v>
      </c>
      <c r="O478" s="343">
        <v>56</v>
      </c>
      <c r="P478" s="343" t="s">
        <v>3507</v>
      </c>
      <c r="R478" s="863">
        <v>0</v>
      </c>
      <c r="S478" s="343" t="s">
        <v>3505</v>
      </c>
      <c r="T478" s="343" t="s">
        <v>3508</v>
      </c>
    </row>
    <row r="479" spans="1:20" s="343" customFormat="1" ht="0.65" hidden="1" customHeight="1">
      <c r="A479" s="343">
        <v>2097</v>
      </c>
      <c r="O479" s="343">
        <v>57</v>
      </c>
      <c r="P479" s="343" t="s">
        <v>3509</v>
      </c>
      <c r="R479" s="863">
        <v>0</v>
      </c>
      <c r="S479" s="343" t="s">
        <v>3505</v>
      </c>
      <c r="T479" s="343" t="s">
        <v>3510</v>
      </c>
    </row>
    <row r="480" spans="1:20" s="343" customFormat="1" ht="0.65" hidden="1" customHeight="1">
      <c r="A480" s="343">
        <v>2098</v>
      </c>
      <c r="O480" s="343">
        <v>58</v>
      </c>
      <c r="P480" s="343" t="s">
        <v>3511</v>
      </c>
      <c r="R480" s="863">
        <v>0</v>
      </c>
      <c r="S480" s="343" t="s">
        <v>3505</v>
      </c>
      <c r="T480" s="343" t="s">
        <v>3512</v>
      </c>
    </row>
    <row r="481" spans="1:20" s="343" customFormat="1" ht="0.65" hidden="1" customHeight="1">
      <c r="A481" s="343">
        <v>2099</v>
      </c>
      <c r="O481" s="343">
        <v>59</v>
      </c>
      <c r="P481" s="343" t="s">
        <v>3513</v>
      </c>
      <c r="R481" s="863">
        <v>49500</v>
      </c>
      <c r="S481" s="863" t="s">
        <v>3586</v>
      </c>
      <c r="T481" s="343" t="s">
        <v>3515</v>
      </c>
    </row>
    <row r="482" spans="1:20" s="343" customFormat="1" ht="0.65" hidden="1" customHeight="1">
      <c r="A482" s="343">
        <v>2100</v>
      </c>
      <c r="O482" s="343">
        <v>60</v>
      </c>
      <c r="P482" s="343" t="s">
        <v>3516</v>
      </c>
      <c r="R482" s="863">
        <v>49500</v>
      </c>
      <c r="S482" s="863" t="s">
        <v>3586</v>
      </c>
      <c r="T482" s="343" t="s">
        <v>3517</v>
      </c>
    </row>
    <row r="483" spans="1:20" s="343" customFormat="1" ht="0.65" hidden="1" customHeight="1">
      <c r="A483" s="343">
        <v>2101</v>
      </c>
      <c r="O483" s="343">
        <v>61</v>
      </c>
      <c r="P483" s="343" t="s">
        <v>3518</v>
      </c>
      <c r="R483" s="863">
        <v>49500</v>
      </c>
      <c r="S483" s="863" t="s">
        <v>3586</v>
      </c>
      <c r="T483" s="343" t="s">
        <v>3519</v>
      </c>
    </row>
    <row r="484" spans="1:20" s="343" customFormat="1" ht="0.65" hidden="1" customHeight="1">
      <c r="A484" s="343">
        <v>2102</v>
      </c>
      <c r="O484" s="343">
        <v>62</v>
      </c>
      <c r="P484" s="343" t="s">
        <v>3520</v>
      </c>
      <c r="R484" s="863">
        <v>49500</v>
      </c>
      <c r="S484" s="863" t="s">
        <v>3586</v>
      </c>
      <c r="T484" s="343" t="s">
        <v>3521</v>
      </c>
    </row>
    <row r="485" spans="1:20" s="343" customFormat="1" ht="0.65" hidden="1" customHeight="1">
      <c r="A485" s="343">
        <v>2103</v>
      </c>
      <c r="O485" s="343">
        <v>63</v>
      </c>
      <c r="P485" s="343" t="s">
        <v>3389</v>
      </c>
      <c r="R485" s="863">
        <v>55000</v>
      </c>
      <c r="S485" s="343" t="s">
        <v>3502</v>
      </c>
      <c r="T485" s="343" t="s">
        <v>3522</v>
      </c>
    </row>
    <row r="486" spans="1:20" s="343" customFormat="1" ht="0.65" hidden="1" customHeight="1">
      <c r="A486" s="343">
        <v>2104</v>
      </c>
      <c r="O486" s="343">
        <v>64</v>
      </c>
      <c r="P486" s="343" t="s">
        <v>3392</v>
      </c>
      <c r="R486" s="863">
        <v>115000</v>
      </c>
      <c r="S486" s="343" t="s">
        <v>3587</v>
      </c>
      <c r="T486" s="343" t="s">
        <v>3588</v>
      </c>
    </row>
    <row r="487" spans="1:20" s="343" customFormat="1" ht="0.65" hidden="1" customHeight="1">
      <c r="A487" s="343">
        <v>2105</v>
      </c>
      <c r="O487" s="343">
        <v>65</v>
      </c>
      <c r="P487" s="343" t="s">
        <v>55</v>
      </c>
      <c r="R487" s="863" t="s">
        <v>55</v>
      </c>
    </row>
    <row r="488" spans="1:20" s="343" customFormat="1" ht="0.65" hidden="1" customHeight="1">
      <c r="A488" s="343">
        <v>2106</v>
      </c>
      <c r="O488" s="343">
        <v>66</v>
      </c>
      <c r="P488" s="343" t="s">
        <v>55</v>
      </c>
      <c r="R488" s="863" t="s">
        <v>55</v>
      </c>
    </row>
    <row r="489" spans="1:20" s="343" customFormat="1" ht="0.65" hidden="1" customHeight="1">
      <c r="A489" s="343">
        <v>2107</v>
      </c>
      <c r="O489" s="343">
        <v>67</v>
      </c>
      <c r="P489" s="343" t="s">
        <v>3394</v>
      </c>
      <c r="R489" s="863">
        <v>170000</v>
      </c>
      <c r="S489" s="343" t="s">
        <v>3589</v>
      </c>
      <c r="T489" s="343" t="s">
        <v>3526</v>
      </c>
    </row>
    <row r="490" spans="1:20" s="343" customFormat="1" ht="0.65" hidden="1" customHeight="1">
      <c r="A490" s="343">
        <v>2108</v>
      </c>
      <c r="O490" s="343">
        <v>68</v>
      </c>
      <c r="P490" s="343" t="s">
        <v>3527</v>
      </c>
      <c r="R490" s="863">
        <v>-193000</v>
      </c>
      <c r="S490" s="343" t="s">
        <v>3590</v>
      </c>
      <c r="T490" s="343" t="s">
        <v>3529</v>
      </c>
    </row>
    <row r="491" spans="1:20" s="343" customFormat="1" ht="0.65" hidden="1" customHeight="1">
      <c r="A491" s="343">
        <v>2109</v>
      </c>
      <c r="O491" s="343">
        <v>69</v>
      </c>
      <c r="P491" s="343" t="s">
        <v>3530</v>
      </c>
      <c r="R491" s="863">
        <v>49500</v>
      </c>
      <c r="S491" s="343" t="s">
        <v>3591</v>
      </c>
      <c r="T491" s="343" t="s">
        <v>3532</v>
      </c>
    </row>
    <row r="492" spans="1:20" s="343" customFormat="1" ht="0.65" hidden="1" customHeight="1">
      <c r="A492" s="343">
        <v>2110</v>
      </c>
      <c r="O492" s="343">
        <v>70</v>
      </c>
      <c r="P492" s="343" t="s">
        <v>3533</v>
      </c>
      <c r="R492" s="863">
        <v>49500</v>
      </c>
      <c r="S492" s="343" t="s">
        <v>3591</v>
      </c>
      <c r="T492" s="343" t="s">
        <v>3534</v>
      </c>
    </row>
    <row r="493" spans="1:20" s="343" customFormat="1" ht="0.65" hidden="1" customHeight="1">
      <c r="A493" s="343">
        <v>2111</v>
      </c>
      <c r="O493" s="343">
        <v>71</v>
      </c>
      <c r="P493" s="343" t="s">
        <v>3535</v>
      </c>
      <c r="R493" s="863">
        <v>49500</v>
      </c>
      <c r="S493" s="343" t="s">
        <v>3591</v>
      </c>
      <c r="T493" s="343" t="s">
        <v>3536</v>
      </c>
    </row>
    <row r="494" spans="1:20" s="343" customFormat="1" ht="0.65" hidden="1" customHeight="1">
      <c r="A494" s="343">
        <v>2112</v>
      </c>
      <c r="O494" s="343">
        <v>72</v>
      </c>
      <c r="P494" s="343" t="s">
        <v>3537</v>
      </c>
      <c r="R494" s="863">
        <v>219500</v>
      </c>
      <c r="S494" s="343" t="s">
        <v>3592</v>
      </c>
      <c r="T494" s="343" t="s">
        <v>3539</v>
      </c>
    </row>
    <row r="495" spans="1:20" s="343" customFormat="1" ht="0.65" hidden="1" customHeight="1">
      <c r="A495" s="343">
        <v>2113</v>
      </c>
      <c r="O495" s="343">
        <v>73</v>
      </c>
      <c r="P495" s="343" t="s">
        <v>3540</v>
      </c>
      <c r="R495" s="864">
        <v>0.1</v>
      </c>
      <c r="S495" s="343" t="s">
        <v>3541</v>
      </c>
      <c r="T495" s="343" t="s">
        <v>3542</v>
      </c>
    </row>
    <row r="496" spans="1:20" s="343" customFormat="1" ht="0.65" hidden="1" customHeight="1">
      <c r="A496" s="343">
        <v>2114</v>
      </c>
      <c r="O496" s="343">
        <v>74</v>
      </c>
      <c r="P496" s="343" t="s">
        <v>13</v>
      </c>
      <c r="R496" s="863">
        <v>80020.627006351948</v>
      </c>
      <c r="S496" s="343" t="s">
        <v>3593</v>
      </c>
      <c r="T496" s="343" t="s">
        <v>3544</v>
      </c>
    </row>
    <row r="497" spans="1:20" s="343" customFormat="1" ht="0.65" hidden="1" customHeight="1">
      <c r="A497" s="343">
        <v>2115</v>
      </c>
      <c r="O497" s="343">
        <v>75</v>
      </c>
      <c r="P497" s="343" t="s">
        <v>28</v>
      </c>
      <c r="R497" s="864">
        <v>0.23537281324646608</v>
      </c>
      <c r="S497" s="343" t="s">
        <v>3594</v>
      </c>
      <c r="T497" s="343" t="s">
        <v>3546</v>
      </c>
    </row>
    <row r="498" spans="1:20" s="343" customFormat="1" ht="0.65" hidden="1" customHeight="1">
      <c r="A498" s="343">
        <v>2116</v>
      </c>
    </row>
    <row r="499" spans="1:20" s="343" customFormat="1" ht="0.65" hidden="1" customHeight="1">
      <c r="A499" s="343">
        <v>2117</v>
      </c>
      <c r="O499" s="343">
        <v>1</v>
      </c>
      <c r="P499" s="343" t="s">
        <v>3595</v>
      </c>
    </row>
    <row r="500" spans="1:20" s="343" customFormat="1" ht="0.65" hidden="1" customHeight="1">
      <c r="A500" s="343">
        <v>2118</v>
      </c>
      <c r="O500" s="343">
        <v>2</v>
      </c>
      <c r="P500" s="343" t="s">
        <v>3596</v>
      </c>
    </row>
    <row r="501" spans="1:20" s="343" customFormat="1" ht="0.65" hidden="1" customHeight="1">
      <c r="A501" s="343">
        <v>2119</v>
      </c>
      <c r="O501" s="343">
        <v>3</v>
      </c>
      <c r="P501" s="343" t="s">
        <v>3597</v>
      </c>
    </row>
    <row r="502" spans="1:20" s="343" customFormat="1" ht="0.65" hidden="1" customHeight="1">
      <c r="A502" s="343">
        <v>2120</v>
      </c>
      <c r="O502" s="343">
        <v>4</v>
      </c>
      <c r="P502" s="343" t="s">
        <v>3550</v>
      </c>
    </row>
    <row r="503" spans="1:20" s="343" customFormat="1" ht="0.65" hidden="1" customHeight="1">
      <c r="A503" s="343">
        <v>2121</v>
      </c>
      <c r="O503" s="343">
        <v>5</v>
      </c>
      <c r="P503" s="343" t="s">
        <v>3598</v>
      </c>
    </row>
    <row r="504" spans="1:20" s="343" customFormat="1" ht="0.65" hidden="1" customHeight="1">
      <c r="A504" s="343">
        <v>2122</v>
      </c>
      <c r="O504" s="343">
        <v>6</v>
      </c>
      <c r="P504" s="343" t="s">
        <v>3599</v>
      </c>
    </row>
    <row r="505" spans="1:20" s="343" customFormat="1" ht="0.65" hidden="1" customHeight="1">
      <c r="A505" s="343">
        <v>2123</v>
      </c>
      <c r="O505" s="343">
        <v>7</v>
      </c>
    </row>
    <row r="506" spans="1:20" s="343" customFormat="1" ht="0.65" hidden="1" customHeight="1">
      <c r="A506" s="343">
        <v>2124</v>
      </c>
      <c r="O506" s="343">
        <v>8</v>
      </c>
    </row>
    <row r="507" spans="1:20" s="343" customFormat="1" ht="0.65" hidden="1" customHeight="1">
      <c r="A507" s="343">
        <v>2125</v>
      </c>
      <c r="O507" s="343">
        <v>9</v>
      </c>
    </row>
    <row r="508" spans="1:20" s="343" customFormat="1" ht="0.65" hidden="1" customHeight="1">
      <c r="A508" s="343">
        <v>2126</v>
      </c>
      <c r="O508" s="343">
        <v>10</v>
      </c>
    </row>
    <row r="509" spans="1:20" s="343" customFormat="1" ht="0.65" hidden="1" customHeight="1">
      <c r="A509" s="343">
        <v>2127</v>
      </c>
    </row>
    <row r="510" spans="1:20" s="343" customFormat="1" ht="0.65" hidden="1" customHeight="1">
      <c r="A510" s="343">
        <v>2128</v>
      </c>
    </row>
    <row r="511" spans="1:20" s="343" customFormat="1" ht="0.65" hidden="1" customHeight="1">
      <c r="A511" s="343">
        <v>2129</v>
      </c>
    </row>
    <row r="512" spans="1:20" s="343" customFormat="1" ht="0.65" hidden="1" customHeight="1">
      <c r="A512" s="343">
        <v>2130</v>
      </c>
    </row>
    <row r="513" spans="1:25" s="343" customFormat="1" ht="0.65" hidden="1" customHeight="1">
      <c r="A513" s="653">
        <v>1</v>
      </c>
      <c r="B513" s="653">
        <v>2</v>
      </c>
      <c r="C513" s="653">
        <v>3</v>
      </c>
      <c r="D513" s="653">
        <v>4</v>
      </c>
      <c r="E513" s="653">
        <v>5</v>
      </c>
      <c r="F513" s="653">
        <v>6</v>
      </c>
      <c r="G513" s="653">
        <v>7</v>
      </c>
      <c r="H513" s="653">
        <v>8</v>
      </c>
      <c r="I513" s="653">
        <v>9</v>
      </c>
      <c r="J513" s="653">
        <v>10</v>
      </c>
      <c r="K513" s="653">
        <v>11</v>
      </c>
      <c r="L513" s="653">
        <v>12</v>
      </c>
      <c r="M513" s="653">
        <v>13</v>
      </c>
      <c r="N513" s="653">
        <v>14</v>
      </c>
      <c r="O513" s="653">
        <v>15</v>
      </c>
      <c r="P513" s="653">
        <v>16</v>
      </c>
      <c r="Q513" s="653">
        <v>17</v>
      </c>
      <c r="R513" s="653">
        <v>18</v>
      </c>
      <c r="S513" s="653">
        <v>19</v>
      </c>
      <c r="T513" s="653">
        <v>20</v>
      </c>
      <c r="U513" s="653">
        <v>21</v>
      </c>
      <c r="V513" s="653">
        <v>22</v>
      </c>
      <c r="W513" s="653">
        <v>23</v>
      </c>
    </row>
    <row r="514" spans="1:25" s="343" customFormat="1" ht="0.65" hidden="1" customHeight="1">
      <c r="A514" s="343">
        <v>3</v>
      </c>
    </row>
    <row r="515" spans="1:25" s="343" customFormat="1" ht="0.65" hidden="1" customHeight="1">
      <c r="A515" s="343">
        <v>3001</v>
      </c>
      <c r="B515" s="343" t="s">
        <v>3600</v>
      </c>
      <c r="E515" s="343" t="s">
        <v>3601</v>
      </c>
      <c r="M515" s="863" t="s">
        <v>3601</v>
      </c>
      <c r="N515" s="863"/>
      <c r="O515" s="863"/>
      <c r="P515" s="863"/>
      <c r="Q515" s="863"/>
      <c r="R515" s="863"/>
      <c r="S515" s="863"/>
      <c r="T515" s="863"/>
      <c r="U515" s="863"/>
      <c r="V515" s="863"/>
    </row>
    <row r="516" spans="1:25" s="343" customFormat="1" ht="0.65" hidden="1" customHeight="1">
      <c r="A516" s="343">
        <v>3002</v>
      </c>
      <c r="F516" s="343" t="s">
        <v>463</v>
      </c>
      <c r="I516" s="343" t="s">
        <v>463</v>
      </c>
      <c r="M516" s="863"/>
      <c r="N516" s="865" t="s">
        <v>55</v>
      </c>
      <c r="O516" s="865" t="s">
        <v>55</v>
      </c>
      <c r="P516" s="865" t="s">
        <v>55</v>
      </c>
      <c r="Q516" s="865" t="s">
        <v>55</v>
      </c>
      <c r="R516" s="865" t="s">
        <v>55</v>
      </c>
      <c r="S516" s="865" t="s">
        <v>55</v>
      </c>
      <c r="T516" s="865" t="s">
        <v>55</v>
      </c>
      <c r="U516" s="865" t="s">
        <v>55</v>
      </c>
      <c r="V516" s="865" t="s">
        <v>55</v>
      </c>
    </row>
    <row r="517" spans="1:25" s="343" customFormat="1" ht="0.65" hidden="1" customHeight="1">
      <c r="A517" s="343">
        <v>3003</v>
      </c>
      <c r="B517" s="343" t="s">
        <v>3602</v>
      </c>
      <c r="E517" s="343" t="s">
        <v>3603</v>
      </c>
      <c r="F517" s="343" t="s">
        <v>463</v>
      </c>
      <c r="H517" s="343" t="s">
        <v>3604</v>
      </c>
      <c r="I517" s="343" t="s">
        <v>463</v>
      </c>
      <c r="M517" s="659"/>
      <c r="N517" s="866"/>
      <c r="O517" s="866"/>
      <c r="P517" s="866"/>
      <c r="Q517" s="866"/>
      <c r="R517" s="866"/>
      <c r="S517" s="866"/>
      <c r="T517" s="866"/>
      <c r="U517" s="866"/>
      <c r="V517" s="866"/>
    </row>
    <row r="518" spans="1:25" s="343" customFormat="1" ht="0.65" hidden="1" customHeight="1">
      <c r="A518" s="343">
        <v>3004</v>
      </c>
      <c r="B518" s="343" t="s">
        <v>3605</v>
      </c>
      <c r="F518" s="343" t="s">
        <v>463</v>
      </c>
      <c r="I518" s="343" t="s">
        <v>463</v>
      </c>
      <c r="M518" s="663"/>
      <c r="N518" s="343">
        <v>0</v>
      </c>
      <c r="O518" s="343">
        <v>0</v>
      </c>
      <c r="P518" s="343">
        <v>0</v>
      </c>
      <c r="Q518" s="343">
        <v>0</v>
      </c>
      <c r="R518" s="343">
        <v>0</v>
      </c>
      <c r="S518" s="343">
        <v>0</v>
      </c>
      <c r="T518" s="343">
        <v>0</v>
      </c>
      <c r="U518" s="343">
        <v>0</v>
      </c>
      <c r="V518" s="863">
        <v>-30000</v>
      </c>
    </row>
    <row r="519" spans="1:25" s="343" customFormat="1" ht="0.65" hidden="1" customHeight="1">
      <c r="A519" s="343">
        <v>3005</v>
      </c>
      <c r="B519" s="343" t="s">
        <v>3606</v>
      </c>
      <c r="E519" s="343" t="s">
        <v>3607</v>
      </c>
      <c r="F519" s="659">
        <v>200000</v>
      </c>
      <c r="H519" s="343" t="s">
        <v>3365</v>
      </c>
      <c r="I519" s="659">
        <v>300000</v>
      </c>
      <c r="M519" s="663"/>
      <c r="N519" s="863">
        <v>0</v>
      </c>
      <c r="O519" s="863">
        <v>0</v>
      </c>
      <c r="P519" s="863">
        <v>5000</v>
      </c>
      <c r="Q519" s="863">
        <v>-5000</v>
      </c>
      <c r="R519" s="863">
        <v>-1500</v>
      </c>
      <c r="S519" s="863">
        <v>-3500</v>
      </c>
      <c r="T519" s="863">
        <v>1500</v>
      </c>
      <c r="U519" s="863">
        <v>1500</v>
      </c>
      <c r="V519" s="863">
        <v>1500</v>
      </c>
    </row>
    <row r="520" spans="1:25" s="343" customFormat="1" ht="0.65" hidden="1" customHeight="1">
      <c r="A520" s="343">
        <v>3006</v>
      </c>
      <c r="E520" s="343" t="s">
        <v>3608</v>
      </c>
      <c r="F520" s="659">
        <v>20000</v>
      </c>
      <c r="H520" s="343" t="s">
        <v>3368</v>
      </c>
      <c r="I520" s="659">
        <v>240000</v>
      </c>
      <c r="M520" s="663"/>
      <c r="N520" s="863">
        <v>0</v>
      </c>
      <c r="O520" s="863">
        <v>0</v>
      </c>
      <c r="P520" s="863">
        <v>5000</v>
      </c>
      <c r="Q520" s="863">
        <v>-5000</v>
      </c>
      <c r="R520" s="863">
        <v>-1500</v>
      </c>
      <c r="S520" s="863">
        <v>-3500</v>
      </c>
      <c r="T520" s="863">
        <v>1500</v>
      </c>
      <c r="U520" s="863">
        <v>1500</v>
      </c>
      <c r="V520" s="863">
        <v>1500</v>
      </c>
    </row>
    <row r="521" spans="1:25" s="343" customFormat="1" ht="0.65" hidden="1" customHeight="1">
      <c r="A521" s="343">
        <v>3007</v>
      </c>
      <c r="B521" s="343" t="s">
        <v>3609</v>
      </c>
      <c r="E521" s="343" t="s">
        <v>3610</v>
      </c>
      <c r="F521" s="659">
        <v>100000</v>
      </c>
      <c r="I521" s="343" t="s">
        <v>463</v>
      </c>
      <c r="M521" s="663"/>
      <c r="N521" s="863">
        <v>0</v>
      </c>
      <c r="O521" s="863">
        <v>0</v>
      </c>
      <c r="P521" s="863">
        <v>5000</v>
      </c>
      <c r="Q521" s="863">
        <v>-5000</v>
      </c>
      <c r="R521" s="863">
        <v>-1500</v>
      </c>
      <c r="S521" s="863">
        <v>-3500</v>
      </c>
      <c r="T521" s="863">
        <v>1500</v>
      </c>
      <c r="U521" s="863">
        <v>1500</v>
      </c>
      <c r="V521" s="863">
        <v>1500</v>
      </c>
    </row>
    <row r="522" spans="1:25" s="343" customFormat="1" ht="0.65" hidden="1" customHeight="1">
      <c r="A522" s="343">
        <v>3008</v>
      </c>
      <c r="B522" s="343" t="s">
        <v>3611</v>
      </c>
      <c r="E522" s="343" t="s">
        <v>3612</v>
      </c>
      <c r="F522" s="653">
        <v>60</v>
      </c>
      <c r="H522" s="343" t="s">
        <v>3371</v>
      </c>
      <c r="I522" s="653">
        <v>90</v>
      </c>
      <c r="M522" s="663"/>
      <c r="N522" s="863">
        <v>0</v>
      </c>
      <c r="O522" s="863">
        <v>0</v>
      </c>
      <c r="P522" s="863">
        <v>5000</v>
      </c>
      <c r="Q522" s="863">
        <v>-5000</v>
      </c>
      <c r="R522" s="863">
        <v>-1500</v>
      </c>
      <c r="S522" s="863">
        <v>-3500</v>
      </c>
      <c r="T522" s="863">
        <v>1500</v>
      </c>
      <c r="U522" s="863">
        <v>1500</v>
      </c>
      <c r="V522" s="863">
        <v>39500</v>
      </c>
    </row>
    <row r="523" spans="1:25" s="343" customFormat="1" ht="0.65" hidden="1" customHeight="1">
      <c r="A523" s="343">
        <v>3009</v>
      </c>
      <c r="B523" s="343" t="s">
        <v>3613</v>
      </c>
      <c r="F523" s="343" t="s">
        <v>463</v>
      </c>
      <c r="H523" s="343" t="s">
        <v>3374</v>
      </c>
      <c r="I523" s="653">
        <v>60</v>
      </c>
      <c r="N523" s="865" t="s">
        <v>55</v>
      </c>
      <c r="O523" s="865" t="s">
        <v>55</v>
      </c>
      <c r="P523" s="865" t="s">
        <v>55</v>
      </c>
      <c r="Q523" s="865" t="s">
        <v>55</v>
      </c>
      <c r="R523" s="865" t="s">
        <v>55</v>
      </c>
      <c r="T523" s="653"/>
      <c r="U523" s="653"/>
      <c r="V523" s="653"/>
      <c r="W523" s="659"/>
      <c r="X523" s="659"/>
      <c r="Y523" s="659"/>
    </row>
    <row r="524" spans="1:25" s="343" customFormat="1" ht="0.65" hidden="1" customHeight="1">
      <c r="A524" s="343">
        <v>3010</v>
      </c>
      <c r="B524" s="343" t="s">
        <v>3614</v>
      </c>
      <c r="F524" s="343" t="s">
        <v>463</v>
      </c>
      <c r="I524" s="343" t="s">
        <v>463</v>
      </c>
      <c r="M524" s="659"/>
      <c r="N524" s="866"/>
      <c r="O524" s="866"/>
      <c r="P524" s="866"/>
      <c r="Q524" s="866"/>
      <c r="R524" s="866"/>
      <c r="U524" s="863"/>
      <c r="V524" s="863"/>
      <c r="W524" s="863"/>
      <c r="X524" s="863"/>
      <c r="Y524" s="863"/>
    </row>
    <row r="525" spans="1:25" s="343" customFormat="1" ht="0.65" hidden="1" customHeight="1">
      <c r="A525" s="343">
        <v>3011</v>
      </c>
      <c r="E525" s="343" t="s">
        <v>3615</v>
      </c>
      <c r="F525" s="343" t="s">
        <v>463</v>
      </c>
      <c r="H525" s="343" t="s">
        <v>3380</v>
      </c>
      <c r="I525" s="358">
        <v>0.1</v>
      </c>
      <c r="M525" s="663"/>
      <c r="N525" s="863">
        <v>-20000</v>
      </c>
      <c r="O525" s="863">
        <v>0</v>
      </c>
      <c r="P525" s="863">
        <v>0</v>
      </c>
      <c r="Q525" s="863">
        <v>-20000</v>
      </c>
      <c r="R525" s="863">
        <v>-20000</v>
      </c>
      <c r="U525" s="1064" t="s">
        <v>55</v>
      </c>
      <c r="V525" s="1064"/>
      <c r="W525" s="863"/>
      <c r="X525" s="863"/>
      <c r="Y525" s="863"/>
    </row>
    <row r="526" spans="1:25" s="343" customFormat="1" ht="0.65" hidden="1" customHeight="1">
      <c r="A526" s="343">
        <v>3012</v>
      </c>
      <c r="B526" s="343" t="s">
        <v>3616</v>
      </c>
      <c r="F526" s="343" t="s">
        <v>463</v>
      </c>
      <c r="H526" s="343" t="s">
        <v>3381</v>
      </c>
      <c r="I526" s="358">
        <v>0.3</v>
      </c>
      <c r="M526" s="663"/>
      <c r="N526" s="863">
        <v>-20000</v>
      </c>
      <c r="O526" s="863">
        <v>0</v>
      </c>
      <c r="P526" s="863">
        <v>0</v>
      </c>
      <c r="Q526" s="863">
        <v>-20000</v>
      </c>
      <c r="R526" s="863">
        <v>0</v>
      </c>
      <c r="U526" s="1064"/>
      <c r="V526" s="1064"/>
      <c r="W526" s="863"/>
      <c r="X526" s="863"/>
      <c r="Y526" s="863"/>
    </row>
    <row r="527" spans="1:25" s="343" customFormat="1" ht="0.65" hidden="1" customHeight="1">
      <c r="A527" s="343">
        <v>3013</v>
      </c>
      <c r="B527" s="343" t="s">
        <v>3617</v>
      </c>
      <c r="E527" s="343" t="s">
        <v>3618</v>
      </c>
      <c r="F527" s="659">
        <v>250000</v>
      </c>
      <c r="I527" s="343" t="s">
        <v>463</v>
      </c>
      <c r="M527" s="663"/>
      <c r="N527" s="863">
        <v>-20000</v>
      </c>
      <c r="O527" s="863">
        <v>0</v>
      </c>
      <c r="P527" s="863">
        <v>0</v>
      </c>
      <c r="Q527" s="863">
        <v>-20000</v>
      </c>
      <c r="R527" s="863">
        <v>0</v>
      </c>
      <c r="U527" s="1064"/>
      <c r="V527" s="1064"/>
      <c r="W527" s="863"/>
      <c r="X527" s="863"/>
      <c r="Y527" s="863"/>
    </row>
    <row r="528" spans="1:25" s="343" customFormat="1" ht="0.65" hidden="1" customHeight="1">
      <c r="A528" s="343">
        <v>3014</v>
      </c>
      <c r="B528" s="343" t="s">
        <v>3619</v>
      </c>
      <c r="E528" s="343" t="s">
        <v>3620</v>
      </c>
      <c r="F528" s="659">
        <v>25000</v>
      </c>
      <c r="I528" s="343" t="s">
        <v>463</v>
      </c>
      <c r="M528" s="663"/>
      <c r="N528" s="863">
        <v>-20000</v>
      </c>
      <c r="O528" s="863">
        <v>0</v>
      </c>
      <c r="P528" s="863">
        <v>0</v>
      </c>
      <c r="Q528" s="863">
        <v>-20000</v>
      </c>
      <c r="R528" s="863">
        <v>0</v>
      </c>
      <c r="U528" s="1064"/>
      <c r="V528" s="1064"/>
      <c r="W528" s="863"/>
      <c r="X528" s="863"/>
      <c r="Y528" s="863"/>
    </row>
    <row r="529" spans="1:25" s="343" customFormat="1" ht="0.65" hidden="1" customHeight="1">
      <c r="A529" s="343">
        <v>3015</v>
      </c>
      <c r="E529" s="343" t="s">
        <v>3621</v>
      </c>
      <c r="F529" s="659">
        <v>170000</v>
      </c>
      <c r="I529" s="343" t="s">
        <v>463</v>
      </c>
      <c r="M529" s="663"/>
      <c r="N529" s="863">
        <v>-20000</v>
      </c>
      <c r="O529" s="863">
        <v>0</v>
      </c>
      <c r="P529" s="863">
        <v>0</v>
      </c>
      <c r="Q529" s="863">
        <v>-20000</v>
      </c>
      <c r="R529" s="863">
        <v>0</v>
      </c>
      <c r="T529" s="863"/>
      <c r="U529" s="863"/>
      <c r="V529" s="863"/>
      <c r="W529" s="863"/>
      <c r="X529" s="863"/>
      <c r="Y529" s="863"/>
    </row>
    <row r="530" spans="1:25" s="343" customFormat="1" ht="0.65" hidden="1" customHeight="1">
      <c r="A530" s="343">
        <v>3016</v>
      </c>
      <c r="B530" s="343" t="s">
        <v>3622</v>
      </c>
      <c r="E530" s="343" t="s">
        <v>3623</v>
      </c>
      <c r="F530" s="653">
        <v>30</v>
      </c>
      <c r="I530" s="343" t="s">
        <v>463</v>
      </c>
      <c r="M530" s="863"/>
      <c r="N530" s="653"/>
      <c r="O530" s="653"/>
      <c r="P530" s="653"/>
      <c r="Q530" s="653"/>
      <c r="R530" s="653"/>
      <c r="S530" s="653"/>
      <c r="T530" s="863"/>
      <c r="V530" s="863"/>
      <c r="W530" s="863"/>
      <c r="X530" s="863"/>
    </row>
    <row r="531" spans="1:25" s="343" customFormat="1" ht="0.65" hidden="1" customHeight="1">
      <c r="A531" s="343">
        <v>3017</v>
      </c>
      <c r="B531" s="343" t="s">
        <v>3624</v>
      </c>
      <c r="F531" s="343" t="s">
        <v>463</v>
      </c>
      <c r="I531" s="343" t="s">
        <v>463</v>
      </c>
      <c r="M531" s="863"/>
      <c r="N531" s="343" t="s">
        <v>3355</v>
      </c>
      <c r="R531" s="343" t="s">
        <v>3356</v>
      </c>
      <c r="V531" s="863"/>
      <c r="W531" s="863"/>
      <c r="X531" s="863"/>
    </row>
    <row r="532" spans="1:25" s="343" customFormat="1" ht="0.65" hidden="1" customHeight="1">
      <c r="A532" s="343">
        <v>3018</v>
      </c>
      <c r="F532" s="343" t="s">
        <v>463</v>
      </c>
      <c r="I532" s="343" t="s">
        <v>463</v>
      </c>
      <c r="N532" s="863"/>
      <c r="O532" s="863"/>
      <c r="P532" s="865" t="s">
        <v>55</v>
      </c>
      <c r="T532" s="865" t="s">
        <v>55</v>
      </c>
      <c r="W532" s="865" t="s">
        <v>55</v>
      </c>
      <c r="X532" s="863"/>
    </row>
    <row r="533" spans="1:25" s="343" customFormat="1" ht="0.65" hidden="1" customHeight="1">
      <c r="A533" s="343">
        <v>3019</v>
      </c>
      <c r="B533" s="343" t="s">
        <v>3625</v>
      </c>
      <c r="F533" s="343" t="s">
        <v>463</v>
      </c>
      <c r="I533" s="343" t="s">
        <v>463</v>
      </c>
      <c r="N533" s="1061" t="s">
        <v>3626</v>
      </c>
      <c r="O533" s="1061"/>
      <c r="P533" s="863">
        <v>-20000</v>
      </c>
      <c r="R533" s="1061" t="s">
        <v>3389</v>
      </c>
      <c r="S533" s="1061"/>
      <c r="T533" s="863">
        <v>-20000</v>
      </c>
      <c r="X533" s="863"/>
    </row>
    <row r="534" spans="1:25" s="343" customFormat="1" ht="0.65" hidden="1" customHeight="1">
      <c r="A534" s="343">
        <v>3020</v>
      </c>
      <c r="B534" s="343" t="s">
        <v>3627</v>
      </c>
      <c r="F534" s="343" t="s">
        <v>463</v>
      </c>
      <c r="I534" s="343" t="s">
        <v>463</v>
      </c>
      <c r="M534" s="863"/>
      <c r="N534" s="1061" t="s">
        <v>3628</v>
      </c>
      <c r="O534" s="1061"/>
      <c r="P534" s="863">
        <v>50000</v>
      </c>
      <c r="R534" s="1061" t="s">
        <v>3629</v>
      </c>
      <c r="S534" s="1061"/>
      <c r="T534" s="863">
        <v>106000</v>
      </c>
      <c r="V534" s="662"/>
      <c r="W534" s="358">
        <v>0.1</v>
      </c>
      <c r="X534" s="863"/>
    </row>
    <row r="535" spans="1:25" s="343" customFormat="1" ht="0.65" hidden="1" customHeight="1">
      <c r="A535" s="343">
        <v>3021</v>
      </c>
      <c r="F535" s="343" t="s">
        <v>463</v>
      </c>
      <c r="I535" s="343" t="s">
        <v>463</v>
      </c>
      <c r="M535" s="863"/>
      <c r="N535" s="1061"/>
      <c r="O535" s="1061"/>
      <c r="P535" s="863"/>
      <c r="R535" s="1061" t="s">
        <v>3630</v>
      </c>
      <c r="S535" s="1061"/>
      <c r="T535" s="863">
        <v>164000</v>
      </c>
    </row>
    <row r="536" spans="1:25" s="343" customFormat="1" ht="0.65" hidden="1" customHeight="1">
      <c r="A536" s="343">
        <v>3022</v>
      </c>
      <c r="B536" s="343" t="s">
        <v>3631</v>
      </c>
      <c r="F536" s="343" t="s">
        <v>463</v>
      </c>
      <c r="I536" s="343" t="s">
        <v>463</v>
      </c>
      <c r="M536" s="863"/>
      <c r="N536" s="1061"/>
      <c r="O536" s="1061"/>
      <c r="P536" s="863"/>
      <c r="R536" s="1061"/>
      <c r="S536" s="1061"/>
      <c r="T536" s="863"/>
      <c r="X536" s="863"/>
      <c r="Y536" s="863"/>
    </row>
    <row r="537" spans="1:25" s="343" customFormat="1" ht="0.65" hidden="1" customHeight="1">
      <c r="A537" s="343">
        <v>3023</v>
      </c>
      <c r="B537" s="343" t="s">
        <v>3632</v>
      </c>
      <c r="F537" s="343" t="s">
        <v>463</v>
      </c>
      <c r="I537" s="343" t="s">
        <v>463</v>
      </c>
      <c r="M537" s="863"/>
      <c r="N537" s="867"/>
      <c r="Q537" s="863"/>
      <c r="R537" s="868"/>
      <c r="S537" s="863"/>
      <c r="T537" s="863"/>
      <c r="U537" s="863"/>
      <c r="V537" s="662"/>
      <c r="W537" s="659">
        <v>709.30947339661361</v>
      </c>
      <c r="X537" s="863"/>
      <c r="Y537" s="863"/>
    </row>
    <row r="538" spans="1:25" s="343" customFormat="1" ht="0.65" hidden="1" customHeight="1">
      <c r="A538" s="343">
        <v>3024</v>
      </c>
      <c r="F538" s="343" t="s">
        <v>463</v>
      </c>
      <c r="I538" s="343" t="s">
        <v>463</v>
      </c>
      <c r="M538" s="863"/>
      <c r="N538" s="1062" t="s">
        <v>129</v>
      </c>
      <c r="O538" s="1062"/>
      <c r="P538" s="863">
        <v>30000</v>
      </c>
      <c r="Q538" s="863"/>
      <c r="R538" s="1062" t="s">
        <v>3394</v>
      </c>
      <c r="S538" s="1062"/>
      <c r="T538" s="863">
        <v>38000</v>
      </c>
      <c r="V538" s="869"/>
      <c r="W538" s="358">
        <v>0.10688042852912205</v>
      </c>
      <c r="X538" s="863"/>
      <c r="Y538" s="863"/>
    </row>
    <row r="539" spans="1:25" s="343" customFormat="1" ht="0.65" hidden="1" customHeight="1">
      <c r="A539" s="343">
        <v>3025</v>
      </c>
      <c r="F539" s="343" t="s">
        <v>463</v>
      </c>
      <c r="I539" s="343" t="s">
        <v>463</v>
      </c>
      <c r="N539" s="863"/>
      <c r="P539" s="653"/>
      <c r="T539" s="653"/>
      <c r="W539" s="653"/>
      <c r="X539" s="863"/>
      <c r="Y539" s="863"/>
    </row>
    <row r="540" spans="1:25" s="343" customFormat="1" ht="0.65" hidden="1" customHeight="1">
      <c r="A540" s="343">
        <v>3026</v>
      </c>
      <c r="F540" s="343" t="s">
        <v>463</v>
      </c>
      <c r="I540" s="343" t="s">
        <v>463</v>
      </c>
      <c r="X540" s="863"/>
      <c r="Y540" s="863"/>
    </row>
    <row r="541" spans="1:25" s="343" customFormat="1" ht="0.65" hidden="1" customHeight="1">
      <c r="A541" s="343">
        <v>3027</v>
      </c>
      <c r="F541" s="343" t="s">
        <v>463</v>
      </c>
      <c r="I541" s="343" t="s">
        <v>463</v>
      </c>
      <c r="X541" s="863"/>
      <c r="Y541" s="863"/>
    </row>
    <row r="542" spans="1:25" s="343" customFormat="1" ht="0.65" hidden="1" customHeight="1">
      <c r="A542" s="343">
        <v>3028</v>
      </c>
      <c r="F542" s="343" t="s">
        <v>463</v>
      </c>
      <c r="I542" s="343" t="s">
        <v>463</v>
      </c>
      <c r="X542" s="863"/>
      <c r="Y542" s="863"/>
    </row>
    <row r="543" spans="1:25" s="343" customFormat="1" ht="0.65" hidden="1" customHeight="1">
      <c r="A543" s="343">
        <v>3029</v>
      </c>
      <c r="F543" s="343" t="s">
        <v>463</v>
      </c>
      <c r="I543" s="343" t="s">
        <v>463</v>
      </c>
      <c r="X543" s="863"/>
      <c r="Y543" s="863"/>
    </row>
    <row r="544" spans="1:25" s="343" customFormat="1" ht="0.65" hidden="1" customHeight="1">
      <c r="A544" s="343">
        <v>3030</v>
      </c>
      <c r="F544" s="343" t="s">
        <v>463</v>
      </c>
      <c r="I544" s="343" t="s">
        <v>463</v>
      </c>
      <c r="X544" s="863"/>
      <c r="Y544" s="863"/>
    </row>
    <row r="545" spans="1:25" s="343" customFormat="1" ht="0.65" hidden="1" customHeight="1">
      <c r="A545" s="343">
        <v>3031</v>
      </c>
      <c r="F545" s="343" t="s">
        <v>463</v>
      </c>
      <c r="I545" s="343" t="s">
        <v>463</v>
      </c>
      <c r="X545" s="863"/>
      <c r="Y545" s="863"/>
    </row>
    <row r="546" spans="1:25" s="343" customFormat="1" ht="0.65" hidden="1" customHeight="1">
      <c r="A546" s="343">
        <v>3032</v>
      </c>
      <c r="F546" s="343" t="s">
        <v>463</v>
      </c>
      <c r="I546" s="343" t="s">
        <v>463</v>
      </c>
      <c r="X546" s="863"/>
      <c r="Y546" s="863"/>
    </row>
    <row r="547" spans="1:25" s="343" customFormat="1" ht="0.65" hidden="1" customHeight="1">
      <c r="A547" s="343">
        <v>3033</v>
      </c>
      <c r="F547" s="343" t="s">
        <v>463</v>
      </c>
      <c r="I547" s="343" t="s">
        <v>463</v>
      </c>
      <c r="X547" s="863"/>
      <c r="Y547" s="863"/>
    </row>
    <row r="548" spans="1:25" s="343" customFormat="1" ht="0.65" hidden="1" customHeight="1">
      <c r="A548" s="343">
        <v>3034</v>
      </c>
      <c r="F548" s="343" t="s">
        <v>463</v>
      </c>
      <c r="I548" s="343" t="s">
        <v>463</v>
      </c>
      <c r="X548" s="863"/>
      <c r="Y548" s="863"/>
    </row>
    <row r="549" spans="1:25" s="343" customFormat="1" ht="0.65" hidden="1" customHeight="1">
      <c r="A549" s="343">
        <v>3035</v>
      </c>
      <c r="F549" s="343" t="s">
        <v>463</v>
      </c>
      <c r="I549" s="343" t="s">
        <v>463</v>
      </c>
      <c r="X549" s="863"/>
      <c r="Y549" s="863"/>
    </row>
    <row r="550" spans="1:25" s="343" customFormat="1" ht="0.65" hidden="1" customHeight="1">
      <c r="A550" s="343">
        <v>3036</v>
      </c>
      <c r="F550" s="343" t="s">
        <v>463</v>
      </c>
      <c r="I550" s="343" t="s">
        <v>463</v>
      </c>
      <c r="X550" s="863"/>
      <c r="Y550" s="863"/>
    </row>
    <row r="551" spans="1:25" s="343" customFormat="1" ht="0.65" hidden="1" customHeight="1">
      <c r="A551" s="343">
        <v>3037</v>
      </c>
      <c r="F551" s="343" t="s">
        <v>463</v>
      </c>
      <c r="I551" s="343" t="s">
        <v>463</v>
      </c>
      <c r="X551" s="863"/>
      <c r="Y551" s="863"/>
    </row>
    <row r="552" spans="1:25" s="343" customFormat="1" ht="0.65" hidden="1" customHeight="1">
      <c r="A552" s="343">
        <v>3038</v>
      </c>
      <c r="F552" s="343" t="s">
        <v>463</v>
      </c>
      <c r="I552" s="343" t="s">
        <v>463</v>
      </c>
      <c r="X552" s="863"/>
      <c r="Y552" s="863"/>
    </row>
    <row r="553" spans="1:25" s="343" customFormat="1" ht="0.65" hidden="1" customHeight="1">
      <c r="A553" s="343">
        <v>3039</v>
      </c>
      <c r="X553" s="863"/>
      <c r="Y553" s="863"/>
    </row>
    <row r="554" spans="1:25" s="343" customFormat="1" ht="0.65" hidden="1" customHeight="1">
      <c r="A554" s="343">
        <v>3040</v>
      </c>
      <c r="X554" s="863"/>
      <c r="Y554" s="863"/>
    </row>
    <row r="555" spans="1:25" s="343" customFormat="1" ht="0.65" hidden="1" customHeight="1">
      <c r="A555" s="343">
        <v>3041</v>
      </c>
      <c r="M555" s="343">
        <v>0</v>
      </c>
      <c r="O555" s="343">
        <v>1</v>
      </c>
      <c r="P555" s="343" t="s">
        <v>3626</v>
      </c>
      <c r="R555" s="863">
        <v>-20000</v>
      </c>
      <c r="S555" s="343" t="s">
        <v>3633</v>
      </c>
      <c r="T555" s="343" t="s">
        <v>3634</v>
      </c>
      <c r="X555" s="863"/>
      <c r="Y555" s="863"/>
    </row>
    <row r="556" spans="1:25" s="343" customFormat="1" ht="0.65" hidden="1" customHeight="1">
      <c r="A556" s="343">
        <v>3042</v>
      </c>
      <c r="O556" s="343">
        <v>2</v>
      </c>
      <c r="P556" s="343" t="s">
        <v>3628</v>
      </c>
      <c r="R556" s="863">
        <v>50000</v>
      </c>
      <c r="S556" s="343" t="s">
        <v>3635</v>
      </c>
      <c r="T556" s="343" t="s">
        <v>3636</v>
      </c>
      <c r="X556" s="863"/>
      <c r="Y556" s="863"/>
    </row>
    <row r="557" spans="1:25" s="343" customFormat="1" ht="0.65" hidden="1" customHeight="1">
      <c r="A557" s="343">
        <v>3043</v>
      </c>
      <c r="O557" s="343">
        <v>3</v>
      </c>
      <c r="P557" s="343" t="s">
        <v>55</v>
      </c>
      <c r="R557" s="863"/>
      <c r="X557" s="863"/>
      <c r="Y557" s="863"/>
    </row>
    <row r="558" spans="1:25" s="343" customFormat="1" ht="0.65" hidden="1" customHeight="1">
      <c r="A558" s="343">
        <v>3044</v>
      </c>
      <c r="O558" s="343">
        <v>4</v>
      </c>
      <c r="P558" s="343" t="s">
        <v>55</v>
      </c>
      <c r="R558" s="863"/>
      <c r="X558" s="863"/>
      <c r="Y558" s="863"/>
    </row>
    <row r="559" spans="1:25" s="343" customFormat="1" ht="0.65" hidden="1" customHeight="1">
      <c r="A559" s="343">
        <v>3045</v>
      </c>
      <c r="O559" s="343">
        <v>5</v>
      </c>
      <c r="P559" s="343" t="s">
        <v>129</v>
      </c>
      <c r="R559" s="863">
        <v>30000</v>
      </c>
      <c r="S559" s="343" t="s">
        <v>3637</v>
      </c>
      <c r="T559" s="343" t="s">
        <v>3638</v>
      </c>
      <c r="X559" s="863"/>
      <c r="Y559" s="863"/>
    </row>
    <row r="560" spans="1:25" s="343" customFormat="1" ht="0.65" hidden="1" customHeight="1">
      <c r="A560" s="343">
        <v>3046</v>
      </c>
      <c r="O560" s="343">
        <v>6</v>
      </c>
      <c r="P560" s="343" t="s">
        <v>3404</v>
      </c>
      <c r="R560" s="863">
        <v>0</v>
      </c>
      <c r="S560" s="343" t="s">
        <v>3639</v>
      </c>
      <c r="T560" s="343" t="s">
        <v>3640</v>
      </c>
      <c r="X560" s="863"/>
      <c r="Y560" s="863"/>
    </row>
    <row r="561" spans="1:25" s="343" customFormat="1" ht="0.65" hidden="1" customHeight="1">
      <c r="A561" s="343">
        <v>3047</v>
      </c>
      <c r="O561" s="343">
        <v>7</v>
      </c>
      <c r="P561" s="343" t="s">
        <v>3407</v>
      </c>
      <c r="R561" s="863">
        <v>0</v>
      </c>
      <c r="S561" s="343" t="s">
        <v>3639</v>
      </c>
      <c r="T561" s="343" t="s">
        <v>3640</v>
      </c>
      <c r="X561" s="863"/>
      <c r="Y561" s="863"/>
    </row>
    <row r="562" spans="1:25" s="343" customFormat="1" ht="0.65" hidden="1" customHeight="1">
      <c r="A562" s="343">
        <v>3048</v>
      </c>
      <c r="O562" s="343">
        <v>8</v>
      </c>
      <c r="P562" s="343" t="s">
        <v>3408</v>
      </c>
      <c r="R562" s="863">
        <v>0</v>
      </c>
      <c r="S562" s="343" t="s">
        <v>3639</v>
      </c>
      <c r="T562" s="343" t="s">
        <v>3640</v>
      </c>
      <c r="X562" s="863"/>
      <c r="Y562" s="863"/>
    </row>
    <row r="563" spans="1:25" s="343" customFormat="1" ht="0.65" hidden="1" customHeight="1">
      <c r="A563" s="343">
        <v>3049</v>
      </c>
      <c r="O563" s="343">
        <v>9</v>
      </c>
      <c r="P563" s="343" t="s">
        <v>3409</v>
      </c>
      <c r="R563" s="863">
        <v>0</v>
      </c>
      <c r="S563" s="343" t="s">
        <v>3639</v>
      </c>
      <c r="T563" s="343" t="s">
        <v>3640</v>
      </c>
      <c r="X563" s="863"/>
      <c r="Y563" s="863"/>
    </row>
    <row r="564" spans="1:25" s="343" customFormat="1" ht="0.65" hidden="1" customHeight="1">
      <c r="A564" s="343">
        <v>3050</v>
      </c>
      <c r="O564" s="343">
        <v>10</v>
      </c>
      <c r="P564" s="343" t="s">
        <v>3410</v>
      </c>
      <c r="R564" s="863">
        <v>0</v>
      </c>
      <c r="S564" s="343" t="s">
        <v>3639</v>
      </c>
      <c r="T564" s="343" t="s">
        <v>3641</v>
      </c>
      <c r="X564" s="863"/>
      <c r="Y564" s="863"/>
    </row>
    <row r="565" spans="1:25" s="343" customFormat="1" ht="0.65" hidden="1" customHeight="1">
      <c r="A565" s="343">
        <v>3051</v>
      </c>
      <c r="O565" s="343">
        <v>11</v>
      </c>
      <c r="P565" s="343" t="s">
        <v>3413</v>
      </c>
      <c r="R565" s="863">
        <v>0</v>
      </c>
      <c r="S565" s="343" t="s">
        <v>3639</v>
      </c>
      <c r="T565" s="343" t="s">
        <v>3641</v>
      </c>
      <c r="X565" s="863"/>
      <c r="Y565" s="863"/>
    </row>
    <row r="566" spans="1:25" s="343" customFormat="1" ht="0.65" hidden="1" customHeight="1">
      <c r="A566" s="343">
        <v>3052</v>
      </c>
      <c r="O566" s="343">
        <v>12</v>
      </c>
      <c r="P566" s="343" t="s">
        <v>3414</v>
      </c>
      <c r="R566" s="863">
        <v>0</v>
      </c>
      <c r="S566" s="343" t="s">
        <v>3639</v>
      </c>
      <c r="T566" s="343" t="s">
        <v>3641</v>
      </c>
      <c r="X566" s="863"/>
      <c r="Y566" s="863"/>
    </row>
    <row r="567" spans="1:25" s="343" customFormat="1" ht="0.65" hidden="1" customHeight="1">
      <c r="A567" s="343">
        <v>3053</v>
      </c>
      <c r="O567" s="343">
        <v>13</v>
      </c>
      <c r="P567" s="343" t="s">
        <v>3415</v>
      </c>
      <c r="R567" s="863">
        <v>0</v>
      </c>
      <c r="S567" s="343" t="s">
        <v>3639</v>
      </c>
      <c r="T567" s="343" t="s">
        <v>3641</v>
      </c>
      <c r="X567" s="863"/>
      <c r="Y567" s="863"/>
    </row>
    <row r="568" spans="1:25" s="343" customFormat="1" ht="0.65" hidden="1" customHeight="1">
      <c r="A568" s="343">
        <v>3054</v>
      </c>
      <c r="O568" s="343">
        <v>14</v>
      </c>
      <c r="P568" s="343" t="s">
        <v>3416</v>
      </c>
      <c r="R568" s="863">
        <v>5000</v>
      </c>
      <c r="S568" s="343" t="s">
        <v>3642</v>
      </c>
      <c r="T568" s="343" t="s">
        <v>3643</v>
      </c>
      <c r="X568" s="863"/>
      <c r="Y568" s="863"/>
    </row>
    <row r="569" spans="1:25" s="343" customFormat="1" ht="0.65" hidden="1" customHeight="1">
      <c r="A569" s="343">
        <v>3055</v>
      </c>
      <c r="O569" s="343">
        <v>15</v>
      </c>
      <c r="P569" s="343" t="s">
        <v>3419</v>
      </c>
      <c r="R569" s="863">
        <v>5000</v>
      </c>
      <c r="S569" s="343" t="s">
        <v>3642</v>
      </c>
      <c r="T569" s="343" t="s">
        <v>3643</v>
      </c>
      <c r="X569" s="863"/>
      <c r="Y569" s="863"/>
    </row>
    <row r="570" spans="1:25" s="343" customFormat="1" ht="0.65" hidden="1" customHeight="1">
      <c r="A570" s="343">
        <v>3056</v>
      </c>
      <c r="O570" s="343">
        <v>16</v>
      </c>
      <c r="P570" s="343" t="s">
        <v>3420</v>
      </c>
      <c r="R570" s="863">
        <v>5000</v>
      </c>
      <c r="S570" s="343" t="s">
        <v>3642</v>
      </c>
      <c r="T570" s="343" t="s">
        <v>3643</v>
      </c>
      <c r="X570" s="863"/>
      <c r="Y570" s="863"/>
    </row>
    <row r="571" spans="1:25" s="343" customFormat="1" ht="0.65" hidden="1" customHeight="1">
      <c r="A571" s="343">
        <v>3057</v>
      </c>
      <c r="O571" s="343">
        <v>17</v>
      </c>
      <c r="P571" s="343" t="s">
        <v>3421</v>
      </c>
      <c r="R571" s="863">
        <v>5000</v>
      </c>
      <c r="S571" s="343" t="s">
        <v>3642</v>
      </c>
      <c r="T571" s="343" t="s">
        <v>3643</v>
      </c>
      <c r="X571" s="863"/>
      <c r="Y571" s="863"/>
    </row>
    <row r="572" spans="1:25" s="343" customFormat="1" ht="0.65" hidden="1" customHeight="1">
      <c r="A572" s="343">
        <v>3058</v>
      </c>
      <c r="O572" s="343">
        <v>18</v>
      </c>
      <c r="P572" s="343" t="s">
        <v>3422</v>
      </c>
      <c r="R572" s="863">
        <v>-5000</v>
      </c>
      <c r="S572" s="343" t="s">
        <v>3644</v>
      </c>
      <c r="T572" s="343" t="s">
        <v>3424</v>
      </c>
      <c r="X572" s="863"/>
      <c r="Y572" s="863"/>
    </row>
    <row r="573" spans="1:25" s="343" customFormat="1" ht="0.65" hidden="1" customHeight="1">
      <c r="A573" s="343">
        <v>3059</v>
      </c>
      <c r="O573" s="343">
        <v>19</v>
      </c>
      <c r="P573" s="343" t="s">
        <v>3425</v>
      </c>
      <c r="R573" s="863">
        <v>-5000</v>
      </c>
      <c r="S573" s="343" t="s">
        <v>3644</v>
      </c>
      <c r="T573" s="343" t="s">
        <v>3426</v>
      </c>
      <c r="X573" s="863"/>
      <c r="Y573" s="863"/>
    </row>
    <row r="574" spans="1:25" s="343" customFormat="1" ht="0.65" hidden="1" customHeight="1">
      <c r="A574" s="343">
        <v>3060</v>
      </c>
      <c r="O574" s="343">
        <v>20</v>
      </c>
      <c r="P574" s="343" t="s">
        <v>3427</v>
      </c>
      <c r="R574" s="863">
        <v>-5000</v>
      </c>
      <c r="S574" s="343" t="s">
        <v>3644</v>
      </c>
      <c r="T574" s="343" t="s">
        <v>3428</v>
      </c>
      <c r="X574" s="863"/>
      <c r="Y574" s="863"/>
    </row>
    <row r="575" spans="1:25" s="343" customFormat="1" ht="0.65" hidden="1" customHeight="1">
      <c r="A575" s="343">
        <v>3061</v>
      </c>
      <c r="O575" s="343">
        <v>21</v>
      </c>
      <c r="P575" s="343" t="s">
        <v>3429</v>
      </c>
      <c r="R575" s="863">
        <v>-5000</v>
      </c>
      <c r="S575" s="343" t="s">
        <v>3644</v>
      </c>
      <c r="T575" s="343" t="s">
        <v>3430</v>
      </c>
      <c r="X575" s="863"/>
      <c r="Y575" s="863"/>
    </row>
    <row r="576" spans="1:25" s="343" customFormat="1" ht="0.65" hidden="1" customHeight="1">
      <c r="A576" s="343">
        <v>3062</v>
      </c>
      <c r="O576" s="343">
        <v>22</v>
      </c>
      <c r="P576" s="343" t="s">
        <v>3431</v>
      </c>
      <c r="R576" s="863">
        <v>-1500</v>
      </c>
      <c r="S576" s="343" t="s">
        <v>3645</v>
      </c>
      <c r="T576" s="343" t="s">
        <v>3433</v>
      </c>
      <c r="X576" s="863"/>
      <c r="Y576" s="863"/>
    </row>
    <row r="577" spans="1:25" s="343" customFormat="1" ht="0.65" hidden="1" customHeight="1">
      <c r="A577" s="343">
        <v>3063</v>
      </c>
      <c r="O577" s="343">
        <v>23</v>
      </c>
      <c r="P577" s="343" t="s">
        <v>3434</v>
      </c>
      <c r="R577" s="863">
        <v>-1500</v>
      </c>
      <c r="S577" s="343" t="s">
        <v>3645</v>
      </c>
      <c r="T577" s="343" t="s">
        <v>3435</v>
      </c>
      <c r="X577" s="863"/>
      <c r="Y577" s="863"/>
    </row>
    <row r="578" spans="1:25" s="343" customFormat="1" ht="0.65" hidden="1" customHeight="1">
      <c r="A578" s="343">
        <v>3064</v>
      </c>
      <c r="O578" s="343">
        <v>24</v>
      </c>
      <c r="P578" s="343" t="s">
        <v>3436</v>
      </c>
      <c r="R578" s="863">
        <v>-1500</v>
      </c>
      <c r="S578" s="343" t="s">
        <v>3645</v>
      </c>
      <c r="T578" s="343" t="s">
        <v>3437</v>
      </c>
      <c r="X578" s="863"/>
      <c r="Y578" s="863"/>
    </row>
    <row r="579" spans="1:25" s="343" customFormat="1" ht="0.65" hidden="1" customHeight="1">
      <c r="A579" s="343">
        <v>3065</v>
      </c>
      <c r="O579" s="343">
        <v>25</v>
      </c>
      <c r="P579" s="343" t="s">
        <v>3438</v>
      </c>
      <c r="R579" s="863">
        <v>-1500</v>
      </c>
      <c r="S579" s="343" t="s">
        <v>3645</v>
      </c>
      <c r="T579" s="343" t="s">
        <v>3439</v>
      </c>
      <c r="X579" s="863"/>
      <c r="Y579" s="863"/>
    </row>
    <row r="580" spans="1:25" s="343" customFormat="1" ht="0.65" hidden="1" customHeight="1">
      <c r="A580" s="343">
        <v>3066</v>
      </c>
      <c r="O580" s="343">
        <v>26</v>
      </c>
      <c r="P580" s="343" t="s">
        <v>3440</v>
      </c>
      <c r="R580" s="863">
        <v>-3500</v>
      </c>
      <c r="S580" s="343" t="s">
        <v>3646</v>
      </c>
      <c r="T580" s="343" t="s">
        <v>3442</v>
      </c>
      <c r="X580" s="863"/>
      <c r="Y580" s="863"/>
    </row>
    <row r="581" spans="1:25" s="343" customFormat="1" ht="0.65" hidden="1" customHeight="1">
      <c r="A581" s="343">
        <v>3067</v>
      </c>
      <c r="O581" s="343">
        <v>27</v>
      </c>
      <c r="P581" s="343" t="s">
        <v>3443</v>
      </c>
      <c r="R581" s="863">
        <v>-3500</v>
      </c>
      <c r="S581" s="343" t="s">
        <v>3646</v>
      </c>
      <c r="T581" s="343" t="s">
        <v>3444</v>
      </c>
      <c r="X581" s="863"/>
      <c r="Y581" s="863"/>
    </row>
    <row r="582" spans="1:25" s="343" customFormat="1" ht="0.65" hidden="1" customHeight="1">
      <c r="A582" s="343">
        <v>3068</v>
      </c>
      <c r="O582" s="343">
        <v>28</v>
      </c>
      <c r="P582" s="343" t="s">
        <v>3445</v>
      </c>
      <c r="R582" s="863">
        <v>-3500</v>
      </c>
      <c r="S582" s="343" t="s">
        <v>3646</v>
      </c>
      <c r="T582" s="343" t="s">
        <v>3446</v>
      </c>
      <c r="X582" s="863"/>
      <c r="Y582" s="863"/>
    </row>
    <row r="583" spans="1:25" s="343" customFormat="1" ht="0.65" hidden="1" customHeight="1">
      <c r="A583" s="343">
        <v>3069</v>
      </c>
      <c r="O583" s="343">
        <v>29</v>
      </c>
      <c r="P583" s="343" t="s">
        <v>3447</v>
      </c>
      <c r="R583" s="863">
        <v>-3500</v>
      </c>
      <c r="S583" s="343" t="s">
        <v>3646</v>
      </c>
      <c r="T583" s="343" t="s">
        <v>3448</v>
      </c>
      <c r="X583" s="863"/>
      <c r="Y583" s="863"/>
    </row>
    <row r="584" spans="1:25" s="343" customFormat="1" ht="0.65" hidden="1" customHeight="1">
      <c r="A584" s="343">
        <v>3070</v>
      </c>
      <c r="O584" s="343">
        <v>30</v>
      </c>
      <c r="P584" s="343" t="s">
        <v>3449</v>
      </c>
      <c r="R584" s="863">
        <v>1500</v>
      </c>
      <c r="S584" s="863" t="s">
        <v>3647</v>
      </c>
      <c r="T584" s="343" t="s">
        <v>3451</v>
      </c>
      <c r="X584" s="863"/>
      <c r="Y584" s="863"/>
    </row>
    <row r="585" spans="1:25" s="343" customFormat="1" ht="0.65" hidden="1" customHeight="1">
      <c r="A585" s="343">
        <v>3071</v>
      </c>
      <c r="O585" s="343">
        <v>31</v>
      </c>
      <c r="P585" s="343" t="s">
        <v>3452</v>
      </c>
      <c r="R585" s="863">
        <v>1500</v>
      </c>
      <c r="S585" s="863" t="s">
        <v>3647</v>
      </c>
      <c r="T585" s="343" t="s">
        <v>3453</v>
      </c>
      <c r="X585" s="863"/>
      <c r="Y585" s="863"/>
    </row>
    <row r="586" spans="1:25" s="343" customFormat="1" ht="0.65" hidden="1" customHeight="1">
      <c r="A586" s="343">
        <v>3072</v>
      </c>
      <c r="O586" s="343">
        <v>32</v>
      </c>
      <c r="P586" s="343" t="s">
        <v>3454</v>
      </c>
      <c r="R586" s="863">
        <v>1500</v>
      </c>
      <c r="S586" s="863" t="s">
        <v>3647</v>
      </c>
      <c r="T586" s="343" t="s">
        <v>3455</v>
      </c>
      <c r="X586" s="863"/>
      <c r="Y586" s="863"/>
    </row>
    <row r="587" spans="1:25" s="343" customFormat="1" ht="0.65" hidden="1" customHeight="1">
      <c r="A587" s="343">
        <v>3073</v>
      </c>
      <c r="O587" s="343">
        <v>33</v>
      </c>
      <c r="P587" s="343" t="s">
        <v>3456</v>
      </c>
      <c r="R587" s="863">
        <v>1500</v>
      </c>
      <c r="S587" s="863" t="s">
        <v>3647</v>
      </c>
      <c r="T587" s="343" t="s">
        <v>3457</v>
      </c>
      <c r="X587" s="863"/>
      <c r="Y587" s="863"/>
    </row>
    <row r="588" spans="1:25" s="343" customFormat="1" ht="0.65" hidden="1" customHeight="1">
      <c r="A588" s="343">
        <v>3074</v>
      </c>
      <c r="O588" s="343">
        <v>34</v>
      </c>
      <c r="P588" s="343" t="s">
        <v>3458</v>
      </c>
      <c r="R588" s="863">
        <v>-20000</v>
      </c>
      <c r="S588" s="343" t="s">
        <v>3633</v>
      </c>
      <c r="T588" s="343" t="s">
        <v>3648</v>
      </c>
      <c r="X588" s="863"/>
      <c r="Y588" s="863"/>
    </row>
    <row r="589" spans="1:25" s="343" customFormat="1" ht="0.65" hidden="1" customHeight="1">
      <c r="A589" s="343">
        <v>3075</v>
      </c>
      <c r="O589" s="343">
        <v>35</v>
      </c>
      <c r="P589" s="343" t="s">
        <v>3461</v>
      </c>
      <c r="R589" s="863">
        <v>-20000</v>
      </c>
      <c r="S589" s="863" t="s">
        <v>3633</v>
      </c>
      <c r="T589" s="343" t="s">
        <v>3649</v>
      </c>
      <c r="X589" s="863"/>
      <c r="Y589" s="863"/>
    </row>
    <row r="590" spans="1:25" s="343" customFormat="1" ht="0.65" hidden="1" customHeight="1">
      <c r="A590" s="343">
        <v>3076</v>
      </c>
      <c r="O590" s="343">
        <v>36</v>
      </c>
      <c r="P590" s="343" t="s">
        <v>3463</v>
      </c>
      <c r="R590" s="863">
        <v>-20000</v>
      </c>
      <c r="S590" s="863" t="s">
        <v>3633</v>
      </c>
      <c r="T590" s="343" t="s">
        <v>3650</v>
      </c>
      <c r="X590" s="863"/>
      <c r="Y590" s="863"/>
    </row>
    <row r="591" spans="1:25" s="343" customFormat="1" ht="0.65" hidden="1" customHeight="1">
      <c r="A591" s="343">
        <v>3077</v>
      </c>
      <c r="O591" s="343">
        <v>37</v>
      </c>
      <c r="P591" s="343" t="s">
        <v>3465</v>
      </c>
      <c r="R591" s="863">
        <v>-20000</v>
      </c>
      <c r="S591" s="863" t="s">
        <v>3633</v>
      </c>
      <c r="T591" s="343" t="s">
        <v>3651</v>
      </c>
      <c r="X591" s="863"/>
      <c r="Y591" s="863"/>
    </row>
    <row r="592" spans="1:25" s="343" customFormat="1" ht="0.65" hidden="1" customHeight="1">
      <c r="A592" s="343">
        <v>3078</v>
      </c>
      <c r="O592" s="343">
        <v>38</v>
      </c>
      <c r="P592" s="343" t="s">
        <v>3467</v>
      </c>
      <c r="R592" s="863">
        <v>-20000</v>
      </c>
      <c r="S592" s="863" t="s">
        <v>3633</v>
      </c>
      <c r="T592" s="343" t="s">
        <v>3651</v>
      </c>
      <c r="X592" s="863"/>
      <c r="Y592" s="863"/>
    </row>
    <row r="593" spans="1:25" s="343" customFormat="1" ht="0.65" hidden="1" customHeight="1">
      <c r="A593" s="343">
        <v>3079</v>
      </c>
      <c r="O593" s="343">
        <v>39</v>
      </c>
      <c r="P593" s="343" t="s">
        <v>3468</v>
      </c>
      <c r="R593" s="863">
        <v>0</v>
      </c>
      <c r="S593" s="343" t="s">
        <v>3652</v>
      </c>
      <c r="T593" s="343" t="s">
        <v>3470</v>
      </c>
      <c r="X593" s="863"/>
      <c r="Y593" s="863"/>
    </row>
    <row r="594" spans="1:25" s="343" customFormat="1" ht="0.65" hidden="1" customHeight="1">
      <c r="A594" s="343">
        <v>3080</v>
      </c>
      <c r="O594" s="343">
        <v>40</v>
      </c>
      <c r="P594" s="343" t="s">
        <v>3471</v>
      </c>
      <c r="R594" s="863">
        <v>0</v>
      </c>
      <c r="S594" s="863" t="s">
        <v>3652</v>
      </c>
      <c r="T594" s="343" t="s">
        <v>3472</v>
      </c>
      <c r="X594" s="863"/>
      <c r="Y594" s="863"/>
    </row>
    <row r="595" spans="1:25" s="343" customFormat="1" ht="0.65" hidden="1" customHeight="1">
      <c r="A595" s="343">
        <v>3081</v>
      </c>
      <c r="O595" s="343">
        <v>41</v>
      </c>
      <c r="P595" s="343" t="s">
        <v>3473</v>
      </c>
      <c r="R595" s="863">
        <v>0</v>
      </c>
      <c r="S595" s="863" t="s">
        <v>3652</v>
      </c>
      <c r="T595" s="343" t="s">
        <v>3474</v>
      </c>
      <c r="X595" s="863"/>
      <c r="Y595" s="863"/>
    </row>
    <row r="596" spans="1:25" s="343" customFormat="1" ht="0.65" hidden="1" customHeight="1">
      <c r="A596" s="343">
        <v>3082</v>
      </c>
      <c r="O596" s="343">
        <v>42</v>
      </c>
      <c r="P596" s="343" t="s">
        <v>3475</v>
      </c>
      <c r="R596" s="863">
        <v>0</v>
      </c>
      <c r="S596" s="863" t="s">
        <v>3652</v>
      </c>
      <c r="T596" s="343" t="s">
        <v>3476</v>
      </c>
      <c r="X596" s="863"/>
      <c r="Y596" s="863"/>
    </row>
    <row r="597" spans="1:25" s="343" customFormat="1" ht="0.65" hidden="1" customHeight="1">
      <c r="A597" s="343">
        <v>3083</v>
      </c>
      <c r="O597" s="343">
        <v>43</v>
      </c>
      <c r="P597" s="343" t="s">
        <v>3477</v>
      </c>
      <c r="R597" s="863">
        <v>0</v>
      </c>
      <c r="S597" s="863" t="s">
        <v>3652</v>
      </c>
      <c r="T597" s="343" t="s">
        <v>3478</v>
      </c>
      <c r="X597" s="863"/>
      <c r="Y597" s="863"/>
    </row>
    <row r="598" spans="1:25" s="343" customFormat="1" ht="0.65" hidden="1" customHeight="1">
      <c r="A598" s="343">
        <v>3084</v>
      </c>
      <c r="O598" s="343">
        <v>44</v>
      </c>
      <c r="P598" s="343" t="s">
        <v>3479</v>
      </c>
      <c r="R598" s="863">
        <v>0</v>
      </c>
      <c r="S598" s="343" t="s">
        <v>3653</v>
      </c>
      <c r="T598" s="343" t="s">
        <v>3654</v>
      </c>
      <c r="X598" s="863"/>
      <c r="Y598" s="863"/>
    </row>
    <row r="599" spans="1:25" s="343" customFormat="1" ht="0.65" hidden="1" customHeight="1">
      <c r="A599" s="343">
        <v>3085</v>
      </c>
      <c r="O599" s="343">
        <v>45</v>
      </c>
      <c r="P599" s="343" t="s">
        <v>3482</v>
      </c>
      <c r="R599" s="863">
        <v>0</v>
      </c>
      <c r="S599" s="863" t="s">
        <v>3653</v>
      </c>
      <c r="T599" s="343" t="s">
        <v>3483</v>
      </c>
      <c r="X599" s="863"/>
      <c r="Y599" s="863"/>
    </row>
    <row r="600" spans="1:25" s="343" customFormat="1" ht="0.65" hidden="1" customHeight="1">
      <c r="A600" s="343">
        <v>3086</v>
      </c>
      <c r="O600" s="343">
        <v>46</v>
      </c>
      <c r="P600" s="343" t="s">
        <v>3484</v>
      </c>
      <c r="R600" s="863">
        <v>0</v>
      </c>
      <c r="S600" s="863" t="s">
        <v>3653</v>
      </c>
      <c r="T600" s="343" t="s">
        <v>3485</v>
      </c>
      <c r="X600" s="863"/>
      <c r="Y600" s="863"/>
    </row>
    <row r="601" spans="1:25" s="343" customFormat="1" ht="0.65" hidden="1" customHeight="1">
      <c r="A601" s="343">
        <v>3087</v>
      </c>
      <c r="O601" s="343">
        <v>47</v>
      </c>
      <c r="P601" s="343" t="s">
        <v>3486</v>
      </c>
      <c r="R601" s="863">
        <v>0</v>
      </c>
      <c r="S601" s="863" t="s">
        <v>3653</v>
      </c>
      <c r="T601" s="343" t="s">
        <v>3487</v>
      </c>
      <c r="X601" s="863"/>
      <c r="Y601" s="863"/>
    </row>
    <row r="602" spans="1:25" s="343" customFormat="1" ht="0.65" hidden="1" customHeight="1">
      <c r="A602" s="343">
        <v>3088</v>
      </c>
      <c r="O602" s="343">
        <v>48</v>
      </c>
      <c r="P602" s="343" t="s">
        <v>3488</v>
      </c>
      <c r="R602" s="863">
        <v>0</v>
      </c>
      <c r="S602" s="863" t="s">
        <v>3653</v>
      </c>
      <c r="T602" s="343" t="s">
        <v>3489</v>
      </c>
      <c r="X602" s="863"/>
      <c r="Y602" s="863"/>
    </row>
    <row r="603" spans="1:25" s="343" customFormat="1" ht="0.65" hidden="1" customHeight="1">
      <c r="A603" s="343">
        <v>3089</v>
      </c>
      <c r="O603" s="343">
        <v>49</v>
      </c>
      <c r="P603" s="343" t="s">
        <v>3490</v>
      </c>
      <c r="R603" s="863">
        <v>-20000</v>
      </c>
      <c r="S603" s="863" t="s">
        <v>3655</v>
      </c>
      <c r="T603" s="343" t="s">
        <v>3492</v>
      </c>
      <c r="X603" s="863"/>
      <c r="Y603" s="863"/>
    </row>
    <row r="604" spans="1:25" s="343" customFormat="1" ht="0.65" hidden="1" customHeight="1">
      <c r="A604" s="343">
        <v>3090</v>
      </c>
      <c r="O604" s="343">
        <v>50</v>
      </c>
      <c r="P604" s="343" t="s">
        <v>3493</v>
      </c>
      <c r="R604" s="863">
        <v>-20000</v>
      </c>
      <c r="S604" s="863" t="s">
        <v>3655</v>
      </c>
      <c r="T604" s="343" t="s">
        <v>3494</v>
      </c>
      <c r="X604" s="863"/>
      <c r="Y604" s="863"/>
    </row>
    <row r="605" spans="1:25" s="343" customFormat="1" ht="0.65" hidden="1" customHeight="1">
      <c r="A605" s="343">
        <v>3091</v>
      </c>
      <c r="O605" s="343">
        <v>51</v>
      </c>
      <c r="P605" s="343" t="s">
        <v>3495</v>
      </c>
      <c r="R605" s="863">
        <v>-20000</v>
      </c>
      <c r="S605" s="863" t="s">
        <v>3655</v>
      </c>
      <c r="T605" s="343" t="s">
        <v>3496</v>
      </c>
      <c r="X605" s="863"/>
      <c r="Y605" s="863"/>
    </row>
    <row r="606" spans="1:25" s="343" customFormat="1" ht="0.65" hidden="1" customHeight="1">
      <c r="A606" s="343">
        <v>3092</v>
      </c>
      <c r="O606" s="343">
        <v>52</v>
      </c>
      <c r="P606" s="343" t="s">
        <v>3497</v>
      </c>
      <c r="R606" s="863">
        <v>-20000</v>
      </c>
      <c r="S606" s="863" t="s">
        <v>3655</v>
      </c>
      <c r="T606" s="343" t="s">
        <v>3498</v>
      </c>
      <c r="X606" s="863"/>
      <c r="Y606" s="863"/>
    </row>
    <row r="607" spans="1:25" s="343" customFormat="1" ht="0.65" hidden="1" customHeight="1">
      <c r="A607" s="343">
        <v>3093</v>
      </c>
      <c r="O607" s="343">
        <v>53</v>
      </c>
      <c r="P607" s="343" t="s">
        <v>3499</v>
      </c>
      <c r="R607" s="863">
        <v>-20000</v>
      </c>
      <c r="S607" s="863" t="s">
        <v>3655</v>
      </c>
      <c r="T607" s="343" t="s">
        <v>3500</v>
      </c>
      <c r="X607" s="863"/>
      <c r="Y607" s="863"/>
    </row>
    <row r="608" spans="1:25" s="343" customFormat="1" ht="0.65" hidden="1" customHeight="1">
      <c r="A608" s="343">
        <v>3094</v>
      </c>
      <c r="O608" s="343">
        <v>54</v>
      </c>
      <c r="P608" s="343" t="s">
        <v>3501</v>
      </c>
      <c r="R608" s="863">
        <v>-20000</v>
      </c>
      <c r="S608" s="343" t="s">
        <v>3656</v>
      </c>
      <c r="T608" s="343" t="s">
        <v>3503</v>
      </c>
      <c r="X608" s="863"/>
      <c r="Y608" s="863"/>
    </row>
    <row r="609" spans="1:25" s="343" customFormat="1" ht="0.65" hidden="1" customHeight="1">
      <c r="A609" s="343">
        <v>3095</v>
      </c>
      <c r="O609" s="343">
        <v>55</v>
      </c>
      <c r="P609" s="343" t="s">
        <v>3504</v>
      </c>
      <c r="R609" s="863">
        <v>0</v>
      </c>
      <c r="S609" s="343" t="s">
        <v>3657</v>
      </c>
      <c r="T609" s="343" t="s">
        <v>3506</v>
      </c>
      <c r="X609" s="863"/>
      <c r="Y609" s="863"/>
    </row>
    <row r="610" spans="1:25" s="343" customFormat="1" ht="0.65" hidden="1" customHeight="1">
      <c r="A610" s="343">
        <v>3096</v>
      </c>
      <c r="O610" s="343">
        <v>56</v>
      </c>
      <c r="P610" s="343" t="s">
        <v>3507</v>
      </c>
      <c r="R610" s="863">
        <v>0</v>
      </c>
      <c r="S610" s="343" t="s">
        <v>3657</v>
      </c>
      <c r="T610" s="343" t="s">
        <v>3508</v>
      </c>
      <c r="X610" s="863"/>
      <c r="Y610" s="863"/>
    </row>
    <row r="611" spans="1:25" s="343" customFormat="1" ht="0.65" hidden="1" customHeight="1">
      <c r="A611" s="343">
        <v>3097</v>
      </c>
      <c r="O611" s="343">
        <v>57</v>
      </c>
      <c r="P611" s="343" t="s">
        <v>3509</v>
      </c>
      <c r="R611" s="863">
        <v>0</v>
      </c>
      <c r="S611" s="343" t="s">
        <v>3657</v>
      </c>
      <c r="T611" s="343" t="s">
        <v>3510</v>
      </c>
      <c r="X611" s="863"/>
      <c r="Y611" s="863"/>
    </row>
    <row r="612" spans="1:25" s="343" customFormat="1" ht="0.65" hidden="1" customHeight="1">
      <c r="A612" s="343">
        <v>3098</v>
      </c>
      <c r="O612" s="343">
        <v>58</v>
      </c>
      <c r="P612" s="343" t="s">
        <v>3511</v>
      </c>
      <c r="R612" s="863">
        <v>0</v>
      </c>
      <c r="S612" s="343" t="s">
        <v>3657</v>
      </c>
      <c r="T612" s="343" t="s">
        <v>3512</v>
      </c>
      <c r="X612" s="863"/>
      <c r="Y612" s="863"/>
    </row>
    <row r="613" spans="1:25" s="343" customFormat="1" ht="0.65" hidden="1" customHeight="1">
      <c r="A613" s="343">
        <v>3099</v>
      </c>
      <c r="O613" s="343">
        <v>59</v>
      </c>
      <c r="P613" s="343" t="s">
        <v>3513</v>
      </c>
      <c r="R613" s="863">
        <v>1500</v>
      </c>
      <c r="S613" s="863" t="s">
        <v>3658</v>
      </c>
      <c r="T613" s="343" t="s">
        <v>3515</v>
      </c>
      <c r="X613" s="863"/>
      <c r="Y613" s="863"/>
    </row>
    <row r="614" spans="1:25" s="343" customFormat="1" ht="0.65" hidden="1" customHeight="1">
      <c r="A614" s="343">
        <v>3100</v>
      </c>
      <c r="O614" s="343">
        <v>60</v>
      </c>
      <c r="P614" s="343" t="s">
        <v>3516</v>
      </c>
      <c r="R614" s="863">
        <v>1500</v>
      </c>
      <c r="S614" s="863" t="s">
        <v>3658</v>
      </c>
      <c r="T614" s="343" t="s">
        <v>3517</v>
      </c>
      <c r="X614" s="863"/>
      <c r="Y614" s="863"/>
    </row>
    <row r="615" spans="1:25" s="343" customFormat="1" ht="0.65" hidden="1" customHeight="1">
      <c r="A615" s="343">
        <v>3101</v>
      </c>
      <c r="O615" s="343">
        <v>61</v>
      </c>
      <c r="P615" s="343" t="s">
        <v>3518</v>
      </c>
      <c r="R615" s="863">
        <v>1500</v>
      </c>
      <c r="S615" s="863" t="s">
        <v>3658</v>
      </c>
      <c r="T615" s="343" t="s">
        <v>3519</v>
      </c>
      <c r="X615" s="863"/>
      <c r="Y615" s="863"/>
    </row>
    <row r="616" spans="1:25" s="343" customFormat="1" ht="0.65" hidden="1" customHeight="1">
      <c r="A616" s="343">
        <v>3102</v>
      </c>
      <c r="O616" s="343">
        <v>62</v>
      </c>
      <c r="P616" s="343" t="s">
        <v>3520</v>
      </c>
      <c r="R616" s="863">
        <v>1500</v>
      </c>
      <c r="S616" s="863" t="s">
        <v>3658</v>
      </c>
      <c r="T616" s="343" t="s">
        <v>3521</v>
      </c>
      <c r="X616" s="863"/>
      <c r="Y616" s="863"/>
    </row>
    <row r="617" spans="1:25" s="343" customFormat="1" ht="0.65" hidden="1" customHeight="1">
      <c r="A617" s="343">
        <v>3103</v>
      </c>
      <c r="O617" s="343">
        <v>63</v>
      </c>
      <c r="P617" s="343" t="s">
        <v>3389</v>
      </c>
      <c r="R617" s="863">
        <v>-20000</v>
      </c>
      <c r="S617" s="343" t="s">
        <v>3656</v>
      </c>
      <c r="T617" s="343" t="s">
        <v>3522</v>
      </c>
      <c r="X617" s="863"/>
      <c r="Y617" s="863"/>
    </row>
    <row r="618" spans="1:25" s="343" customFormat="1" ht="0.65" hidden="1" customHeight="1">
      <c r="A618" s="343">
        <v>3104</v>
      </c>
      <c r="O618" s="343">
        <v>64</v>
      </c>
      <c r="P618" s="343" t="s">
        <v>3629</v>
      </c>
      <c r="R618" s="863">
        <v>106000</v>
      </c>
      <c r="S618" s="343" t="s">
        <v>3659</v>
      </c>
      <c r="T618" s="343" t="s">
        <v>3660</v>
      </c>
      <c r="X618" s="863"/>
      <c r="Y618" s="863"/>
    </row>
    <row r="619" spans="1:25" s="343" customFormat="1" ht="0.65" hidden="1" customHeight="1">
      <c r="A619" s="343">
        <v>3105</v>
      </c>
      <c r="O619" s="343">
        <v>65</v>
      </c>
      <c r="P619" s="343" t="s">
        <v>3630</v>
      </c>
      <c r="R619" s="863">
        <v>164000</v>
      </c>
      <c r="S619" s="343" t="s">
        <v>3661</v>
      </c>
      <c r="T619" s="343" t="s">
        <v>3662</v>
      </c>
      <c r="X619" s="863"/>
      <c r="Y619" s="863"/>
    </row>
    <row r="620" spans="1:25" s="343" customFormat="1" ht="0.65" hidden="1" customHeight="1">
      <c r="A620" s="343">
        <v>3106</v>
      </c>
      <c r="O620" s="343">
        <v>66</v>
      </c>
      <c r="P620" s="343" t="s">
        <v>55</v>
      </c>
      <c r="R620" s="863"/>
      <c r="X620" s="863"/>
      <c r="Y620" s="863"/>
    </row>
    <row r="621" spans="1:25" s="343" customFormat="1" ht="0.65" hidden="1" customHeight="1">
      <c r="A621" s="343">
        <v>3107</v>
      </c>
      <c r="O621" s="343">
        <v>67</v>
      </c>
      <c r="P621" s="343" t="s">
        <v>3394</v>
      </c>
      <c r="R621" s="863">
        <v>38000</v>
      </c>
      <c r="S621" s="343" t="s">
        <v>3663</v>
      </c>
      <c r="T621" s="343" t="s">
        <v>3664</v>
      </c>
      <c r="X621" s="863"/>
      <c r="Y621" s="863"/>
    </row>
    <row r="622" spans="1:25" s="343" customFormat="1" ht="0.65" hidden="1" customHeight="1">
      <c r="A622" s="343">
        <v>3108</v>
      </c>
      <c r="O622" s="343">
        <v>68</v>
      </c>
      <c r="P622" s="343" t="s">
        <v>3527</v>
      </c>
      <c r="R622" s="863">
        <v>-30000</v>
      </c>
      <c r="S622" s="343" t="s">
        <v>3665</v>
      </c>
      <c r="T622" s="343" t="s">
        <v>3529</v>
      </c>
      <c r="X622" s="863"/>
      <c r="Y622" s="863"/>
    </row>
    <row r="623" spans="1:25" s="343" customFormat="1" ht="0.65" hidden="1" customHeight="1">
      <c r="A623" s="343">
        <v>3109</v>
      </c>
      <c r="O623" s="343">
        <v>69</v>
      </c>
      <c r="P623" s="343" t="s">
        <v>3530</v>
      </c>
      <c r="R623" s="863">
        <v>1500</v>
      </c>
      <c r="S623" s="343" t="s">
        <v>3666</v>
      </c>
      <c r="T623" s="343" t="s">
        <v>3532</v>
      </c>
      <c r="X623" s="863"/>
      <c r="Y623" s="863"/>
    </row>
    <row r="624" spans="1:25" s="343" customFormat="1" ht="0.65" hidden="1" customHeight="1">
      <c r="A624" s="343">
        <v>3110</v>
      </c>
      <c r="O624" s="343">
        <v>70</v>
      </c>
      <c r="P624" s="343" t="s">
        <v>3533</v>
      </c>
      <c r="R624" s="863">
        <v>1500</v>
      </c>
      <c r="S624" s="343" t="s">
        <v>3666</v>
      </c>
      <c r="T624" s="343" t="s">
        <v>3534</v>
      </c>
      <c r="X624" s="863"/>
      <c r="Y624" s="863"/>
    </row>
    <row r="625" spans="1:25" s="343" customFormat="1" ht="0.65" hidden="1" customHeight="1">
      <c r="A625" s="343">
        <v>3111</v>
      </c>
      <c r="O625" s="343">
        <v>71</v>
      </c>
      <c r="P625" s="343" t="s">
        <v>3535</v>
      </c>
      <c r="R625" s="863">
        <v>1500</v>
      </c>
      <c r="S625" s="343" t="s">
        <v>3666</v>
      </c>
      <c r="T625" s="343" t="s">
        <v>3536</v>
      </c>
      <c r="X625" s="863"/>
      <c r="Y625" s="863"/>
    </row>
    <row r="626" spans="1:25" s="343" customFormat="1" ht="0.65" hidden="1" customHeight="1">
      <c r="A626" s="343">
        <v>3112</v>
      </c>
      <c r="O626" s="343">
        <v>72</v>
      </c>
      <c r="P626" s="343" t="s">
        <v>3537</v>
      </c>
      <c r="R626" s="863">
        <v>39500</v>
      </c>
      <c r="S626" s="343" t="s">
        <v>3667</v>
      </c>
      <c r="T626" s="343" t="s">
        <v>3539</v>
      </c>
      <c r="X626" s="863"/>
      <c r="Y626" s="863"/>
    </row>
    <row r="627" spans="1:25" s="343" customFormat="1" ht="0.65" hidden="1" customHeight="1">
      <c r="A627" s="343">
        <v>3113</v>
      </c>
      <c r="O627" s="343">
        <v>73</v>
      </c>
      <c r="P627" s="343" t="s">
        <v>3540</v>
      </c>
      <c r="R627" s="864">
        <v>0.1</v>
      </c>
      <c r="S627" s="343" t="s">
        <v>3541</v>
      </c>
      <c r="T627" s="343" t="s">
        <v>3542</v>
      </c>
      <c r="X627" s="863"/>
      <c r="Y627" s="863"/>
    </row>
    <row r="628" spans="1:25" s="343" customFormat="1" ht="0.65" hidden="1" customHeight="1">
      <c r="A628" s="343">
        <v>3114</v>
      </c>
      <c r="O628" s="343">
        <v>74</v>
      </c>
      <c r="P628" s="343" t="s">
        <v>13</v>
      </c>
      <c r="R628" s="863">
        <v>709.30947339661361</v>
      </c>
      <c r="S628" s="343" t="s">
        <v>3668</v>
      </c>
      <c r="T628" s="343" t="s">
        <v>3544</v>
      </c>
      <c r="X628" s="863"/>
      <c r="Y628" s="863"/>
    </row>
    <row r="629" spans="1:25" s="343" customFormat="1" ht="0.65" hidden="1" customHeight="1">
      <c r="A629" s="343">
        <v>3115</v>
      </c>
      <c r="O629" s="343">
        <v>75</v>
      </c>
      <c r="P629" s="343" t="s">
        <v>28</v>
      </c>
      <c r="R629" s="864">
        <v>0.10688042852912205</v>
      </c>
      <c r="S629" s="343" t="s">
        <v>3669</v>
      </c>
      <c r="T629" s="343" t="s">
        <v>3546</v>
      </c>
      <c r="X629" s="863"/>
      <c r="Y629" s="863"/>
    </row>
    <row r="630" spans="1:25" s="343" customFormat="1" ht="0.65" hidden="1" customHeight="1">
      <c r="A630" s="343">
        <v>3116</v>
      </c>
      <c r="X630" s="863"/>
      <c r="Y630" s="863"/>
    </row>
    <row r="631" spans="1:25" s="343" customFormat="1" ht="0.65" hidden="1" customHeight="1">
      <c r="A631" s="343">
        <v>3117</v>
      </c>
      <c r="O631" s="343">
        <v>1</v>
      </c>
      <c r="P631" s="343" t="s">
        <v>4145</v>
      </c>
      <c r="X631" s="863"/>
      <c r="Y631" s="863"/>
    </row>
    <row r="632" spans="1:25" s="343" customFormat="1" ht="0.65" hidden="1" customHeight="1">
      <c r="A632" s="343">
        <v>3118</v>
      </c>
      <c r="O632" s="343">
        <v>2</v>
      </c>
      <c r="P632" s="343" t="s">
        <v>3670</v>
      </c>
      <c r="X632" s="863"/>
      <c r="Y632" s="863"/>
    </row>
    <row r="633" spans="1:25" s="343" customFormat="1" ht="0.65" hidden="1" customHeight="1">
      <c r="A633" s="343">
        <v>3119</v>
      </c>
      <c r="O633" s="343">
        <v>3</v>
      </c>
      <c r="P633" s="343" t="s">
        <v>3671</v>
      </c>
      <c r="X633" s="863"/>
      <c r="Y633" s="863"/>
    </row>
    <row r="634" spans="1:25" s="343" customFormat="1" ht="0.65" hidden="1" customHeight="1">
      <c r="A634" s="343">
        <v>3120</v>
      </c>
      <c r="O634" s="343">
        <v>4</v>
      </c>
      <c r="P634" s="343" t="s">
        <v>3550</v>
      </c>
      <c r="X634" s="863"/>
      <c r="Y634" s="863"/>
    </row>
    <row r="635" spans="1:25" s="343" customFormat="1" ht="0.65" hidden="1" customHeight="1">
      <c r="A635" s="343">
        <v>3121</v>
      </c>
      <c r="O635" s="343">
        <v>5</v>
      </c>
      <c r="P635" s="343" t="s">
        <v>3672</v>
      </c>
      <c r="X635" s="863"/>
      <c r="Y635" s="863"/>
    </row>
    <row r="636" spans="1:25" s="343" customFormat="1" ht="0.65" hidden="1" customHeight="1">
      <c r="A636" s="343">
        <v>3122</v>
      </c>
      <c r="O636" s="343">
        <v>6</v>
      </c>
      <c r="P636" s="343" t="s">
        <v>3673</v>
      </c>
      <c r="X636" s="863"/>
      <c r="Y636" s="863"/>
    </row>
    <row r="637" spans="1:25" s="343" customFormat="1" ht="0.65" hidden="1" customHeight="1">
      <c r="A637" s="343">
        <v>3123</v>
      </c>
      <c r="O637" s="343">
        <v>7</v>
      </c>
      <c r="X637" s="863"/>
      <c r="Y637" s="863"/>
    </row>
    <row r="638" spans="1:25" s="343" customFormat="1" ht="0.65" hidden="1" customHeight="1">
      <c r="A638" s="343">
        <v>3124</v>
      </c>
      <c r="O638" s="343">
        <v>8</v>
      </c>
      <c r="X638" s="863"/>
      <c r="Y638" s="863"/>
    </row>
    <row r="639" spans="1:25" s="343" customFormat="1" ht="0.65" hidden="1" customHeight="1">
      <c r="A639" s="343">
        <v>3125</v>
      </c>
      <c r="O639" s="343">
        <v>9</v>
      </c>
      <c r="X639" s="863"/>
      <c r="Y639" s="863"/>
    </row>
    <row r="640" spans="1:25" s="343" customFormat="1" ht="0.65" hidden="1" customHeight="1">
      <c r="A640" s="343">
        <v>3126</v>
      </c>
      <c r="O640" s="343">
        <v>10</v>
      </c>
      <c r="X640" s="863"/>
      <c r="Y640" s="863"/>
    </row>
    <row r="641" spans="1:25" s="343" customFormat="1" ht="0.65" hidden="1" customHeight="1">
      <c r="A641" s="343">
        <v>3127</v>
      </c>
      <c r="X641" s="863"/>
      <c r="Y641" s="863"/>
    </row>
    <row r="642" spans="1:25" s="343" customFormat="1" ht="0.65" hidden="1" customHeight="1">
      <c r="A642" s="343">
        <v>3128</v>
      </c>
      <c r="X642" s="863"/>
      <c r="Y642" s="863"/>
    </row>
    <row r="643" spans="1:25" s="343" customFormat="1" ht="0.65" hidden="1" customHeight="1">
      <c r="A643" s="343">
        <v>3129</v>
      </c>
      <c r="X643" s="863"/>
      <c r="Y643" s="863"/>
    </row>
    <row r="644" spans="1:25" s="343" customFormat="1" ht="0.65" hidden="1" customHeight="1">
      <c r="A644" s="343">
        <v>3130</v>
      </c>
    </row>
    <row r="645" spans="1:25" s="343" customFormat="1" ht="0.65" hidden="1" customHeight="1">
      <c r="A645" s="653">
        <v>1</v>
      </c>
      <c r="B645" s="653">
        <v>2</v>
      </c>
      <c r="C645" s="653">
        <v>3</v>
      </c>
      <c r="D645" s="653">
        <v>4</v>
      </c>
      <c r="E645" s="653">
        <v>5</v>
      </c>
      <c r="F645" s="653">
        <v>6</v>
      </c>
      <c r="G645" s="653">
        <v>7</v>
      </c>
      <c r="H645" s="653">
        <v>8</v>
      </c>
      <c r="I645" s="653">
        <v>9</v>
      </c>
      <c r="J645" s="653">
        <v>10</v>
      </c>
      <c r="K645" s="653">
        <v>11</v>
      </c>
      <c r="L645" s="653">
        <v>12</v>
      </c>
      <c r="M645" s="653">
        <v>13</v>
      </c>
      <c r="N645" s="653">
        <v>14</v>
      </c>
      <c r="O645" s="653">
        <v>15</v>
      </c>
      <c r="P645" s="653">
        <v>16</v>
      </c>
      <c r="Q645" s="653">
        <v>17</v>
      </c>
      <c r="R645" s="653">
        <v>18</v>
      </c>
      <c r="S645" s="653">
        <v>19</v>
      </c>
      <c r="T645" s="653">
        <v>20</v>
      </c>
      <c r="U645" s="653">
        <v>21</v>
      </c>
      <c r="V645" s="653">
        <v>22</v>
      </c>
      <c r="W645" s="653">
        <v>23</v>
      </c>
    </row>
    <row r="646" spans="1:25" s="343" customFormat="1" ht="0.65" hidden="1" customHeight="1">
      <c r="A646" s="343">
        <v>4</v>
      </c>
    </row>
    <row r="647" spans="1:25" s="343" customFormat="1" ht="0.65" hidden="1" customHeight="1">
      <c r="A647" s="343">
        <v>4001</v>
      </c>
      <c r="B647" s="343" t="s">
        <v>3674</v>
      </c>
      <c r="E647" s="343" t="s">
        <v>3675</v>
      </c>
      <c r="M647" s="863" t="s">
        <v>3675</v>
      </c>
      <c r="N647" s="863"/>
      <c r="O647" s="863"/>
      <c r="P647" s="863"/>
      <c r="Q647" s="863"/>
      <c r="R647" s="863"/>
      <c r="S647" s="863"/>
      <c r="T647" s="863"/>
      <c r="U647" s="863"/>
      <c r="V647" s="863"/>
    </row>
    <row r="648" spans="1:25" s="343" customFormat="1" ht="0.65" hidden="1" customHeight="1">
      <c r="A648" s="343">
        <v>4002</v>
      </c>
      <c r="F648" s="343" t="s">
        <v>463</v>
      </c>
      <c r="I648" s="343" t="s">
        <v>463</v>
      </c>
      <c r="M648" s="863"/>
      <c r="N648" s="865" t="s">
        <v>55</v>
      </c>
      <c r="O648" s="865" t="s">
        <v>55</v>
      </c>
      <c r="P648" s="865" t="s">
        <v>55</v>
      </c>
      <c r="Q648" s="865" t="s">
        <v>55</v>
      </c>
      <c r="R648" s="865" t="s">
        <v>55</v>
      </c>
      <c r="S648" s="865" t="s">
        <v>55</v>
      </c>
      <c r="T648" s="865" t="s">
        <v>55</v>
      </c>
      <c r="U648" s="865" t="s">
        <v>55</v>
      </c>
      <c r="V648" s="865" t="s">
        <v>55</v>
      </c>
    </row>
    <row r="649" spans="1:25" s="343" customFormat="1" ht="0.65" hidden="1" customHeight="1">
      <c r="A649" s="343">
        <v>4003</v>
      </c>
      <c r="B649" s="343" t="s">
        <v>3676</v>
      </c>
      <c r="E649" s="343" t="s">
        <v>3677</v>
      </c>
      <c r="F649" s="343" t="s">
        <v>463</v>
      </c>
      <c r="H649" s="343" t="s">
        <v>3604</v>
      </c>
      <c r="I649" s="343" t="s">
        <v>463</v>
      </c>
      <c r="M649" s="659"/>
      <c r="N649" s="866"/>
      <c r="O649" s="866"/>
      <c r="P649" s="866"/>
      <c r="Q649" s="866"/>
      <c r="R649" s="866"/>
      <c r="S649" s="866"/>
      <c r="T649" s="866"/>
      <c r="U649" s="866"/>
      <c r="V649" s="866"/>
    </row>
    <row r="650" spans="1:25" s="343" customFormat="1" ht="0.65" hidden="1" customHeight="1">
      <c r="A650" s="343">
        <v>4004</v>
      </c>
      <c r="B650" s="343" t="s">
        <v>3678</v>
      </c>
      <c r="F650" s="343" t="s">
        <v>463</v>
      </c>
      <c r="I650" s="343" t="s">
        <v>463</v>
      </c>
      <c r="M650" s="663"/>
      <c r="N650" s="343">
        <v>0</v>
      </c>
      <c r="O650" s="343">
        <v>0</v>
      </c>
      <c r="P650" s="343">
        <v>0</v>
      </c>
      <c r="Q650" s="343">
        <v>0</v>
      </c>
      <c r="R650" s="343">
        <v>0</v>
      </c>
      <c r="S650" s="343">
        <v>0</v>
      </c>
      <c r="T650" s="343">
        <v>0</v>
      </c>
      <c r="U650" s="343">
        <v>0</v>
      </c>
      <c r="V650" s="863">
        <v>-178000</v>
      </c>
    </row>
    <row r="651" spans="1:25" s="343" customFormat="1" ht="0.65" hidden="1" customHeight="1">
      <c r="A651" s="343">
        <v>4005</v>
      </c>
      <c r="B651" s="343" t="s">
        <v>3679</v>
      </c>
      <c r="E651" s="343" t="s">
        <v>3680</v>
      </c>
      <c r="F651" s="659">
        <v>200000</v>
      </c>
      <c r="H651" s="343" t="s">
        <v>3371</v>
      </c>
      <c r="I651" s="653">
        <v>90</v>
      </c>
      <c r="M651" s="663"/>
      <c r="N651" s="863">
        <v>150000</v>
      </c>
      <c r="O651" s="863">
        <v>120000</v>
      </c>
      <c r="P651" s="863">
        <v>7500</v>
      </c>
      <c r="Q651" s="863">
        <v>22500</v>
      </c>
      <c r="R651" s="863">
        <v>6750</v>
      </c>
      <c r="S651" s="863">
        <v>15750</v>
      </c>
      <c r="T651" s="863">
        <v>23250</v>
      </c>
      <c r="U651" s="863">
        <v>5750</v>
      </c>
      <c r="V651" s="863">
        <v>5750</v>
      </c>
    </row>
    <row r="652" spans="1:25" s="343" customFormat="1" ht="0.65" hidden="1" customHeight="1">
      <c r="A652" s="343">
        <v>4006</v>
      </c>
      <c r="E652" s="343" t="s">
        <v>3681</v>
      </c>
      <c r="F652" s="659">
        <v>20000</v>
      </c>
      <c r="H652" s="343" t="s">
        <v>3374</v>
      </c>
      <c r="I652" s="653">
        <v>60</v>
      </c>
      <c r="M652" s="663"/>
      <c r="N652" s="863">
        <v>150000</v>
      </c>
      <c r="O652" s="863">
        <v>120000</v>
      </c>
      <c r="P652" s="863">
        <v>7500</v>
      </c>
      <c r="Q652" s="863">
        <v>22500</v>
      </c>
      <c r="R652" s="863">
        <v>6750</v>
      </c>
      <c r="S652" s="863">
        <v>15750</v>
      </c>
      <c r="T652" s="863">
        <v>23250</v>
      </c>
      <c r="U652" s="863">
        <v>23250</v>
      </c>
      <c r="V652" s="863">
        <v>23250</v>
      </c>
    </row>
    <row r="653" spans="1:25" s="343" customFormat="1" ht="0.65" hidden="1" customHeight="1">
      <c r="A653" s="343">
        <v>4007</v>
      </c>
      <c r="B653" s="343" t="s">
        <v>3682</v>
      </c>
      <c r="E653" s="343" t="s">
        <v>3683</v>
      </c>
      <c r="F653" s="659">
        <v>100000</v>
      </c>
      <c r="I653" s="343" t="s">
        <v>463</v>
      </c>
      <c r="M653" s="663"/>
      <c r="N653" s="863">
        <v>150000</v>
      </c>
      <c r="O653" s="863">
        <v>120000</v>
      </c>
      <c r="P653" s="863">
        <v>7500</v>
      </c>
      <c r="Q653" s="863">
        <v>22500</v>
      </c>
      <c r="R653" s="863">
        <v>6750</v>
      </c>
      <c r="S653" s="863">
        <v>15750</v>
      </c>
      <c r="T653" s="863">
        <v>23250</v>
      </c>
      <c r="U653" s="863">
        <v>23250</v>
      </c>
      <c r="V653" s="863">
        <v>23250</v>
      </c>
    </row>
    <row r="654" spans="1:25" s="343" customFormat="1" ht="0.65" hidden="1" customHeight="1">
      <c r="A654" s="343">
        <v>4008</v>
      </c>
      <c r="B654" s="343" t="s">
        <v>3684</v>
      </c>
      <c r="F654" s="343" t="s">
        <v>463</v>
      </c>
      <c r="H654" s="343" t="s">
        <v>3380</v>
      </c>
      <c r="I654" s="358">
        <v>0.1</v>
      </c>
      <c r="M654" s="663"/>
      <c r="N654" s="863">
        <v>150000</v>
      </c>
      <c r="O654" s="863">
        <v>120000</v>
      </c>
      <c r="P654" s="863">
        <v>7500</v>
      </c>
      <c r="Q654" s="863">
        <v>22500</v>
      </c>
      <c r="R654" s="863">
        <v>6750</v>
      </c>
      <c r="S654" s="863">
        <v>15750</v>
      </c>
      <c r="T654" s="863">
        <v>23250</v>
      </c>
      <c r="U654" s="863">
        <v>23250</v>
      </c>
      <c r="V654" s="863">
        <v>146750</v>
      </c>
    </row>
    <row r="655" spans="1:25" s="343" customFormat="1" ht="0.65" hidden="1" customHeight="1">
      <c r="A655" s="343">
        <v>4009</v>
      </c>
      <c r="B655" s="343" t="s">
        <v>3685</v>
      </c>
      <c r="E655" s="343" t="s">
        <v>3686</v>
      </c>
      <c r="F655" s="659">
        <v>300000</v>
      </c>
      <c r="H655" s="343" t="s">
        <v>3381</v>
      </c>
      <c r="I655" s="358">
        <v>0.3</v>
      </c>
      <c r="N655" s="865" t="s">
        <v>55</v>
      </c>
      <c r="O655" s="865" t="s">
        <v>55</v>
      </c>
      <c r="P655" s="865" t="s">
        <v>55</v>
      </c>
      <c r="Q655" s="865" t="s">
        <v>55</v>
      </c>
      <c r="R655" s="865" t="s">
        <v>55</v>
      </c>
      <c r="T655" s="653"/>
      <c r="U655" s="653"/>
      <c r="V655" s="653"/>
      <c r="W655" s="659"/>
      <c r="X655" s="659"/>
      <c r="Y655" s="659"/>
    </row>
    <row r="656" spans="1:25" s="343" customFormat="1" ht="0.65" hidden="1" customHeight="1">
      <c r="A656" s="343">
        <v>4010</v>
      </c>
      <c r="B656" s="343" t="s">
        <v>3614</v>
      </c>
      <c r="E656" s="343" t="s">
        <v>3687</v>
      </c>
      <c r="F656" s="659">
        <v>240000</v>
      </c>
      <c r="I656" s="343" t="s">
        <v>463</v>
      </c>
      <c r="M656" s="659"/>
      <c r="N656" s="866"/>
      <c r="O656" s="866"/>
      <c r="P656" s="866"/>
      <c r="Q656" s="866"/>
      <c r="R656" s="866"/>
      <c r="U656" s="863"/>
      <c r="V656" s="863"/>
      <c r="W656" s="863"/>
      <c r="X656" s="863"/>
      <c r="Y656" s="863"/>
    </row>
    <row r="657" spans="1:25" s="343" customFormat="1" ht="0.65" hidden="1" customHeight="1">
      <c r="A657" s="343">
        <v>4011</v>
      </c>
      <c r="E657" s="343" t="s">
        <v>3688</v>
      </c>
      <c r="F657" s="653">
        <v>15</v>
      </c>
      <c r="I657" s="343" t="s">
        <v>463</v>
      </c>
      <c r="M657" s="663"/>
      <c r="N657" s="863">
        <v>0</v>
      </c>
      <c r="O657" s="863">
        <v>0</v>
      </c>
      <c r="P657" s="863">
        <v>0</v>
      </c>
      <c r="Q657" s="863">
        <v>0</v>
      </c>
      <c r="R657" s="863">
        <v>0</v>
      </c>
      <c r="U657" s="1064" t="s">
        <v>55</v>
      </c>
      <c r="V657" s="1064"/>
      <c r="W657" s="863"/>
      <c r="X657" s="863"/>
      <c r="Y657" s="863"/>
    </row>
    <row r="658" spans="1:25" s="343" customFormat="1" ht="0.65" hidden="1" customHeight="1">
      <c r="A658" s="343">
        <v>4012</v>
      </c>
      <c r="B658" s="343" t="s">
        <v>3689</v>
      </c>
      <c r="F658" s="343" t="s">
        <v>463</v>
      </c>
      <c r="I658" s="343" t="s">
        <v>463</v>
      </c>
      <c r="M658" s="663"/>
      <c r="N658" s="863">
        <v>0</v>
      </c>
      <c r="O658" s="863">
        <v>37500</v>
      </c>
      <c r="P658" s="863">
        <v>20000</v>
      </c>
      <c r="Q658" s="863">
        <v>17500</v>
      </c>
      <c r="R658" s="863">
        <v>17500</v>
      </c>
      <c r="U658" s="1064"/>
      <c r="V658" s="1064"/>
      <c r="W658" s="863"/>
      <c r="X658" s="863"/>
      <c r="Y658" s="863"/>
    </row>
    <row r="659" spans="1:25" s="343" customFormat="1" ht="0.65" hidden="1" customHeight="1">
      <c r="A659" s="343">
        <v>4013</v>
      </c>
      <c r="B659" s="343" t="s">
        <v>3690</v>
      </c>
      <c r="F659" s="343" t="s">
        <v>463</v>
      </c>
      <c r="I659" s="343" t="s">
        <v>463</v>
      </c>
      <c r="M659" s="663"/>
      <c r="N659" s="863">
        <v>0</v>
      </c>
      <c r="O659" s="863">
        <v>37500</v>
      </c>
      <c r="P659" s="863">
        <v>20000</v>
      </c>
      <c r="Q659" s="863">
        <v>17500</v>
      </c>
      <c r="R659" s="863">
        <v>0</v>
      </c>
      <c r="U659" s="1064"/>
      <c r="V659" s="1064"/>
      <c r="W659" s="863"/>
      <c r="X659" s="863"/>
      <c r="Y659" s="863"/>
    </row>
    <row r="660" spans="1:25" s="343" customFormat="1" ht="0.65" hidden="1" customHeight="1">
      <c r="A660" s="343">
        <v>4014</v>
      </c>
      <c r="B660" s="343" t="s">
        <v>3691</v>
      </c>
      <c r="E660" s="343" t="s">
        <v>3692</v>
      </c>
      <c r="F660" s="343" t="s">
        <v>463</v>
      </c>
      <c r="I660" s="343" t="s">
        <v>463</v>
      </c>
      <c r="M660" s="663"/>
      <c r="N660" s="863">
        <v>0</v>
      </c>
      <c r="O660" s="863">
        <v>37500</v>
      </c>
      <c r="P660" s="863">
        <v>20000</v>
      </c>
      <c r="Q660" s="863">
        <v>17500</v>
      </c>
      <c r="R660" s="863">
        <v>0</v>
      </c>
      <c r="U660" s="1064"/>
      <c r="V660" s="1064"/>
      <c r="W660" s="863"/>
      <c r="X660" s="863"/>
      <c r="Y660" s="863"/>
    </row>
    <row r="661" spans="1:25" s="343" customFormat="1" ht="0.65" hidden="1" customHeight="1">
      <c r="A661" s="343">
        <v>4015</v>
      </c>
      <c r="B661" s="343" t="s">
        <v>3693</v>
      </c>
      <c r="F661" s="343" t="s">
        <v>463</v>
      </c>
      <c r="I661" s="343" t="s">
        <v>463</v>
      </c>
      <c r="M661" s="663"/>
      <c r="N661" s="863">
        <v>0</v>
      </c>
      <c r="O661" s="863">
        <v>37500</v>
      </c>
      <c r="P661" s="863">
        <v>20000</v>
      </c>
      <c r="Q661" s="863">
        <v>17500</v>
      </c>
      <c r="R661" s="863">
        <v>0</v>
      </c>
      <c r="T661" s="863"/>
      <c r="U661" s="863"/>
      <c r="V661" s="863"/>
      <c r="W661" s="863"/>
      <c r="X661" s="863"/>
      <c r="Y661" s="863"/>
    </row>
    <row r="662" spans="1:25" s="343" customFormat="1" ht="0.65" hidden="1" customHeight="1">
      <c r="A662" s="343">
        <v>4016</v>
      </c>
      <c r="E662" s="343" t="s">
        <v>3694</v>
      </c>
      <c r="F662" s="659">
        <v>50000</v>
      </c>
      <c r="I662" s="343" t="s">
        <v>463</v>
      </c>
      <c r="M662" s="863"/>
      <c r="N662" s="653"/>
      <c r="O662" s="653"/>
      <c r="P662" s="653"/>
      <c r="Q662" s="653"/>
      <c r="R662" s="653"/>
      <c r="S662" s="653"/>
      <c r="T662" s="863"/>
      <c r="V662" s="863"/>
      <c r="W662" s="863"/>
      <c r="X662" s="863"/>
    </row>
    <row r="663" spans="1:25" s="343" customFormat="1" ht="0.65" hidden="1" customHeight="1">
      <c r="A663" s="343">
        <v>4017</v>
      </c>
      <c r="B663" s="343" t="s">
        <v>3695</v>
      </c>
      <c r="E663" s="343" t="s">
        <v>3696</v>
      </c>
      <c r="F663" s="659">
        <v>10000</v>
      </c>
      <c r="I663" s="343" t="s">
        <v>463</v>
      </c>
      <c r="M663" s="863"/>
      <c r="V663" s="863"/>
      <c r="W663" s="863"/>
      <c r="X663" s="863"/>
    </row>
    <row r="664" spans="1:25" s="343" customFormat="1" ht="0.65" hidden="1" customHeight="1">
      <c r="A664" s="343">
        <v>4018</v>
      </c>
      <c r="B664" s="343" t="s">
        <v>3697</v>
      </c>
      <c r="E664" s="343" t="s">
        <v>3698</v>
      </c>
      <c r="F664" s="659">
        <v>12500</v>
      </c>
      <c r="I664" s="343" t="s">
        <v>463</v>
      </c>
      <c r="N664" s="863"/>
      <c r="O664" s="863"/>
      <c r="P664" s="865" t="s">
        <v>55</v>
      </c>
      <c r="T664" s="865" t="s">
        <v>55</v>
      </c>
      <c r="W664" s="865" t="s">
        <v>55</v>
      </c>
      <c r="X664" s="863"/>
    </row>
    <row r="665" spans="1:25" s="343" customFormat="1" ht="0.65" hidden="1" customHeight="1">
      <c r="A665" s="343">
        <v>4019</v>
      </c>
      <c r="B665" s="343" t="s">
        <v>3699</v>
      </c>
      <c r="E665" s="343" t="s">
        <v>3700</v>
      </c>
      <c r="F665" s="659">
        <v>0</v>
      </c>
      <c r="I665" s="343" t="s">
        <v>463</v>
      </c>
      <c r="N665" s="1061" t="s">
        <v>3701</v>
      </c>
      <c r="O665" s="1061"/>
      <c r="P665" s="863">
        <v>10000</v>
      </c>
      <c r="R665" s="1061" t="s">
        <v>3389</v>
      </c>
      <c r="S665" s="1061"/>
      <c r="T665" s="863">
        <v>17500</v>
      </c>
      <c r="X665" s="863"/>
    </row>
    <row r="666" spans="1:25" s="343" customFormat="1" ht="0.65" hidden="1" customHeight="1">
      <c r="A666" s="343">
        <v>4020</v>
      </c>
      <c r="B666" s="343" t="s">
        <v>3702</v>
      </c>
      <c r="F666" s="343" t="s">
        <v>463</v>
      </c>
      <c r="I666" s="343" t="s">
        <v>463</v>
      </c>
      <c r="M666" s="863"/>
      <c r="N666" s="1061" t="s">
        <v>3703</v>
      </c>
      <c r="O666" s="1061"/>
      <c r="P666" s="863">
        <v>200000</v>
      </c>
      <c r="R666" s="1061" t="s">
        <v>3704</v>
      </c>
      <c r="S666" s="1061"/>
      <c r="T666" s="863">
        <v>106000</v>
      </c>
      <c r="V666" s="662"/>
      <c r="W666" s="358">
        <v>0.1</v>
      </c>
      <c r="X666" s="863"/>
    </row>
    <row r="667" spans="1:25" s="343" customFormat="1" ht="0.65" hidden="1" customHeight="1">
      <c r="A667" s="343">
        <v>4021</v>
      </c>
      <c r="E667" s="343" t="s">
        <v>3705</v>
      </c>
      <c r="F667" s="659">
        <v>150000</v>
      </c>
      <c r="I667" s="343" t="s">
        <v>463</v>
      </c>
      <c r="M667" s="863"/>
      <c r="N667" s="1061" t="s">
        <v>3706</v>
      </c>
      <c r="O667" s="1061"/>
      <c r="P667" s="863">
        <v>10000</v>
      </c>
      <c r="R667" s="1061" t="s">
        <v>3707</v>
      </c>
      <c r="S667" s="1061"/>
      <c r="T667" s="863">
        <v>0</v>
      </c>
    </row>
    <row r="668" spans="1:25" s="343" customFormat="1" ht="0.65" hidden="1" customHeight="1">
      <c r="A668" s="343">
        <v>4022</v>
      </c>
      <c r="B668" s="343" t="s">
        <v>3708</v>
      </c>
      <c r="E668" s="343" t="s">
        <v>3709</v>
      </c>
      <c r="F668" s="659">
        <v>120000</v>
      </c>
      <c r="I668" s="343" t="s">
        <v>463</v>
      </c>
      <c r="M668" s="863"/>
      <c r="N668" s="1061" t="s">
        <v>3710</v>
      </c>
      <c r="O668" s="1061"/>
      <c r="P668" s="863">
        <v>22000</v>
      </c>
      <c r="R668" s="1061"/>
      <c r="S668" s="1061"/>
      <c r="T668" s="863"/>
      <c r="X668" s="863"/>
      <c r="Y668" s="863"/>
    </row>
    <row r="669" spans="1:25" s="343" customFormat="1" ht="0.65" hidden="1" customHeight="1">
      <c r="A669" s="343">
        <v>4023</v>
      </c>
      <c r="E669" s="343" t="s">
        <v>3711</v>
      </c>
      <c r="F669" s="653">
        <v>30</v>
      </c>
      <c r="I669" s="343" t="s">
        <v>463</v>
      </c>
      <c r="M669" s="863"/>
      <c r="N669" s="867"/>
      <c r="Q669" s="863"/>
      <c r="R669" s="868"/>
      <c r="S669" s="863"/>
      <c r="T669" s="863"/>
      <c r="U669" s="863"/>
      <c r="V669" s="662"/>
      <c r="W669" s="659">
        <v>-35857.557543883682</v>
      </c>
      <c r="X669" s="863"/>
      <c r="Y669" s="863"/>
    </row>
    <row r="670" spans="1:25" s="343" customFormat="1" ht="0.65" hidden="1" customHeight="1">
      <c r="A670" s="343">
        <v>4024</v>
      </c>
      <c r="F670" s="343" t="s">
        <v>463</v>
      </c>
      <c r="I670" s="343" t="s">
        <v>463</v>
      </c>
      <c r="M670" s="863"/>
      <c r="N670" s="1062" t="s">
        <v>129</v>
      </c>
      <c r="O670" s="1062"/>
      <c r="P670" s="863">
        <v>178000</v>
      </c>
      <c r="Q670" s="863"/>
      <c r="R670" s="1062" t="s">
        <v>3394</v>
      </c>
      <c r="S670" s="1062"/>
      <c r="T670" s="863">
        <v>123500</v>
      </c>
      <c r="V670" s="869"/>
      <c r="W670" s="358">
        <v>3.1891043015783049E-2</v>
      </c>
      <c r="X670" s="863"/>
      <c r="Y670" s="863"/>
    </row>
    <row r="671" spans="1:25" s="343" customFormat="1" ht="0.65" hidden="1" customHeight="1">
      <c r="A671" s="343">
        <v>4025</v>
      </c>
      <c r="F671" s="343" t="s">
        <v>463</v>
      </c>
      <c r="I671" s="343" t="s">
        <v>463</v>
      </c>
      <c r="N671" s="863"/>
      <c r="P671" s="653"/>
      <c r="T671" s="653"/>
      <c r="W671" s="653"/>
      <c r="X671" s="863"/>
      <c r="Y671" s="863"/>
    </row>
    <row r="672" spans="1:25" s="343" customFormat="1" ht="0.65" hidden="1" customHeight="1">
      <c r="A672" s="343">
        <v>4026</v>
      </c>
      <c r="F672" s="343" t="s">
        <v>463</v>
      </c>
      <c r="I672" s="343" t="s">
        <v>463</v>
      </c>
      <c r="X672" s="863"/>
      <c r="Y672" s="863"/>
    </row>
    <row r="673" spans="1:25" s="343" customFormat="1" ht="0.65" hidden="1" customHeight="1">
      <c r="A673" s="343">
        <v>4027</v>
      </c>
      <c r="F673" s="343" t="s">
        <v>463</v>
      </c>
      <c r="I673" s="343" t="s">
        <v>463</v>
      </c>
      <c r="X673" s="863"/>
      <c r="Y673" s="863"/>
    </row>
    <row r="674" spans="1:25" s="343" customFormat="1" ht="0.65" hidden="1" customHeight="1">
      <c r="A674" s="343">
        <v>4028</v>
      </c>
      <c r="F674" s="343" t="s">
        <v>463</v>
      </c>
      <c r="I674" s="343" t="s">
        <v>463</v>
      </c>
      <c r="X674" s="863"/>
      <c r="Y674" s="863"/>
    </row>
    <row r="675" spans="1:25" s="343" customFormat="1" ht="0.65" hidden="1" customHeight="1">
      <c r="A675" s="343">
        <v>4029</v>
      </c>
      <c r="F675" s="343" t="s">
        <v>463</v>
      </c>
      <c r="I675" s="343" t="s">
        <v>463</v>
      </c>
      <c r="X675" s="863"/>
      <c r="Y675" s="863"/>
    </row>
    <row r="676" spans="1:25" s="343" customFormat="1" ht="0.65" hidden="1" customHeight="1">
      <c r="A676" s="343">
        <v>4030</v>
      </c>
      <c r="F676" s="343" t="s">
        <v>463</v>
      </c>
      <c r="I676" s="343" t="s">
        <v>463</v>
      </c>
      <c r="X676" s="863"/>
      <c r="Y676" s="863"/>
    </row>
    <row r="677" spans="1:25" s="343" customFormat="1" ht="0.65" hidden="1" customHeight="1">
      <c r="A677" s="343">
        <v>4031</v>
      </c>
      <c r="F677" s="343" t="s">
        <v>463</v>
      </c>
      <c r="I677" s="343" t="s">
        <v>463</v>
      </c>
      <c r="X677" s="863"/>
      <c r="Y677" s="863"/>
    </row>
    <row r="678" spans="1:25" s="343" customFormat="1" ht="0.65" hidden="1" customHeight="1">
      <c r="A678" s="343">
        <v>4032</v>
      </c>
      <c r="F678" s="343" t="s">
        <v>463</v>
      </c>
      <c r="I678" s="343" t="s">
        <v>463</v>
      </c>
      <c r="X678" s="863"/>
      <c r="Y678" s="863"/>
    </row>
    <row r="679" spans="1:25" s="343" customFormat="1" ht="0.65" hidden="1" customHeight="1">
      <c r="A679" s="343">
        <v>4033</v>
      </c>
      <c r="F679" s="343" t="s">
        <v>463</v>
      </c>
      <c r="I679" s="343" t="s">
        <v>463</v>
      </c>
      <c r="X679" s="863"/>
      <c r="Y679" s="863"/>
    </row>
    <row r="680" spans="1:25" s="343" customFormat="1" ht="0.65" hidden="1" customHeight="1">
      <c r="A680" s="343">
        <v>4034</v>
      </c>
      <c r="F680" s="343" t="s">
        <v>463</v>
      </c>
      <c r="I680" s="343" t="s">
        <v>463</v>
      </c>
      <c r="X680" s="863"/>
      <c r="Y680" s="863"/>
    </row>
    <row r="681" spans="1:25" s="343" customFormat="1" ht="0.65" hidden="1" customHeight="1">
      <c r="A681" s="343">
        <v>4035</v>
      </c>
      <c r="F681" s="343" t="s">
        <v>463</v>
      </c>
      <c r="I681" s="343" t="s">
        <v>463</v>
      </c>
      <c r="X681" s="863"/>
      <c r="Y681" s="863"/>
    </row>
    <row r="682" spans="1:25" s="343" customFormat="1" ht="0.65" hidden="1" customHeight="1">
      <c r="A682" s="343">
        <v>4036</v>
      </c>
      <c r="F682" s="343" t="s">
        <v>463</v>
      </c>
      <c r="I682" s="343" t="s">
        <v>463</v>
      </c>
      <c r="X682" s="863"/>
      <c r="Y682" s="863"/>
    </row>
    <row r="683" spans="1:25" s="343" customFormat="1" ht="0.65" hidden="1" customHeight="1">
      <c r="A683" s="343">
        <v>4037</v>
      </c>
      <c r="F683" s="343" t="s">
        <v>463</v>
      </c>
      <c r="I683" s="343" t="s">
        <v>463</v>
      </c>
      <c r="X683" s="863"/>
      <c r="Y683" s="863"/>
    </row>
    <row r="684" spans="1:25" s="343" customFormat="1" ht="0.65" hidden="1" customHeight="1">
      <c r="A684" s="343">
        <v>4038</v>
      </c>
      <c r="F684" s="343" t="s">
        <v>463</v>
      </c>
      <c r="I684" s="343" t="s">
        <v>463</v>
      </c>
      <c r="X684" s="863"/>
      <c r="Y684" s="863"/>
    </row>
    <row r="685" spans="1:25" s="343" customFormat="1" ht="0.65" hidden="1" customHeight="1">
      <c r="A685" s="343">
        <v>4039</v>
      </c>
    </row>
    <row r="686" spans="1:25" s="343" customFormat="1" ht="0.65" hidden="1" customHeight="1">
      <c r="A686" s="343">
        <v>4040</v>
      </c>
      <c r="X686" s="863"/>
      <c r="Y686" s="863"/>
    </row>
    <row r="687" spans="1:25" s="343" customFormat="1" ht="0.65" hidden="1" customHeight="1">
      <c r="A687" s="343">
        <v>4041</v>
      </c>
      <c r="M687" s="343">
        <v>0</v>
      </c>
      <c r="O687" s="343">
        <v>1</v>
      </c>
      <c r="P687" s="343" t="s">
        <v>3701</v>
      </c>
      <c r="R687" s="863">
        <v>10000</v>
      </c>
      <c r="S687" s="343" t="s">
        <v>3712</v>
      </c>
      <c r="T687" s="343" t="s">
        <v>3713</v>
      </c>
      <c r="X687" s="863"/>
      <c r="Y687" s="863"/>
    </row>
    <row r="688" spans="1:25" s="343" customFormat="1" ht="0.65" hidden="1" customHeight="1">
      <c r="A688" s="343">
        <v>4042</v>
      </c>
      <c r="O688" s="343">
        <v>2</v>
      </c>
      <c r="P688" s="343" t="s">
        <v>3703</v>
      </c>
      <c r="R688" s="863">
        <v>200000</v>
      </c>
      <c r="S688" s="343" t="s">
        <v>3714</v>
      </c>
      <c r="T688" s="343" t="s">
        <v>3715</v>
      </c>
      <c r="X688" s="863"/>
      <c r="Y688" s="863"/>
    </row>
    <row r="689" spans="1:25" s="343" customFormat="1" ht="0.65" hidden="1" customHeight="1">
      <c r="A689" s="343">
        <v>4043</v>
      </c>
      <c r="O689" s="343">
        <v>3</v>
      </c>
      <c r="P689" s="343" t="s">
        <v>3706</v>
      </c>
      <c r="R689" s="863">
        <v>10000</v>
      </c>
      <c r="S689" s="343" t="s">
        <v>3716</v>
      </c>
      <c r="T689" s="343" t="s">
        <v>3717</v>
      </c>
      <c r="X689" s="863"/>
      <c r="Y689" s="863"/>
    </row>
    <row r="690" spans="1:25" s="343" customFormat="1" ht="0.65" hidden="1" customHeight="1">
      <c r="A690" s="343">
        <v>4044</v>
      </c>
      <c r="O690" s="343">
        <v>4</v>
      </c>
      <c r="P690" s="343" t="s">
        <v>3710</v>
      </c>
      <c r="R690" s="863">
        <v>22000</v>
      </c>
      <c r="S690" s="343" t="s">
        <v>3718</v>
      </c>
      <c r="T690" s="343" t="s">
        <v>3719</v>
      </c>
      <c r="X690" s="863"/>
      <c r="Y690" s="863"/>
    </row>
    <row r="691" spans="1:25" s="343" customFormat="1" ht="0.65" hidden="1" customHeight="1">
      <c r="A691" s="343">
        <v>4045</v>
      </c>
      <c r="O691" s="343">
        <v>5</v>
      </c>
      <c r="P691" s="343" t="s">
        <v>129</v>
      </c>
      <c r="R691" s="863">
        <v>178000</v>
      </c>
      <c r="S691" s="343" t="s">
        <v>3720</v>
      </c>
      <c r="T691" s="343" t="s">
        <v>3721</v>
      </c>
      <c r="X691" s="863"/>
      <c r="Y691" s="863"/>
    </row>
    <row r="692" spans="1:25" s="343" customFormat="1" ht="0.65" hidden="1" customHeight="1">
      <c r="A692" s="343">
        <v>4046</v>
      </c>
      <c r="O692" s="343">
        <v>6</v>
      </c>
      <c r="P692" s="343" t="s">
        <v>3404</v>
      </c>
      <c r="R692" s="863">
        <v>150000</v>
      </c>
      <c r="S692" s="343" t="s">
        <v>3722</v>
      </c>
      <c r="T692" s="343" t="s">
        <v>3723</v>
      </c>
      <c r="X692" s="863"/>
      <c r="Y692" s="863"/>
    </row>
    <row r="693" spans="1:25" s="343" customFormat="1" ht="0.65" hidden="1" customHeight="1">
      <c r="A693" s="343">
        <v>4047</v>
      </c>
      <c r="O693" s="343">
        <v>7</v>
      </c>
      <c r="P693" s="343" t="s">
        <v>3407</v>
      </c>
      <c r="R693" s="863">
        <v>150000</v>
      </c>
      <c r="S693" s="343" t="s">
        <v>3722</v>
      </c>
      <c r="T693" s="343" t="s">
        <v>3723</v>
      </c>
      <c r="X693" s="863"/>
      <c r="Y693" s="863"/>
    </row>
    <row r="694" spans="1:25" s="343" customFormat="1" ht="0.65" hidden="1" customHeight="1">
      <c r="A694" s="343">
        <v>4048</v>
      </c>
      <c r="O694" s="343">
        <v>8</v>
      </c>
      <c r="P694" s="343" t="s">
        <v>3408</v>
      </c>
      <c r="R694" s="863">
        <v>150000</v>
      </c>
      <c r="S694" s="343" t="s">
        <v>3722</v>
      </c>
      <c r="T694" s="343" t="s">
        <v>3723</v>
      </c>
      <c r="X694" s="863"/>
      <c r="Y694" s="863"/>
    </row>
    <row r="695" spans="1:25" s="343" customFormat="1" ht="0.65" hidden="1" customHeight="1">
      <c r="A695" s="343">
        <v>4049</v>
      </c>
      <c r="O695" s="343">
        <v>9</v>
      </c>
      <c r="P695" s="343" t="s">
        <v>3409</v>
      </c>
      <c r="R695" s="863">
        <v>150000</v>
      </c>
      <c r="S695" s="343" t="s">
        <v>3722</v>
      </c>
      <c r="T695" s="343" t="s">
        <v>3723</v>
      </c>
      <c r="X695" s="863"/>
      <c r="Y695" s="863"/>
    </row>
    <row r="696" spans="1:25" s="343" customFormat="1" ht="0.65" hidden="1" customHeight="1">
      <c r="A696" s="343">
        <v>4050</v>
      </c>
      <c r="O696" s="343">
        <v>10</v>
      </c>
      <c r="P696" s="343" t="s">
        <v>3410</v>
      </c>
      <c r="R696" s="863">
        <v>120000</v>
      </c>
      <c r="S696" s="343" t="s">
        <v>3724</v>
      </c>
      <c r="T696" s="343" t="s">
        <v>3725</v>
      </c>
      <c r="X696" s="863"/>
      <c r="Y696" s="863"/>
    </row>
    <row r="697" spans="1:25" s="343" customFormat="1" ht="0.65" hidden="1" customHeight="1">
      <c r="A697" s="343">
        <v>4051</v>
      </c>
      <c r="O697" s="343">
        <v>11</v>
      </c>
      <c r="P697" s="343" t="s">
        <v>3413</v>
      </c>
      <c r="R697" s="863">
        <v>120000</v>
      </c>
      <c r="S697" s="343" t="s">
        <v>3724</v>
      </c>
      <c r="T697" s="343" t="s">
        <v>3725</v>
      </c>
      <c r="X697" s="863"/>
      <c r="Y697" s="863"/>
    </row>
    <row r="698" spans="1:25" s="343" customFormat="1" ht="0.65" hidden="1" customHeight="1">
      <c r="A698" s="343">
        <v>4052</v>
      </c>
      <c r="O698" s="343">
        <v>12</v>
      </c>
      <c r="P698" s="343" t="s">
        <v>3414</v>
      </c>
      <c r="R698" s="863">
        <v>120000</v>
      </c>
      <c r="S698" s="343" t="s">
        <v>3724</v>
      </c>
      <c r="T698" s="343" t="s">
        <v>3725</v>
      </c>
      <c r="X698" s="863"/>
      <c r="Y698" s="863"/>
    </row>
    <row r="699" spans="1:25" s="343" customFormat="1" ht="0.65" hidden="1" customHeight="1">
      <c r="A699" s="343">
        <v>4053</v>
      </c>
      <c r="O699" s="343">
        <v>13</v>
      </c>
      <c r="P699" s="343" t="s">
        <v>3415</v>
      </c>
      <c r="R699" s="863">
        <v>120000</v>
      </c>
      <c r="S699" s="343" t="s">
        <v>3724</v>
      </c>
      <c r="T699" s="343" t="s">
        <v>3725</v>
      </c>
      <c r="X699" s="863"/>
      <c r="Y699" s="863"/>
    </row>
    <row r="700" spans="1:25" s="343" customFormat="1" ht="0.65" hidden="1" customHeight="1">
      <c r="A700" s="343">
        <v>4054</v>
      </c>
      <c r="O700" s="343">
        <v>14</v>
      </c>
      <c r="P700" s="343" t="s">
        <v>3416</v>
      </c>
      <c r="R700" s="863">
        <v>7500</v>
      </c>
      <c r="S700" s="343" t="s">
        <v>3726</v>
      </c>
      <c r="T700" s="343" t="s">
        <v>3727</v>
      </c>
      <c r="X700" s="863"/>
      <c r="Y700" s="863"/>
    </row>
    <row r="701" spans="1:25" s="343" customFormat="1" ht="0.65" hidden="1" customHeight="1">
      <c r="A701" s="343">
        <v>4055</v>
      </c>
      <c r="O701" s="343">
        <v>15</v>
      </c>
      <c r="P701" s="343" t="s">
        <v>3419</v>
      </c>
      <c r="R701" s="863">
        <v>7500</v>
      </c>
      <c r="S701" s="343" t="s">
        <v>3726</v>
      </c>
      <c r="T701" s="343" t="s">
        <v>3727</v>
      </c>
      <c r="X701" s="863"/>
      <c r="Y701" s="863"/>
    </row>
    <row r="702" spans="1:25" s="343" customFormat="1" ht="0.65" hidden="1" customHeight="1">
      <c r="A702" s="343">
        <v>4056</v>
      </c>
      <c r="O702" s="343">
        <v>16</v>
      </c>
      <c r="P702" s="343" t="s">
        <v>3420</v>
      </c>
      <c r="R702" s="863">
        <v>7500</v>
      </c>
      <c r="S702" s="343" t="s">
        <v>3726</v>
      </c>
      <c r="T702" s="343" t="s">
        <v>3727</v>
      </c>
      <c r="X702" s="863"/>
      <c r="Y702" s="863"/>
    </row>
    <row r="703" spans="1:25" s="343" customFormat="1" ht="0.65" hidden="1" customHeight="1">
      <c r="A703" s="343">
        <v>4057</v>
      </c>
      <c r="O703" s="343">
        <v>17</v>
      </c>
      <c r="P703" s="343" t="s">
        <v>3421</v>
      </c>
      <c r="R703" s="863">
        <v>7500</v>
      </c>
      <c r="S703" s="343" t="s">
        <v>3726</v>
      </c>
      <c r="T703" s="343" t="s">
        <v>3727</v>
      </c>
      <c r="X703" s="863"/>
      <c r="Y703" s="863"/>
    </row>
    <row r="704" spans="1:25" s="343" customFormat="1" ht="0.65" hidden="1" customHeight="1">
      <c r="A704" s="343">
        <v>4058</v>
      </c>
      <c r="O704" s="343">
        <v>18</v>
      </c>
      <c r="P704" s="343" t="s">
        <v>3422</v>
      </c>
      <c r="R704" s="863">
        <v>22500</v>
      </c>
      <c r="S704" s="343" t="s">
        <v>3728</v>
      </c>
      <c r="T704" s="343" t="s">
        <v>3424</v>
      </c>
      <c r="X704" s="863"/>
      <c r="Y704" s="863"/>
    </row>
    <row r="705" spans="1:25" s="343" customFormat="1" ht="0.65" hidden="1" customHeight="1">
      <c r="A705" s="343">
        <v>4059</v>
      </c>
      <c r="O705" s="343">
        <v>19</v>
      </c>
      <c r="P705" s="343" t="s">
        <v>3425</v>
      </c>
      <c r="R705" s="863">
        <v>22500</v>
      </c>
      <c r="S705" s="343" t="s">
        <v>3728</v>
      </c>
      <c r="T705" s="343" t="s">
        <v>3426</v>
      </c>
      <c r="X705" s="863"/>
      <c r="Y705" s="863"/>
    </row>
    <row r="706" spans="1:25" s="343" customFormat="1" ht="0.65" hidden="1" customHeight="1">
      <c r="A706" s="343">
        <v>4060</v>
      </c>
      <c r="O706" s="343">
        <v>20</v>
      </c>
      <c r="P706" s="343" t="s">
        <v>3427</v>
      </c>
      <c r="R706" s="863">
        <v>22500</v>
      </c>
      <c r="S706" s="343" t="s">
        <v>3728</v>
      </c>
      <c r="T706" s="343" t="s">
        <v>3428</v>
      </c>
      <c r="X706" s="863"/>
      <c r="Y706" s="863"/>
    </row>
    <row r="707" spans="1:25" s="343" customFormat="1" ht="0.65" hidden="1" customHeight="1">
      <c r="A707" s="343">
        <v>4061</v>
      </c>
      <c r="O707" s="343">
        <v>21</v>
      </c>
      <c r="P707" s="343" t="s">
        <v>3429</v>
      </c>
      <c r="R707" s="863">
        <v>22500</v>
      </c>
      <c r="S707" s="343" t="s">
        <v>3728</v>
      </c>
      <c r="T707" s="343" t="s">
        <v>3430</v>
      </c>
      <c r="X707" s="863"/>
      <c r="Y707" s="863"/>
    </row>
    <row r="708" spans="1:25" s="343" customFormat="1" ht="0.65" hidden="1" customHeight="1">
      <c r="A708" s="343">
        <v>4062</v>
      </c>
      <c r="O708" s="343">
        <v>22</v>
      </c>
      <c r="P708" s="343" t="s">
        <v>3431</v>
      </c>
      <c r="R708" s="863">
        <v>6750</v>
      </c>
      <c r="S708" s="343" t="s">
        <v>3729</v>
      </c>
      <c r="T708" s="343" t="s">
        <v>3433</v>
      </c>
      <c r="X708" s="863"/>
      <c r="Y708" s="863"/>
    </row>
    <row r="709" spans="1:25" s="343" customFormat="1" ht="0.65" hidden="1" customHeight="1">
      <c r="A709" s="343">
        <v>4063</v>
      </c>
      <c r="O709" s="343">
        <v>23</v>
      </c>
      <c r="P709" s="343" t="s">
        <v>3434</v>
      </c>
      <c r="R709" s="863">
        <v>6750</v>
      </c>
      <c r="S709" s="343" t="s">
        <v>3729</v>
      </c>
      <c r="T709" s="343" t="s">
        <v>3435</v>
      </c>
      <c r="X709" s="863"/>
      <c r="Y709" s="863"/>
    </row>
    <row r="710" spans="1:25" s="343" customFormat="1" ht="0.65" hidden="1" customHeight="1">
      <c r="A710" s="343">
        <v>4064</v>
      </c>
      <c r="O710" s="343">
        <v>24</v>
      </c>
      <c r="P710" s="343" t="s">
        <v>3436</v>
      </c>
      <c r="R710" s="863">
        <v>6750</v>
      </c>
      <c r="S710" s="343" t="s">
        <v>3729</v>
      </c>
      <c r="T710" s="343" t="s">
        <v>3437</v>
      </c>
      <c r="X710" s="863"/>
      <c r="Y710" s="863"/>
    </row>
    <row r="711" spans="1:25" s="343" customFormat="1" ht="0.65" hidden="1" customHeight="1">
      <c r="A711" s="343">
        <v>4065</v>
      </c>
      <c r="O711" s="343">
        <v>25</v>
      </c>
      <c r="P711" s="343" t="s">
        <v>3438</v>
      </c>
      <c r="R711" s="863">
        <v>6750</v>
      </c>
      <c r="S711" s="343" t="s">
        <v>3729</v>
      </c>
      <c r="T711" s="343" t="s">
        <v>3439</v>
      </c>
      <c r="X711" s="863"/>
      <c r="Y711" s="863"/>
    </row>
    <row r="712" spans="1:25" s="343" customFormat="1" ht="0.65" hidden="1" customHeight="1">
      <c r="A712" s="343">
        <v>4066</v>
      </c>
      <c r="O712" s="343">
        <v>26</v>
      </c>
      <c r="P712" s="343" t="s">
        <v>3440</v>
      </c>
      <c r="R712" s="863">
        <v>15750</v>
      </c>
      <c r="S712" s="343" t="s">
        <v>3730</v>
      </c>
      <c r="T712" s="343" t="s">
        <v>3442</v>
      </c>
      <c r="X712" s="863"/>
      <c r="Y712" s="863"/>
    </row>
    <row r="713" spans="1:25" s="343" customFormat="1" ht="0.65" hidden="1" customHeight="1">
      <c r="A713" s="343">
        <v>4067</v>
      </c>
      <c r="O713" s="343">
        <v>27</v>
      </c>
      <c r="P713" s="343" t="s">
        <v>3443</v>
      </c>
      <c r="R713" s="863">
        <v>15750</v>
      </c>
      <c r="S713" s="343" t="s">
        <v>3730</v>
      </c>
      <c r="T713" s="343" t="s">
        <v>3444</v>
      </c>
      <c r="X713" s="863"/>
      <c r="Y713" s="863"/>
    </row>
    <row r="714" spans="1:25" s="343" customFormat="1" ht="0.65" hidden="1" customHeight="1">
      <c r="A714" s="343">
        <v>4068</v>
      </c>
      <c r="O714" s="343">
        <v>28</v>
      </c>
      <c r="P714" s="343" t="s">
        <v>3445</v>
      </c>
      <c r="R714" s="863">
        <v>15750</v>
      </c>
      <c r="S714" s="343" t="s">
        <v>3730</v>
      </c>
      <c r="T714" s="343" t="s">
        <v>3446</v>
      </c>
      <c r="X714" s="863"/>
      <c r="Y714" s="863"/>
    </row>
    <row r="715" spans="1:25" s="343" customFormat="1" ht="0.65" hidden="1" customHeight="1">
      <c r="A715" s="343">
        <v>4069</v>
      </c>
      <c r="O715" s="343">
        <v>29</v>
      </c>
      <c r="P715" s="343" t="s">
        <v>3447</v>
      </c>
      <c r="R715" s="863">
        <v>15750</v>
      </c>
      <c r="S715" s="343" t="s">
        <v>3730</v>
      </c>
      <c r="T715" s="343" t="s">
        <v>3448</v>
      </c>
      <c r="X715" s="863"/>
      <c r="Y715" s="863"/>
    </row>
    <row r="716" spans="1:25" s="343" customFormat="1" ht="0.65" hidden="1" customHeight="1">
      <c r="A716" s="343">
        <v>4070</v>
      </c>
      <c r="O716" s="343">
        <v>30</v>
      </c>
      <c r="P716" s="343" t="s">
        <v>3449</v>
      </c>
      <c r="R716" s="863">
        <v>23250</v>
      </c>
      <c r="S716" s="863" t="s">
        <v>3731</v>
      </c>
      <c r="T716" s="343" t="s">
        <v>3451</v>
      </c>
      <c r="X716" s="863"/>
      <c r="Y716" s="863"/>
    </row>
    <row r="717" spans="1:25" s="343" customFormat="1" ht="0.65" hidden="1" customHeight="1">
      <c r="A717" s="343">
        <v>4071</v>
      </c>
      <c r="O717" s="343">
        <v>31</v>
      </c>
      <c r="P717" s="343" t="s">
        <v>3452</v>
      </c>
      <c r="R717" s="863">
        <v>23250</v>
      </c>
      <c r="S717" s="863" t="s">
        <v>3731</v>
      </c>
      <c r="T717" s="343" t="s">
        <v>3453</v>
      </c>
      <c r="X717" s="863"/>
      <c r="Y717" s="863"/>
    </row>
    <row r="718" spans="1:25" s="343" customFormat="1" ht="0.65" hidden="1" customHeight="1">
      <c r="A718" s="343">
        <v>4072</v>
      </c>
      <c r="O718" s="343">
        <v>32</v>
      </c>
      <c r="P718" s="343" t="s">
        <v>3454</v>
      </c>
      <c r="R718" s="863">
        <v>23250</v>
      </c>
      <c r="S718" s="863" t="s">
        <v>3731</v>
      </c>
      <c r="T718" s="343" t="s">
        <v>3455</v>
      </c>
      <c r="X718" s="863"/>
      <c r="Y718" s="863"/>
    </row>
    <row r="719" spans="1:25" s="343" customFormat="1" ht="0.65" hidden="1" customHeight="1">
      <c r="A719" s="343">
        <v>4073</v>
      </c>
      <c r="O719" s="343">
        <v>33</v>
      </c>
      <c r="P719" s="343" t="s">
        <v>3456</v>
      </c>
      <c r="R719" s="863">
        <v>23250</v>
      </c>
      <c r="S719" s="863" t="s">
        <v>3731</v>
      </c>
      <c r="T719" s="343" t="s">
        <v>3457</v>
      </c>
      <c r="X719" s="863"/>
      <c r="Y719" s="863"/>
    </row>
    <row r="720" spans="1:25" s="343" customFormat="1" ht="0.65" hidden="1" customHeight="1">
      <c r="A720" s="343">
        <v>4074</v>
      </c>
      <c r="O720" s="343">
        <v>34</v>
      </c>
      <c r="P720" s="343" t="s">
        <v>3458</v>
      </c>
      <c r="R720" s="863">
        <v>0</v>
      </c>
      <c r="S720" s="343" t="s">
        <v>3732</v>
      </c>
      <c r="T720" s="343" t="s">
        <v>3733</v>
      </c>
      <c r="X720" s="863"/>
      <c r="Y720" s="863"/>
    </row>
    <row r="721" spans="1:25" s="343" customFormat="1" ht="0.65" hidden="1" customHeight="1">
      <c r="A721" s="343">
        <v>4075</v>
      </c>
      <c r="O721" s="343">
        <v>35</v>
      </c>
      <c r="P721" s="343" t="s">
        <v>3461</v>
      </c>
      <c r="R721" s="863">
        <v>0</v>
      </c>
      <c r="S721" s="863" t="s">
        <v>3732</v>
      </c>
      <c r="T721" s="343" t="s">
        <v>3734</v>
      </c>
      <c r="X721" s="863"/>
      <c r="Y721" s="863"/>
    </row>
    <row r="722" spans="1:25" s="343" customFormat="1" ht="0.65" hidden="1" customHeight="1">
      <c r="A722" s="343">
        <v>4076</v>
      </c>
      <c r="O722" s="343">
        <v>36</v>
      </c>
      <c r="P722" s="343" t="s">
        <v>3463</v>
      </c>
      <c r="R722" s="863">
        <v>0</v>
      </c>
      <c r="S722" s="863" t="s">
        <v>3732</v>
      </c>
      <c r="T722" s="343" t="s">
        <v>3735</v>
      </c>
      <c r="X722" s="863"/>
      <c r="Y722" s="863"/>
    </row>
    <row r="723" spans="1:25" s="343" customFormat="1" ht="0.65" hidden="1" customHeight="1">
      <c r="A723" s="343">
        <v>4077</v>
      </c>
      <c r="O723" s="343">
        <v>37</v>
      </c>
      <c r="P723" s="343" t="s">
        <v>3465</v>
      </c>
      <c r="R723" s="863">
        <v>0</v>
      </c>
      <c r="S723" s="863" t="s">
        <v>3732</v>
      </c>
      <c r="T723" s="343" t="s">
        <v>3736</v>
      </c>
      <c r="X723" s="863"/>
      <c r="Y723" s="863"/>
    </row>
    <row r="724" spans="1:25" s="343" customFormat="1" ht="0.65" hidden="1" customHeight="1">
      <c r="A724" s="343">
        <v>4078</v>
      </c>
      <c r="O724" s="343">
        <v>38</v>
      </c>
      <c r="P724" s="343" t="s">
        <v>3467</v>
      </c>
      <c r="R724" s="863">
        <v>0</v>
      </c>
      <c r="S724" s="863" t="s">
        <v>3732</v>
      </c>
      <c r="T724" s="343" t="s">
        <v>3736</v>
      </c>
      <c r="X724" s="863"/>
      <c r="Y724" s="863"/>
    </row>
    <row r="725" spans="1:25" s="343" customFormat="1" ht="0.65" hidden="1" customHeight="1">
      <c r="A725" s="343">
        <v>4079</v>
      </c>
      <c r="O725" s="343">
        <v>39</v>
      </c>
      <c r="P725" s="343" t="s">
        <v>3468</v>
      </c>
      <c r="R725" s="863">
        <v>0</v>
      </c>
      <c r="S725" s="343" t="s">
        <v>3639</v>
      </c>
      <c r="T725" s="343" t="s">
        <v>3737</v>
      </c>
      <c r="X725" s="863"/>
      <c r="Y725" s="863"/>
    </row>
    <row r="726" spans="1:25" s="343" customFormat="1" ht="0.65" hidden="1" customHeight="1">
      <c r="A726" s="343">
        <v>4080</v>
      </c>
      <c r="O726" s="343">
        <v>40</v>
      </c>
      <c r="P726" s="343" t="s">
        <v>3471</v>
      </c>
      <c r="R726" s="863">
        <v>37500</v>
      </c>
      <c r="S726" s="863" t="s">
        <v>3738</v>
      </c>
      <c r="T726" s="343" t="s">
        <v>3472</v>
      </c>
      <c r="X726" s="863"/>
      <c r="Y726" s="863"/>
    </row>
    <row r="727" spans="1:25" s="343" customFormat="1" ht="0.65" hidden="1" customHeight="1">
      <c r="A727" s="343">
        <v>4081</v>
      </c>
      <c r="O727" s="343">
        <v>41</v>
      </c>
      <c r="P727" s="343" t="s">
        <v>3473</v>
      </c>
      <c r="R727" s="863">
        <v>37500</v>
      </c>
      <c r="S727" s="863" t="s">
        <v>3738</v>
      </c>
      <c r="T727" s="343" t="s">
        <v>3474</v>
      </c>
      <c r="X727" s="863"/>
      <c r="Y727" s="863"/>
    </row>
    <row r="728" spans="1:25" s="343" customFormat="1" ht="0.65" hidden="1" customHeight="1">
      <c r="A728" s="343">
        <v>4082</v>
      </c>
      <c r="O728" s="343">
        <v>42</v>
      </c>
      <c r="P728" s="343" t="s">
        <v>3475</v>
      </c>
      <c r="R728" s="863">
        <v>37500</v>
      </c>
      <c r="S728" s="863" t="s">
        <v>3738</v>
      </c>
      <c r="T728" s="343" t="s">
        <v>3476</v>
      </c>
      <c r="X728" s="863"/>
      <c r="Y728" s="863"/>
    </row>
    <row r="729" spans="1:25" s="343" customFormat="1" ht="0.65" hidden="1" customHeight="1">
      <c r="A729" s="343">
        <v>4083</v>
      </c>
      <c r="O729" s="343">
        <v>43</v>
      </c>
      <c r="P729" s="343" t="s">
        <v>3477</v>
      </c>
      <c r="R729" s="863">
        <v>37500</v>
      </c>
      <c r="S729" s="863" t="s">
        <v>3738</v>
      </c>
      <c r="T729" s="343" t="s">
        <v>3478</v>
      </c>
      <c r="X729" s="863"/>
      <c r="Y729" s="863"/>
    </row>
    <row r="730" spans="1:25" s="343" customFormat="1" ht="0.65" hidden="1" customHeight="1">
      <c r="A730" s="343">
        <v>4084</v>
      </c>
      <c r="O730" s="343">
        <v>44</v>
      </c>
      <c r="P730" s="343" t="s">
        <v>3479</v>
      </c>
      <c r="R730" s="863">
        <v>0</v>
      </c>
      <c r="S730" s="343" t="s">
        <v>3639</v>
      </c>
      <c r="T730" s="343" t="s">
        <v>3739</v>
      </c>
      <c r="X730" s="863"/>
      <c r="Y730" s="863"/>
    </row>
    <row r="731" spans="1:25" s="343" customFormat="1" ht="0.65" hidden="1" customHeight="1">
      <c r="A731" s="343">
        <v>4085</v>
      </c>
      <c r="O731" s="343">
        <v>45</v>
      </c>
      <c r="P731" s="343" t="s">
        <v>3482</v>
      </c>
      <c r="R731" s="863">
        <v>20000</v>
      </c>
      <c r="S731" s="863" t="s">
        <v>3740</v>
      </c>
      <c r="T731" s="343" t="s">
        <v>3483</v>
      </c>
      <c r="X731" s="863"/>
      <c r="Y731" s="863"/>
    </row>
    <row r="732" spans="1:25" s="343" customFormat="1" ht="0.65" hidden="1" customHeight="1">
      <c r="A732" s="343">
        <v>4086</v>
      </c>
      <c r="O732" s="343">
        <v>46</v>
      </c>
      <c r="P732" s="343" t="s">
        <v>3484</v>
      </c>
      <c r="R732" s="863">
        <v>20000</v>
      </c>
      <c r="S732" s="863" t="s">
        <v>3740</v>
      </c>
      <c r="T732" s="343" t="s">
        <v>3485</v>
      </c>
      <c r="X732" s="863"/>
      <c r="Y732" s="863"/>
    </row>
    <row r="733" spans="1:25" s="343" customFormat="1" ht="0.65" hidden="1" customHeight="1">
      <c r="A733" s="343">
        <v>4087</v>
      </c>
      <c r="O733" s="343">
        <v>47</v>
      </c>
      <c r="P733" s="343" t="s">
        <v>3486</v>
      </c>
      <c r="R733" s="863">
        <v>20000</v>
      </c>
      <c r="S733" s="863" t="s">
        <v>3740</v>
      </c>
      <c r="T733" s="343" t="s">
        <v>3487</v>
      </c>
      <c r="X733" s="863"/>
      <c r="Y733" s="863"/>
    </row>
    <row r="734" spans="1:25" s="343" customFormat="1" ht="0.65" hidden="1" customHeight="1">
      <c r="A734" s="343">
        <v>4088</v>
      </c>
      <c r="O734" s="343">
        <v>48</v>
      </c>
      <c r="P734" s="343" t="s">
        <v>3488</v>
      </c>
      <c r="R734" s="863">
        <v>20000</v>
      </c>
      <c r="S734" s="863" t="s">
        <v>3740</v>
      </c>
      <c r="T734" s="343" t="s">
        <v>3489</v>
      </c>
      <c r="X734" s="863"/>
      <c r="Y734" s="863"/>
    </row>
    <row r="735" spans="1:25" s="343" customFormat="1" ht="0.65" hidden="1" customHeight="1">
      <c r="A735" s="343">
        <v>4089</v>
      </c>
      <c r="O735" s="343">
        <v>49</v>
      </c>
      <c r="P735" s="343" t="s">
        <v>3490</v>
      </c>
      <c r="R735" s="863">
        <v>0</v>
      </c>
      <c r="S735" s="863" t="s">
        <v>3741</v>
      </c>
      <c r="T735" s="343" t="s">
        <v>3492</v>
      </c>
      <c r="X735" s="863"/>
      <c r="Y735" s="863"/>
    </row>
    <row r="736" spans="1:25" s="343" customFormat="1" ht="0.65" hidden="1" customHeight="1">
      <c r="A736" s="343">
        <v>4090</v>
      </c>
      <c r="O736" s="343">
        <v>50</v>
      </c>
      <c r="P736" s="343" t="s">
        <v>3493</v>
      </c>
      <c r="R736" s="863">
        <v>17500</v>
      </c>
      <c r="S736" s="863" t="s">
        <v>3742</v>
      </c>
      <c r="T736" s="343" t="s">
        <v>3494</v>
      </c>
      <c r="X736" s="863"/>
      <c r="Y736" s="863"/>
    </row>
    <row r="737" spans="1:25" s="343" customFormat="1" ht="0.65" hidden="1" customHeight="1">
      <c r="A737" s="343">
        <v>4091</v>
      </c>
      <c r="O737" s="343">
        <v>51</v>
      </c>
      <c r="P737" s="343" t="s">
        <v>3495</v>
      </c>
      <c r="R737" s="863">
        <v>17500</v>
      </c>
      <c r="S737" s="863" t="s">
        <v>3742</v>
      </c>
      <c r="T737" s="343" t="s">
        <v>3496</v>
      </c>
      <c r="X737" s="863"/>
      <c r="Y737" s="863"/>
    </row>
    <row r="738" spans="1:25" s="343" customFormat="1" ht="0.65" hidden="1" customHeight="1">
      <c r="A738" s="343">
        <v>4092</v>
      </c>
      <c r="O738" s="343">
        <v>52</v>
      </c>
      <c r="P738" s="343" t="s">
        <v>3497</v>
      </c>
      <c r="R738" s="863">
        <v>17500</v>
      </c>
      <c r="S738" s="863" t="s">
        <v>3742</v>
      </c>
      <c r="T738" s="343" t="s">
        <v>3498</v>
      </c>
      <c r="X738" s="863"/>
      <c r="Y738" s="863"/>
    </row>
    <row r="739" spans="1:25" s="343" customFormat="1" ht="0.65" hidden="1" customHeight="1">
      <c r="A739" s="343">
        <v>4093</v>
      </c>
      <c r="O739" s="343">
        <v>53</v>
      </c>
      <c r="P739" s="343" t="s">
        <v>3499</v>
      </c>
      <c r="R739" s="863">
        <v>17500</v>
      </c>
      <c r="S739" s="863" t="s">
        <v>3742</v>
      </c>
      <c r="T739" s="343" t="s">
        <v>3500</v>
      </c>
      <c r="X739" s="863"/>
      <c r="Y739" s="863"/>
    </row>
    <row r="740" spans="1:25" s="343" customFormat="1" ht="0.65" hidden="1" customHeight="1">
      <c r="A740" s="343">
        <v>4094</v>
      </c>
      <c r="O740" s="343">
        <v>54</v>
      </c>
      <c r="P740" s="343" t="s">
        <v>3501</v>
      </c>
      <c r="R740" s="863">
        <v>0</v>
      </c>
      <c r="S740" s="343" t="s">
        <v>3639</v>
      </c>
      <c r="T740" s="343" t="s">
        <v>3503</v>
      </c>
      <c r="X740" s="863"/>
      <c r="Y740" s="863"/>
    </row>
    <row r="741" spans="1:25" s="343" customFormat="1" ht="0.65" hidden="1" customHeight="1">
      <c r="A741" s="343">
        <v>4095</v>
      </c>
      <c r="O741" s="343">
        <v>55</v>
      </c>
      <c r="P741" s="343" t="s">
        <v>3504</v>
      </c>
      <c r="R741" s="863">
        <v>17500</v>
      </c>
      <c r="S741" s="343" t="s">
        <v>3743</v>
      </c>
      <c r="T741" s="343" t="s">
        <v>3506</v>
      </c>
      <c r="X741" s="863"/>
      <c r="Y741" s="863"/>
    </row>
    <row r="742" spans="1:25" s="343" customFormat="1" ht="0.65" hidden="1" customHeight="1">
      <c r="A742" s="343">
        <v>4096</v>
      </c>
      <c r="O742" s="343">
        <v>56</v>
      </c>
      <c r="P742" s="343" t="s">
        <v>3507</v>
      </c>
      <c r="R742" s="863">
        <v>0</v>
      </c>
      <c r="S742" s="343" t="s">
        <v>3744</v>
      </c>
      <c r="T742" s="343" t="s">
        <v>3508</v>
      </c>
      <c r="X742" s="863"/>
      <c r="Y742" s="863"/>
    </row>
    <row r="743" spans="1:25" s="343" customFormat="1" ht="0.65" hidden="1" customHeight="1">
      <c r="A743" s="343">
        <v>4097</v>
      </c>
      <c r="O743" s="343">
        <v>57</v>
      </c>
      <c r="P743" s="343" t="s">
        <v>3509</v>
      </c>
      <c r="R743" s="863">
        <v>0</v>
      </c>
      <c r="S743" s="343" t="s">
        <v>3744</v>
      </c>
      <c r="T743" s="343" t="s">
        <v>3510</v>
      </c>
      <c r="X743" s="863"/>
      <c r="Y743" s="863"/>
    </row>
    <row r="744" spans="1:25" s="343" customFormat="1" ht="0.65" hidden="1" customHeight="1">
      <c r="A744" s="343">
        <v>4098</v>
      </c>
      <c r="O744" s="343">
        <v>58</v>
      </c>
      <c r="P744" s="343" t="s">
        <v>3511</v>
      </c>
      <c r="R744" s="863">
        <v>0</v>
      </c>
      <c r="S744" s="343" t="s">
        <v>3744</v>
      </c>
      <c r="T744" s="343" t="s">
        <v>3512</v>
      </c>
      <c r="X744" s="863"/>
      <c r="Y744" s="863"/>
    </row>
    <row r="745" spans="1:25" s="343" customFormat="1" ht="0.65" hidden="1" customHeight="1">
      <c r="A745" s="343">
        <v>4099</v>
      </c>
      <c r="O745" s="343">
        <v>59</v>
      </c>
      <c r="P745" s="343" t="s">
        <v>3513</v>
      </c>
      <c r="R745" s="863">
        <v>5750</v>
      </c>
      <c r="S745" s="863" t="s">
        <v>3745</v>
      </c>
      <c r="T745" s="343" t="s">
        <v>3515</v>
      </c>
      <c r="X745" s="863"/>
      <c r="Y745" s="863"/>
    </row>
    <row r="746" spans="1:25" s="343" customFormat="1" ht="0.65" hidden="1" customHeight="1">
      <c r="A746" s="343">
        <v>4100</v>
      </c>
      <c r="O746" s="343">
        <v>60</v>
      </c>
      <c r="P746" s="343" t="s">
        <v>3516</v>
      </c>
      <c r="R746" s="863">
        <v>23250</v>
      </c>
      <c r="S746" s="863" t="s">
        <v>3746</v>
      </c>
      <c r="T746" s="343" t="s">
        <v>3517</v>
      </c>
      <c r="X746" s="863"/>
      <c r="Y746" s="863"/>
    </row>
    <row r="747" spans="1:25" s="343" customFormat="1" ht="0.65" hidden="1" customHeight="1">
      <c r="A747" s="343">
        <v>4101</v>
      </c>
      <c r="O747" s="343">
        <v>61</v>
      </c>
      <c r="P747" s="343" t="s">
        <v>3518</v>
      </c>
      <c r="R747" s="863">
        <v>23250</v>
      </c>
      <c r="S747" s="863" t="s">
        <v>3746</v>
      </c>
      <c r="T747" s="343" t="s">
        <v>3519</v>
      </c>
      <c r="X747" s="863"/>
      <c r="Y747" s="863"/>
    </row>
    <row r="748" spans="1:25" s="343" customFormat="1" ht="0.65" hidden="1" customHeight="1">
      <c r="A748" s="343">
        <v>4102</v>
      </c>
      <c r="O748" s="343">
        <v>62</v>
      </c>
      <c r="P748" s="343" t="s">
        <v>3520</v>
      </c>
      <c r="R748" s="863">
        <v>23250</v>
      </c>
      <c r="S748" s="863" t="s">
        <v>3746</v>
      </c>
      <c r="T748" s="343" t="s">
        <v>3521</v>
      </c>
      <c r="X748" s="863"/>
      <c r="Y748" s="863"/>
    </row>
    <row r="749" spans="1:25" s="343" customFormat="1" ht="0.65" hidden="1" customHeight="1">
      <c r="A749" s="343">
        <v>4103</v>
      </c>
      <c r="O749" s="343">
        <v>63</v>
      </c>
      <c r="P749" s="343" t="s">
        <v>3389</v>
      </c>
      <c r="R749" s="863">
        <v>17500</v>
      </c>
      <c r="S749" s="343" t="s">
        <v>3747</v>
      </c>
      <c r="T749" s="343" t="s">
        <v>3522</v>
      </c>
      <c r="X749" s="863"/>
      <c r="Y749" s="863"/>
    </row>
    <row r="750" spans="1:25" s="343" customFormat="1" ht="0.65" hidden="1" customHeight="1">
      <c r="A750" s="343">
        <v>4104</v>
      </c>
      <c r="O750" s="343">
        <v>64</v>
      </c>
      <c r="P750" s="343" t="s">
        <v>3704</v>
      </c>
      <c r="R750" s="863">
        <v>106000</v>
      </c>
      <c r="S750" s="343" t="s">
        <v>3659</v>
      </c>
      <c r="T750" s="343" t="s">
        <v>3748</v>
      </c>
      <c r="X750" s="863"/>
      <c r="Y750" s="863"/>
    </row>
    <row r="751" spans="1:25" s="343" customFormat="1" ht="0.65" hidden="1" customHeight="1">
      <c r="A751" s="343">
        <v>4105</v>
      </c>
      <c r="O751" s="343">
        <v>65</v>
      </c>
      <c r="P751" s="343" t="s">
        <v>3707</v>
      </c>
      <c r="R751" s="863">
        <v>0</v>
      </c>
      <c r="S751" s="343" t="s">
        <v>3749</v>
      </c>
      <c r="T751" s="343" t="s">
        <v>3750</v>
      </c>
      <c r="X751" s="863"/>
      <c r="Y751" s="863"/>
    </row>
    <row r="752" spans="1:25" s="343" customFormat="1" ht="0.65" hidden="1" customHeight="1">
      <c r="A752" s="343">
        <v>4106</v>
      </c>
      <c r="O752" s="343">
        <v>66</v>
      </c>
      <c r="P752" s="343" t="s">
        <v>55</v>
      </c>
      <c r="R752" s="863"/>
      <c r="X752" s="863"/>
      <c r="Y752" s="863"/>
    </row>
    <row r="753" spans="1:25" s="343" customFormat="1" ht="0.65" hidden="1" customHeight="1">
      <c r="A753" s="343">
        <v>4107</v>
      </c>
      <c r="O753" s="343">
        <v>67</v>
      </c>
      <c r="P753" s="343" t="s">
        <v>3394</v>
      </c>
      <c r="R753" s="863">
        <v>123500</v>
      </c>
      <c r="S753" s="343" t="s">
        <v>3751</v>
      </c>
      <c r="T753" s="343" t="s">
        <v>3752</v>
      </c>
      <c r="X753" s="863"/>
      <c r="Y753" s="863"/>
    </row>
    <row r="754" spans="1:25" s="343" customFormat="1" ht="0.65" hidden="1" customHeight="1">
      <c r="A754" s="343">
        <v>4108</v>
      </c>
      <c r="O754" s="343">
        <v>68</v>
      </c>
      <c r="P754" s="343" t="s">
        <v>3527</v>
      </c>
      <c r="R754" s="863">
        <v>-178000</v>
      </c>
      <c r="S754" s="343" t="s">
        <v>3753</v>
      </c>
      <c r="T754" s="343" t="s">
        <v>3529</v>
      </c>
      <c r="X754" s="863"/>
      <c r="Y754" s="863"/>
    </row>
    <row r="755" spans="1:25" s="343" customFormat="1" ht="0.65" hidden="1" customHeight="1">
      <c r="A755" s="343">
        <v>4109</v>
      </c>
      <c r="O755" s="343">
        <v>69</v>
      </c>
      <c r="P755" s="343" t="s">
        <v>3530</v>
      </c>
      <c r="R755" s="863">
        <v>5750</v>
      </c>
      <c r="S755" s="343" t="s">
        <v>3754</v>
      </c>
      <c r="T755" s="343" t="s">
        <v>3532</v>
      </c>
      <c r="X755" s="863"/>
      <c r="Y755" s="863"/>
    </row>
    <row r="756" spans="1:25" s="343" customFormat="1" ht="0.65" hidden="1" customHeight="1">
      <c r="A756" s="343">
        <v>4110</v>
      </c>
      <c r="O756" s="343">
        <v>70</v>
      </c>
      <c r="P756" s="343" t="s">
        <v>3533</v>
      </c>
      <c r="R756" s="863">
        <v>23250</v>
      </c>
      <c r="S756" s="343" t="s">
        <v>3755</v>
      </c>
      <c r="T756" s="343" t="s">
        <v>3534</v>
      </c>
      <c r="X756" s="863"/>
      <c r="Y756" s="863"/>
    </row>
    <row r="757" spans="1:25" s="343" customFormat="1" ht="0.65" hidden="1" customHeight="1">
      <c r="A757" s="343">
        <v>4111</v>
      </c>
      <c r="O757" s="343">
        <v>71</v>
      </c>
      <c r="P757" s="343" t="s">
        <v>3535</v>
      </c>
      <c r="R757" s="863">
        <v>23250</v>
      </c>
      <c r="S757" s="343" t="s">
        <v>3755</v>
      </c>
      <c r="T757" s="343" t="s">
        <v>3536</v>
      </c>
      <c r="X757" s="863"/>
      <c r="Y757" s="863"/>
    </row>
    <row r="758" spans="1:25" s="343" customFormat="1" ht="0.65" hidden="1" customHeight="1">
      <c r="A758" s="343">
        <v>4112</v>
      </c>
      <c r="O758" s="343">
        <v>72</v>
      </c>
      <c r="P758" s="343" t="s">
        <v>3537</v>
      </c>
      <c r="R758" s="863">
        <v>146750</v>
      </c>
      <c r="S758" s="343" t="s">
        <v>3756</v>
      </c>
      <c r="T758" s="343" t="s">
        <v>3539</v>
      </c>
      <c r="X758" s="863"/>
      <c r="Y758" s="863"/>
    </row>
    <row r="759" spans="1:25" s="343" customFormat="1" ht="0.65" hidden="1" customHeight="1">
      <c r="A759" s="343">
        <v>4113</v>
      </c>
      <c r="O759" s="343">
        <v>73</v>
      </c>
      <c r="P759" s="343" t="s">
        <v>3540</v>
      </c>
      <c r="R759" s="864">
        <v>0.1</v>
      </c>
      <c r="S759" s="343" t="s">
        <v>3541</v>
      </c>
      <c r="T759" s="343" t="s">
        <v>3542</v>
      </c>
      <c r="X759" s="863"/>
      <c r="Y759" s="863"/>
    </row>
    <row r="760" spans="1:25" s="343" customFormat="1" ht="0.65" hidden="1" customHeight="1">
      <c r="A760" s="343">
        <v>4114</v>
      </c>
      <c r="O760" s="343">
        <v>74</v>
      </c>
      <c r="P760" s="343" t="s">
        <v>13</v>
      </c>
      <c r="R760" s="863">
        <v>-35857.557543883682</v>
      </c>
      <c r="S760" s="343" t="s">
        <v>3757</v>
      </c>
      <c r="T760" s="343" t="s">
        <v>3544</v>
      </c>
      <c r="X760" s="863"/>
      <c r="Y760" s="863"/>
    </row>
    <row r="761" spans="1:25" s="343" customFormat="1" ht="0.65" hidden="1" customHeight="1">
      <c r="A761" s="343">
        <v>4115</v>
      </c>
      <c r="O761" s="343">
        <v>75</v>
      </c>
      <c r="P761" s="343" t="s">
        <v>28</v>
      </c>
      <c r="R761" s="864">
        <v>3.1891043015783049E-2</v>
      </c>
      <c r="S761" s="343" t="s">
        <v>3758</v>
      </c>
      <c r="T761" s="343" t="s">
        <v>3546</v>
      </c>
      <c r="X761" s="863"/>
      <c r="Y761" s="863"/>
    </row>
    <row r="762" spans="1:25" s="343" customFormat="1" ht="0.65" hidden="1" customHeight="1">
      <c r="A762" s="343">
        <v>4116</v>
      </c>
      <c r="X762" s="863"/>
      <c r="Y762" s="863"/>
    </row>
    <row r="763" spans="1:25" s="343" customFormat="1" ht="0.65" hidden="1" customHeight="1">
      <c r="A763" s="343">
        <v>4117</v>
      </c>
      <c r="O763" s="343">
        <v>1</v>
      </c>
      <c r="P763" s="343" t="s">
        <v>3759</v>
      </c>
      <c r="X763" s="863"/>
      <c r="Y763" s="863"/>
    </row>
    <row r="764" spans="1:25" s="343" customFormat="1" ht="0.65" hidden="1" customHeight="1">
      <c r="A764" s="343">
        <v>4118</v>
      </c>
      <c r="O764" s="343">
        <v>2</v>
      </c>
      <c r="P764" s="343" t="s">
        <v>3760</v>
      </c>
      <c r="X764" s="863"/>
      <c r="Y764" s="863"/>
    </row>
    <row r="765" spans="1:25" s="343" customFormat="1" ht="0.65" hidden="1" customHeight="1">
      <c r="A765" s="343">
        <v>4119</v>
      </c>
      <c r="O765" s="343">
        <v>3</v>
      </c>
      <c r="P765" s="343" t="s">
        <v>3671</v>
      </c>
      <c r="X765" s="863"/>
      <c r="Y765" s="863"/>
    </row>
    <row r="766" spans="1:25" s="343" customFormat="1" ht="0.65" hidden="1" customHeight="1">
      <c r="A766" s="343">
        <v>4120</v>
      </c>
      <c r="O766" s="343">
        <v>4</v>
      </c>
      <c r="P766" s="343" t="s">
        <v>3550</v>
      </c>
      <c r="X766" s="863"/>
      <c r="Y766" s="863"/>
    </row>
    <row r="767" spans="1:25" s="343" customFormat="1" ht="0.65" hidden="1" customHeight="1">
      <c r="A767" s="343">
        <v>4121</v>
      </c>
      <c r="O767" s="343">
        <v>5</v>
      </c>
      <c r="P767" s="343" t="s">
        <v>3761</v>
      </c>
      <c r="X767" s="863"/>
      <c r="Y767" s="863"/>
    </row>
    <row r="768" spans="1:25" s="343" customFormat="1" ht="0.65" hidden="1" customHeight="1">
      <c r="A768" s="343">
        <v>4122</v>
      </c>
      <c r="O768" s="343">
        <v>6</v>
      </c>
      <c r="P768" s="343" t="s">
        <v>3762</v>
      </c>
      <c r="X768" s="863"/>
      <c r="Y768" s="863"/>
    </row>
    <row r="769" spans="1:25" s="343" customFormat="1" ht="0.65" hidden="1" customHeight="1">
      <c r="A769" s="343">
        <v>4123</v>
      </c>
      <c r="O769" s="343">
        <v>7</v>
      </c>
      <c r="X769" s="863"/>
      <c r="Y769" s="863"/>
    </row>
    <row r="770" spans="1:25" s="343" customFormat="1" ht="0.65" hidden="1" customHeight="1">
      <c r="A770" s="343">
        <v>4124</v>
      </c>
      <c r="O770" s="343">
        <v>8</v>
      </c>
      <c r="X770" s="863"/>
      <c r="Y770" s="863"/>
    </row>
    <row r="771" spans="1:25" s="343" customFormat="1" ht="0.65" hidden="1" customHeight="1">
      <c r="A771" s="343">
        <v>4125</v>
      </c>
      <c r="O771" s="343">
        <v>9</v>
      </c>
      <c r="X771" s="863"/>
      <c r="Y771" s="863"/>
    </row>
    <row r="772" spans="1:25" s="343" customFormat="1" ht="0.65" hidden="1" customHeight="1">
      <c r="A772" s="343">
        <v>4126</v>
      </c>
      <c r="O772" s="343">
        <v>10</v>
      </c>
      <c r="X772" s="863"/>
      <c r="Y772" s="863"/>
    </row>
    <row r="773" spans="1:25" s="343" customFormat="1" ht="0.65" hidden="1" customHeight="1">
      <c r="A773" s="343">
        <v>4127</v>
      </c>
      <c r="X773" s="863"/>
      <c r="Y773" s="863"/>
    </row>
    <row r="774" spans="1:25" s="343" customFormat="1" ht="0.65" hidden="1" customHeight="1">
      <c r="A774" s="343">
        <v>4128</v>
      </c>
      <c r="X774" s="863"/>
      <c r="Y774" s="863"/>
    </row>
    <row r="775" spans="1:25" s="343" customFormat="1" ht="0.65" hidden="1" customHeight="1">
      <c r="A775" s="343">
        <v>4129</v>
      </c>
      <c r="X775" s="863"/>
      <c r="Y775" s="863"/>
    </row>
    <row r="776" spans="1:25" s="343" customFormat="1" ht="0.65" hidden="1" customHeight="1">
      <c r="A776" s="343">
        <v>4130</v>
      </c>
      <c r="X776" s="863"/>
      <c r="Y776" s="863"/>
    </row>
    <row r="777" spans="1:25" s="343" customFormat="1" ht="0.65" hidden="1" customHeight="1">
      <c r="A777" s="653">
        <v>1</v>
      </c>
      <c r="B777" s="653">
        <v>2</v>
      </c>
      <c r="C777" s="653">
        <v>3</v>
      </c>
      <c r="D777" s="653">
        <v>4</v>
      </c>
      <c r="E777" s="653">
        <v>5</v>
      </c>
      <c r="F777" s="653">
        <v>6</v>
      </c>
      <c r="G777" s="653">
        <v>7</v>
      </c>
      <c r="H777" s="653">
        <v>8</v>
      </c>
      <c r="I777" s="653">
        <v>9</v>
      </c>
      <c r="J777" s="653">
        <v>10</v>
      </c>
      <c r="K777" s="653">
        <v>11</v>
      </c>
      <c r="L777" s="653">
        <v>12</v>
      </c>
      <c r="M777" s="653">
        <v>13</v>
      </c>
      <c r="N777" s="653">
        <v>14</v>
      </c>
      <c r="O777" s="653">
        <v>15</v>
      </c>
      <c r="P777" s="653">
        <v>16</v>
      </c>
      <c r="Q777" s="653">
        <v>17</v>
      </c>
      <c r="R777" s="653">
        <v>18</v>
      </c>
      <c r="S777" s="653">
        <v>19</v>
      </c>
      <c r="T777" s="653">
        <v>20</v>
      </c>
      <c r="U777" s="653">
        <v>21</v>
      </c>
      <c r="V777" s="653">
        <v>22</v>
      </c>
      <c r="W777" s="653">
        <v>23</v>
      </c>
    </row>
    <row r="778" spans="1:25" s="343" customFormat="1" ht="0.65" hidden="1" customHeight="1">
      <c r="A778" s="343">
        <v>5</v>
      </c>
    </row>
    <row r="779" spans="1:25" s="343" customFormat="1" ht="0.65" hidden="1" customHeight="1">
      <c r="A779" s="343">
        <v>5001</v>
      </c>
      <c r="B779" s="343" t="s">
        <v>3763</v>
      </c>
      <c r="E779" s="343" t="s">
        <v>3764</v>
      </c>
      <c r="M779" s="863" t="s">
        <v>3764</v>
      </c>
      <c r="N779" s="863"/>
      <c r="O779" s="863"/>
      <c r="P779" s="863"/>
      <c r="Q779" s="863"/>
      <c r="R779" s="863"/>
      <c r="S779" s="863"/>
      <c r="T779" s="863"/>
      <c r="U779" s="863"/>
      <c r="V779" s="863"/>
    </row>
    <row r="780" spans="1:25" s="343" customFormat="1" ht="0.65" hidden="1" customHeight="1">
      <c r="A780" s="343">
        <v>5002</v>
      </c>
      <c r="F780" s="343" t="s">
        <v>463</v>
      </c>
      <c r="I780" s="343" t="s">
        <v>463</v>
      </c>
      <c r="M780" s="863"/>
      <c r="N780" s="865" t="s">
        <v>55</v>
      </c>
      <c r="O780" s="865" t="s">
        <v>55</v>
      </c>
      <c r="P780" s="865" t="s">
        <v>55</v>
      </c>
      <c r="Q780" s="865" t="s">
        <v>55</v>
      </c>
      <c r="R780" s="865" t="s">
        <v>55</v>
      </c>
      <c r="S780" s="865" t="s">
        <v>55</v>
      </c>
      <c r="T780" s="865" t="s">
        <v>55</v>
      </c>
      <c r="U780" s="865" t="s">
        <v>55</v>
      </c>
      <c r="V780" s="865" t="s">
        <v>55</v>
      </c>
    </row>
    <row r="781" spans="1:25" s="343" customFormat="1" ht="0.65" hidden="1" customHeight="1">
      <c r="A781" s="343">
        <v>5003</v>
      </c>
      <c r="B781" s="343" t="s">
        <v>3765</v>
      </c>
      <c r="E781" s="343" t="s">
        <v>3677</v>
      </c>
      <c r="F781" s="343" t="s">
        <v>463</v>
      </c>
      <c r="H781" s="343" t="s">
        <v>3604</v>
      </c>
      <c r="I781" s="343" t="s">
        <v>463</v>
      </c>
      <c r="M781" s="659"/>
      <c r="N781" s="866"/>
      <c r="O781" s="866"/>
      <c r="P781" s="866"/>
      <c r="Q781" s="866"/>
      <c r="R781" s="866"/>
      <c r="S781" s="866"/>
      <c r="T781" s="866"/>
      <c r="U781" s="866"/>
      <c r="V781" s="866"/>
    </row>
    <row r="782" spans="1:25" s="343" customFormat="1" ht="0.65" hidden="1" customHeight="1">
      <c r="A782" s="343">
        <v>5004</v>
      </c>
      <c r="B782" s="343" t="s">
        <v>3766</v>
      </c>
      <c r="F782" s="343" t="s">
        <v>463</v>
      </c>
      <c r="I782" s="343" t="s">
        <v>463</v>
      </c>
      <c r="M782" s="663"/>
      <c r="N782" s="343">
        <v>0</v>
      </c>
      <c r="O782" s="343">
        <v>0</v>
      </c>
      <c r="P782" s="343">
        <v>0</v>
      </c>
      <c r="Q782" s="343">
        <v>0</v>
      </c>
      <c r="R782" s="343">
        <v>0</v>
      </c>
      <c r="S782" s="343">
        <v>0</v>
      </c>
      <c r="T782" s="343">
        <v>0</v>
      </c>
      <c r="U782" s="343">
        <v>0</v>
      </c>
      <c r="V782" s="863">
        <v>-138000</v>
      </c>
    </row>
    <row r="783" spans="1:25" s="343" customFormat="1" ht="0.65" hidden="1" customHeight="1">
      <c r="A783" s="343">
        <v>5005</v>
      </c>
      <c r="B783" s="343" t="s">
        <v>3767</v>
      </c>
      <c r="E783" s="343" t="s">
        <v>3680</v>
      </c>
      <c r="F783" s="659">
        <v>200000</v>
      </c>
      <c r="H783" s="343" t="s">
        <v>3371</v>
      </c>
      <c r="I783" s="653">
        <v>90</v>
      </c>
      <c r="M783" s="663"/>
      <c r="N783" s="863">
        <v>150000</v>
      </c>
      <c r="O783" s="863">
        <v>120000</v>
      </c>
      <c r="P783" s="863">
        <v>-5000</v>
      </c>
      <c r="Q783" s="863">
        <v>35000</v>
      </c>
      <c r="R783" s="863">
        <v>10500</v>
      </c>
      <c r="S783" s="863">
        <v>24500</v>
      </c>
      <c r="T783" s="863">
        <v>19500</v>
      </c>
      <c r="U783" s="863">
        <v>2000</v>
      </c>
      <c r="V783" s="863">
        <v>2000</v>
      </c>
    </row>
    <row r="784" spans="1:25" s="343" customFormat="1" ht="0.65" hidden="1" customHeight="1">
      <c r="A784" s="343">
        <v>5006</v>
      </c>
      <c r="E784" s="343" t="s">
        <v>3681</v>
      </c>
      <c r="F784" s="659">
        <v>20000</v>
      </c>
      <c r="H784" s="343" t="s">
        <v>3374</v>
      </c>
      <c r="I784" s="653">
        <v>60</v>
      </c>
      <c r="M784" s="663"/>
      <c r="N784" s="863">
        <v>150000</v>
      </c>
      <c r="O784" s="863">
        <v>120000</v>
      </c>
      <c r="P784" s="863">
        <v>-5000</v>
      </c>
      <c r="Q784" s="863">
        <v>35000</v>
      </c>
      <c r="R784" s="863">
        <v>10500</v>
      </c>
      <c r="S784" s="863">
        <v>24500</v>
      </c>
      <c r="T784" s="863">
        <v>19500</v>
      </c>
      <c r="U784" s="863">
        <v>19500</v>
      </c>
      <c r="V784" s="863">
        <v>19500</v>
      </c>
    </row>
    <row r="785" spans="1:25" s="343" customFormat="1" ht="0.65" hidden="1" customHeight="1">
      <c r="A785" s="343">
        <v>5007</v>
      </c>
      <c r="B785" s="343" t="s">
        <v>3682</v>
      </c>
      <c r="E785" s="343" t="s">
        <v>3683</v>
      </c>
      <c r="F785" s="659">
        <v>100000</v>
      </c>
      <c r="H785" s="343" t="s">
        <v>3376</v>
      </c>
      <c r="I785" s="653">
        <v>30</v>
      </c>
      <c r="M785" s="663"/>
      <c r="N785" s="863">
        <v>150000</v>
      </c>
      <c r="O785" s="863">
        <v>120000</v>
      </c>
      <c r="P785" s="863">
        <v>-5000</v>
      </c>
      <c r="Q785" s="863">
        <v>35000</v>
      </c>
      <c r="R785" s="863">
        <v>10500</v>
      </c>
      <c r="S785" s="863">
        <v>24500</v>
      </c>
      <c r="T785" s="863">
        <v>19500</v>
      </c>
      <c r="U785" s="863">
        <v>19500</v>
      </c>
      <c r="V785" s="863">
        <v>19500</v>
      </c>
    </row>
    <row r="786" spans="1:25" s="343" customFormat="1" ht="0.65" hidden="1" customHeight="1">
      <c r="A786" s="343">
        <v>5008</v>
      </c>
      <c r="B786" s="343" t="s">
        <v>3768</v>
      </c>
      <c r="F786" s="343" t="s">
        <v>463</v>
      </c>
      <c r="I786" s="343" t="s">
        <v>463</v>
      </c>
      <c r="M786" s="663"/>
      <c r="N786" s="863">
        <v>150000</v>
      </c>
      <c r="O786" s="863">
        <v>120000</v>
      </c>
      <c r="P786" s="863">
        <v>-5000</v>
      </c>
      <c r="Q786" s="863">
        <v>35000</v>
      </c>
      <c r="R786" s="863">
        <v>10500</v>
      </c>
      <c r="S786" s="863">
        <v>24500</v>
      </c>
      <c r="T786" s="863">
        <v>19500</v>
      </c>
      <c r="U786" s="863">
        <v>19500</v>
      </c>
      <c r="V786" s="863">
        <v>153000</v>
      </c>
    </row>
    <row r="787" spans="1:25" s="343" customFormat="1" ht="0.65" hidden="1" customHeight="1">
      <c r="A787" s="343">
        <v>5009</v>
      </c>
      <c r="B787" s="343" t="s">
        <v>3769</v>
      </c>
      <c r="E787" s="343" t="s">
        <v>3686</v>
      </c>
      <c r="F787" s="659">
        <v>300000</v>
      </c>
      <c r="H787" s="343" t="s">
        <v>3380</v>
      </c>
      <c r="I787" s="358">
        <v>0.1</v>
      </c>
      <c r="N787" s="865" t="s">
        <v>55</v>
      </c>
      <c r="O787" s="865" t="s">
        <v>55</v>
      </c>
      <c r="P787" s="865" t="s">
        <v>55</v>
      </c>
      <c r="Q787" s="865" t="s">
        <v>55</v>
      </c>
      <c r="R787" s="865" t="s">
        <v>55</v>
      </c>
      <c r="T787" s="653"/>
      <c r="U787" s="653"/>
      <c r="V787" s="653"/>
      <c r="W787" s="659"/>
      <c r="X787" s="659"/>
      <c r="Y787" s="659"/>
    </row>
    <row r="788" spans="1:25" s="343" customFormat="1" ht="0.65" hidden="1" customHeight="1">
      <c r="A788" s="343">
        <v>5010</v>
      </c>
      <c r="B788" s="343" t="s">
        <v>3770</v>
      </c>
      <c r="E788" s="343" t="s">
        <v>3687</v>
      </c>
      <c r="F788" s="659">
        <v>240000</v>
      </c>
      <c r="H788" s="343" t="s">
        <v>3381</v>
      </c>
      <c r="I788" s="358">
        <v>0.3</v>
      </c>
      <c r="M788" s="659"/>
      <c r="N788" s="866"/>
      <c r="O788" s="866"/>
      <c r="P788" s="866"/>
      <c r="Q788" s="866"/>
      <c r="R788" s="866"/>
      <c r="U788" s="863"/>
      <c r="V788" s="863"/>
      <c r="W788" s="863"/>
      <c r="X788" s="863"/>
      <c r="Y788" s="863"/>
    </row>
    <row r="789" spans="1:25" s="343" customFormat="1" ht="0.65" hidden="1" customHeight="1">
      <c r="A789" s="343">
        <v>5011</v>
      </c>
      <c r="F789" s="343" t="s">
        <v>463</v>
      </c>
      <c r="I789" s="343" t="s">
        <v>463</v>
      </c>
      <c r="M789" s="663"/>
      <c r="N789" s="863">
        <v>10000</v>
      </c>
      <c r="O789" s="863">
        <v>0</v>
      </c>
      <c r="P789" s="863">
        <v>0</v>
      </c>
      <c r="Q789" s="863">
        <v>10000</v>
      </c>
      <c r="R789" s="863">
        <v>10000</v>
      </c>
      <c r="U789" s="1064" t="s">
        <v>55</v>
      </c>
      <c r="V789" s="1064"/>
      <c r="W789" s="863"/>
      <c r="X789" s="863"/>
      <c r="Y789" s="863"/>
    </row>
    <row r="790" spans="1:25" s="343" customFormat="1" ht="0.65" hidden="1" customHeight="1">
      <c r="A790" s="343">
        <v>5012</v>
      </c>
      <c r="B790" s="343" t="s">
        <v>3689</v>
      </c>
      <c r="F790" s="343" t="s">
        <v>463</v>
      </c>
      <c r="I790" s="343" t="s">
        <v>463</v>
      </c>
      <c r="M790" s="663"/>
      <c r="N790" s="863">
        <v>10000</v>
      </c>
      <c r="O790" s="863">
        <v>37500</v>
      </c>
      <c r="P790" s="863">
        <v>20000</v>
      </c>
      <c r="Q790" s="863">
        <v>27500</v>
      </c>
      <c r="R790" s="863">
        <v>17500</v>
      </c>
      <c r="U790" s="1064"/>
      <c r="V790" s="1064"/>
      <c r="W790" s="863"/>
      <c r="X790" s="863"/>
      <c r="Y790" s="863"/>
    </row>
    <row r="791" spans="1:25" s="343" customFormat="1" ht="0.65" hidden="1" customHeight="1">
      <c r="A791" s="343">
        <v>5013</v>
      </c>
      <c r="B791" s="343" t="s">
        <v>3771</v>
      </c>
      <c r="E791" s="343" t="s">
        <v>3692</v>
      </c>
      <c r="F791" s="343" t="s">
        <v>463</v>
      </c>
      <c r="I791" s="343" t="s">
        <v>463</v>
      </c>
      <c r="M791" s="663"/>
      <c r="N791" s="863">
        <v>10000</v>
      </c>
      <c r="O791" s="863">
        <v>37500</v>
      </c>
      <c r="P791" s="863">
        <v>20000</v>
      </c>
      <c r="Q791" s="863">
        <v>27500</v>
      </c>
      <c r="R791" s="863">
        <v>0</v>
      </c>
      <c r="U791" s="1064"/>
      <c r="V791" s="1064"/>
      <c r="W791" s="863"/>
      <c r="X791" s="863"/>
      <c r="Y791" s="863"/>
    </row>
    <row r="792" spans="1:25" s="343" customFormat="1" ht="0.65" hidden="1" customHeight="1">
      <c r="A792" s="343">
        <v>5014</v>
      </c>
      <c r="B792" s="343" t="s">
        <v>3772</v>
      </c>
      <c r="F792" s="343" t="s">
        <v>463</v>
      </c>
      <c r="I792" s="343" t="s">
        <v>463</v>
      </c>
      <c r="M792" s="663"/>
      <c r="N792" s="863">
        <v>10000</v>
      </c>
      <c r="O792" s="863">
        <v>37500</v>
      </c>
      <c r="P792" s="863">
        <v>20000</v>
      </c>
      <c r="Q792" s="863">
        <v>27500</v>
      </c>
      <c r="R792" s="863">
        <v>0</v>
      </c>
      <c r="U792" s="1064"/>
      <c r="V792" s="1064"/>
      <c r="W792" s="863"/>
      <c r="X792" s="863"/>
      <c r="Y792" s="863"/>
    </row>
    <row r="793" spans="1:25" s="343" customFormat="1" ht="0.65" hidden="1" customHeight="1">
      <c r="A793" s="343">
        <v>5015</v>
      </c>
      <c r="E793" s="343" t="s">
        <v>3556</v>
      </c>
      <c r="F793" s="659">
        <v>50000</v>
      </c>
      <c r="I793" s="343" t="s">
        <v>463</v>
      </c>
      <c r="M793" s="663"/>
      <c r="N793" s="863">
        <v>10000</v>
      </c>
      <c r="O793" s="863">
        <v>37500</v>
      </c>
      <c r="P793" s="863">
        <v>20000</v>
      </c>
      <c r="Q793" s="863">
        <v>27500</v>
      </c>
      <c r="R793" s="863">
        <v>0</v>
      </c>
      <c r="T793" s="863"/>
      <c r="U793" s="863"/>
      <c r="V793" s="863"/>
      <c r="W793" s="863"/>
      <c r="X793" s="863"/>
      <c r="Y793" s="863"/>
    </row>
    <row r="794" spans="1:25" s="343" customFormat="1" ht="0.65" hidden="1" customHeight="1">
      <c r="A794" s="343">
        <v>5016</v>
      </c>
      <c r="B794" s="343" t="s">
        <v>3773</v>
      </c>
      <c r="E794" s="343" t="s">
        <v>3558</v>
      </c>
      <c r="F794" s="653" t="s">
        <v>396</v>
      </c>
      <c r="I794" s="343" t="s">
        <v>463</v>
      </c>
      <c r="M794" s="863"/>
      <c r="N794" s="653"/>
      <c r="O794" s="653"/>
      <c r="P794" s="653"/>
      <c r="Q794" s="653"/>
      <c r="R794" s="653"/>
      <c r="S794" s="653"/>
      <c r="T794" s="863"/>
      <c r="V794" s="863"/>
      <c r="W794" s="863"/>
      <c r="X794" s="863"/>
    </row>
    <row r="795" spans="1:25" s="343" customFormat="1" ht="0.65" hidden="1" customHeight="1">
      <c r="A795" s="343">
        <v>5017</v>
      </c>
      <c r="B795" s="343" t="s">
        <v>3774</v>
      </c>
      <c r="E795" s="343" t="s">
        <v>3694</v>
      </c>
      <c r="F795" s="659">
        <v>50000</v>
      </c>
      <c r="I795" s="343" t="s">
        <v>463</v>
      </c>
      <c r="M795" s="863"/>
      <c r="V795" s="863"/>
      <c r="W795" s="863"/>
      <c r="X795" s="863"/>
    </row>
    <row r="796" spans="1:25" s="343" customFormat="1" ht="0.65" hidden="1" customHeight="1">
      <c r="A796" s="343">
        <v>5018</v>
      </c>
      <c r="B796" s="343" t="s">
        <v>3775</v>
      </c>
      <c r="E796" s="343" t="s">
        <v>3696</v>
      </c>
      <c r="F796" s="659">
        <v>10000</v>
      </c>
      <c r="I796" s="343" t="s">
        <v>463</v>
      </c>
      <c r="N796" s="863"/>
      <c r="O796" s="863"/>
      <c r="P796" s="865" t="s">
        <v>55</v>
      </c>
      <c r="T796" s="865" t="s">
        <v>55</v>
      </c>
      <c r="W796" s="865" t="s">
        <v>55</v>
      </c>
      <c r="X796" s="863"/>
    </row>
    <row r="797" spans="1:25" s="343" customFormat="1" ht="0.65" hidden="1" customHeight="1">
      <c r="A797" s="343">
        <v>5019</v>
      </c>
      <c r="B797" s="343" t="s">
        <v>3776</v>
      </c>
      <c r="E797" s="343" t="s">
        <v>3698</v>
      </c>
      <c r="F797" s="659">
        <v>12500</v>
      </c>
      <c r="I797" s="343" t="s">
        <v>463</v>
      </c>
      <c r="N797" s="1061" t="s">
        <v>3777</v>
      </c>
      <c r="O797" s="1061"/>
      <c r="P797" s="863">
        <v>10000</v>
      </c>
      <c r="R797" s="1061" t="s">
        <v>3389</v>
      </c>
      <c r="S797" s="1061"/>
      <c r="T797" s="863">
        <v>27500</v>
      </c>
      <c r="X797" s="863"/>
    </row>
    <row r="798" spans="1:25" s="343" customFormat="1" ht="0.65" hidden="1" customHeight="1">
      <c r="A798" s="343">
        <v>5020</v>
      </c>
      <c r="B798" s="343" t="s">
        <v>3778</v>
      </c>
      <c r="E798" s="343" t="s">
        <v>3700</v>
      </c>
      <c r="F798" s="659">
        <v>0</v>
      </c>
      <c r="I798" s="343" t="s">
        <v>463</v>
      </c>
      <c r="M798" s="863"/>
      <c r="N798" s="1061" t="s">
        <v>3703</v>
      </c>
      <c r="O798" s="1061"/>
      <c r="P798" s="863">
        <v>200000</v>
      </c>
      <c r="R798" s="1061" t="s">
        <v>3704</v>
      </c>
      <c r="S798" s="1061"/>
      <c r="T798" s="863">
        <v>106000</v>
      </c>
      <c r="V798" s="662"/>
      <c r="W798" s="358">
        <v>0.1</v>
      </c>
      <c r="X798" s="863"/>
    </row>
    <row r="799" spans="1:25" s="343" customFormat="1" ht="0.65" hidden="1" customHeight="1">
      <c r="A799" s="343">
        <v>5021</v>
      </c>
      <c r="F799" s="343" t="s">
        <v>463</v>
      </c>
      <c r="I799" s="343" t="s">
        <v>463</v>
      </c>
      <c r="M799" s="863"/>
      <c r="N799" s="1061" t="s">
        <v>3779</v>
      </c>
      <c r="O799" s="1061"/>
      <c r="P799" s="863">
        <v>22000</v>
      </c>
      <c r="R799" s="1061" t="s">
        <v>3707</v>
      </c>
      <c r="S799" s="1061"/>
      <c r="T799" s="863">
        <v>0</v>
      </c>
    </row>
    <row r="800" spans="1:25" s="343" customFormat="1" ht="0.65" hidden="1" customHeight="1">
      <c r="A800" s="343">
        <v>5022</v>
      </c>
      <c r="B800" s="343" t="s">
        <v>3780</v>
      </c>
      <c r="E800" s="343" t="s">
        <v>3705</v>
      </c>
      <c r="F800" s="659">
        <v>150000</v>
      </c>
      <c r="I800" s="343" t="s">
        <v>463</v>
      </c>
      <c r="M800" s="863"/>
      <c r="N800" s="1061" t="s">
        <v>3781</v>
      </c>
      <c r="O800" s="1061"/>
      <c r="P800" s="863">
        <v>50000</v>
      </c>
      <c r="R800" s="1061"/>
      <c r="S800" s="1061"/>
      <c r="T800" s="863"/>
      <c r="X800" s="863"/>
      <c r="Y800" s="863"/>
    </row>
    <row r="801" spans="1:25" s="343" customFormat="1" ht="0.65" hidden="1" customHeight="1">
      <c r="A801" s="343">
        <v>5023</v>
      </c>
      <c r="E801" s="343" t="s">
        <v>3709</v>
      </c>
      <c r="F801" s="659">
        <v>120000</v>
      </c>
      <c r="I801" s="343" t="s">
        <v>463</v>
      </c>
      <c r="M801" s="863"/>
      <c r="N801" s="867"/>
      <c r="Q801" s="863"/>
      <c r="R801" s="868"/>
      <c r="S801" s="863"/>
      <c r="T801" s="863"/>
      <c r="U801" s="863"/>
      <c r="V801" s="662"/>
      <c r="W801" s="659">
        <v>-914.41841404279694</v>
      </c>
      <c r="X801" s="863"/>
      <c r="Y801" s="863"/>
    </row>
    <row r="802" spans="1:25" s="343" customFormat="1" ht="0.65" hidden="1" customHeight="1">
      <c r="A802" s="343">
        <v>5024</v>
      </c>
      <c r="F802" s="343" t="s">
        <v>463</v>
      </c>
      <c r="I802" s="343" t="s">
        <v>463</v>
      </c>
      <c r="M802" s="863"/>
      <c r="N802" s="1062" t="s">
        <v>129</v>
      </c>
      <c r="O802" s="1062"/>
      <c r="P802" s="863">
        <v>138000</v>
      </c>
      <c r="Q802" s="863"/>
      <c r="R802" s="1062" t="s">
        <v>3394</v>
      </c>
      <c r="S802" s="1062"/>
      <c r="T802" s="863">
        <v>133500</v>
      </c>
      <c r="V802" s="869"/>
      <c r="W802" s="358">
        <v>9.7980950591464389E-2</v>
      </c>
      <c r="X802" s="863"/>
      <c r="Y802" s="863"/>
    </row>
    <row r="803" spans="1:25" s="343" customFormat="1" ht="0.65" hidden="1" customHeight="1">
      <c r="A803" s="343">
        <v>5025</v>
      </c>
      <c r="F803" s="343" t="s">
        <v>463</v>
      </c>
      <c r="I803" s="343" t="s">
        <v>463</v>
      </c>
      <c r="N803" s="863"/>
      <c r="P803" s="653"/>
      <c r="T803" s="653"/>
      <c r="W803" s="653"/>
      <c r="X803" s="863"/>
      <c r="Y803" s="863"/>
    </row>
    <row r="804" spans="1:25" s="343" customFormat="1" ht="0.65" hidden="1" customHeight="1">
      <c r="A804" s="343">
        <v>5026</v>
      </c>
      <c r="F804" s="343" t="s">
        <v>463</v>
      </c>
      <c r="I804" s="343" t="s">
        <v>463</v>
      </c>
      <c r="X804" s="863"/>
      <c r="Y804" s="863"/>
    </row>
    <row r="805" spans="1:25" s="343" customFormat="1" ht="0.65" hidden="1" customHeight="1">
      <c r="A805" s="343">
        <v>5027</v>
      </c>
      <c r="F805" s="343" t="s">
        <v>463</v>
      </c>
      <c r="I805" s="343" t="s">
        <v>463</v>
      </c>
      <c r="X805" s="863"/>
      <c r="Y805" s="863"/>
    </row>
    <row r="806" spans="1:25" s="343" customFormat="1" ht="0.65" hidden="1" customHeight="1">
      <c r="A806" s="343">
        <v>5028</v>
      </c>
      <c r="F806" s="343" t="s">
        <v>463</v>
      </c>
      <c r="I806" s="343" t="s">
        <v>463</v>
      </c>
      <c r="X806" s="863"/>
      <c r="Y806" s="863"/>
    </row>
    <row r="807" spans="1:25" s="343" customFormat="1" ht="0.65" hidden="1" customHeight="1">
      <c r="A807" s="343">
        <v>5029</v>
      </c>
      <c r="F807" s="343" t="s">
        <v>463</v>
      </c>
      <c r="I807" s="343" t="s">
        <v>463</v>
      </c>
      <c r="X807" s="863"/>
      <c r="Y807" s="863"/>
    </row>
    <row r="808" spans="1:25" s="343" customFormat="1" ht="0.65" hidden="1" customHeight="1">
      <c r="A808" s="343">
        <v>5030</v>
      </c>
      <c r="F808" s="343" t="s">
        <v>463</v>
      </c>
      <c r="I808" s="343" t="s">
        <v>463</v>
      </c>
      <c r="X808" s="863"/>
      <c r="Y808" s="863"/>
    </row>
    <row r="809" spans="1:25" s="343" customFormat="1" ht="0.65" hidden="1" customHeight="1">
      <c r="A809" s="343">
        <v>5031</v>
      </c>
      <c r="F809" s="343" t="s">
        <v>463</v>
      </c>
      <c r="I809" s="343" t="s">
        <v>463</v>
      </c>
      <c r="X809" s="863"/>
      <c r="Y809" s="863"/>
    </row>
    <row r="810" spans="1:25" s="343" customFormat="1" ht="0.65" hidden="1" customHeight="1">
      <c r="A810" s="343">
        <v>5032</v>
      </c>
      <c r="F810" s="343" t="s">
        <v>463</v>
      </c>
      <c r="I810" s="343" t="s">
        <v>463</v>
      </c>
      <c r="X810" s="863"/>
      <c r="Y810" s="863"/>
    </row>
    <row r="811" spans="1:25" s="343" customFormat="1" ht="0.65" hidden="1" customHeight="1">
      <c r="A811" s="343">
        <v>5033</v>
      </c>
      <c r="F811" s="343" t="s">
        <v>463</v>
      </c>
      <c r="I811" s="343" t="s">
        <v>463</v>
      </c>
      <c r="X811" s="863"/>
      <c r="Y811" s="863"/>
    </row>
    <row r="812" spans="1:25" s="343" customFormat="1" ht="0.65" hidden="1" customHeight="1">
      <c r="A812" s="343">
        <v>5034</v>
      </c>
      <c r="F812" s="343" t="s">
        <v>463</v>
      </c>
      <c r="I812" s="343" t="s">
        <v>463</v>
      </c>
      <c r="X812" s="863"/>
      <c r="Y812" s="863"/>
    </row>
    <row r="813" spans="1:25" s="343" customFormat="1" ht="0.65" hidden="1" customHeight="1">
      <c r="A813" s="343">
        <v>5035</v>
      </c>
      <c r="F813" s="343" t="s">
        <v>463</v>
      </c>
      <c r="I813" s="343" t="s">
        <v>463</v>
      </c>
      <c r="X813" s="863"/>
      <c r="Y813" s="863"/>
    </row>
    <row r="814" spans="1:25" s="343" customFormat="1" ht="0.65" hidden="1" customHeight="1">
      <c r="A814" s="343">
        <v>5036</v>
      </c>
      <c r="F814" s="343" t="s">
        <v>463</v>
      </c>
      <c r="I814" s="343" t="s">
        <v>463</v>
      </c>
      <c r="X814" s="863"/>
      <c r="Y814" s="863"/>
    </row>
    <row r="815" spans="1:25" s="343" customFormat="1" ht="0.65" hidden="1" customHeight="1">
      <c r="A815" s="343">
        <v>5037</v>
      </c>
      <c r="F815" s="343" t="s">
        <v>463</v>
      </c>
      <c r="I815" s="343" t="s">
        <v>463</v>
      </c>
      <c r="X815" s="863"/>
      <c r="Y815" s="863"/>
    </row>
    <row r="816" spans="1:25" s="343" customFormat="1" ht="0.65" hidden="1" customHeight="1">
      <c r="A816" s="343">
        <v>5038</v>
      </c>
      <c r="F816" s="343" t="s">
        <v>463</v>
      </c>
      <c r="I816" s="343" t="s">
        <v>463</v>
      </c>
      <c r="X816" s="863"/>
      <c r="Y816" s="863"/>
    </row>
    <row r="817" spans="1:25" s="343" customFormat="1" ht="0.65" hidden="1" customHeight="1">
      <c r="A817" s="343">
        <v>5039</v>
      </c>
    </row>
    <row r="818" spans="1:25" s="343" customFormat="1" ht="0.65" hidden="1" customHeight="1">
      <c r="A818" s="343">
        <v>5040</v>
      </c>
      <c r="X818" s="863"/>
      <c r="Y818" s="863"/>
    </row>
    <row r="819" spans="1:25" s="343" customFormat="1" ht="0.65" hidden="1" customHeight="1">
      <c r="A819" s="343">
        <v>5041</v>
      </c>
      <c r="M819" s="343">
        <v>0</v>
      </c>
      <c r="O819" s="343">
        <v>1</v>
      </c>
      <c r="P819" s="343" t="s">
        <v>3777</v>
      </c>
      <c r="R819" s="863">
        <v>10000</v>
      </c>
      <c r="S819" s="343" t="s">
        <v>3782</v>
      </c>
      <c r="T819" s="343" t="s">
        <v>3783</v>
      </c>
      <c r="X819" s="863"/>
      <c r="Y819" s="863"/>
    </row>
    <row r="820" spans="1:25" s="343" customFormat="1" ht="0.65" hidden="1" customHeight="1">
      <c r="A820" s="343">
        <v>5042</v>
      </c>
      <c r="O820" s="343">
        <v>2</v>
      </c>
      <c r="P820" s="343" t="s">
        <v>3703</v>
      </c>
      <c r="R820" s="863">
        <v>200000</v>
      </c>
      <c r="S820" s="343" t="s">
        <v>3714</v>
      </c>
      <c r="T820" s="343" t="s">
        <v>3715</v>
      </c>
      <c r="X820" s="863"/>
      <c r="Y820" s="863"/>
    </row>
    <row r="821" spans="1:25" s="343" customFormat="1" ht="0.65" hidden="1" customHeight="1">
      <c r="A821" s="343">
        <v>5043</v>
      </c>
      <c r="O821" s="343">
        <v>3</v>
      </c>
      <c r="P821" s="343" t="s">
        <v>3779</v>
      </c>
      <c r="R821" s="863">
        <v>22000</v>
      </c>
      <c r="S821" s="343" t="s">
        <v>3718</v>
      </c>
      <c r="T821" s="343" t="s">
        <v>3719</v>
      </c>
      <c r="X821" s="863"/>
      <c r="Y821" s="863"/>
    </row>
    <row r="822" spans="1:25" s="343" customFormat="1" ht="0.65" hidden="1" customHeight="1">
      <c r="A822" s="343">
        <v>5044</v>
      </c>
      <c r="O822" s="343">
        <v>4</v>
      </c>
      <c r="P822" s="343" t="s">
        <v>3781</v>
      </c>
      <c r="R822" s="863">
        <v>50000</v>
      </c>
      <c r="S822" s="343" t="s">
        <v>3574</v>
      </c>
      <c r="T822" s="343" t="s">
        <v>3575</v>
      </c>
      <c r="X822" s="863"/>
      <c r="Y822" s="863"/>
    </row>
    <row r="823" spans="1:25" s="343" customFormat="1" ht="0.65" hidden="1" customHeight="1">
      <c r="A823" s="343">
        <v>5045</v>
      </c>
      <c r="O823" s="343">
        <v>5</v>
      </c>
      <c r="P823" s="343" t="s">
        <v>129</v>
      </c>
      <c r="R823" s="863">
        <v>138000</v>
      </c>
      <c r="S823" s="343" t="s">
        <v>3784</v>
      </c>
      <c r="T823" s="343" t="s">
        <v>3785</v>
      </c>
      <c r="X823" s="863"/>
      <c r="Y823" s="863"/>
    </row>
    <row r="824" spans="1:25" s="343" customFormat="1" ht="0.65" hidden="1" customHeight="1">
      <c r="A824" s="343">
        <v>5046</v>
      </c>
      <c r="O824" s="343">
        <v>6</v>
      </c>
      <c r="P824" s="343" t="s">
        <v>3404</v>
      </c>
      <c r="R824" s="863">
        <v>150000</v>
      </c>
      <c r="S824" s="343" t="s">
        <v>3722</v>
      </c>
      <c r="T824" s="343" t="s">
        <v>3723</v>
      </c>
      <c r="X824" s="863"/>
      <c r="Y824" s="863"/>
    </row>
    <row r="825" spans="1:25" s="343" customFormat="1" ht="0.65" hidden="1" customHeight="1">
      <c r="A825" s="343">
        <v>5047</v>
      </c>
      <c r="O825" s="343">
        <v>7</v>
      </c>
      <c r="P825" s="343" t="s">
        <v>3407</v>
      </c>
      <c r="R825" s="863">
        <v>150000</v>
      </c>
      <c r="S825" s="343" t="s">
        <v>3722</v>
      </c>
      <c r="T825" s="343" t="s">
        <v>3723</v>
      </c>
      <c r="X825" s="863"/>
      <c r="Y825" s="863"/>
    </row>
    <row r="826" spans="1:25" s="343" customFormat="1" ht="0.65" hidden="1" customHeight="1">
      <c r="A826" s="343">
        <v>5048</v>
      </c>
      <c r="O826" s="343">
        <v>8</v>
      </c>
      <c r="P826" s="343" t="s">
        <v>3408</v>
      </c>
      <c r="R826" s="863">
        <v>150000</v>
      </c>
      <c r="S826" s="343" t="s">
        <v>3722</v>
      </c>
      <c r="T826" s="343" t="s">
        <v>3723</v>
      </c>
      <c r="X826" s="863"/>
      <c r="Y826" s="863"/>
    </row>
    <row r="827" spans="1:25" s="343" customFormat="1" ht="0.65" hidden="1" customHeight="1">
      <c r="A827" s="343">
        <v>5049</v>
      </c>
      <c r="O827" s="343">
        <v>9</v>
      </c>
      <c r="P827" s="343" t="s">
        <v>3409</v>
      </c>
      <c r="R827" s="863">
        <v>150000</v>
      </c>
      <c r="S827" s="343" t="s">
        <v>3722</v>
      </c>
      <c r="T827" s="343" t="s">
        <v>3723</v>
      </c>
      <c r="X827" s="863"/>
      <c r="Y827" s="863"/>
    </row>
    <row r="828" spans="1:25" s="343" customFormat="1" ht="0.65" hidden="1" customHeight="1">
      <c r="A828" s="343">
        <v>5050</v>
      </c>
      <c r="O828" s="343">
        <v>10</v>
      </c>
      <c r="P828" s="343" t="s">
        <v>3410</v>
      </c>
      <c r="R828" s="863">
        <v>120000</v>
      </c>
      <c r="S828" s="343" t="s">
        <v>3724</v>
      </c>
      <c r="T828" s="343" t="s">
        <v>3725</v>
      </c>
      <c r="X828" s="863"/>
      <c r="Y828" s="863"/>
    </row>
    <row r="829" spans="1:25" s="343" customFormat="1" ht="0.65" hidden="1" customHeight="1">
      <c r="A829" s="343">
        <v>5051</v>
      </c>
      <c r="O829" s="343">
        <v>11</v>
      </c>
      <c r="P829" s="343" t="s">
        <v>3413</v>
      </c>
      <c r="R829" s="863">
        <v>120000</v>
      </c>
      <c r="S829" s="343" t="s">
        <v>3724</v>
      </c>
      <c r="T829" s="343" t="s">
        <v>3725</v>
      </c>
      <c r="X829" s="863"/>
      <c r="Y829" s="863"/>
    </row>
    <row r="830" spans="1:25" s="343" customFormat="1" ht="0.65" hidden="1" customHeight="1">
      <c r="A830" s="343">
        <v>5052</v>
      </c>
      <c r="O830" s="343">
        <v>12</v>
      </c>
      <c r="P830" s="343" t="s">
        <v>3414</v>
      </c>
      <c r="R830" s="863">
        <v>120000</v>
      </c>
      <c r="S830" s="343" t="s">
        <v>3724</v>
      </c>
      <c r="T830" s="343" t="s">
        <v>3725</v>
      </c>
      <c r="X830" s="863"/>
      <c r="Y830" s="863"/>
    </row>
    <row r="831" spans="1:25" s="343" customFormat="1" ht="0.65" hidden="1" customHeight="1">
      <c r="A831" s="343">
        <v>5053</v>
      </c>
      <c r="O831" s="343">
        <v>13</v>
      </c>
      <c r="P831" s="343" t="s">
        <v>3415</v>
      </c>
      <c r="R831" s="863">
        <v>120000</v>
      </c>
      <c r="S831" s="343" t="s">
        <v>3724</v>
      </c>
      <c r="T831" s="343" t="s">
        <v>3725</v>
      </c>
      <c r="X831" s="863"/>
      <c r="Y831" s="863"/>
    </row>
    <row r="832" spans="1:25" s="343" customFormat="1" ht="0.65" hidden="1" customHeight="1">
      <c r="A832" s="343">
        <v>5054</v>
      </c>
      <c r="O832" s="343">
        <v>14</v>
      </c>
      <c r="P832" s="343" t="s">
        <v>3416</v>
      </c>
      <c r="R832" s="863">
        <v>-5000</v>
      </c>
      <c r="S832" s="343" t="s">
        <v>3786</v>
      </c>
      <c r="T832" s="343" t="s">
        <v>3787</v>
      </c>
      <c r="X832" s="863"/>
      <c r="Y832" s="863"/>
    </row>
    <row r="833" spans="1:25" s="343" customFormat="1" ht="0.65" hidden="1" customHeight="1">
      <c r="A833" s="343">
        <v>5055</v>
      </c>
      <c r="O833" s="343">
        <v>15</v>
      </c>
      <c r="P833" s="343" t="s">
        <v>3419</v>
      </c>
      <c r="R833" s="863">
        <v>-5000</v>
      </c>
      <c r="S833" s="343" t="s">
        <v>3786</v>
      </c>
      <c r="T833" s="343" t="s">
        <v>3787</v>
      </c>
      <c r="X833" s="863"/>
      <c r="Y833" s="863"/>
    </row>
    <row r="834" spans="1:25" s="343" customFormat="1" ht="0.65" hidden="1" customHeight="1">
      <c r="A834" s="343">
        <v>5056</v>
      </c>
      <c r="O834" s="343">
        <v>16</v>
      </c>
      <c r="P834" s="343" t="s">
        <v>3420</v>
      </c>
      <c r="R834" s="863">
        <v>-5000</v>
      </c>
      <c r="S834" s="343" t="s">
        <v>3786</v>
      </c>
      <c r="T834" s="343" t="s">
        <v>3787</v>
      </c>
      <c r="X834" s="863"/>
      <c r="Y834" s="863"/>
    </row>
    <row r="835" spans="1:25" s="343" customFormat="1" ht="0.65" hidden="1" customHeight="1">
      <c r="A835" s="343">
        <v>5057</v>
      </c>
      <c r="O835" s="343">
        <v>17</v>
      </c>
      <c r="P835" s="343" t="s">
        <v>3421</v>
      </c>
      <c r="R835" s="863">
        <v>-5000</v>
      </c>
      <c r="S835" s="343" t="s">
        <v>3786</v>
      </c>
      <c r="T835" s="343" t="s">
        <v>3787</v>
      </c>
      <c r="X835" s="863"/>
      <c r="Y835" s="863"/>
    </row>
    <row r="836" spans="1:25" s="343" customFormat="1" ht="0.65" hidden="1" customHeight="1">
      <c r="A836" s="343">
        <v>5058</v>
      </c>
      <c r="O836" s="343">
        <v>18</v>
      </c>
      <c r="P836" s="343" t="s">
        <v>3422</v>
      </c>
      <c r="R836" s="863">
        <v>35000</v>
      </c>
      <c r="S836" s="343" t="s">
        <v>3788</v>
      </c>
      <c r="T836" s="343" t="s">
        <v>3424</v>
      </c>
      <c r="X836" s="863"/>
      <c r="Y836" s="863"/>
    </row>
    <row r="837" spans="1:25" s="343" customFormat="1" ht="0.65" hidden="1" customHeight="1">
      <c r="A837" s="343">
        <v>5059</v>
      </c>
      <c r="O837" s="343">
        <v>19</v>
      </c>
      <c r="P837" s="343" t="s">
        <v>3425</v>
      </c>
      <c r="R837" s="863">
        <v>35000</v>
      </c>
      <c r="S837" s="343" t="s">
        <v>3788</v>
      </c>
      <c r="T837" s="343" t="s">
        <v>3426</v>
      </c>
      <c r="X837" s="863"/>
      <c r="Y837" s="863"/>
    </row>
    <row r="838" spans="1:25" s="343" customFormat="1" ht="0.65" hidden="1" customHeight="1">
      <c r="A838" s="343">
        <v>5060</v>
      </c>
      <c r="O838" s="343">
        <v>20</v>
      </c>
      <c r="P838" s="343" t="s">
        <v>3427</v>
      </c>
      <c r="R838" s="863">
        <v>35000</v>
      </c>
      <c r="S838" s="343" t="s">
        <v>3788</v>
      </c>
      <c r="T838" s="343" t="s">
        <v>3428</v>
      </c>
      <c r="X838" s="863"/>
      <c r="Y838" s="863"/>
    </row>
    <row r="839" spans="1:25" s="343" customFormat="1" ht="0.65" hidden="1" customHeight="1">
      <c r="A839" s="343">
        <v>5061</v>
      </c>
      <c r="O839" s="343">
        <v>21</v>
      </c>
      <c r="P839" s="343" t="s">
        <v>3429</v>
      </c>
      <c r="R839" s="863">
        <v>35000</v>
      </c>
      <c r="S839" s="343" t="s">
        <v>3788</v>
      </c>
      <c r="T839" s="343" t="s">
        <v>3430</v>
      </c>
      <c r="X839" s="863"/>
      <c r="Y839" s="863"/>
    </row>
    <row r="840" spans="1:25" s="343" customFormat="1" ht="0.65" hidden="1" customHeight="1">
      <c r="A840" s="343">
        <v>5062</v>
      </c>
      <c r="O840" s="343">
        <v>22</v>
      </c>
      <c r="P840" s="343" t="s">
        <v>3431</v>
      </c>
      <c r="R840" s="863">
        <v>10500</v>
      </c>
      <c r="S840" s="343" t="s">
        <v>3583</v>
      </c>
      <c r="T840" s="343" t="s">
        <v>3433</v>
      </c>
      <c r="X840" s="863"/>
      <c r="Y840" s="863"/>
    </row>
    <row r="841" spans="1:25" s="343" customFormat="1" ht="0.65" hidden="1" customHeight="1">
      <c r="A841" s="343">
        <v>5063</v>
      </c>
      <c r="O841" s="343">
        <v>23</v>
      </c>
      <c r="P841" s="343" t="s">
        <v>3434</v>
      </c>
      <c r="R841" s="863">
        <v>10500</v>
      </c>
      <c r="S841" s="343" t="s">
        <v>3583</v>
      </c>
      <c r="T841" s="343" t="s">
        <v>3435</v>
      </c>
      <c r="X841" s="863"/>
      <c r="Y841" s="863"/>
    </row>
    <row r="842" spans="1:25" s="343" customFormat="1" ht="0.65" hidden="1" customHeight="1">
      <c r="A842" s="343">
        <v>5064</v>
      </c>
      <c r="O842" s="343">
        <v>24</v>
      </c>
      <c r="P842" s="343" t="s">
        <v>3436</v>
      </c>
      <c r="R842" s="863">
        <v>10500</v>
      </c>
      <c r="S842" s="343" t="s">
        <v>3583</v>
      </c>
      <c r="T842" s="343" t="s">
        <v>3437</v>
      </c>
      <c r="X842" s="863"/>
      <c r="Y842" s="863"/>
    </row>
    <row r="843" spans="1:25" s="343" customFormat="1" ht="0.65" hidden="1" customHeight="1">
      <c r="A843" s="343">
        <v>5065</v>
      </c>
      <c r="O843" s="343">
        <v>25</v>
      </c>
      <c r="P843" s="343" t="s">
        <v>3438</v>
      </c>
      <c r="R843" s="863">
        <v>10500</v>
      </c>
      <c r="S843" s="343" t="s">
        <v>3583</v>
      </c>
      <c r="T843" s="343" t="s">
        <v>3439</v>
      </c>
      <c r="X843" s="863"/>
      <c r="Y843" s="863"/>
    </row>
    <row r="844" spans="1:25" s="343" customFormat="1" ht="0.65" hidden="1" customHeight="1">
      <c r="A844" s="343">
        <v>5066</v>
      </c>
      <c r="O844" s="343">
        <v>26</v>
      </c>
      <c r="P844" s="343" t="s">
        <v>3440</v>
      </c>
      <c r="R844" s="863">
        <v>24500</v>
      </c>
      <c r="S844" s="343" t="s">
        <v>3584</v>
      </c>
      <c r="T844" s="343" t="s">
        <v>3442</v>
      </c>
      <c r="X844" s="863"/>
      <c r="Y844" s="863"/>
    </row>
    <row r="845" spans="1:25" s="343" customFormat="1" ht="0.65" hidden="1" customHeight="1">
      <c r="A845" s="343">
        <v>5067</v>
      </c>
      <c r="O845" s="343">
        <v>27</v>
      </c>
      <c r="P845" s="343" t="s">
        <v>3443</v>
      </c>
      <c r="R845" s="863">
        <v>24500</v>
      </c>
      <c r="S845" s="343" t="s">
        <v>3584</v>
      </c>
      <c r="T845" s="343" t="s">
        <v>3444</v>
      </c>
      <c r="X845" s="863"/>
      <c r="Y845" s="863"/>
    </row>
    <row r="846" spans="1:25" s="343" customFormat="1" ht="0.65" hidden="1" customHeight="1">
      <c r="A846" s="343">
        <v>5068</v>
      </c>
      <c r="O846" s="343">
        <v>28</v>
      </c>
      <c r="P846" s="343" t="s">
        <v>3445</v>
      </c>
      <c r="R846" s="863">
        <v>24500</v>
      </c>
      <c r="S846" s="343" t="s">
        <v>3584</v>
      </c>
      <c r="T846" s="343" t="s">
        <v>3446</v>
      </c>
      <c r="X846" s="863"/>
      <c r="Y846" s="863"/>
    </row>
    <row r="847" spans="1:25" s="343" customFormat="1" ht="0.65" hidden="1" customHeight="1">
      <c r="A847" s="343">
        <v>5069</v>
      </c>
      <c r="O847" s="343">
        <v>29</v>
      </c>
      <c r="P847" s="343" t="s">
        <v>3447</v>
      </c>
      <c r="R847" s="863">
        <v>24500</v>
      </c>
      <c r="S847" s="343" t="s">
        <v>3584</v>
      </c>
      <c r="T847" s="343" t="s">
        <v>3448</v>
      </c>
      <c r="X847" s="863"/>
      <c r="Y847" s="863"/>
    </row>
    <row r="848" spans="1:25" s="343" customFormat="1" ht="0.65" hidden="1" customHeight="1">
      <c r="A848" s="343">
        <v>5070</v>
      </c>
      <c r="O848" s="343">
        <v>30</v>
      </c>
      <c r="P848" s="343" t="s">
        <v>3449</v>
      </c>
      <c r="R848" s="863">
        <v>19500</v>
      </c>
      <c r="S848" s="863" t="s">
        <v>3789</v>
      </c>
      <c r="T848" s="343" t="s">
        <v>3451</v>
      </c>
      <c r="X848" s="863"/>
      <c r="Y848" s="863"/>
    </row>
    <row r="849" spans="1:25" s="343" customFormat="1" ht="0.65" hidden="1" customHeight="1">
      <c r="A849" s="343">
        <v>5071</v>
      </c>
      <c r="O849" s="343">
        <v>31</v>
      </c>
      <c r="P849" s="343" t="s">
        <v>3452</v>
      </c>
      <c r="R849" s="863">
        <v>19500</v>
      </c>
      <c r="S849" s="863" t="s">
        <v>3789</v>
      </c>
      <c r="T849" s="343" t="s">
        <v>3453</v>
      </c>
      <c r="X849" s="863"/>
      <c r="Y849" s="863"/>
    </row>
    <row r="850" spans="1:25" s="343" customFormat="1" ht="0.65" hidden="1" customHeight="1">
      <c r="A850" s="343">
        <v>5072</v>
      </c>
      <c r="O850" s="343">
        <v>32</v>
      </c>
      <c r="P850" s="343" t="s">
        <v>3454</v>
      </c>
      <c r="R850" s="863">
        <v>19500</v>
      </c>
      <c r="S850" s="863" t="s">
        <v>3789</v>
      </c>
      <c r="T850" s="343" t="s">
        <v>3455</v>
      </c>
      <c r="X850" s="863"/>
      <c r="Y850" s="863"/>
    </row>
    <row r="851" spans="1:25" s="343" customFormat="1" ht="0.65" hidden="1" customHeight="1">
      <c r="A851" s="343">
        <v>5073</v>
      </c>
      <c r="O851" s="343">
        <v>33</v>
      </c>
      <c r="P851" s="343" t="s">
        <v>3456</v>
      </c>
      <c r="R851" s="863">
        <v>19500</v>
      </c>
      <c r="S851" s="863" t="s">
        <v>3789</v>
      </c>
      <c r="T851" s="343" t="s">
        <v>3457</v>
      </c>
      <c r="X851" s="863"/>
      <c r="Y851" s="863"/>
    </row>
    <row r="852" spans="1:25" s="343" customFormat="1" ht="0.65" hidden="1" customHeight="1">
      <c r="A852" s="343">
        <v>5074</v>
      </c>
      <c r="O852" s="343">
        <v>34</v>
      </c>
      <c r="P852" s="343" t="s">
        <v>3458</v>
      </c>
      <c r="R852" s="863">
        <v>10000</v>
      </c>
      <c r="S852" s="343" t="s">
        <v>3782</v>
      </c>
      <c r="T852" s="343" t="s">
        <v>3790</v>
      </c>
      <c r="X852" s="863"/>
      <c r="Y852" s="863"/>
    </row>
    <row r="853" spans="1:25" s="343" customFormat="1" ht="0.65" hidden="1" customHeight="1">
      <c r="A853" s="343">
        <v>5075</v>
      </c>
      <c r="O853" s="343">
        <v>35</v>
      </c>
      <c r="P853" s="343" t="s">
        <v>3461</v>
      </c>
      <c r="R853" s="863">
        <v>10000</v>
      </c>
      <c r="S853" s="863" t="s">
        <v>3782</v>
      </c>
      <c r="T853" s="343" t="s">
        <v>3791</v>
      </c>
      <c r="X853" s="863"/>
      <c r="Y853" s="863"/>
    </row>
    <row r="854" spans="1:25" s="343" customFormat="1" ht="0.65" hidden="1" customHeight="1">
      <c r="A854" s="343">
        <v>5076</v>
      </c>
      <c r="O854" s="343">
        <v>36</v>
      </c>
      <c r="P854" s="343" t="s">
        <v>3463</v>
      </c>
      <c r="R854" s="863">
        <v>10000</v>
      </c>
      <c r="S854" s="863" t="s">
        <v>3782</v>
      </c>
      <c r="T854" s="343" t="s">
        <v>3792</v>
      </c>
      <c r="X854" s="863"/>
      <c r="Y854" s="863"/>
    </row>
    <row r="855" spans="1:25" s="343" customFormat="1" ht="0.65" hidden="1" customHeight="1">
      <c r="A855" s="343">
        <v>5077</v>
      </c>
      <c r="O855" s="343">
        <v>37</v>
      </c>
      <c r="P855" s="343" t="s">
        <v>3465</v>
      </c>
      <c r="R855" s="863">
        <v>10000</v>
      </c>
      <c r="S855" s="863" t="s">
        <v>3782</v>
      </c>
      <c r="T855" s="343" t="s">
        <v>3793</v>
      </c>
      <c r="X855" s="863"/>
      <c r="Y855" s="863"/>
    </row>
    <row r="856" spans="1:25" s="343" customFormat="1" ht="0.65" hidden="1" customHeight="1">
      <c r="A856" s="343">
        <v>5078</v>
      </c>
      <c r="O856" s="343">
        <v>38</v>
      </c>
      <c r="P856" s="343" t="s">
        <v>3467</v>
      </c>
      <c r="R856" s="863">
        <v>10000</v>
      </c>
      <c r="S856" s="863" t="s">
        <v>3782</v>
      </c>
      <c r="T856" s="343" t="s">
        <v>3793</v>
      </c>
      <c r="X856" s="863"/>
      <c r="Y856" s="863"/>
    </row>
    <row r="857" spans="1:25" s="343" customFormat="1" ht="0.65" hidden="1" customHeight="1">
      <c r="A857" s="343">
        <v>5079</v>
      </c>
      <c r="O857" s="343">
        <v>39</v>
      </c>
      <c r="P857" s="343" t="s">
        <v>3468</v>
      </c>
      <c r="R857" s="863">
        <v>0</v>
      </c>
      <c r="S857" s="343" t="s">
        <v>3639</v>
      </c>
      <c r="T857" s="343" t="s">
        <v>3794</v>
      </c>
      <c r="X857" s="863"/>
      <c r="Y857" s="863"/>
    </row>
    <row r="858" spans="1:25" s="343" customFormat="1" ht="0.65" hidden="1" customHeight="1">
      <c r="A858" s="343">
        <v>5080</v>
      </c>
      <c r="O858" s="343">
        <v>40</v>
      </c>
      <c r="P858" s="343" t="s">
        <v>3471</v>
      </c>
      <c r="R858" s="863">
        <v>37500</v>
      </c>
      <c r="S858" s="863" t="s">
        <v>3738</v>
      </c>
      <c r="T858" s="343" t="s">
        <v>3472</v>
      </c>
      <c r="X858" s="863"/>
      <c r="Y858" s="863"/>
    </row>
    <row r="859" spans="1:25" s="343" customFormat="1" ht="0.65" hidden="1" customHeight="1">
      <c r="A859" s="343">
        <v>5081</v>
      </c>
      <c r="O859" s="343">
        <v>41</v>
      </c>
      <c r="P859" s="343" t="s">
        <v>3473</v>
      </c>
      <c r="R859" s="863">
        <v>37500</v>
      </c>
      <c r="S859" s="863" t="s">
        <v>3738</v>
      </c>
      <c r="T859" s="343" t="s">
        <v>3474</v>
      </c>
      <c r="X859" s="863"/>
      <c r="Y859" s="863"/>
    </row>
    <row r="860" spans="1:25" s="343" customFormat="1" ht="0.65" hidden="1" customHeight="1">
      <c r="A860" s="343">
        <v>5082</v>
      </c>
      <c r="O860" s="343">
        <v>42</v>
      </c>
      <c r="P860" s="343" t="s">
        <v>3475</v>
      </c>
      <c r="R860" s="863">
        <v>37500</v>
      </c>
      <c r="S860" s="863" t="s">
        <v>3738</v>
      </c>
      <c r="T860" s="343" t="s">
        <v>3476</v>
      </c>
      <c r="X860" s="863"/>
      <c r="Y860" s="863"/>
    </row>
    <row r="861" spans="1:25" s="343" customFormat="1" ht="0.65" hidden="1" customHeight="1">
      <c r="A861" s="343">
        <v>5083</v>
      </c>
      <c r="O861" s="343">
        <v>43</v>
      </c>
      <c r="P861" s="343" t="s">
        <v>3477</v>
      </c>
      <c r="R861" s="863">
        <v>37500</v>
      </c>
      <c r="S861" s="863" t="s">
        <v>3738</v>
      </c>
      <c r="T861" s="343" t="s">
        <v>3478</v>
      </c>
      <c r="X861" s="863"/>
      <c r="Y861" s="863"/>
    </row>
    <row r="862" spans="1:25" s="343" customFormat="1" ht="0.65" hidden="1" customHeight="1">
      <c r="A862" s="343">
        <v>5084</v>
      </c>
      <c r="O862" s="343">
        <v>44</v>
      </c>
      <c r="P862" s="343" t="s">
        <v>3479</v>
      </c>
      <c r="R862" s="863">
        <v>0</v>
      </c>
      <c r="S862" s="343" t="s">
        <v>3639</v>
      </c>
      <c r="T862" s="343" t="s">
        <v>3795</v>
      </c>
      <c r="X862" s="863"/>
      <c r="Y862" s="863"/>
    </row>
    <row r="863" spans="1:25" s="343" customFormat="1" ht="0.65" hidden="1" customHeight="1">
      <c r="A863" s="343">
        <v>5085</v>
      </c>
      <c r="O863" s="343">
        <v>45</v>
      </c>
      <c r="P863" s="343" t="s">
        <v>3482</v>
      </c>
      <c r="R863" s="863">
        <v>20000</v>
      </c>
      <c r="S863" s="863" t="s">
        <v>3740</v>
      </c>
      <c r="T863" s="343" t="s">
        <v>3483</v>
      </c>
      <c r="X863" s="863"/>
      <c r="Y863" s="863"/>
    </row>
    <row r="864" spans="1:25" s="343" customFormat="1" ht="0.65" hidden="1" customHeight="1">
      <c r="A864" s="343">
        <v>5086</v>
      </c>
      <c r="O864" s="343">
        <v>46</v>
      </c>
      <c r="P864" s="343" t="s">
        <v>3484</v>
      </c>
      <c r="R864" s="863">
        <v>20000</v>
      </c>
      <c r="S864" s="863" t="s">
        <v>3740</v>
      </c>
      <c r="T864" s="343" t="s">
        <v>3485</v>
      </c>
      <c r="X864" s="863"/>
      <c r="Y864" s="863"/>
    </row>
    <row r="865" spans="1:25" s="343" customFormat="1" ht="0.65" hidden="1" customHeight="1">
      <c r="A865" s="343">
        <v>5087</v>
      </c>
      <c r="O865" s="343">
        <v>47</v>
      </c>
      <c r="P865" s="343" t="s">
        <v>3486</v>
      </c>
      <c r="R865" s="863">
        <v>20000</v>
      </c>
      <c r="S865" s="863" t="s">
        <v>3740</v>
      </c>
      <c r="T865" s="343" t="s">
        <v>3487</v>
      </c>
      <c r="X865" s="863"/>
      <c r="Y865" s="863"/>
    </row>
    <row r="866" spans="1:25" s="343" customFormat="1" ht="0.65" hidden="1" customHeight="1">
      <c r="A866" s="343">
        <v>5088</v>
      </c>
      <c r="O866" s="343">
        <v>48</v>
      </c>
      <c r="P866" s="343" t="s">
        <v>3488</v>
      </c>
      <c r="R866" s="863">
        <v>20000</v>
      </c>
      <c r="S866" s="863" t="s">
        <v>3740</v>
      </c>
      <c r="T866" s="343" t="s">
        <v>3489</v>
      </c>
      <c r="X866" s="863"/>
      <c r="Y866" s="863"/>
    </row>
    <row r="867" spans="1:25" s="343" customFormat="1" ht="0.65" hidden="1" customHeight="1">
      <c r="A867" s="343">
        <v>5089</v>
      </c>
      <c r="O867" s="343">
        <v>49</v>
      </c>
      <c r="P867" s="343" t="s">
        <v>3490</v>
      </c>
      <c r="R867" s="863">
        <v>10000</v>
      </c>
      <c r="S867" s="863" t="s">
        <v>3796</v>
      </c>
      <c r="T867" s="343" t="s">
        <v>3492</v>
      </c>
      <c r="X867" s="863"/>
      <c r="Y867" s="863"/>
    </row>
    <row r="868" spans="1:25" s="343" customFormat="1" ht="0.65" hidden="1" customHeight="1">
      <c r="A868" s="343">
        <v>5090</v>
      </c>
      <c r="O868" s="343">
        <v>50</v>
      </c>
      <c r="P868" s="343" t="s">
        <v>3493</v>
      </c>
      <c r="R868" s="863">
        <v>27500</v>
      </c>
      <c r="S868" s="863" t="s">
        <v>3797</v>
      </c>
      <c r="T868" s="343" t="s">
        <v>3494</v>
      </c>
      <c r="X868" s="863"/>
      <c r="Y868" s="863"/>
    </row>
    <row r="869" spans="1:25" s="343" customFormat="1" ht="0.65" hidden="1" customHeight="1">
      <c r="A869" s="343">
        <v>5091</v>
      </c>
      <c r="O869" s="343">
        <v>51</v>
      </c>
      <c r="P869" s="343" t="s">
        <v>3495</v>
      </c>
      <c r="R869" s="863">
        <v>27500</v>
      </c>
      <c r="S869" s="863" t="s">
        <v>3797</v>
      </c>
      <c r="T869" s="343" t="s">
        <v>3496</v>
      </c>
      <c r="X869" s="863"/>
      <c r="Y869" s="863"/>
    </row>
    <row r="870" spans="1:25" s="343" customFormat="1" ht="0.65" hidden="1" customHeight="1">
      <c r="A870" s="343">
        <v>5092</v>
      </c>
      <c r="O870" s="343">
        <v>52</v>
      </c>
      <c r="P870" s="343" t="s">
        <v>3497</v>
      </c>
      <c r="R870" s="863">
        <v>27500</v>
      </c>
      <c r="S870" s="863" t="s">
        <v>3797</v>
      </c>
      <c r="T870" s="343" t="s">
        <v>3498</v>
      </c>
      <c r="X870" s="863"/>
      <c r="Y870" s="863"/>
    </row>
    <row r="871" spans="1:25" s="343" customFormat="1" ht="0.65" hidden="1" customHeight="1">
      <c r="A871" s="343">
        <v>5093</v>
      </c>
      <c r="O871" s="343">
        <v>53</v>
      </c>
      <c r="P871" s="343" t="s">
        <v>3499</v>
      </c>
      <c r="R871" s="863">
        <v>27500</v>
      </c>
      <c r="S871" s="863" t="s">
        <v>3797</v>
      </c>
      <c r="T871" s="343" t="s">
        <v>3500</v>
      </c>
      <c r="X871" s="863"/>
      <c r="Y871" s="863"/>
    </row>
    <row r="872" spans="1:25" s="343" customFormat="1" ht="0.65" hidden="1" customHeight="1">
      <c r="A872" s="343">
        <v>5094</v>
      </c>
      <c r="O872" s="343">
        <v>54</v>
      </c>
      <c r="P872" s="343" t="s">
        <v>3501</v>
      </c>
      <c r="R872" s="863">
        <v>10000</v>
      </c>
      <c r="S872" s="343" t="s">
        <v>3798</v>
      </c>
      <c r="T872" s="343" t="s">
        <v>3503</v>
      </c>
      <c r="X872" s="863"/>
      <c r="Y872" s="863"/>
    </row>
    <row r="873" spans="1:25" s="343" customFormat="1" ht="0.65" hidden="1" customHeight="1">
      <c r="A873" s="343">
        <v>5095</v>
      </c>
      <c r="O873" s="343">
        <v>55</v>
      </c>
      <c r="P873" s="343" t="s">
        <v>3504</v>
      </c>
      <c r="R873" s="863">
        <v>17500</v>
      </c>
      <c r="S873" s="343" t="s">
        <v>3799</v>
      </c>
      <c r="T873" s="343" t="s">
        <v>3506</v>
      </c>
      <c r="X873" s="863"/>
      <c r="Y873" s="863"/>
    </row>
    <row r="874" spans="1:25" s="343" customFormat="1" ht="0.65" hidden="1" customHeight="1">
      <c r="A874" s="343">
        <v>5096</v>
      </c>
      <c r="O874" s="343">
        <v>56</v>
      </c>
      <c r="P874" s="343" t="s">
        <v>3507</v>
      </c>
      <c r="R874" s="863">
        <v>0</v>
      </c>
      <c r="S874" s="343" t="s">
        <v>3800</v>
      </c>
      <c r="T874" s="343" t="s">
        <v>3508</v>
      </c>
      <c r="X874" s="863"/>
      <c r="Y874" s="863"/>
    </row>
    <row r="875" spans="1:25" s="343" customFormat="1" ht="0.65" hidden="1" customHeight="1">
      <c r="A875" s="343">
        <v>5097</v>
      </c>
      <c r="O875" s="343">
        <v>57</v>
      </c>
      <c r="P875" s="343" t="s">
        <v>3509</v>
      </c>
      <c r="R875" s="863">
        <v>0</v>
      </c>
      <c r="S875" s="343" t="s">
        <v>3800</v>
      </c>
      <c r="T875" s="343" t="s">
        <v>3510</v>
      </c>
      <c r="X875" s="863"/>
      <c r="Y875" s="863"/>
    </row>
    <row r="876" spans="1:25" s="343" customFormat="1" ht="0.65" hidden="1" customHeight="1">
      <c r="A876" s="343">
        <v>5098</v>
      </c>
      <c r="O876" s="343">
        <v>58</v>
      </c>
      <c r="P876" s="343" t="s">
        <v>3511</v>
      </c>
      <c r="R876" s="863">
        <v>0</v>
      </c>
      <c r="S876" s="343" t="s">
        <v>3800</v>
      </c>
      <c r="T876" s="343" t="s">
        <v>3512</v>
      </c>
      <c r="X876" s="863"/>
      <c r="Y876" s="863"/>
    </row>
    <row r="877" spans="1:25" s="343" customFormat="1" ht="0.65" hidden="1" customHeight="1">
      <c r="A877" s="343">
        <v>5099</v>
      </c>
      <c r="O877" s="343">
        <v>59</v>
      </c>
      <c r="P877" s="343" t="s">
        <v>3513</v>
      </c>
      <c r="R877" s="863">
        <v>2000</v>
      </c>
      <c r="S877" s="863" t="s">
        <v>3801</v>
      </c>
      <c r="T877" s="343" t="s">
        <v>3515</v>
      </c>
      <c r="X877" s="863"/>
      <c r="Y877" s="863"/>
    </row>
    <row r="878" spans="1:25" s="343" customFormat="1" ht="0.65" hidden="1" customHeight="1">
      <c r="A878" s="343">
        <v>5100</v>
      </c>
      <c r="O878" s="343">
        <v>60</v>
      </c>
      <c r="P878" s="343" t="s">
        <v>3516</v>
      </c>
      <c r="R878" s="863">
        <v>19500</v>
      </c>
      <c r="S878" s="863" t="s">
        <v>3802</v>
      </c>
      <c r="T878" s="343" t="s">
        <v>3517</v>
      </c>
      <c r="X878" s="863"/>
      <c r="Y878" s="863"/>
    </row>
    <row r="879" spans="1:25" s="343" customFormat="1" ht="0.65" hidden="1" customHeight="1">
      <c r="A879" s="343">
        <v>5101</v>
      </c>
      <c r="O879" s="343">
        <v>61</v>
      </c>
      <c r="P879" s="343" t="s">
        <v>3518</v>
      </c>
      <c r="R879" s="863">
        <v>19500</v>
      </c>
      <c r="S879" s="863" t="s">
        <v>3802</v>
      </c>
      <c r="T879" s="343" t="s">
        <v>3519</v>
      </c>
      <c r="X879" s="863"/>
      <c r="Y879" s="863"/>
    </row>
    <row r="880" spans="1:25" s="343" customFormat="1" ht="0.65" hidden="1" customHeight="1">
      <c r="A880" s="343">
        <v>5102</v>
      </c>
      <c r="O880" s="343">
        <v>62</v>
      </c>
      <c r="P880" s="343" t="s">
        <v>3520</v>
      </c>
      <c r="R880" s="863">
        <v>19500</v>
      </c>
      <c r="S880" s="863" t="s">
        <v>3802</v>
      </c>
      <c r="T880" s="343" t="s">
        <v>3521</v>
      </c>
      <c r="X880" s="863"/>
      <c r="Y880" s="863"/>
    </row>
    <row r="881" spans="1:25" s="343" customFormat="1" ht="0.65" hidden="1" customHeight="1">
      <c r="A881" s="343">
        <v>5103</v>
      </c>
      <c r="O881" s="343">
        <v>63</v>
      </c>
      <c r="P881" s="343" t="s">
        <v>3389</v>
      </c>
      <c r="R881" s="863">
        <v>27500</v>
      </c>
      <c r="S881" s="343" t="s">
        <v>3803</v>
      </c>
      <c r="T881" s="343" t="s">
        <v>3522</v>
      </c>
      <c r="X881" s="863"/>
      <c r="Y881" s="863"/>
    </row>
    <row r="882" spans="1:25" s="343" customFormat="1" ht="0.65" hidden="1" customHeight="1">
      <c r="A882" s="343">
        <v>5104</v>
      </c>
      <c r="O882" s="343">
        <v>64</v>
      </c>
      <c r="P882" s="343" t="s">
        <v>3704</v>
      </c>
      <c r="R882" s="863">
        <v>106000</v>
      </c>
      <c r="S882" s="343" t="s">
        <v>3804</v>
      </c>
      <c r="T882" s="343" t="s">
        <v>3748</v>
      </c>
      <c r="X882" s="863"/>
      <c r="Y882" s="863"/>
    </row>
    <row r="883" spans="1:25" s="343" customFormat="1" ht="0.65" hidden="1" customHeight="1">
      <c r="A883" s="343">
        <v>5105</v>
      </c>
      <c r="O883" s="343">
        <v>65</v>
      </c>
      <c r="P883" s="343" t="s">
        <v>3707</v>
      </c>
      <c r="R883" s="863">
        <v>0</v>
      </c>
      <c r="S883" s="343" t="s">
        <v>3805</v>
      </c>
      <c r="T883" s="343" t="s">
        <v>3806</v>
      </c>
      <c r="X883" s="863"/>
      <c r="Y883" s="863"/>
    </row>
    <row r="884" spans="1:25" s="343" customFormat="1" ht="0.65" hidden="1" customHeight="1">
      <c r="A884" s="343">
        <v>5106</v>
      </c>
      <c r="O884" s="343">
        <v>66</v>
      </c>
      <c r="P884" s="343" t="s">
        <v>55</v>
      </c>
      <c r="R884" s="863"/>
      <c r="X884" s="863"/>
      <c r="Y884" s="863"/>
    </row>
    <row r="885" spans="1:25" s="343" customFormat="1" ht="0.65" hidden="1" customHeight="1">
      <c r="A885" s="343">
        <v>5107</v>
      </c>
      <c r="O885" s="343">
        <v>67</v>
      </c>
      <c r="P885" s="343" t="s">
        <v>3394</v>
      </c>
      <c r="R885" s="863">
        <v>133500</v>
      </c>
      <c r="S885" s="343" t="s">
        <v>3807</v>
      </c>
      <c r="T885" s="343" t="s">
        <v>3752</v>
      </c>
      <c r="X885" s="863"/>
      <c r="Y885" s="863"/>
    </row>
    <row r="886" spans="1:25" s="343" customFormat="1" ht="0.65" hidden="1" customHeight="1">
      <c r="A886" s="343">
        <v>5108</v>
      </c>
      <c r="O886" s="343">
        <v>68</v>
      </c>
      <c r="P886" s="343" t="s">
        <v>3527</v>
      </c>
      <c r="R886" s="863">
        <v>-138000</v>
      </c>
      <c r="S886" s="343" t="s">
        <v>3808</v>
      </c>
      <c r="T886" s="343" t="s">
        <v>3529</v>
      </c>
      <c r="X886" s="863"/>
      <c r="Y886" s="863"/>
    </row>
    <row r="887" spans="1:25" s="343" customFormat="1" ht="0.65" hidden="1" customHeight="1">
      <c r="A887" s="343">
        <v>5109</v>
      </c>
      <c r="O887" s="343">
        <v>69</v>
      </c>
      <c r="P887" s="343" t="s">
        <v>3530</v>
      </c>
      <c r="R887" s="863">
        <v>2000</v>
      </c>
      <c r="S887" s="343" t="s">
        <v>3809</v>
      </c>
      <c r="T887" s="343" t="s">
        <v>3532</v>
      </c>
      <c r="X887" s="863"/>
      <c r="Y887" s="863"/>
    </row>
    <row r="888" spans="1:25" s="343" customFormat="1" ht="0.65" hidden="1" customHeight="1">
      <c r="A888" s="343">
        <v>5110</v>
      </c>
      <c r="O888" s="343">
        <v>70</v>
      </c>
      <c r="P888" s="343" t="s">
        <v>3533</v>
      </c>
      <c r="R888" s="863">
        <v>19500</v>
      </c>
      <c r="S888" s="343" t="s">
        <v>3810</v>
      </c>
      <c r="T888" s="343" t="s">
        <v>3534</v>
      </c>
      <c r="X888" s="863"/>
      <c r="Y888" s="863"/>
    </row>
    <row r="889" spans="1:25" s="343" customFormat="1" ht="0.65" hidden="1" customHeight="1">
      <c r="A889" s="343">
        <v>5111</v>
      </c>
      <c r="O889" s="343">
        <v>71</v>
      </c>
      <c r="P889" s="343" t="s">
        <v>3535</v>
      </c>
      <c r="R889" s="863">
        <v>19500</v>
      </c>
      <c r="S889" s="343" t="s">
        <v>3810</v>
      </c>
      <c r="T889" s="343" t="s">
        <v>3536</v>
      </c>
      <c r="X889" s="863"/>
      <c r="Y889" s="863"/>
    </row>
    <row r="890" spans="1:25" s="343" customFormat="1" ht="0.65" hidden="1" customHeight="1">
      <c r="A890" s="343">
        <v>5112</v>
      </c>
      <c r="O890" s="343">
        <v>72</v>
      </c>
      <c r="P890" s="343" t="s">
        <v>3537</v>
      </c>
      <c r="R890" s="863">
        <v>153000</v>
      </c>
      <c r="S890" s="343" t="s">
        <v>3811</v>
      </c>
      <c r="T890" s="343" t="s">
        <v>3539</v>
      </c>
      <c r="X890" s="863"/>
      <c r="Y890" s="863"/>
    </row>
    <row r="891" spans="1:25" s="343" customFormat="1" ht="0.65" hidden="1" customHeight="1">
      <c r="A891" s="343">
        <v>5113</v>
      </c>
      <c r="O891" s="343">
        <v>73</v>
      </c>
      <c r="P891" s="343" t="s">
        <v>3540</v>
      </c>
      <c r="R891" s="864">
        <v>0.1</v>
      </c>
      <c r="S891" s="343" t="s">
        <v>3541</v>
      </c>
      <c r="T891" s="343" t="s">
        <v>3542</v>
      </c>
      <c r="X891" s="863"/>
      <c r="Y891" s="863"/>
    </row>
    <row r="892" spans="1:25" s="343" customFormat="1" ht="0.65" hidden="1" customHeight="1">
      <c r="A892" s="343">
        <v>5114</v>
      </c>
      <c r="O892" s="343">
        <v>74</v>
      </c>
      <c r="P892" s="343" t="s">
        <v>13</v>
      </c>
      <c r="R892" s="863">
        <v>-914.41841404279694</v>
      </c>
      <c r="S892" s="343" t="s">
        <v>3812</v>
      </c>
      <c r="T892" s="343" t="s">
        <v>3544</v>
      </c>
      <c r="X892" s="863"/>
      <c r="Y892" s="863"/>
    </row>
    <row r="893" spans="1:25" s="343" customFormat="1" ht="0.65" hidden="1" customHeight="1">
      <c r="A893" s="343">
        <v>5115</v>
      </c>
      <c r="O893" s="343">
        <v>75</v>
      </c>
      <c r="P893" s="343" t="s">
        <v>28</v>
      </c>
      <c r="R893" s="864">
        <v>9.7980950591464389E-2</v>
      </c>
      <c r="S893" s="343" t="s">
        <v>3813</v>
      </c>
      <c r="T893" s="343" t="s">
        <v>3546</v>
      </c>
      <c r="X893" s="863"/>
      <c r="Y893" s="863"/>
    </row>
    <row r="894" spans="1:25" s="343" customFormat="1" ht="0.65" hidden="1" customHeight="1">
      <c r="A894" s="343">
        <v>5116</v>
      </c>
      <c r="X894" s="863"/>
      <c r="Y894" s="863"/>
    </row>
    <row r="895" spans="1:25" s="343" customFormat="1" ht="0.65" hidden="1" customHeight="1">
      <c r="A895" s="343">
        <v>5117</v>
      </c>
      <c r="O895" s="343">
        <v>1</v>
      </c>
      <c r="P895" s="343" t="s">
        <v>3814</v>
      </c>
      <c r="X895" s="863"/>
      <c r="Y895" s="863"/>
    </row>
    <row r="896" spans="1:25" s="343" customFormat="1" ht="0.65" hidden="1" customHeight="1">
      <c r="A896" s="343">
        <v>5118</v>
      </c>
      <c r="O896" s="343">
        <v>2</v>
      </c>
      <c r="P896" s="343" t="s">
        <v>3815</v>
      </c>
      <c r="X896" s="863"/>
      <c r="Y896" s="863"/>
    </row>
    <row r="897" spans="1:25" s="343" customFormat="1" ht="0.65" hidden="1" customHeight="1">
      <c r="A897" s="343">
        <v>5119</v>
      </c>
      <c r="O897" s="343">
        <v>3</v>
      </c>
      <c r="P897" s="343" t="s">
        <v>3816</v>
      </c>
      <c r="X897" s="863"/>
      <c r="Y897" s="863"/>
    </row>
    <row r="898" spans="1:25" s="343" customFormat="1" ht="0.65" hidden="1" customHeight="1">
      <c r="A898" s="343">
        <v>5120</v>
      </c>
      <c r="O898" s="343">
        <v>4</v>
      </c>
      <c r="P898" s="343" t="s">
        <v>3550</v>
      </c>
      <c r="X898" s="863"/>
      <c r="Y898" s="863"/>
    </row>
    <row r="899" spans="1:25" s="343" customFormat="1" ht="0.65" hidden="1" customHeight="1">
      <c r="A899" s="343">
        <v>5121</v>
      </c>
      <c r="O899" s="343">
        <v>5</v>
      </c>
      <c r="P899" s="343" t="s">
        <v>3817</v>
      </c>
      <c r="X899" s="863"/>
      <c r="Y899" s="863"/>
    </row>
    <row r="900" spans="1:25" s="343" customFormat="1" ht="0.65" hidden="1" customHeight="1">
      <c r="A900" s="343">
        <v>5122</v>
      </c>
      <c r="O900" s="343">
        <v>6</v>
      </c>
      <c r="P900" s="343" t="s">
        <v>3818</v>
      </c>
      <c r="X900" s="863"/>
      <c r="Y900" s="863"/>
    </row>
    <row r="901" spans="1:25" s="343" customFormat="1" ht="0.65" hidden="1" customHeight="1">
      <c r="A901" s="343">
        <v>5123</v>
      </c>
      <c r="O901" s="343">
        <v>7</v>
      </c>
      <c r="X901" s="863"/>
      <c r="Y901" s="863"/>
    </row>
    <row r="902" spans="1:25" s="343" customFormat="1" ht="0.65" hidden="1" customHeight="1">
      <c r="A902" s="343">
        <v>5124</v>
      </c>
      <c r="O902" s="343">
        <v>8</v>
      </c>
      <c r="X902" s="863"/>
      <c r="Y902" s="863"/>
    </row>
    <row r="903" spans="1:25" s="343" customFormat="1" ht="0.65" hidden="1" customHeight="1">
      <c r="A903" s="343">
        <v>5125</v>
      </c>
      <c r="O903" s="343">
        <v>9</v>
      </c>
      <c r="X903" s="863"/>
      <c r="Y903" s="863"/>
    </row>
    <row r="904" spans="1:25" s="343" customFormat="1" ht="0.65" hidden="1" customHeight="1">
      <c r="A904" s="343">
        <v>5126</v>
      </c>
      <c r="O904" s="343">
        <v>10</v>
      </c>
      <c r="X904" s="863"/>
      <c r="Y904" s="863"/>
    </row>
    <row r="905" spans="1:25" s="343" customFormat="1" ht="0.65" hidden="1" customHeight="1">
      <c r="A905" s="343">
        <v>5127</v>
      </c>
      <c r="X905" s="863"/>
      <c r="Y905" s="863"/>
    </row>
    <row r="906" spans="1:25" s="343" customFormat="1" ht="0.65" hidden="1" customHeight="1">
      <c r="A906" s="343">
        <v>5128</v>
      </c>
      <c r="X906" s="863"/>
      <c r="Y906" s="863"/>
    </row>
    <row r="907" spans="1:25" s="343" customFormat="1" ht="0.65" hidden="1" customHeight="1">
      <c r="A907" s="343">
        <v>5129</v>
      </c>
      <c r="X907" s="863"/>
      <c r="Y907" s="863"/>
    </row>
    <row r="908" spans="1:25" s="343" customFormat="1" ht="0.65" hidden="1" customHeight="1">
      <c r="A908" s="343">
        <v>5130</v>
      </c>
      <c r="X908" s="863"/>
      <c r="Y908" s="863"/>
    </row>
    <row r="909" spans="1:25" s="343" customFormat="1" ht="0.65" hidden="1" customHeight="1">
      <c r="A909" s="653">
        <v>1</v>
      </c>
      <c r="B909" s="653">
        <v>2</v>
      </c>
      <c r="C909" s="653">
        <v>3</v>
      </c>
      <c r="D909" s="653">
        <v>4</v>
      </c>
      <c r="E909" s="653">
        <v>5</v>
      </c>
      <c r="F909" s="653">
        <v>6</v>
      </c>
      <c r="G909" s="653">
        <v>7</v>
      </c>
      <c r="H909" s="653">
        <v>8</v>
      </c>
      <c r="I909" s="653">
        <v>9</v>
      </c>
      <c r="J909" s="653">
        <v>10</v>
      </c>
      <c r="K909" s="653">
        <v>11</v>
      </c>
      <c r="L909" s="653">
        <v>12</v>
      </c>
      <c r="M909" s="653">
        <v>13</v>
      </c>
      <c r="N909" s="653">
        <v>14</v>
      </c>
      <c r="O909" s="653">
        <v>15</v>
      </c>
      <c r="P909" s="653">
        <v>16</v>
      </c>
      <c r="Q909" s="653">
        <v>17</v>
      </c>
      <c r="R909" s="653">
        <v>18</v>
      </c>
      <c r="S909" s="653">
        <v>19</v>
      </c>
      <c r="T909" s="653">
        <v>20</v>
      </c>
      <c r="U909" s="653">
        <v>21</v>
      </c>
      <c r="V909" s="653">
        <v>22</v>
      </c>
      <c r="W909" s="653">
        <v>23</v>
      </c>
    </row>
    <row r="910" spans="1:25" s="343" customFormat="1" ht="0.65" hidden="1" customHeight="1">
      <c r="A910" s="343">
        <v>6</v>
      </c>
    </row>
    <row r="911" spans="1:25" s="343" customFormat="1" ht="0.65" hidden="1" customHeight="1">
      <c r="A911" s="343">
        <v>6001</v>
      </c>
      <c r="B911" s="343" t="s">
        <v>3819</v>
      </c>
      <c r="E911" s="343" t="s">
        <v>3820</v>
      </c>
      <c r="M911" s="863" t="s">
        <v>3820</v>
      </c>
      <c r="N911" s="863"/>
      <c r="O911" s="863"/>
      <c r="P911" s="863"/>
      <c r="Q911" s="863"/>
      <c r="R911" s="863"/>
      <c r="S911" s="863"/>
      <c r="T911" s="863"/>
      <c r="U911" s="863"/>
      <c r="V911" s="863"/>
    </row>
    <row r="912" spans="1:25" s="343" customFormat="1" ht="0.65" hidden="1" customHeight="1">
      <c r="A912" s="343">
        <v>6002</v>
      </c>
      <c r="F912" s="343" t="s">
        <v>463</v>
      </c>
      <c r="I912" s="343" t="s">
        <v>463</v>
      </c>
      <c r="M912" s="863"/>
      <c r="N912" s="865" t="s">
        <v>55</v>
      </c>
      <c r="O912" s="865" t="s">
        <v>55</v>
      </c>
      <c r="P912" s="865" t="s">
        <v>55</v>
      </c>
      <c r="Q912" s="865" t="s">
        <v>55</v>
      </c>
      <c r="R912" s="865" t="s">
        <v>55</v>
      </c>
      <c r="S912" s="865" t="s">
        <v>55</v>
      </c>
      <c r="T912" s="865" t="s">
        <v>55</v>
      </c>
      <c r="U912" s="865" t="s">
        <v>55</v>
      </c>
      <c r="V912" s="865" t="s">
        <v>55</v>
      </c>
    </row>
    <row r="913" spans="1:25" s="343" customFormat="1" ht="0.65" hidden="1" customHeight="1">
      <c r="A913" s="343">
        <v>6003</v>
      </c>
      <c r="B913" s="343" t="s">
        <v>3602</v>
      </c>
      <c r="E913" s="343" t="s">
        <v>3677</v>
      </c>
      <c r="F913" s="343" t="s">
        <v>463</v>
      </c>
      <c r="I913" s="343" t="s">
        <v>463</v>
      </c>
      <c r="M913" s="659"/>
      <c r="N913" s="866"/>
      <c r="O913" s="866"/>
      <c r="P913" s="866"/>
      <c r="Q913" s="866"/>
      <c r="R913" s="866"/>
      <c r="S913" s="866"/>
      <c r="T913" s="866"/>
      <c r="U913" s="866"/>
      <c r="V913" s="866"/>
    </row>
    <row r="914" spans="1:25" s="343" customFormat="1" ht="0.65" hidden="1" customHeight="1">
      <c r="A914" s="343">
        <v>6004</v>
      </c>
      <c r="B914" s="343" t="s">
        <v>3605</v>
      </c>
      <c r="F914" s="343" t="s">
        <v>463</v>
      </c>
      <c r="I914" s="343" t="s">
        <v>463</v>
      </c>
      <c r="M914" s="663"/>
      <c r="N914" s="343">
        <v>0</v>
      </c>
      <c r="O914" s="343">
        <v>0</v>
      </c>
      <c r="P914" s="343">
        <v>0</v>
      </c>
      <c r="Q914" s="343">
        <v>0</v>
      </c>
      <c r="R914" s="343">
        <v>0</v>
      </c>
      <c r="S914" s="343">
        <v>0</v>
      </c>
      <c r="T914" s="343">
        <v>0</v>
      </c>
      <c r="U914" s="343">
        <v>0</v>
      </c>
      <c r="V914" s="863">
        <v>-242000</v>
      </c>
    </row>
    <row r="915" spans="1:25" s="343" customFormat="1" ht="0.65" hidden="1" customHeight="1">
      <c r="A915" s="343">
        <v>6005</v>
      </c>
      <c r="B915" s="343" t="s">
        <v>3821</v>
      </c>
      <c r="E915" s="343" t="s">
        <v>3680</v>
      </c>
      <c r="F915" s="659">
        <v>200000</v>
      </c>
      <c r="H915" s="343" t="s">
        <v>3822</v>
      </c>
      <c r="I915" s="659">
        <v>300000</v>
      </c>
      <c r="M915" s="663"/>
      <c r="N915" s="863">
        <v>300000</v>
      </c>
      <c r="O915" s="863">
        <v>240000</v>
      </c>
      <c r="P915" s="863">
        <v>32500</v>
      </c>
      <c r="Q915" s="863">
        <v>27500</v>
      </c>
      <c r="R915" s="863">
        <v>8250</v>
      </c>
      <c r="S915" s="863">
        <v>19250</v>
      </c>
      <c r="T915" s="863">
        <v>51750</v>
      </c>
      <c r="U915" s="863">
        <v>16750</v>
      </c>
      <c r="V915" s="863">
        <v>16750</v>
      </c>
    </row>
    <row r="916" spans="1:25" s="343" customFormat="1" ht="0.65" hidden="1" customHeight="1">
      <c r="A916" s="343">
        <v>6006</v>
      </c>
      <c r="B916" s="343" t="s">
        <v>3823</v>
      </c>
      <c r="E916" s="343" t="s">
        <v>3681</v>
      </c>
      <c r="F916" s="659">
        <v>20000</v>
      </c>
      <c r="H916" s="343" t="s">
        <v>3824</v>
      </c>
      <c r="I916" s="659">
        <v>240000</v>
      </c>
      <c r="M916" s="663"/>
      <c r="N916" s="863">
        <v>300000</v>
      </c>
      <c r="O916" s="863">
        <v>240000</v>
      </c>
      <c r="P916" s="863">
        <v>32500</v>
      </c>
      <c r="Q916" s="863">
        <v>27500</v>
      </c>
      <c r="R916" s="863">
        <v>8250</v>
      </c>
      <c r="S916" s="863">
        <v>19250</v>
      </c>
      <c r="T916" s="863">
        <v>51750</v>
      </c>
      <c r="U916" s="863">
        <v>51750</v>
      </c>
      <c r="V916" s="863">
        <v>51750</v>
      </c>
    </row>
    <row r="917" spans="1:25" s="343" customFormat="1" ht="0.65" hidden="1" customHeight="1">
      <c r="A917" s="343">
        <v>6007</v>
      </c>
      <c r="B917" s="343" t="s">
        <v>3825</v>
      </c>
      <c r="E917" s="343" t="s">
        <v>3683</v>
      </c>
      <c r="F917" s="659">
        <v>100000</v>
      </c>
      <c r="I917" s="343" t="s">
        <v>463</v>
      </c>
      <c r="M917" s="663"/>
      <c r="N917" s="863">
        <v>300000</v>
      </c>
      <c r="O917" s="863">
        <v>240000</v>
      </c>
      <c r="P917" s="863">
        <v>32500</v>
      </c>
      <c r="Q917" s="863">
        <v>27500</v>
      </c>
      <c r="R917" s="863">
        <v>8250</v>
      </c>
      <c r="S917" s="863">
        <v>19250</v>
      </c>
      <c r="T917" s="863">
        <v>51750</v>
      </c>
      <c r="U917" s="863">
        <v>51750</v>
      </c>
      <c r="V917" s="863">
        <v>51750</v>
      </c>
    </row>
    <row r="918" spans="1:25" s="343" customFormat="1" ht="0.65" hidden="1" customHeight="1">
      <c r="A918" s="343">
        <v>6008</v>
      </c>
      <c r="B918" s="343" t="s">
        <v>3826</v>
      </c>
      <c r="F918" s="343" t="s">
        <v>463</v>
      </c>
      <c r="H918" s="343" t="s">
        <v>3371</v>
      </c>
      <c r="I918" s="653">
        <v>90</v>
      </c>
      <c r="M918" s="663"/>
      <c r="N918" s="863">
        <v>300000</v>
      </c>
      <c r="O918" s="863">
        <v>240000</v>
      </c>
      <c r="P918" s="863">
        <v>32500</v>
      </c>
      <c r="Q918" s="863">
        <v>27500</v>
      </c>
      <c r="R918" s="863">
        <v>8250</v>
      </c>
      <c r="S918" s="863">
        <v>19250</v>
      </c>
      <c r="T918" s="863">
        <v>51750</v>
      </c>
      <c r="U918" s="863">
        <v>51750</v>
      </c>
      <c r="V918" s="863">
        <v>212750</v>
      </c>
    </row>
    <row r="919" spans="1:25" s="343" customFormat="1" ht="0.65" hidden="1" customHeight="1">
      <c r="A919" s="343">
        <v>6009</v>
      </c>
      <c r="E919" s="343" t="s">
        <v>3692</v>
      </c>
      <c r="F919" s="343" t="s">
        <v>463</v>
      </c>
      <c r="H919" s="343" t="s">
        <v>3374</v>
      </c>
      <c r="I919" s="653">
        <v>60</v>
      </c>
      <c r="N919" s="865" t="s">
        <v>55</v>
      </c>
      <c r="O919" s="865" t="s">
        <v>55</v>
      </c>
      <c r="P919" s="865" t="s">
        <v>55</v>
      </c>
      <c r="Q919" s="865" t="s">
        <v>55</v>
      </c>
      <c r="R919" s="865" t="s">
        <v>55</v>
      </c>
      <c r="T919" s="653"/>
      <c r="U919" s="653"/>
      <c r="V919" s="653"/>
      <c r="W919" s="659"/>
      <c r="X919" s="659"/>
      <c r="Y919" s="659"/>
    </row>
    <row r="920" spans="1:25" s="343" customFormat="1" ht="0.65" hidden="1" customHeight="1">
      <c r="A920" s="343">
        <v>6010</v>
      </c>
      <c r="B920" s="343" t="s">
        <v>3827</v>
      </c>
      <c r="F920" s="343" t="s">
        <v>463</v>
      </c>
      <c r="H920" s="343" t="s">
        <v>3376</v>
      </c>
      <c r="I920" s="653">
        <v>30</v>
      </c>
      <c r="M920" s="659"/>
      <c r="N920" s="866"/>
      <c r="O920" s="866"/>
      <c r="P920" s="866"/>
      <c r="Q920" s="866"/>
      <c r="R920" s="866"/>
      <c r="U920" s="863"/>
      <c r="V920" s="863"/>
      <c r="W920" s="863"/>
      <c r="X920" s="863"/>
      <c r="Y920" s="863"/>
    </row>
    <row r="921" spans="1:25" s="343" customFormat="1" ht="0.65" hidden="1" customHeight="1">
      <c r="A921" s="343">
        <v>6011</v>
      </c>
      <c r="B921" s="343" t="s">
        <v>3828</v>
      </c>
      <c r="E921" s="343" t="s">
        <v>3694</v>
      </c>
      <c r="F921" s="659">
        <v>50000</v>
      </c>
      <c r="I921" s="343" t="s">
        <v>463</v>
      </c>
      <c r="M921" s="663"/>
      <c r="N921" s="863">
        <v>20000</v>
      </c>
      <c r="O921" s="863">
        <v>0</v>
      </c>
      <c r="P921" s="863">
        <v>0</v>
      </c>
      <c r="Q921" s="863">
        <v>20000</v>
      </c>
      <c r="R921" s="863">
        <v>20000</v>
      </c>
      <c r="U921" s="1064" t="s">
        <v>55</v>
      </c>
      <c r="V921" s="1064"/>
      <c r="W921" s="863"/>
      <c r="X921" s="863"/>
      <c r="Y921" s="863"/>
    </row>
    <row r="922" spans="1:25" s="343" customFormat="1" ht="0.65" hidden="1" customHeight="1">
      <c r="A922" s="343">
        <v>6012</v>
      </c>
      <c r="B922" s="343" t="s">
        <v>3829</v>
      </c>
      <c r="E922" s="343" t="s">
        <v>3696</v>
      </c>
      <c r="F922" s="659">
        <v>10000</v>
      </c>
      <c r="H922" s="343" t="s">
        <v>3380</v>
      </c>
      <c r="I922" s="358">
        <v>0.1</v>
      </c>
      <c r="M922" s="663"/>
      <c r="N922" s="863">
        <v>20000</v>
      </c>
      <c r="O922" s="863">
        <v>75000</v>
      </c>
      <c r="P922" s="863">
        <v>40000</v>
      </c>
      <c r="Q922" s="863">
        <v>55000</v>
      </c>
      <c r="R922" s="863">
        <v>35000</v>
      </c>
      <c r="U922" s="1064"/>
      <c r="V922" s="1064"/>
      <c r="W922" s="863"/>
      <c r="X922" s="863"/>
      <c r="Y922" s="863"/>
    </row>
    <row r="923" spans="1:25" s="343" customFormat="1" ht="0.65" hidden="1" customHeight="1">
      <c r="A923" s="343">
        <v>6013</v>
      </c>
      <c r="B923" s="343" t="s">
        <v>3830</v>
      </c>
      <c r="E923" s="343" t="s">
        <v>3698</v>
      </c>
      <c r="F923" s="659">
        <v>12500</v>
      </c>
      <c r="H923" s="343" t="s">
        <v>3381</v>
      </c>
      <c r="I923" s="358">
        <v>0.3</v>
      </c>
      <c r="M923" s="663"/>
      <c r="N923" s="863">
        <v>20000</v>
      </c>
      <c r="O923" s="863">
        <v>75000</v>
      </c>
      <c r="P923" s="863">
        <v>40000</v>
      </c>
      <c r="Q923" s="863">
        <v>55000</v>
      </c>
      <c r="R923" s="863">
        <v>0</v>
      </c>
      <c r="U923" s="1064"/>
      <c r="V923" s="1064"/>
      <c r="W923" s="863"/>
      <c r="X923" s="863"/>
      <c r="Y923" s="863"/>
    </row>
    <row r="924" spans="1:25" s="343" customFormat="1" ht="0.65" hidden="1" customHeight="1">
      <c r="A924" s="343">
        <v>6014</v>
      </c>
      <c r="B924" s="343" t="s">
        <v>3831</v>
      </c>
      <c r="E924" s="343" t="s">
        <v>3700</v>
      </c>
      <c r="F924" s="659">
        <v>0</v>
      </c>
      <c r="I924" s="343" t="s">
        <v>463</v>
      </c>
      <c r="M924" s="663"/>
      <c r="N924" s="863">
        <v>20000</v>
      </c>
      <c r="O924" s="863">
        <v>75000</v>
      </c>
      <c r="P924" s="863">
        <v>40000</v>
      </c>
      <c r="Q924" s="863">
        <v>55000</v>
      </c>
      <c r="R924" s="863">
        <v>0</v>
      </c>
      <c r="U924" s="1064"/>
      <c r="V924" s="1064"/>
      <c r="W924" s="863"/>
      <c r="X924" s="863"/>
      <c r="Y924" s="863"/>
    </row>
    <row r="925" spans="1:25" s="343" customFormat="1" ht="0.65" hidden="1" customHeight="1">
      <c r="A925" s="343">
        <v>6015</v>
      </c>
      <c r="F925" s="343" t="s">
        <v>463</v>
      </c>
      <c r="I925" s="343" t="s">
        <v>463</v>
      </c>
      <c r="M925" s="663"/>
      <c r="N925" s="863">
        <v>20000</v>
      </c>
      <c r="O925" s="863">
        <v>75000</v>
      </c>
      <c r="P925" s="863">
        <v>40000</v>
      </c>
      <c r="Q925" s="863">
        <v>55000</v>
      </c>
      <c r="R925" s="863">
        <v>0</v>
      </c>
      <c r="T925" s="863"/>
      <c r="U925" s="863"/>
      <c r="V925" s="863"/>
      <c r="W925" s="863"/>
      <c r="X925" s="863"/>
      <c r="Y925" s="863"/>
    </row>
    <row r="926" spans="1:25" s="343" customFormat="1" ht="0.65" hidden="1" customHeight="1">
      <c r="A926" s="343">
        <v>6016</v>
      </c>
      <c r="B926" s="343" t="s">
        <v>3832</v>
      </c>
      <c r="F926" s="343" t="s">
        <v>463</v>
      </c>
      <c r="I926" s="343" t="s">
        <v>463</v>
      </c>
      <c r="M926" s="863"/>
      <c r="N926" s="653"/>
      <c r="O926" s="653"/>
      <c r="P926" s="653"/>
      <c r="Q926" s="653"/>
      <c r="R926" s="653"/>
      <c r="S926" s="653"/>
      <c r="T926" s="863"/>
      <c r="V926" s="863"/>
      <c r="W926" s="863"/>
      <c r="X926" s="863"/>
    </row>
    <row r="927" spans="1:25" s="343" customFormat="1" ht="0.65" hidden="1" customHeight="1">
      <c r="A927" s="343">
        <v>6017</v>
      </c>
      <c r="B927" s="343" t="s">
        <v>3833</v>
      </c>
      <c r="F927" s="343" t="s">
        <v>463</v>
      </c>
      <c r="I927" s="343" t="s">
        <v>463</v>
      </c>
      <c r="M927" s="863"/>
      <c r="V927" s="863"/>
      <c r="W927" s="863"/>
      <c r="X927" s="863"/>
    </row>
    <row r="928" spans="1:25" s="343" customFormat="1" ht="0.65" hidden="1" customHeight="1">
      <c r="A928" s="343">
        <v>6018</v>
      </c>
      <c r="F928" s="343" t="s">
        <v>463</v>
      </c>
      <c r="I928" s="343" t="s">
        <v>463</v>
      </c>
      <c r="N928" s="863"/>
      <c r="O928" s="863"/>
      <c r="P928" s="865" t="s">
        <v>55</v>
      </c>
      <c r="T928" s="865" t="s">
        <v>55</v>
      </c>
      <c r="W928" s="865" t="s">
        <v>55</v>
      </c>
      <c r="X928" s="863"/>
    </row>
    <row r="929" spans="1:25" s="343" customFormat="1" ht="0.65" hidden="1" customHeight="1">
      <c r="A929" s="343">
        <v>6019</v>
      </c>
      <c r="B929" s="343" t="s">
        <v>3834</v>
      </c>
      <c r="F929" s="343" t="s">
        <v>463</v>
      </c>
      <c r="I929" s="343" t="s">
        <v>463</v>
      </c>
      <c r="N929" s="1061" t="s">
        <v>3835</v>
      </c>
      <c r="O929" s="1061"/>
      <c r="P929" s="863">
        <v>20000</v>
      </c>
      <c r="R929" s="1061" t="s">
        <v>3389</v>
      </c>
      <c r="S929" s="1061"/>
      <c r="T929" s="863">
        <v>55000</v>
      </c>
      <c r="X929" s="863"/>
    </row>
    <row r="930" spans="1:25" s="343" customFormat="1" ht="0.65" hidden="1" customHeight="1">
      <c r="A930" s="343">
        <v>6020</v>
      </c>
      <c r="F930" s="343" t="s">
        <v>463</v>
      </c>
      <c r="I930" s="343" t="s">
        <v>463</v>
      </c>
      <c r="M930" s="863"/>
      <c r="N930" s="1061" t="s">
        <v>3703</v>
      </c>
      <c r="O930" s="1061"/>
      <c r="P930" s="863">
        <v>200000</v>
      </c>
      <c r="R930" s="1061" t="s">
        <v>3704</v>
      </c>
      <c r="S930" s="1061"/>
      <c r="T930" s="863">
        <v>106000</v>
      </c>
      <c r="V930" s="662"/>
      <c r="W930" s="358">
        <v>0.1</v>
      </c>
      <c r="X930" s="863"/>
    </row>
    <row r="931" spans="1:25" s="343" customFormat="1" ht="0.65" hidden="1" customHeight="1">
      <c r="A931" s="343">
        <v>6021</v>
      </c>
      <c r="F931" s="343" t="s">
        <v>463</v>
      </c>
      <c r="I931" s="343" t="s">
        <v>463</v>
      </c>
      <c r="M931" s="863"/>
      <c r="N931" s="1061" t="s">
        <v>3779</v>
      </c>
      <c r="O931" s="1061"/>
      <c r="P931" s="863">
        <v>22000</v>
      </c>
      <c r="R931" s="1061" t="s">
        <v>3707</v>
      </c>
      <c r="S931" s="1061"/>
      <c r="T931" s="863">
        <v>0</v>
      </c>
    </row>
    <row r="932" spans="1:25" s="343" customFormat="1" ht="0.65" hidden="1" customHeight="1">
      <c r="A932" s="343">
        <v>6022</v>
      </c>
      <c r="F932" s="343" t="s">
        <v>463</v>
      </c>
      <c r="I932" s="343" t="s">
        <v>463</v>
      </c>
      <c r="M932" s="863"/>
      <c r="N932" s="1061"/>
      <c r="O932" s="1061"/>
      <c r="P932" s="863"/>
      <c r="R932" s="1061"/>
      <c r="S932" s="1061"/>
      <c r="T932" s="863"/>
      <c r="X932" s="863"/>
      <c r="Y932" s="863"/>
    </row>
    <row r="933" spans="1:25" s="343" customFormat="1" ht="0.65" hidden="1" customHeight="1">
      <c r="A933" s="343">
        <v>6023</v>
      </c>
      <c r="F933" s="343" t="s">
        <v>463</v>
      </c>
      <c r="I933" s="343" t="s">
        <v>463</v>
      </c>
      <c r="M933" s="863"/>
      <c r="N933" s="867"/>
      <c r="Q933" s="863"/>
      <c r="R933" s="868"/>
      <c r="S933" s="863"/>
      <c r="T933" s="863"/>
      <c r="U933" s="863"/>
      <c r="V933" s="662"/>
      <c r="W933" s="659">
        <v>187.52134417043999</v>
      </c>
      <c r="X933" s="863"/>
      <c r="Y933" s="863"/>
    </row>
    <row r="934" spans="1:25" s="343" customFormat="1" ht="0.65" hidden="1" customHeight="1">
      <c r="A934" s="343">
        <v>6024</v>
      </c>
      <c r="F934" s="343" t="s">
        <v>463</v>
      </c>
      <c r="I934" s="343" t="s">
        <v>463</v>
      </c>
      <c r="M934" s="863"/>
      <c r="N934" s="1062" t="s">
        <v>129</v>
      </c>
      <c r="O934" s="1062"/>
      <c r="P934" s="863">
        <v>242000</v>
      </c>
      <c r="Q934" s="863"/>
      <c r="R934" s="1062" t="s">
        <v>3394</v>
      </c>
      <c r="S934" s="1062"/>
      <c r="T934" s="863">
        <v>161000</v>
      </c>
      <c r="V934" s="869"/>
      <c r="W934" s="358">
        <v>0.10025841655564194</v>
      </c>
      <c r="X934" s="863"/>
      <c r="Y934" s="863"/>
    </row>
    <row r="935" spans="1:25" s="343" customFormat="1" ht="0.65" hidden="1" customHeight="1">
      <c r="A935" s="343">
        <v>6025</v>
      </c>
      <c r="F935" s="343" t="s">
        <v>463</v>
      </c>
      <c r="I935" s="343" t="s">
        <v>463</v>
      </c>
      <c r="N935" s="863"/>
      <c r="P935" s="653"/>
      <c r="T935" s="653"/>
      <c r="W935" s="653"/>
      <c r="X935" s="863"/>
      <c r="Y935" s="863"/>
    </row>
    <row r="936" spans="1:25" s="343" customFormat="1" ht="0.65" hidden="1" customHeight="1">
      <c r="A936" s="343">
        <v>6026</v>
      </c>
      <c r="F936" s="343" t="s">
        <v>463</v>
      </c>
      <c r="I936" s="343" t="s">
        <v>463</v>
      </c>
      <c r="X936" s="863"/>
      <c r="Y936" s="863"/>
    </row>
    <row r="937" spans="1:25" s="343" customFormat="1" ht="0.65" hidden="1" customHeight="1">
      <c r="A937" s="343">
        <v>6027</v>
      </c>
      <c r="F937" s="343" t="s">
        <v>463</v>
      </c>
      <c r="I937" s="343" t="s">
        <v>463</v>
      </c>
      <c r="X937" s="863"/>
      <c r="Y937" s="863"/>
    </row>
    <row r="938" spans="1:25" s="343" customFormat="1" ht="0.65" hidden="1" customHeight="1">
      <c r="A938" s="343">
        <v>6028</v>
      </c>
      <c r="F938" s="343" t="s">
        <v>463</v>
      </c>
      <c r="I938" s="343" t="s">
        <v>463</v>
      </c>
      <c r="X938" s="863"/>
      <c r="Y938" s="863"/>
    </row>
    <row r="939" spans="1:25" s="343" customFormat="1" ht="0.65" hidden="1" customHeight="1">
      <c r="A939" s="343">
        <v>6029</v>
      </c>
      <c r="F939" s="343" t="s">
        <v>463</v>
      </c>
      <c r="I939" s="343" t="s">
        <v>463</v>
      </c>
      <c r="X939" s="863"/>
      <c r="Y939" s="863"/>
    </row>
    <row r="940" spans="1:25" s="343" customFormat="1" ht="0.65" hidden="1" customHeight="1">
      <c r="A940" s="343">
        <v>6030</v>
      </c>
      <c r="F940" s="343" t="s">
        <v>463</v>
      </c>
      <c r="I940" s="343" t="s">
        <v>463</v>
      </c>
      <c r="X940" s="863"/>
      <c r="Y940" s="863"/>
    </row>
    <row r="941" spans="1:25" s="343" customFormat="1" ht="0.65" hidden="1" customHeight="1">
      <c r="A941" s="343">
        <v>6031</v>
      </c>
      <c r="F941" s="343" t="s">
        <v>463</v>
      </c>
      <c r="I941" s="343" t="s">
        <v>463</v>
      </c>
      <c r="X941" s="863"/>
      <c r="Y941" s="863"/>
    </row>
    <row r="942" spans="1:25" s="343" customFormat="1" ht="0.65" hidden="1" customHeight="1">
      <c r="A942" s="343">
        <v>6032</v>
      </c>
      <c r="F942" s="343" t="s">
        <v>463</v>
      </c>
      <c r="I942" s="343" t="s">
        <v>463</v>
      </c>
      <c r="X942" s="863"/>
      <c r="Y942" s="863"/>
    </row>
    <row r="943" spans="1:25" s="343" customFormat="1" ht="0.65" hidden="1" customHeight="1">
      <c r="A943" s="343">
        <v>6033</v>
      </c>
      <c r="F943" s="343" t="s">
        <v>463</v>
      </c>
      <c r="I943" s="343" t="s">
        <v>463</v>
      </c>
      <c r="X943" s="863"/>
      <c r="Y943" s="863"/>
    </row>
    <row r="944" spans="1:25" s="343" customFormat="1" ht="0.65" hidden="1" customHeight="1">
      <c r="A944" s="343">
        <v>6034</v>
      </c>
      <c r="F944" s="343" t="s">
        <v>463</v>
      </c>
      <c r="I944" s="343" t="s">
        <v>463</v>
      </c>
      <c r="X944" s="863"/>
      <c r="Y944" s="863"/>
    </row>
    <row r="945" spans="1:25" s="343" customFormat="1" ht="0.65" hidden="1" customHeight="1">
      <c r="A945" s="343">
        <v>6035</v>
      </c>
      <c r="F945" s="343" t="s">
        <v>463</v>
      </c>
      <c r="I945" s="343" t="s">
        <v>463</v>
      </c>
      <c r="X945" s="863"/>
      <c r="Y945" s="863"/>
    </row>
    <row r="946" spans="1:25" s="343" customFormat="1" ht="0.65" hidden="1" customHeight="1">
      <c r="A946" s="343">
        <v>6036</v>
      </c>
      <c r="F946" s="343" t="s">
        <v>463</v>
      </c>
      <c r="I946" s="343" t="s">
        <v>463</v>
      </c>
      <c r="X946" s="863"/>
      <c r="Y946" s="863"/>
    </row>
    <row r="947" spans="1:25" s="343" customFormat="1" ht="0.65" hidden="1" customHeight="1">
      <c r="A947" s="343">
        <v>6037</v>
      </c>
      <c r="F947" s="343" t="s">
        <v>463</v>
      </c>
      <c r="I947" s="343" t="s">
        <v>463</v>
      </c>
      <c r="X947" s="863"/>
      <c r="Y947" s="863"/>
    </row>
    <row r="948" spans="1:25" s="343" customFormat="1" ht="0.65" hidden="1" customHeight="1">
      <c r="A948" s="343">
        <v>6038</v>
      </c>
      <c r="F948" s="343" t="s">
        <v>463</v>
      </c>
      <c r="I948" s="343" t="s">
        <v>463</v>
      </c>
      <c r="X948" s="863"/>
      <c r="Y948" s="863"/>
    </row>
    <row r="949" spans="1:25" s="343" customFormat="1" ht="0.65" hidden="1" customHeight="1">
      <c r="A949" s="343">
        <v>6039</v>
      </c>
    </row>
    <row r="950" spans="1:25" s="343" customFormat="1" ht="0.65" hidden="1" customHeight="1">
      <c r="A950" s="343">
        <v>6040</v>
      </c>
      <c r="X950" s="863"/>
      <c r="Y950" s="863"/>
    </row>
    <row r="951" spans="1:25" s="343" customFormat="1" ht="0.65" hidden="1" customHeight="1">
      <c r="A951" s="343">
        <v>6041</v>
      </c>
      <c r="M951" s="343">
        <v>0</v>
      </c>
      <c r="O951" s="343">
        <v>1</v>
      </c>
      <c r="P951" s="343" t="s">
        <v>3701</v>
      </c>
      <c r="R951" s="863">
        <v>20000</v>
      </c>
      <c r="S951" s="343" t="s">
        <v>3459</v>
      </c>
      <c r="T951" s="343" t="s">
        <v>3836</v>
      </c>
      <c r="X951" s="863"/>
      <c r="Y951" s="863"/>
    </row>
    <row r="952" spans="1:25" s="343" customFormat="1" ht="0.65" hidden="1" customHeight="1">
      <c r="A952" s="343">
        <v>6042</v>
      </c>
      <c r="O952" s="343">
        <v>2</v>
      </c>
      <c r="P952" s="343" t="s">
        <v>3703</v>
      </c>
      <c r="R952" s="863">
        <v>200000</v>
      </c>
      <c r="S952" s="343" t="s">
        <v>3714</v>
      </c>
      <c r="T952" s="343" t="s">
        <v>3715</v>
      </c>
      <c r="X952" s="863"/>
      <c r="Y952" s="863"/>
    </row>
    <row r="953" spans="1:25" s="343" customFormat="1" ht="0.65" hidden="1" customHeight="1">
      <c r="A953" s="343">
        <v>6043</v>
      </c>
      <c r="O953" s="343">
        <v>3</v>
      </c>
      <c r="P953" s="343" t="s">
        <v>3779</v>
      </c>
      <c r="R953" s="863">
        <v>22000</v>
      </c>
      <c r="S953" s="343" t="s">
        <v>3718</v>
      </c>
      <c r="T953" s="343" t="s">
        <v>3719</v>
      </c>
      <c r="X953" s="863"/>
      <c r="Y953" s="863"/>
    </row>
    <row r="954" spans="1:25" s="343" customFormat="1" ht="0.65" hidden="1" customHeight="1">
      <c r="A954" s="343">
        <v>6044</v>
      </c>
      <c r="O954" s="343">
        <v>4</v>
      </c>
      <c r="P954" s="343" t="s">
        <v>55</v>
      </c>
      <c r="R954" s="863"/>
      <c r="X954" s="863"/>
      <c r="Y954" s="863"/>
    </row>
    <row r="955" spans="1:25" s="343" customFormat="1" ht="0.65" hidden="1" customHeight="1">
      <c r="A955" s="343">
        <v>6045</v>
      </c>
      <c r="O955" s="343">
        <v>5</v>
      </c>
      <c r="P955" s="343" t="s">
        <v>129</v>
      </c>
      <c r="R955" s="863">
        <v>242000</v>
      </c>
      <c r="S955" s="343" t="s">
        <v>3837</v>
      </c>
      <c r="T955" s="343" t="s">
        <v>3838</v>
      </c>
      <c r="X955" s="863"/>
      <c r="Y955" s="863"/>
    </row>
    <row r="956" spans="1:25" s="343" customFormat="1" ht="0.65" hidden="1" customHeight="1">
      <c r="A956" s="343">
        <v>6046</v>
      </c>
      <c r="O956" s="343">
        <v>6</v>
      </c>
      <c r="P956" s="343" t="s">
        <v>3404</v>
      </c>
      <c r="R956" s="863">
        <v>300000</v>
      </c>
      <c r="S956" s="343" t="s">
        <v>3405</v>
      </c>
      <c r="T956" s="343" t="s">
        <v>3839</v>
      </c>
      <c r="X956" s="863"/>
      <c r="Y956" s="863"/>
    </row>
    <row r="957" spans="1:25" s="343" customFormat="1" ht="0.65" hidden="1" customHeight="1">
      <c r="A957" s="343">
        <v>6047</v>
      </c>
      <c r="O957" s="343">
        <v>7</v>
      </c>
      <c r="P957" s="343" t="s">
        <v>3407</v>
      </c>
      <c r="R957" s="863">
        <v>300000</v>
      </c>
      <c r="S957" s="343" t="s">
        <v>3405</v>
      </c>
      <c r="T957" s="343" t="s">
        <v>3839</v>
      </c>
      <c r="X957" s="863"/>
      <c r="Y957" s="863"/>
    </row>
    <row r="958" spans="1:25" s="343" customFormat="1" ht="0.65" hidden="1" customHeight="1">
      <c r="A958" s="343">
        <v>6048</v>
      </c>
      <c r="O958" s="343">
        <v>8</v>
      </c>
      <c r="P958" s="343" t="s">
        <v>3408</v>
      </c>
      <c r="R958" s="863">
        <v>300000</v>
      </c>
      <c r="S958" s="343" t="s">
        <v>3405</v>
      </c>
      <c r="T958" s="343" t="s">
        <v>3839</v>
      </c>
      <c r="X958" s="863"/>
      <c r="Y958" s="863"/>
    </row>
    <row r="959" spans="1:25" s="343" customFormat="1" ht="0.65" hidden="1" customHeight="1">
      <c r="A959" s="343">
        <v>6049</v>
      </c>
      <c r="O959" s="343">
        <v>9</v>
      </c>
      <c r="P959" s="343" t="s">
        <v>3409</v>
      </c>
      <c r="R959" s="863">
        <v>300000</v>
      </c>
      <c r="S959" s="343" t="s">
        <v>3405</v>
      </c>
      <c r="T959" s="343" t="s">
        <v>3839</v>
      </c>
      <c r="X959" s="863"/>
      <c r="Y959" s="863"/>
    </row>
    <row r="960" spans="1:25" s="343" customFormat="1" ht="0.65" hidden="1" customHeight="1">
      <c r="A960" s="343">
        <v>6050</v>
      </c>
      <c r="O960" s="343">
        <v>10</v>
      </c>
      <c r="P960" s="343" t="s">
        <v>3410</v>
      </c>
      <c r="R960" s="863">
        <v>240000</v>
      </c>
      <c r="S960" s="343" t="s">
        <v>3411</v>
      </c>
      <c r="T960" s="343" t="s">
        <v>3840</v>
      </c>
      <c r="X960" s="863"/>
      <c r="Y960" s="863"/>
    </row>
    <row r="961" spans="1:25" s="343" customFormat="1" ht="0.65" hidden="1" customHeight="1">
      <c r="A961" s="343">
        <v>6051</v>
      </c>
      <c r="O961" s="343">
        <v>11</v>
      </c>
      <c r="P961" s="343" t="s">
        <v>3413</v>
      </c>
      <c r="R961" s="863">
        <v>240000</v>
      </c>
      <c r="S961" s="343" t="s">
        <v>3411</v>
      </c>
      <c r="T961" s="343" t="s">
        <v>3840</v>
      </c>
      <c r="X961" s="863"/>
      <c r="Y961" s="863"/>
    </row>
    <row r="962" spans="1:25" s="343" customFormat="1" ht="0.65" hidden="1" customHeight="1">
      <c r="A962" s="343">
        <v>6052</v>
      </c>
      <c r="O962" s="343">
        <v>12</v>
      </c>
      <c r="P962" s="343" t="s">
        <v>3414</v>
      </c>
      <c r="R962" s="863">
        <v>240000</v>
      </c>
      <c r="S962" s="343" t="s">
        <v>3411</v>
      </c>
      <c r="T962" s="343" t="s">
        <v>3840</v>
      </c>
      <c r="X962" s="863"/>
      <c r="Y962" s="863"/>
    </row>
    <row r="963" spans="1:25" s="343" customFormat="1" ht="0.65" hidden="1" customHeight="1">
      <c r="A963" s="343">
        <v>6053</v>
      </c>
      <c r="O963" s="343">
        <v>13</v>
      </c>
      <c r="P963" s="343" t="s">
        <v>3415</v>
      </c>
      <c r="R963" s="863">
        <v>240000</v>
      </c>
      <c r="S963" s="343" t="s">
        <v>3411</v>
      </c>
      <c r="T963" s="343" t="s">
        <v>3840</v>
      </c>
      <c r="X963" s="863"/>
      <c r="Y963" s="863"/>
    </row>
    <row r="964" spans="1:25" s="343" customFormat="1" ht="0.65" hidden="1" customHeight="1">
      <c r="A964" s="343">
        <v>6054</v>
      </c>
      <c r="O964" s="343">
        <v>14</v>
      </c>
      <c r="P964" s="343" t="s">
        <v>3416</v>
      </c>
      <c r="R964" s="863">
        <v>32500</v>
      </c>
      <c r="S964" s="343" t="s">
        <v>3841</v>
      </c>
      <c r="T964" s="343" t="s">
        <v>3842</v>
      </c>
      <c r="X964" s="863"/>
      <c r="Y964" s="863"/>
    </row>
    <row r="965" spans="1:25" s="343" customFormat="1" ht="0.65" hidden="1" customHeight="1">
      <c r="A965" s="343">
        <v>6055</v>
      </c>
      <c r="O965" s="343">
        <v>15</v>
      </c>
      <c r="P965" s="343" t="s">
        <v>3419</v>
      </c>
      <c r="R965" s="863">
        <v>32500</v>
      </c>
      <c r="S965" s="343" t="s">
        <v>3841</v>
      </c>
      <c r="T965" s="343" t="s">
        <v>3842</v>
      </c>
      <c r="X965" s="863"/>
      <c r="Y965" s="863"/>
    </row>
    <row r="966" spans="1:25" s="343" customFormat="1" ht="0.65" hidden="1" customHeight="1">
      <c r="A966" s="343">
        <v>6056</v>
      </c>
      <c r="O966" s="343">
        <v>16</v>
      </c>
      <c r="P966" s="343" t="s">
        <v>3420</v>
      </c>
      <c r="R966" s="863">
        <v>32500</v>
      </c>
      <c r="S966" s="343" t="s">
        <v>3841</v>
      </c>
      <c r="T966" s="343" t="s">
        <v>3842</v>
      </c>
      <c r="X966" s="863"/>
      <c r="Y966" s="863"/>
    </row>
    <row r="967" spans="1:25" s="343" customFormat="1" ht="0.65" hidden="1" customHeight="1">
      <c r="A967" s="343">
        <v>6057</v>
      </c>
      <c r="O967" s="343">
        <v>17</v>
      </c>
      <c r="P967" s="343" t="s">
        <v>3421</v>
      </c>
      <c r="R967" s="863">
        <v>32500</v>
      </c>
      <c r="S967" s="343" t="s">
        <v>3841</v>
      </c>
      <c r="T967" s="343" t="s">
        <v>3842</v>
      </c>
      <c r="X967" s="863"/>
      <c r="Y967" s="863"/>
    </row>
    <row r="968" spans="1:25" s="343" customFormat="1" ht="0.65" hidden="1" customHeight="1">
      <c r="A968" s="343">
        <v>6058</v>
      </c>
      <c r="O968" s="343">
        <v>18</v>
      </c>
      <c r="P968" s="343" t="s">
        <v>3422</v>
      </c>
      <c r="R968" s="863">
        <v>27500</v>
      </c>
      <c r="S968" s="343" t="s">
        <v>3843</v>
      </c>
      <c r="T968" s="343" t="s">
        <v>3424</v>
      </c>
      <c r="X968" s="863"/>
      <c r="Y968" s="863"/>
    </row>
    <row r="969" spans="1:25" s="343" customFormat="1" ht="0.65" hidden="1" customHeight="1">
      <c r="A969" s="343">
        <v>6059</v>
      </c>
      <c r="O969" s="343">
        <v>19</v>
      </c>
      <c r="P969" s="343" t="s">
        <v>3425</v>
      </c>
      <c r="R969" s="863">
        <v>27500</v>
      </c>
      <c r="S969" s="343" t="s">
        <v>3843</v>
      </c>
      <c r="T969" s="343" t="s">
        <v>3426</v>
      </c>
      <c r="X969" s="863"/>
      <c r="Y969" s="863"/>
    </row>
    <row r="970" spans="1:25" s="343" customFormat="1" ht="0.65" hidden="1" customHeight="1">
      <c r="A970" s="343">
        <v>6060</v>
      </c>
      <c r="O970" s="343">
        <v>20</v>
      </c>
      <c r="P970" s="343" t="s">
        <v>3427</v>
      </c>
      <c r="R970" s="863">
        <v>27500</v>
      </c>
      <c r="S970" s="343" t="s">
        <v>3843</v>
      </c>
      <c r="T970" s="343" t="s">
        <v>3428</v>
      </c>
      <c r="X970" s="863"/>
      <c r="Y970" s="863"/>
    </row>
    <row r="971" spans="1:25" s="343" customFormat="1" ht="0.65" hidden="1" customHeight="1">
      <c r="A971" s="343">
        <v>6061</v>
      </c>
      <c r="O971" s="343">
        <v>21</v>
      </c>
      <c r="P971" s="343" t="s">
        <v>3429</v>
      </c>
      <c r="R971" s="863">
        <v>27500</v>
      </c>
      <c r="S971" s="343" t="s">
        <v>3843</v>
      </c>
      <c r="T971" s="343" t="s">
        <v>3430</v>
      </c>
      <c r="X971" s="863"/>
      <c r="Y971" s="863"/>
    </row>
    <row r="972" spans="1:25" s="343" customFormat="1" ht="0.65" hidden="1" customHeight="1">
      <c r="A972" s="343">
        <v>6062</v>
      </c>
      <c r="O972" s="343">
        <v>22</v>
      </c>
      <c r="P972" s="343" t="s">
        <v>3431</v>
      </c>
      <c r="R972" s="863">
        <v>8250</v>
      </c>
      <c r="S972" s="343" t="s">
        <v>3844</v>
      </c>
      <c r="T972" s="343" t="s">
        <v>3433</v>
      </c>
      <c r="X972" s="863"/>
      <c r="Y972" s="863"/>
    </row>
    <row r="973" spans="1:25" s="343" customFormat="1" ht="0.65" hidden="1" customHeight="1">
      <c r="A973" s="343">
        <v>6063</v>
      </c>
      <c r="O973" s="343">
        <v>23</v>
      </c>
      <c r="P973" s="343" t="s">
        <v>3434</v>
      </c>
      <c r="R973" s="863">
        <v>8250</v>
      </c>
      <c r="S973" s="343" t="s">
        <v>3844</v>
      </c>
      <c r="T973" s="343" t="s">
        <v>3435</v>
      </c>
      <c r="X973" s="863"/>
      <c r="Y973" s="863"/>
    </row>
    <row r="974" spans="1:25" s="343" customFormat="1" ht="0.65" hidden="1" customHeight="1">
      <c r="A974" s="343">
        <v>6064</v>
      </c>
      <c r="O974" s="343">
        <v>24</v>
      </c>
      <c r="P974" s="343" t="s">
        <v>3436</v>
      </c>
      <c r="R974" s="863">
        <v>8250</v>
      </c>
      <c r="S974" s="343" t="s">
        <v>3844</v>
      </c>
      <c r="T974" s="343" t="s">
        <v>3437</v>
      </c>
      <c r="X974" s="863"/>
      <c r="Y974" s="863"/>
    </row>
    <row r="975" spans="1:25" s="343" customFormat="1" ht="0.65" hidden="1" customHeight="1">
      <c r="A975" s="343">
        <v>6065</v>
      </c>
      <c r="O975" s="343">
        <v>25</v>
      </c>
      <c r="P975" s="343" t="s">
        <v>3438</v>
      </c>
      <c r="R975" s="863">
        <v>8250</v>
      </c>
      <c r="S975" s="343" t="s">
        <v>3844</v>
      </c>
      <c r="T975" s="343" t="s">
        <v>3439</v>
      </c>
      <c r="X975" s="863"/>
      <c r="Y975" s="863"/>
    </row>
    <row r="976" spans="1:25" s="343" customFormat="1" ht="0.65" hidden="1" customHeight="1">
      <c r="A976" s="343">
        <v>6066</v>
      </c>
      <c r="O976" s="343">
        <v>26</v>
      </c>
      <c r="P976" s="343" t="s">
        <v>3440</v>
      </c>
      <c r="R976" s="863">
        <v>19250</v>
      </c>
      <c r="S976" s="343" t="s">
        <v>3845</v>
      </c>
      <c r="T976" s="343" t="s">
        <v>3442</v>
      </c>
      <c r="X976" s="863"/>
      <c r="Y976" s="863"/>
    </row>
    <row r="977" spans="1:25" s="343" customFormat="1" ht="0.65" hidden="1" customHeight="1">
      <c r="A977" s="343">
        <v>6067</v>
      </c>
      <c r="O977" s="343">
        <v>27</v>
      </c>
      <c r="P977" s="343" t="s">
        <v>3443</v>
      </c>
      <c r="R977" s="863">
        <v>19250</v>
      </c>
      <c r="S977" s="343" t="s">
        <v>3845</v>
      </c>
      <c r="T977" s="343" t="s">
        <v>3444</v>
      </c>
      <c r="X977" s="863"/>
      <c r="Y977" s="863"/>
    </row>
    <row r="978" spans="1:25" s="343" customFormat="1" ht="0.65" hidden="1" customHeight="1">
      <c r="A978" s="343">
        <v>6068</v>
      </c>
      <c r="O978" s="343">
        <v>28</v>
      </c>
      <c r="P978" s="343" t="s">
        <v>3445</v>
      </c>
      <c r="R978" s="863">
        <v>19250</v>
      </c>
      <c r="S978" s="343" t="s">
        <v>3845</v>
      </c>
      <c r="T978" s="343" t="s">
        <v>3446</v>
      </c>
      <c r="X978" s="863"/>
      <c r="Y978" s="863"/>
    </row>
    <row r="979" spans="1:25" s="343" customFormat="1" ht="0.65" hidden="1" customHeight="1">
      <c r="A979" s="343">
        <v>6069</v>
      </c>
      <c r="O979" s="343">
        <v>29</v>
      </c>
      <c r="P979" s="343" t="s">
        <v>3447</v>
      </c>
      <c r="R979" s="863">
        <v>19250</v>
      </c>
      <c r="S979" s="343" t="s">
        <v>3845</v>
      </c>
      <c r="T979" s="343" t="s">
        <v>3448</v>
      </c>
      <c r="X979" s="863"/>
      <c r="Y979" s="863"/>
    </row>
    <row r="980" spans="1:25" s="343" customFormat="1" ht="0.65" hidden="1" customHeight="1">
      <c r="A980" s="343">
        <v>6070</v>
      </c>
      <c r="O980" s="343">
        <v>30</v>
      </c>
      <c r="P980" s="343" t="s">
        <v>3449</v>
      </c>
      <c r="R980" s="863">
        <v>51750</v>
      </c>
      <c r="S980" s="863" t="s">
        <v>3846</v>
      </c>
      <c r="T980" s="343" t="s">
        <v>3451</v>
      </c>
      <c r="X980" s="863"/>
      <c r="Y980" s="863"/>
    </row>
    <row r="981" spans="1:25" s="343" customFormat="1" ht="0.65" hidden="1" customHeight="1">
      <c r="A981" s="343">
        <v>6071</v>
      </c>
      <c r="O981" s="343">
        <v>31</v>
      </c>
      <c r="P981" s="343" t="s">
        <v>3452</v>
      </c>
      <c r="R981" s="863">
        <v>51750</v>
      </c>
      <c r="S981" s="863" t="s">
        <v>3846</v>
      </c>
      <c r="T981" s="343" t="s">
        <v>3453</v>
      </c>
      <c r="X981" s="863"/>
      <c r="Y981" s="863"/>
    </row>
    <row r="982" spans="1:25" s="343" customFormat="1" ht="0.65" hidden="1" customHeight="1">
      <c r="A982" s="343">
        <v>6072</v>
      </c>
      <c r="O982" s="343">
        <v>32</v>
      </c>
      <c r="P982" s="343" t="s">
        <v>3454</v>
      </c>
      <c r="R982" s="863">
        <v>51750</v>
      </c>
      <c r="S982" s="863" t="s">
        <v>3846</v>
      </c>
      <c r="T982" s="343" t="s">
        <v>3455</v>
      </c>
      <c r="X982" s="863"/>
      <c r="Y982" s="863"/>
    </row>
    <row r="983" spans="1:25" s="343" customFormat="1" ht="0.65" hidden="1" customHeight="1">
      <c r="A983" s="343">
        <v>6073</v>
      </c>
      <c r="O983" s="343">
        <v>33</v>
      </c>
      <c r="P983" s="343" t="s">
        <v>3456</v>
      </c>
      <c r="R983" s="863">
        <v>51750</v>
      </c>
      <c r="S983" s="863" t="s">
        <v>3846</v>
      </c>
      <c r="T983" s="343" t="s">
        <v>3457</v>
      </c>
      <c r="X983" s="863"/>
      <c r="Y983" s="863"/>
    </row>
    <row r="984" spans="1:25" s="343" customFormat="1" ht="0.65" hidden="1" customHeight="1">
      <c r="A984" s="343">
        <v>6074</v>
      </c>
      <c r="O984" s="343">
        <v>34</v>
      </c>
      <c r="P984" s="343" t="s">
        <v>3458</v>
      </c>
      <c r="R984" s="863">
        <v>20000</v>
      </c>
      <c r="S984" s="343" t="s">
        <v>3459</v>
      </c>
      <c r="T984" s="343" t="s">
        <v>3847</v>
      </c>
      <c r="X984" s="863"/>
      <c r="Y984" s="863"/>
    </row>
    <row r="985" spans="1:25" s="343" customFormat="1" ht="0.65" hidden="1" customHeight="1">
      <c r="A985" s="343">
        <v>6075</v>
      </c>
      <c r="O985" s="343">
        <v>35</v>
      </c>
      <c r="P985" s="343" t="s">
        <v>3461</v>
      </c>
      <c r="R985" s="863">
        <v>20000</v>
      </c>
      <c r="S985" s="863" t="s">
        <v>3459</v>
      </c>
      <c r="T985" s="343" t="s">
        <v>3462</v>
      </c>
      <c r="X985" s="863"/>
      <c r="Y985" s="863"/>
    </row>
    <row r="986" spans="1:25" s="343" customFormat="1" ht="0.65" hidden="1" customHeight="1">
      <c r="A986" s="343">
        <v>6076</v>
      </c>
      <c r="O986" s="343">
        <v>36</v>
      </c>
      <c r="P986" s="343" t="s">
        <v>3463</v>
      </c>
      <c r="R986" s="863">
        <v>20000</v>
      </c>
      <c r="S986" s="863" t="s">
        <v>3459</v>
      </c>
      <c r="T986" s="343" t="s">
        <v>3464</v>
      </c>
      <c r="X986" s="863"/>
      <c r="Y986" s="863"/>
    </row>
    <row r="987" spans="1:25" s="343" customFormat="1" ht="0.65" hidden="1" customHeight="1">
      <c r="A987" s="343">
        <v>6077</v>
      </c>
      <c r="O987" s="343">
        <v>37</v>
      </c>
      <c r="P987" s="343" t="s">
        <v>3465</v>
      </c>
      <c r="R987" s="863">
        <v>20000</v>
      </c>
      <c r="S987" s="863" t="s">
        <v>3459</v>
      </c>
      <c r="T987" s="343" t="s">
        <v>3466</v>
      </c>
      <c r="X987" s="863"/>
      <c r="Y987" s="863"/>
    </row>
    <row r="988" spans="1:25" s="343" customFormat="1" ht="0.65" hidden="1" customHeight="1">
      <c r="A988" s="343">
        <v>6078</v>
      </c>
      <c r="O988" s="343">
        <v>38</v>
      </c>
      <c r="P988" s="343" t="s">
        <v>3467</v>
      </c>
      <c r="R988" s="863">
        <v>20000</v>
      </c>
      <c r="S988" s="863" t="s">
        <v>3459</v>
      </c>
      <c r="T988" s="343" t="s">
        <v>3466</v>
      </c>
      <c r="X988" s="863"/>
      <c r="Y988" s="863"/>
    </row>
    <row r="989" spans="1:25" s="343" customFormat="1" ht="0.65" hidden="1" customHeight="1">
      <c r="A989" s="343">
        <v>6079</v>
      </c>
      <c r="O989" s="343">
        <v>39</v>
      </c>
      <c r="P989" s="343" t="s">
        <v>3468</v>
      </c>
      <c r="R989" s="863">
        <v>0</v>
      </c>
      <c r="S989" s="343" t="s">
        <v>3639</v>
      </c>
      <c r="T989" s="343" t="s">
        <v>3848</v>
      </c>
      <c r="X989" s="863"/>
      <c r="Y989" s="863"/>
    </row>
    <row r="990" spans="1:25" s="343" customFormat="1" ht="0.65" hidden="1" customHeight="1">
      <c r="A990" s="343">
        <v>6080</v>
      </c>
      <c r="O990" s="343">
        <v>40</v>
      </c>
      <c r="P990" s="343" t="s">
        <v>3471</v>
      </c>
      <c r="R990" s="863">
        <v>75000</v>
      </c>
      <c r="S990" s="863" t="s">
        <v>3469</v>
      </c>
      <c r="T990" s="343" t="s">
        <v>3472</v>
      </c>
      <c r="X990" s="863"/>
      <c r="Y990" s="863"/>
    </row>
    <row r="991" spans="1:25" s="343" customFormat="1" ht="0.65" hidden="1" customHeight="1">
      <c r="A991" s="343">
        <v>6081</v>
      </c>
      <c r="O991" s="343">
        <v>41</v>
      </c>
      <c r="P991" s="343" t="s">
        <v>3473</v>
      </c>
      <c r="R991" s="863">
        <v>75000</v>
      </c>
      <c r="S991" s="863" t="s">
        <v>3469</v>
      </c>
      <c r="T991" s="343" t="s">
        <v>3474</v>
      </c>
      <c r="X991" s="863"/>
      <c r="Y991" s="863"/>
    </row>
    <row r="992" spans="1:25" s="343" customFormat="1" ht="0.65" hidden="1" customHeight="1">
      <c r="A992" s="343">
        <v>6082</v>
      </c>
      <c r="O992" s="343">
        <v>42</v>
      </c>
      <c r="P992" s="343" t="s">
        <v>3475</v>
      </c>
      <c r="R992" s="863">
        <v>75000</v>
      </c>
      <c r="S992" s="863" t="s">
        <v>3469</v>
      </c>
      <c r="T992" s="343" t="s">
        <v>3476</v>
      </c>
      <c r="X992" s="863"/>
      <c r="Y992" s="863"/>
    </row>
    <row r="993" spans="1:25" s="343" customFormat="1" ht="0.65" hidden="1" customHeight="1">
      <c r="A993" s="343">
        <v>6083</v>
      </c>
      <c r="O993" s="343">
        <v>43</v>
      </c>
      <c r="P993" s="343" t="s">
        <v>3477</v>
      </c>
      <c r="R993" s="863">
        <v>75000</v>
      </c>
      <c r="S993" s="863" t="s">
        <v>3469</v>
      </c>
      <c r="T993" s="343" t="s">
        <v>3478</v>
      </c>
      <c r="X993" s="863"/>
      <c r="Y993" s="863"/>
    </row>
    <row r="994" spans="1:25" s="343" customFormat="1" ht="0.65" hidden="1" customHeight="1">
      <c r="A994" s="343">
        <v>6084</v>
      </c>
      <c r="O994" s="343">
        <v>44</v>
      </c>
      <c r="P994" s="343" t="s">
        <v>3479</v>
      </c>
      <c r="R994" s="863">
        <v>0</v>
      </c>
      <c r="S994" s="343" t="s">
        <v>3639</v>
      </c>
      <c r="T994" s="343" t="s">
        <v>3849</v>
      </c>
      <c r="X994" s="863"/>
      <c r="Y994" s="863"/>
    </row>
    <row r="995" spans="1:25" s="343" customFormat="1" ht="0.65" hidden="1" customHeight="1">
      <c r="A995" s="343">
        <v>6085</v>
      </c>
      <c r="O995" s="343">
        <v>45</v>
      </c>
      <c r="P995" s="343" t="s">
        <v>3482</v>
      </c>
      <c r="R995" s="863">
        <v>40000</v>
      </c>
      <c r="S995" s="863" t="s">
        <v>3480</v>
      </c>
      <c r="T995" s="343" t="s">
        <v>3483</v>
      </c>
      <c r="X995" s="863"/>
      <c r="Y995" s="863"/>
    </row>
    <row r="996" spans="1:25" s="343" customFormat="1" ht="0.65" hidden="1" customHeight="1">
      <c r="A996" s="343">
        <v>6086</v>
      </c>
      <c r="O996" s="343">
        <v>46</v>
      </c>
      <c r="P996" s="343" t="s">
        <v>3484</v>
      </c>
      <c r="R996" s="863">
        <v>40000</v>
      </c>
      <c r="S996" s="863" t="s">
        <v>3480</v>
      </c>
      <c r="T996" s="343" t="s">
        <v>3485</v>
      </c>
      <c r="X996" s="863"/>
      <c r="Y996" s="863"/>
    </row>
    <row r="997" spans="1:25" s="343" customFormat="1" ht="0.65" hidden="1" customHeight="1">
      <c r="A997" s="343">
        <v>6087</v>
      </c>
      <c r="O997" s="343">
        <v>47</v>
      </c>
      <c r="P997" s="343" t="s">
        <v>3486</v>
      </c>
      <c r="R997" s="863">
        <v>40000</v>
      </c>
      <c r="S997" s="863" t="s">
        <v>3480</v>
      </c>
      <c r="T997" s="343" t="s">
        <v>3487</v>
      </c>
      <c r="X997" s="863"/>
      <c r="Y997" s="863"/>
    </row>
    <row r="998" spans="1:25" s="343" customFormat="1" ht="0.65" hidden="1" customHeight="1">
      <c r="A998" s="343">
        <v>6088</v>
      </c>
      <c r="O998" s="343">
        <v>48</v>
      </c>
      <c r="P998" s="343" t="s">
        <v>3488</v>
      </c>
      <c r="R998" s="863">
        <v>40000</v>
      </c>
      <c r="S998" s="863" t="s">
        <v>3480</v>
      </c>
      <c r="T998" s="343" t="s">
        <v>3489</v>
      </c>
      <c r="X998" s="863"/>
      <c r="Y998" s="863"/>
    </row>
    <row r="999" spans="1:25" s="343" customFormat="1" ht="0.65" hidden="1" customHeight="1">
      <c r="A999" s="343">
        <v>6089</v>
      </c>
      <c r="O999" s="343">
        <v>49</v>
      </c>
      <c r="P999" s="343" t="s">
        <v>3490</v>
      </c>
      <c r="R999" s="863">
        <v>20000</v>
      </c>
      <c r="S999" s="863" t="s">
        <v>3850</v>
      </c>
      <c r="T999" s="343" t="s">
        <v>3492</v>
      </c>
      <c r="X999" s="863"/>
      <c r="Y999" s="863"/>
    </row>
    <row r="1000" spans="1:25" s="343" customFormat="1" ht="0.65" hidden="1" customHeight="1">
      <c r="A1000" s="343">
        <v>6090</v>
      </c>
      <c r="O1000" s="343">
        <v>50</v>
      </c>
      <c r="P1000" s="343" t="s">
        <v>3493</v>
      </c>
      <c r="R1000" s="863">
        <v>55000</v>
      </c>
      <c r="S1000" s="863" t="s">
        <v>3491</v>
      </c>
      <c r="T1000" s="343" t="s">
        <v>3494</v>
      </c>
      <c r="X1000" s="863"/>
      <c r="Y1000" s="863"/>
    </row>
    <row r="1001" spans="1:25" s="343" customFormat="1" ht="0.65" hidden="1" customHeight="1">
      <c r="A1001" s="343">
        <v>6091</v>
      </c>
      <c r="O1001" s="343">
        <v>51</v>
      </c>
      <c r="P1001" s="343" t="s">
        <v>3495</v>
      </c>
      <c r="R1001" s="863">
        <v>55000</v>
      </c>
      <c r="S1001" s="863" t="s">
        <v>3491</v>
      </c>
      <c r="T1001" s="343" t="s">
        <v>3496</v>
      </c>
      <c r="X1001" s="863"/>
      <c r="Y1001" s="863"/>
    </row>
    <row r="1002" spans="1:25" s="343" customFormat="1" ht="0.65" hidden="1" customHeight="1">
      <c r="A1002" s="343">
        <v>6092</v>
      </c>
      <c r="O1002" s="343">
        <v>52</v>
      </c>
      <c r="P1002" s="343" t="s">
        <v>3497</v>
      </c>
      <c r="R1002" s="863">
        <v>55000</v>
      </c>
      <c r="S1002" s="863" t="s">
        <v>3491</v>
      </c>
      <c r="T1002" s="343" t="s">
        <v>3498</v>
      </c>
      <c r="X1002" s="863"/>
      <c r="Y1002" s="863"/>
    </row>
    <row r="1003" spans="1:25" s="343" customFormat="1" ht="0.65" hidden="1" customHeight="1">
      <c r="A1003" s="343">
        <v>6093</v>
      </c>
      <c r="O1003" s="343">
        <v>53</v>
      </c>
      <c r="P1003" s="343" t="s">
        <v>3499</v>
      </c>
      <c r="R1003" s="863">
        <v>55000</v>
      </c>
      <c r="S1003" s="863" t="s">
        <v>3491</v>
      </c>
      <c r="T1003" s="343" t="s">
        <v>3500</v>
      </c>
      <c r="X1003" s="863"/>
      <c r="Y1003" s="863"/>
    </row>
    <row r="1004" spans="1:25" s="343" customFormat="1" ht="0.65" hidden="1" customHeight="1">
      <c r="A1004" s="343">
        <v>6094</v>
      </c>
      <c r="O1004" s="343">
        <v>54</v>
      </c>
      <c r="P1004" s="343" t="s">
        <v>3501</v>
      </c>
      <c r="R1004" s="863">
        <v>20000</v>
      </c>
      <c r="S1004" s="343" t="s">
        <v>3417</v>
      </c>
      <c r="T1004" s="343" t="s">
        <v>3503</v>
      </c>
      <c r="X1004" s="863"/>
      <c r="Y1004" s="863"/>
    </row>
    <row r="1005" spans="1:25" s="343" customFormat="1" ht="0.65" hidden="1" customHeight="1">
      <c r="A1005" s="343">
        <v>6095</v>
      </c>
      <c r="O1005" s="343">
        <v>55</v>
      </c>
      <c r="P1005" s="343" t="s">
        <v>3504</v>
      </c>
      <c r="R1005" s="863">
        <v>35000</v>
      </c>
      <c r="S1005" s="343" t="s">
        <v>3851</v>
      </c>
      <c r="T1005" s="343" t="s">
        <v>3506</v>
      </c>
      <c r="X1005" s="863"/>
      <c r="Y1005" s="863"/>
    </row>
    <row r="1006" spans="1:25" s="343" customFormat="1" ht="0.65" hidden="1" customHeight="1">
      <c r="A1006" s="343">
        <v>6096</v>
      </c>
      <c r="O1006" s="343">
        <v>56</v>
      </c>
      <c r="P1006" s="343" t="s">
        <v>3507</v>
      </c>
      <c r="R1006" s="863">
        <v>0</v>
      </c>
      <c r="S1006" s="343" t="s">
        <v>3505</v>
      </c>
      <c r="T1006" s="343" t="s">
        <v>3508</v>
      </c>
      <c r="X1006" s="863"/>
      <c r="Y1006" s="863"/>
    </row>
    <row r="1007" spans="1:25" s="343" customFormat="1" ht="0.65" hidden="1" customHeight="1">
      <c r="A1007" s="343">
        <v>6097</v>
      </c>
      <c r="O1007" s="343">
        <v>57</v>
      </c>
      <c r="P1007" s="343" t="s">
        <v>3509</v>
      </c>
      <c r="R1007" s="863">
        <v>0</v>
      </c>
      <c r="S1007" s="343" t="s">
        <v>3505</v>
      </c>
      <c r="T1007" s="343" t="s">
        <v>3510</v>
      </c>
      <c r="X1007" s="863"/>
      <c r="Y1007" s="863"/>
    </row>
    <row r="1008" spans="1:25" s="343" customFormat="1" ht="0.65" hidden="1" customHeight="1">
      <c r="A1008" s="343">
        <v>6098</v>
      </c>
      <c r="O1008" s="343">
        <v>58</v>
      </c>
      <c r="P1008" s="343" t="s">
        <v>3511</v>
      </c>
      <c r="R1008" s="863">
        <v>0</v>
      </c>
      <c r="S1008" s="343" t="s">
        <v>3505</v>
      </c>
      <c r="T1008" s="343" t="s">
        <v>3512</v>
      </c>
      <c r="X1008" s="863"/>
      <c r="Y1008" s="863"/>
    </row>
    <row r="1009" spans="1:25" s="343" customFormat="1" ht="0.65" hidden="1" customHeight="1">
      <c r="A1009" s="343">
        <v>6099</v>
      </c>
      <c r="O1009" s="343">
        <v>59</v>
      </c>
      <c r="P1009" s="343" t="s">
        <v>3513</v>
      </c>
      <c r="R1009" s="863">
        <v>16750</v>
      </c>
      <c r="S1009" s="863" t="s">
        <v>3852</v>
      </c>
      <c r="T1009" s="343" t="s">
        <v>3515</v>
      </c>
      <c r="X1009" s="863"/>
      <c r="Y1009" s="863"/>
    </row>
    <row r="1010" spans="1:25" s="343" customFormat="1" ht="0.65" hidden="1" customHeight="1">
      <c r="A1010" s="343">
        <v>6100</v>
      </c>
      <c r="O1010" s="343">
        <v>60</v>
      </c>
      <c r="P1010" s="343" t="s">
        <v>3516</v>
      </c>
      <c r="R1010" s="863">
        <v>51750</v>
      </c>
      <c r="S1010" s="863" t="s">
        <v>3853</v>
      </c>
      <c r="T1010" s="343" t="s">
        <v>3517</v>
      </c>
      <c r="X1010" s="863"/>
      <c r="Y1010" s="863"/>
    </row>
    <row r="1011" spans="1:25" s="343" customFormat="1" ht="0.65" hidden="1" customHeight="1">
      <c r="A1011" s="343">
        <v>6101</v>
      </c>
      <c r="O1011" s="343">
        <v>61</v>
      </c>
      <c r="P1011" s="343" t="s">
        <v>3518</v>
      </c>
      <c r="R1011" s="863">
        <v>51750</v>
      </c>
      <c r="S1011" s="863" t="s">
        <v>3853</v>
      </c>
      <c r="T1011" s="343" t="s">
        <v>3519</v>
      </c>
      <c r="X1011" s="863"/>
      <c r="Y1011" s="863"/>
    </row>
    <row r="1012" spans="1:25" s="343" customFormat="1" ht="0.65" hidden="1" customHeight="1">
      <c r="A1012" s="343">
        <v>6102</v>
      </c>
      <c r="O1012" s="343">
        <v>62</v>
      </c>
      <c r="P1012" s="343" t="s">
        <v>3520</v>
      </c>
      <c r="R1012" s="863">
        <v>51750</v>
      </c>
      <c r="S1012" s="863" t="s">
        <v>3853</v>
      </c>
      <c r="T1012" s="343" t="s">
        <v>3521</v>
      </c>
      <c r="X1012" s="863"/>
      <c r="Y1012" s="863"/>
    </row>
    <row r="1013" spans="1:25" s="343" customFormat="1" ht="0.65" hidden="1" customHeight="1">
      <c r="A1013" s="343">
        <v>6103</v>
      </c>
      <c r="O1013" s="343">
        <v>63</v>
      </c>
      <c r="P1013" s="343" t="s">
        <v>3389</v>
      </c>
      <c r="R1013" s="863">
        <v>55000</v>
      </c>
      <c r="S1013" s="343" t="s">
        <v>3502</v>
      </c>
      <c r="T1013" s="343" t="s">
        <v>3522</v>
      </c>
      <c r="X1013" s="863"/>
      <c r="Y1013" s="863"/>
    </row>
    <row r="1014" spans="1:25" s="343" customFormat="1" ht="0.65" hidden="1" customHeight="1">
      <c r="A1014" s="343">
        <v>6104</v>
      </c>
      <c r="O1014" s="343">
        <v>64</v>
      </c>
      <c r="P1014" s="343" t="s">
        <v>3704</v>
      </c>
      <c r="R1014" s="863">
        <v>106000</v>
      </c>
      <c r="S1014" s="343" t="s">
        <v>3659</v>
      </c>
      <c r="T1014" s="343" t="s">
        <v>3748</v>
      </c>
      <c r="X1014" s="863"/>
      <c r="Y1014" s="863"/>
    </row>
    <row r="1015" spans="1:25" s="343" customFormat="1" ht="0.65" hidden="1" customHeight="1">
      <c r="A1015" s="343">
        <v>6105</v>
      </c>
      <c r="O1015" s="343">
        <v>65</v>
      </c>
      <c r="P1015" s="343" t="s">
        <v>3707</v>
      </c>
      <c r="R1015" s="863">
        <v>0</v>
      </c>
      <c r="S1015" s="343" t="s">
        <v>3749</v>
      </c>
      <c r="T1015" s="343" t="s">
        <v>3750</v>
      </c>
      <c r="X1015" s="863"/>
      <c r="Y1015" s="863"/>
    </row>
    <row r="1016" spans="1:25" s="343" customFormat="1" ht="0.65" hidden="1" customHeight="1">
      <c r="A1016" s="343">
        <v>6106</v>
      </c>
      <c r="O1016" s="343">
        <v>66</v>
      </c>
      <c r="P1016" s="343" t="s">
        <v>55</v>
      </c>
      <c r="R1016" s="863"/>
      <c r="X1016" s="863"/>
      <c r="Y1016" s="863"/>
    </row>
    <row r="1017" spans="1:25" s="343" customFormat="1" ht="0.65" hidden="1" customHeight="1">
      <c r="A1017" s="343">
        <v>6107</v>
      </c>
      <c r="O1017" s="343">
        <v>67</v>
      </c>
      <c r="P1017" s="343" t="s">
        <v>3394</v>
      </c>
      <c r="R1017" s="863">
        <v>161000</v>
      </c>
      <c r="S1017" s="343" t="s">
        <v>3854</v>
      </c>
      <c r="T1017" s="343" t="s">
        <v>3855</v>
      </c>
      <c r="X1017" s="863"/>
      <c r="Y1017" s="863"/>
    </row>
    <row r="1018" spans="1:25" s="343" customFormat="1" ht="0.65" hidden="1" customHeight="1">
      <c r="A1018" s="343">
        <v>6108</v>
      </c>
      <c r="O1018" s="343">
        <v>68</v>
      </c>
      <c r="P1018" s="343" t="s">
        <v>3527</v>
      </c>
      <c r="R1018" s="863">
        <v>-242000</v>
      </c>
      <c r="S1018" s="343" t="s">
        <v>3856</v>
      </c>
      <c r="T1018" s="343" t="s">
        <v>3529</v>
      </c>
      <c r="X1018" s="863"/>
      <c r="Y1018" s="863"/>
    </row>
    <row r="1019" spans="1:25" s="343" customFormat="1" ht="0.65" hidden="1" customHeight="1">
      <c r="A1019" s="343">
        <v>6109</v>
      </c>
      <c r="O1019" s="343">
        <v>69</v>
      </c>
      <c r="P1019" s="343" t="s">
        <v>3530</v>
      </c>
      <c r="R1019" s="863">
        <v>16750</v>
      </c>
      <c r="S1019" s="343" t="s">
        <v>3857</v>
      </c>
      <c r="T1019" s="343" t="s">
        <v>3532</v>
      </c>
      <c r="X1019" s="863"/>
      <c r="Y1019" s="863"/>
    </row>
    <row r="1020" spans="1:25" s="343" customFormat="1" ht="0.65" hidden="1" customHeight="1">
      <c r="A1020" s="343">
        <v>6110</v>
      </c>
      <c r="O1020" s="343">
        <v>70</v>
      </c>
      <c r="P1020" s="343" t="s">
        <v>3533</v>
      </c>
      <c r="R1020" s="863">
        <v>51750</v>
      </c>
      <c r="S1020" s="343" t="s">
        <v>3858</v>
      </c>
      <c r="T1020" s="343" t="s">
        <v>3534</v>
      </c>
      <c r="X1020" s="863"/>
      <c r="Y1020" s="863"/>
    </row>
    <row r="1021" spans="1:25" s="343" customFormat="1" ht="0.65" hidden="1" customHeight="1">
      <c r="A1021" s="343">
        <v>6111</v>
      </c>
      <c r="O1021" s="343">
        <v>71</v>
      </c>
      <c r="P1021" s="343" t="s">
        <v>3535</v>
      </c>
      <c r="R1021" s="863">
        <v>51750</v>
      </c>
      <c r="S1021" s="343" t="s">
        <v>3858</v>
      </c>
      <c r="T1021" s="343" t="s">
        <v>3536</v>
      </c>
      <c r="X1021" s="863"/>
      <c r="Y1021" s="863"/>
    </row>
    <row r="1022" spans="1:25" s="343" customFormat="1" ht="0.65" hidden="1" customHeight="1">
      <c r="A1022" s="343">
        <v>6112</v>
      </c>
      <c r="O1022" s="343">
        <v>72</v>
      </c>
      <c r="P1022" s="343" t="s">
        <v>3537</v>
      </c>
      <c r="R1022" s="863">
        <v>212750</v>
      </c>
      <c r="S1022" s="343" t="s">
        <v>3859</v>
      </c>
      <c r="T1022" s="343" t="s">
        <v>3539</v>
      </c>
      <c r="X1022" s="863"/>
      <c r="Y1022" s="863"/>
    </row>
    <row r="1023" spans="1:25" s="343" customFormat="1" ht="0.65" hidden="1" customHeight="1">
      <c r="A1023" s="343">
        <v>6113</v>
      </c>
      <c r="O1023" s="343">
        <v>73</v>
      </c>
      <c r="P1023" s="343" t="s">
        <v>3540</v>
      </c>
      <c r="R1023" s="864">
        <v>0.1</v>
      </c>
      <c r="S1023" s="343" t="s">
        <v>3541</v>
      </c>
      <c r="T1023" s="343" t="s">
        <v>3542</v>
      </c>
      <c r="X1023" s="863"/>
      <c r="Y1023" s="863"/>
    </row>
    <row r="1024" spans="1:25" s="343" customFormat="1" ht="0.65" hidden="1" customHeight="1">
      <c r="A1024" s="343">
        <v>6114</v>
      </c>
      <c r="O1024" s="343">
        <v>74</v>
      </c>
      <c r="P1024" s="343" t="s">
        <v>13</v>
      </c>
      <c r="R1024" s="863">
        <v>187.52134417043999</v>
      </c>
      <c r="S1024" s="343" t="s">
        <v>3860</v>
      </c>
      <c r="T1024" s="343" t="s">
        <v>3544</v>
      </c>
      <c r="X1024" s="863"/>
      <c r="Y1024" s="863"/>
    </row>
    <row r="1025" spans="1:25" s="343" customFormat="1" ht="0.65" hidden="1" customHeight="1">
      <c r="A1025" s="343">
        <v>6115</v>
      </c>
      <c r="O1025" s="343">
        <v>75</v>
      </c>
      <c r="P1025" s="343" t="s">
        <v>28</v>
      </c>
      <c r="R1025" s="864">
        <v>0.10025841655564194</v>
      </c>
      <c r="S1025" s="343" t="s">
        <v>3861</v>
      </c>
      <c r="T1025" s="343" t="s">
        <v>3546</v>
      </c>
      <c r="X1025" s="863"/>
      <c r="Y1025" s="863"/>
    </row>
    <row r="1026" spans="1:25" s="343" customFormat="1" ht="0.65" hidden="1" customHeight="1">
      <c r="A1026" s="343">
        <v>6116</v>
      </c>
      <c r="X1026" s="863"/>
      <c r="Y1026" s="863"/>
    </row>
    <row r="1027" spans="1:25" s="343" customFormat="1" ht="0.65" hidden="1" customHeight="1">
      <c r="A1027" s="343">
        <v>6117</v>
      </c>
      <c r="O1027" s="343">
        <v>1</v>
      </c>
      <c r="P1027" s="343" t="s">
        <v>3862</v>
      </c>
      <c r="X1027" s="863"/>
      <c r="Y1027" s="863"/>
    </row>
    <row r="1028" spans="1:25" s="343" customFormat="1" ht="0.65" hidden="1" customHeight="1">
      <c r="A1028" s="343">
        <v>6118</v>
      </c>
      <c r="O1028" s="343">
        <v>2</v>
      </c>
      <c r="P1028" s="343" t="s">
        <v>3863</v>
      </c>
      <c r="X1028" s="863"/>
      <c r="Y1028" s="863"/>
    </row>
    <row r="1029" spans="1:25" s="343" customFormat="1" ht="0.65" hidden="1" customHeight="1">
      <c r="A1029" s="343">
        <v>6119</v>
      </c>
      <c r="O1029" s="343">
        <v>3</v>
      </c>
      <c r="P1029" s="343" t="s">
        <v>3864</v>
      </c>
      <c r="X1029" s="863"/>
      <c r="Y1029" s="863"/>
    </row>
    <row r="1030" spans="1:25" s="343" customFormat="1" ht="0.65" hidden="1" customHeight="1">
      <c r="A1030" s="343">
        <v>6120</v>
      </c>
      <c r="O1030" s="343">
        <v>4</v>
      </c>
      <c r="P1030" s="343" t="s">
        <v>3550</v>
      </c>
      <c r="X1030" s="863"/>
      <c r="Y1030" s="863"/>
    </row>
    <row r="1031" spans="1:25" s="343" customFormat="1" ht="0.65" hidden="1" customHeight="1">
      <c r="A1031" s="343">
        <v>6121</v>
      </c>
      <c r="O1031" s="343">
        <v>5</v>
      </c>
      <c r="P1031" s="343" t="s">
        <v>3865</v>
      </c>
      <c r="X1031" s="863"/>
      <c r="Y1031" s="863"/>
    </row>
    <row r="1032" spans="1:25" s="343" customFormat="1" ht="0.65" hidden="1" customHeight="1">
      <c r="A1032" s="343">
        <v>6122</v>
      </c>
      <c r="O1032" s="343">
        <v>6</v>
      </c>
      <c r="P1032" s="343" t="s">
        <v>3866</v>
      </c>
      <c r="X1032" s="863"/>
      <c r="Y1032" s="863"/>
    </row>
    <row r="1033" spans="1:25" s="343" customFormat="1" ht="0.65" hidden="1" customHeight="1">
      <c r="A1033" s="343">
        <v>6123</v>
      </c>
      <c r="O1033" s="343">
        <v>7</v>
      </c>
      <c r="X1033" s="863"/>
      <c r="Y1033" s="863"/>
    </row>
    <row r="1034" spans="1:25" s="343" customFormat="1" ht="0.65" hidden="1" customHeight="1">
      <c r="A1034" s="343">
        <v>6124</v>
      </c>
      <c r="O1034" s="343">
        <v>8</v>
      </c>
      <c r="X1034" s="863"/>
      <c r="Y1034" s="863"/>
    </row>
    <row r="1035" spans="1:25" s="343" customFormat="1" ht="0.65" hidden="1" customHeight="1">
      <c r="A1035" s="343">
        <v>6125</v>
      </c>
      <c r="O1035" s="343">
        <v>9</v>
      </c>
      <c r="X1035" s="863"/>
      <c r="Y1035" s="863"/>
    </row>
    <row r="1036" spans="1:25" s="343" customFormat="1" ht="0.65" hidden="1" customHeight="1">
      <c r="A1036" s="343">
        <v>6126</v>
      </c>
      <c r="O1036" s="343">
        <v>10</v>
      </c>
      <c r="X1036" s="863"/>
      <c r="Y1036" s="863"/>
    </row>
    <row r="1037" spans="1:25" s="343" customFormat="1" ht="0.65" hidden="1" customHeight="1">
      <c r="A1037" s="343">
        <v>6127</v>
      </c>
      <c r="X1037" s="863"/>
      <c r="Y1037" s="863"/>
    </row>
    <row r="1038" spans="1:25" s="343" customFormat="1" ht="0.65" hidden="1" customHeight="1">
      <c r="A1038" s="343">
        <v>6128</v>
      </c>
      <c r="X1038" s="863"/>
      <c r="Y1038" s="863"/>
    </row>
    <row r="1039" spans="1:25" s="343" customFormat="1" ht="0.65" hidden="1" customHeight="1">
      <c r="A1039" s="343">
        <v>6129</v>
      </c>
      <c r="X1039" s="863"/>
      <c r="Y1039" s="863"/>
    </row>
    <row r="1040" spans="1:25" s="343" customFormat="1" ht="0.65" hidden="1" customHeight="1">
      <c r="A1040" s="343">
        <v>6130</v>
      </c>
      <c r="X1040" s="863"/>
      <c r="Y1040" s="863"/>
    </row>
    <row r="1041" spans="1:25" s="343" customFormat="1" ht="0.65" hidden="1" customHeight="1">
      <c r="A1041" s="653">
        <v>1</v>
      </c>
      <c r="B1041" s="653">
        <v>2</v>
      </c>
      <c r="C1041" s="653">
        <v>3</v>
      </c>
      <c r="D1041" s="653">
        <v>4</v>
      </c>
      <c r="E1041" s="653">
        <v>5</v>
      </c>
      <c r="F1041" s="653">
        <v>6</v>
      </c>
      <c r="G1041" s="653">
        <v>7</v>
      </c>
      <c r="H1041" s="653">
        <v>8</v>
      </c>
      <c r="I1041" s="653">
        <v>9</v>
      </c>
      <c r="J1041" s="653">
        <v>10</v>
      </c>
      <c r="K1041" s="653">
        <v>11</v>
      </c>
      <c r="L1041" s="653">
        <v>12</v>
      </c>
      <c r="M1041" s="653">
        <v>13</v>
      </c>
      <c r="N1041" s="653">
        <v>14</v>
      </c>
      <c r="O1041" s="653">
        <v>15</v>
      </c>
      <c r="P1041" s="653">
        <v>16</v>
      </c>
      <c r="Q1041" s="653">
        <v>17</v>
      </c>
      <c r="R1041" s="653">
        <v>18</v>
      </c>
      <c r="S1041" s="653">
        <v>19</v>
      </c>
      <c r="T1041" s="653">
        <v>20</v>
      </c>
      <c r="U1041" s="653">
        <v>21</v>
      </c>
      <c r="V1041" s="653">
        <v>22</v>
      </c>
      <c r="W1041" s="653">
        <v>23</v>
      </c>
    </row>
    <row r="1042" spans="1:25" s="343" customFormat="1" ht="0.65" hidden="1" customHeight="1">
      <c r="A1042" s="343">
        <v>7</v>
      </c>
    </row>
    <row r="1043" spans="1:25" s="343" customFormat="1" ht="0.65" hidden="1" customHeight="1">
      <c r="A1043" s="343">
        <v>7001</v>
      </c>
      <c r="B1043" s="343" t="s">
        <v>3867</v>
      </c>
      <c r="E1043" s="343" t="s">
        <v>3868</v>
      </c>
      <c r="M1043" s="863" t="s">
        <v>3868</v>
      </c>
      <c r="N1043" s="863"/>
      <c r="O1043" s="863"/>
      <c r="P1043" s="863"/>
      <c r="Q1043" s="863"/>
      <c r="R1043" s="863"/>
      <c r="S1043" s="863"/>
      <c r="T1043" s="863"/>
      <c r="U1043" s="863"/>
      <c r="V1043" s="863"/>
    </row>
    <row r="1044" spans="1:25" s="343" customFormat="1" ht="0.65" hidden="1" customHeight="1">
      <c r="A1044" s="343">
        <v>7002</v>
      </c>
      <c r="F1044" s="343" t="s">
        <v>463</v>
      </c>
      <c r="I1044" s="343" t="s">
        <v>463</v>
      </c>
      <c r="M1044" s="863"/>
      <c r="N1044" s="865" t="s">
        <v>55</v>
      </c>
      <c r="O1044" s="865" t="s">
        <v>55</v>
      </c>
      <c r="P1044" s="865" t="s">
        <v>55</v>
      </c>
      <c r="Q1044" s="865" t="s">
        <v>55</v>
      </c>
      <c r="R1044" s="865" t="s">
        <v>55</v>
      </c>
      <c r="S1044" s="865" t="s">
        <v>55</v>
      </c>
      <c r="T1044" s="865" t="s">
        <v>55</v>
      </c>
      <c r="U1044" s="865" t="s">
        <v>55</v>
      </c>
      <c r="V1044" s="865" t="s">
        <v>55</v>
      </c>
    </row>
    <row r="1045" spans="1:25" s="343" customFormat="1" ht="0.65" hidden="1" customHeight="1">
      <c r="A1045" s="343">
        <v>7003</v>
      </c>
      <c r="B1045" s="343" t="s">
        <v>3869</v>
      </c>
      <c r="E1045" s="343" t="s">
        <v>3870</v>
      </c>
      <c r="F1045" s="343" t="s">
        <v>463</v>
      </c>
      <c r="H1045" s="343" t="s">
        <v>3604</v>
      </c>
      <c r="I1045" s="343" t="s">
        <v>463</v>
      </c>
      <c r="M1045" s="659"/>
      <c r="N1045" s="866"/>
      <c r="O1045" s="866"/>
      <c r="P1045" s="866"/>
      <c r="Q1045" s="866"/>
      <c r="R1045" s="866"/>
      <c r="S1045" s="866"/>
      <c r="T1045" s="866"/>
      <c r="U1045" s="866"/>
      <c r="V1045" s="866"/>
    </row>
    <row r="1046" spans="1:25" s="343" customFormat="1" ht="0.65" hidden="1" customHeight="1">
      <c r="A1046" s="343">
        <v>7004</v>
      </c>
      <c r="B1046" s="343" t="s">
        <v>3871</v>
      </c>
      <c r="F1046" s="343" t="s">
        <v>463</v>
      </c>
      <c r="I1046" s="343" t="s">
        <v>463</v>
      </c>
      <c r="M1046" s="663"/>
      <c r="N1046" s="343">
        <v>0</v>
      </c>
      <c r="O1046" s="343">
        <v>0</v>
      </c>
      <c r="P1046" s="343">
        <v>0</v>
      </c>
      <c r="Q1046" s="343">
        <v>0</v>
      </c>
      <c r="R1046" s="343">
        <v>0</v>
      </c>
      <c r="S1046" s="343">
        <v>0</v>
      </c>
      <c r="T1046" s="343">
        <v>0</v>
      </c>
      <c r="U1046" s="343">
        <v>0</v>
      </c>
      <c r="V1046" s="863">
        <v>90000</v>
      </c>
    </row>
    <row r="1047" spans="1:25" s="343" customFormat="1" ht="0.65" hidden="1" customHeight="1">
      <c r="A1047" s="343">
        <v>7005</v>
      </c>
      <c r="E1047" s="343" t="s">
        <v>3872</v>
      </c>
      <c r="F1047" s="659">
        <v>30000</v>
      </c>
      <c r="H1047" s="343" t="s">
        <v>3365</v>
      </c>
      <c r="I1047" s="659">
        <v>1800000</v>
      </c>
      <c r="M1047" s="663"/>
      <c r="N1047" s="863">
        <v>0</v>
      </c>
      <c r="O1047" s="863">
        <v>0</v>
      </c>
      <c r="P1047" s="863">
        <v>6000</v>
      </c>
      <c r="Q1047" s="863">
        <v>-6000</v>
      </c>
      <c r="R1047" s="863">
        <v>-1800</v>
      </c>
      <c r="S1047" s="863">
        <v>-4200</v>
      </c>
      <c r="T1047" s="863">
        <v>1800</v>
      </c>
      <c r="U1047" s="863">
        <v>1800</v>
      </c>
      <c r="V1047" s="863">
        <v>1800</v>
      </c>
    </row>
    <row r="1048" spans="1:25" s="343" customFormat="1" ht="0.65" hidden="1" customHeight="1">
      <c r="A1048" s="343">
        <v>7006</v>
      </c>
      <c r="B1048" s="343" t="s">
        <v>3873</v>
      </c>
      <c r="E1048" s="343" t="s">
        <v>2886</v>
      </c>
      <c r="F1048" s="659">
        <v>6000</v>
      </c>
      <c r="H1048" s="343" t="s">
        <v>3368</v>
      </c>
      <c r="I1048" s="659">
        <v>1440000</v>
      </c>
      <c r="M1048" s="663"/>
      <c r="N1048" s="863">
        <v>0</v>
      </c>
      <c r="O1048" s="863">
        <v>0</v>
      </c>
      <c r="P1048" s="863">
        <v>6000</v>
      </c>
      <c r="Q1048" s="863">
        <v>-6000</v>
      </c>
      <c r="R1048" s="863">
        <v>-1800</v>
      </c>
      <c r="S1048" s="863">
        <v>-4200</v>
      </c>
      <c r="T1048" s="863">
        <v>1800</v>
      </c>
      <c r="U1048" s="863">
        <v>1800</v>
      </c>
      <c r="V1048" s="863">
        <v>1800</v>
      </c>
    </row>
    <row r="1049" spans="1:25" s="343" customFormat="1" ht="0.65" hidden="1" customHeight="1">
      <c r="A1049" s="343">
        <v>7007</v>
      </c>
      <c r="B1049" s="343" t="s">
        <v>3874</v>
      </c>
      <c r="E1049" s="343" t="s">
        <v>3378</v>
      </c>
      <c r="F1049" s="659">
        <v>0</v>
      </c>
      <c r="I1049" s="343" t="s">
        <v>463</v>
      </c>
      <c r="M1049" s="663"/>
      <c r="N1049" s="863">
        <v>0</v>
      </c>
      <c r="O1049" s="863">
        <v>0</v>
      </c>
      <c r="P1049" s="863">
        <v>6000</v>
      </c>
      <c r="Q1049" s="863">
        <v>-6000</v>
      </c>
      <c r="R1049" s="863">
        <v>-1800</v>
      </c>
      <c r="S1049" s="863">
        <v>-4200</v>
      </c>
      <c r="T1049" s="863">
        <v>1800</v>
      </c>
      <c r="U1049" s="863">
        <v>1800</v>
      </c>
      <c r="V1049" s="863">
        <v>1800</v>
      </c>
    </row>
    <row r="1050" spans="1:25" s="343" customFormat="1" ht="0.65" hidden="1" customHeight="1">
      <c r="A1050" s="343">
        <v>7008</v>
      </c>
      <c r="B1050" s="343" t="s">
        <v>3875</v>
      </c>
      <c r="F1050" s="343" t="s">
        <v>463</v>
      </c>
      <c r="H1050" s="343" t="s">
        <v>3371</v>
      </c>
      <c r="I1050" s="653">
        <v>90</v>
      </c>
      <c r="M1050" s="663"/>
      <c r="N1050" s="863">
        <v>0</v>
      </c>
      <c r="O1050" s="863">
        <v>0</v>
      </c>
      <c r="P1050" s="863">
        <v>6000</v>
      </c>
      <c r="Q1050" s="863">
        <v>-6000</v>
      </c>
      <c r="R1050" s="863">
        <v>-1800</v>
      </c>
      <c r="S1050" s="863">
        <v>-4200</v>
      </c>
      <c r="T1050" s="863">
        <v>1800</v>
      </c>
      <c r="U1050" s="863">
        <v>1800</v>
      </c>
      <c r="V1050" s="863">
        <v>-116400</v>
      </c>
    </row>
    <row r="1051" spans="1:25" s="343" customFormat="1" ht="0.65" hidden="1" customHeight="1">
      <c r="A1051" s="343">
        <v>7009</v>
      </c>
      <c r="E1051" s="343" t="s">
        <v>3876</v>
      </c>
      <c r="F1051" s="653">
        <v>30</v>
      </c>
      <c r="H1051" s="343" t="s">
        <v>3374</v>
      </c>
      <c r="I1051" s="653">
        <v>60</v>
      </c>
      <c r="N1051" s="865" t="s">
        <v>55</v>
      </c>
      <c r="O1051" s="865" t="s">
        <v>55</v>
      </c>
      <c r="P1051" s="865" t="s">
        <v>55</v>
      </c>
      <c r="Q1051" s="865" t="s">
        <v>55</v>
      </c>
      <c r="R1051" s="865" t="s">
        <v>55</v>
      </c>
      <c r="T1051" s="653"/>
      <c r="U1051" s="653"/>
      <c r="V1051" s="653"/>
      <c r="W1051" s="659"/>
      <c r="X1051" s="659"/>
      <c r="Y1051" s="659"/>
    </row>
    <row r="1052" spans="1:25" s="343" customFormat="1" ht="0.65" hidden="1" customHeight="1">
      <c r="A1052" s="343">
        <v>7010</v>
      </c>
      <c r="B1052" s="343" t="s">
        <v>3877</v>
      </c>
      <c r="F1052" s="343" t="s">
        <v>463</v>
      </c>
      <c r="I1052" s="343" t="s">
        <v>463</v>
      </c>
      <c r="M1052" s="659"/>
      <c r="N1052" s="866"/>
      <c r="O1052" s="866"/>
      <c r="P1052" s="866"/>
      <c r="Q1052" s="866"/>
      <c r="R1052" s="866"/>
      <c r="U1052" s="863"/>
      <c r="V1052" s="863"/>
      <c r="W1052" s="863"/>
      <c r="X1052" s="863"/>
      <c r="Y1052" s="863"/>
    </row>
    <row r="1053" spans="1:25" s="343" customFormat="1" ht="0.65" hidden="1" customHeight="1">
      <c r="A1053" s="343">
        <v>7011</v>
      </c>
      <c r="B1053" s="343" t="s">
        <v>3878</v>
      </c>
      <c r="E1053" s="343" t="s">
        <v>3879</v>
      </c>
      <c r="F1053" s="343" t="s">
        <v>463</v>
      </c>
      <c r="H1053" s="343" t="s">
        <v>3380</v>
      </c>
      <c r="I1053" s="358">
        <v>0.1</v>
      </c>
      <c r="M1053" s="663"/>
      <c r="N1053" s="863">
        <v>-120000</v>
      </c>
      <c r="O1053" s="863">
        <v>0</v>
      </c>
      <c r="P1053" s="863">
        <v>0</v>
      </c>
      <c r="Q1053" s="863">
        <v>-120000</v>
      </c>
      <c r="R1053" s="863">
        <v>-120000</v>
      </c>
      <c r="U1053" s="1064" t="s">
        <v>55</v>
      </c>
      <c r="V1053" s="1064"/>
      <c r="W1053" s="863"/>
      <c r="X1053" s="863"/>
      <c r="Y1053" s="863"/>
    </row>
    <row r="1054" spans="1:25" s="343" customFormat="1" ht="0.65" hidden="1" customHeight="1">
      <c r="A1054" s="343">
        <v>7012</v>
      </c>
      <c r="B1054" s="343" t="s">
        <v>3880</v>
      </c>
      <c r="F1054" s="343" t="s">
        <v>463</v>
      </c>
      <c r="H1054" s="343" t="s">
        <v>3381</v>
      </c>
      <c r="I1054" s="358">
        <v>0.3</v>
      </c>
      <c r="M1054" s="663"/>
      <c r="N1054" s="863">
        <v>-120000</v>
      </c>
      <c r="O1054" s="863">
        <v>0</v>
      </c>
      <c r="P1054" s="863">
        <v>0</v>
      </c>
      <c r="Q1054" s="863">
        <v>-120000</v>
      </c>
      <c r="R1054" s="863">
        <v>0</v>
      </c>
      <c r="U1054" s="1064"/>
      <c r="V1054" s="1064"/>
      <c r="W1054" s="863"/>
      <c r="X1054" s="863"/>
      <c r="Y1054" s="863"/>
    </row>
    <row r="1055" spans="1:25" s="343" customFormat="1" ht="0.65" hidden="1" customHeight="1">
      <c r="A1055" s="343">
        <v>7013</v>
      </c>
      <c r="E1055" s="343" t="s">
        <v>3881</v>
      </c>
      <c r="F1055" s="653">
        <v>60</v>
      </c>
      <c r="I1055" s="343" t="s">
        <v>463</v>
      </c>
      <c r="M1055" s="663"/>
      <c r="N1055" s="863">
        <v>-120000</v>
      </c>
      <c r="O1055" s="863">
        <v>0</v>
      </c>
      <c r="P1055" s="863">
        <v>0</v>
      </c>
      <c r="Q1055" s="863">
        <v>-120000</v>
      </c>
      <c r="R1055" s="863">
        <v>0</v>
      </c>
      <c r="U1055" s="1064"/>
      <c r="V1055" s="1064"/>
      <c r="W1055" s="863"/>
      <c r="X1055" s="863"/>
      <c r="Y1055" s="863"/>
    </row>
    <row r="1056" spans="1:25" s="343" customFormat="1" ht="0.65" hidden="1" customHeight="1">
      <c r="A1056" s="343">
        <v>7014</v>
      </c>
      <c r="B1056" s="343" t="s">
        <v>3882</v>
      </c>
      <c r="F1056" s="343" t="s">
        <v>463</v>
      </c>
      <c r="I1056" s="343" t="s">
        <v>463</v>
      </c>
      <c r="M1056" s="663"/>
      <c r="N1056" s="863">
        <v>-120000</v>
      </c>
      <c r="O1056" s="863">
        <v>0</v>
      </c>
      <c r="P1056" s="863">
        <v>0</v>
      </c>
      <c r="Q1056" s="863">
        <v>-120000</v>
      </c>
      <c r="R1056" s="863">
        <v>0</v>
      </c>
      <c r="U1056" s="1064"/>
      <c r="V1056" s="1064"/>
      <c r="W1056" s="863"/>
      <c r="X1056" s="863"/>
      <c r="Y1056" s="863"/>
    </row>
    <row r="1057" spans="1:25" s="343" customFormat="1" ht="0.65" hidden="1" customHeight="1">
      <c r="A1057" s="343">
        <v>7015</v>
      </c>
      <c r="B1057" s="343" t="s">
        <v>3883</v>
      </c>
      <c r="F1057" s="343" t="s">
        <v>463</v>
      </c>
      <c r="I1057" s="343" t="s">
        <v>463</v>
      </c>
      <c r="M1057" s="663"/>
      <c r="N1057" s="863">
        <v>-120000</v>
      </c>
      <c r="O1057" s="863">
        <v>0</v>
      </c>
      <c r="P1057" s="863">
        <v>0</v>
      </c>
      <c r="Q1057" s="863">
        <v>-120000</v>
      </c>
      <c r="R1057" s="863">
        <v>0</v>
      </c>
      <c r="T1057" s="863"/>
      <c r="U1057" s="863"/>
      <c r="V1057" s="863"/>
      <c r="W1057" s="863"/>
      <c r="X1057" s="863"/>
      <c r="Y1057" s="863"/>
    </row>
    <row r="1058" spans="1:25" s="343" customFormat="1" ht="0.65" hidden="1" customHeight="1">
      <c r="A1058" s="343">
        <v>7016</v>
      </c>
      <c r="F1058" s="343" t="s">
        <v>463</v>
      </c>
      <c r="I1058" s="343" t="s">
        <v>463</v>
      </c>
      <c r="M1058" s="863"/>
      <c r="N1058" s="653"/>
      <c r="O1058" s="653"/>
      <c r="P1058" s="653"/>
      <c r="Q1058" s="653"/>
      <c r="R1058" s="653"/>
      <c r="S1058" s="653"/>
      <c r="T1058" s="863"/>
      <c r="V1058" s="863"/>
      <c r="W1058" s="863"/>
      <c r="X1058" s="863"/>
    </row>
    <row r="1059" spans="1:25" s="343" customFormat="1" ht="0.65" hidden="1" customHeight="1">
      <c r="A1059" s="343">
        <v>7017</v>
      </c>
      <c r="B1059" s="343" t="s">
        <v>3884</v>
      </c>
      <c r="F1059" s="343" t="s">
        <v>463</v>
      </c>
      <c r="I1059" s="343" t="s">
        <v>463</v>
      </c>
      <c r="M1059" s="863"/>
      <c r="V1059" s="863"/>
      <c r="W1059" s="863"/>
      <c r="X1059" s="863"/>
    </row>
    <row r="1060" spans="1:25" s="343" customFormat="1" ht="0.65" hidden="1" customHeight="1">
      <c r="A1060" s="343">
        <v>7018</v>
      </c>
      <c r="F1060" s="343" t="s">
        <v>463</v>
      </c>
      <c r="I1060" s="343" t="s">
        <v>463</v>
      </c>
      <c r="N1060" s="863"/>
      <c r="O1060" s="863"/>
      <c r="P1060" s="865" t="s">
        <v>55</v>
      </c>
      <c r="T1060" s="865"/>
      <c r="W1060" s="865" t="s">
        <v>55</v>
      </c>
      <c r="X1060" s="863"/>
    </row>
    <row r="1061" spans="1:25" s="343" customFormat="1" ht="0.65" hidden="1" customHeight="1">
      <c r="A1061" s="343">
        <v>7019</v>
      </c>
      <c r="F1061" s="343" t="s">
        <v>463</v>
      </c>
      <c r="I1061" s="343" t="s">
        <v>463</v>
      </c>
      <c r="N1061" s="1061" t="s">
        <v>3626</v>
      </c>
      <c r="O1061" s="1061"/>
      <c r="P1061" s="863">
        <v>-120000</v>
      </c>
      <c r="R1061" s="1061" t="s">
        <v>3389</v>
      </c>
      <c r="S1061" s="1061"/>
      <c r="T1061" s="863">
        <v>-120000</v>
      </c>
      <c r="X1061" s="863"/>
    </row>
    <row r="1062" spans="1:25" s="343" customFormat="1" ht="0.65" hidden="1" customHeight="1">
      <c r="A1062" s="343">
        <v>7020</v>
      </c>
      <c r="F1062" s="343" t="s">
        <v>463</v>
      </c>
      <c r="I1062" s="343" t="s">
        <v>463</v>
      </c>
      <c r="M1062" s="863"/>
      <c r="N1062" s="1061" t="s">
        <v>3628</v>
      </c>
      <c r="O1062" s="1061"/>
      <c r="P1062" s="863">
        <v>30000</v>
      </c>
      <c r="R1062" s="1061" t="s">
        <v>3885</v>
      </c>
      <c r="S1062" s="1061"/>
      <c r="T1062" s="863">
        <v>1800</v>
      </c>
      <c r="V1062" s="662"/>
      <c r="W1062" s="358">
        <v>0.1</v>
      </c>
      <c r="X1062" s="863"/>
    </row>
    <row r="1063" spans="1:25" s="343" customFormat="1" ht="0.65" hidden="1" customHeight="1">
      <c r="A1063" s="343">
        <v>7021</v>
      </c>
      <c r="F1063" s="343" t="s">
        <v>463</v>
      </c>
      <c r="I1063" s="343" t="s">
        <v>463</v>
      </c>
      <c r="M1063" s="863"/>
      <c r="N1063" s="1061"/>
      <c r="O1063" s="1061"/>
      <c r="P1063" s="863"/>
      <c r="R1063" s="1061"/>
      <c r="S1063" s="1061"/>
      <c r="T1063" s="863"/>
    </row>
    <row r="1064" spans="1:25" s="343" customFormat="1" ht="0.65" hidden="1" customHeight="1">
      <c r="A1064" s="343">
        <v>7022</v>
      </c>
      <c r="F1064" s="343" t="s">
        <v>463</v>
      </c>
      <c r="I1064" s="343" t="s">
        <v>463</v>
      </c>
      <c r="M1064" s="863"/>
      <c r="N1064" s="1061"/>
      <c r="O1064" s="1061"/>
      <c r="P1064" s="863"/>
      <c r="R1064" s="1061"/>
      <c r="S1064" s="1061"/>
      <c r="T1064" s="863"/>
      <c r="X1064" s="863"/>
      <c r="Y1064" s="863"/>
    </row>
    <row r="1065" spans="1:25" s="343" customFormat="1" ht="0.65" hidden="1" customHeight="1">
      <c r="A1065" s="343">
        <v>7023</v>
      </c>
      <c r="F1065" s="343" t="s">
        <v>463</v>
      </c>
      <c r="I1065" s="343" t="s">
        <v>463</v>
      </c>
      <c r="M1065" s="863"/>
      <c r="N1065" s="867"/>
      <c r="Q1065" s="863"/>
      <c r="R1065" s="868"/>
      <c r="S1065" s="863"/>
      <c r="T1065" s="863"/>
      <c r="U1065" s="863"/>
      <c r="V1065" s="662"/>
      <c r="W1065" s="659">
        <v>14973.567379277403</v>
      </c>
      <c r="X1065" s="863"/>
      <c r="Y1065" s="863"/>
    </row>
    <row r="1066" spans="1:25" s="343" customFormat="1" ht="0.65" hidden="1" customHeight="1">
      <c r="A1066" s="343">
        <v>7024</v>
      </c>
      <c r="F1066" s="343" t="s">
        <v>463</v>
      </c>
      <c r="I1066" s="343" t="s">
        <v>463</v>
      </c>
      <c r="M1066" s="863"/>
      <c r="N1066" s="1062" t="s">
        <v>129</v>
      </c>
      <c r="O1066" s="1062"/>
      <c r="P1066" s="863">
        <v>-90000</v>
      </c>
      <c r="Q1066" s="863"/>
      <c r="R1066" s="1062" t="s">
        <v>3394</v>
      </c>
      <c r="S1066" s="1062"/>
      <c r="T1066" s="863">
        <v>-118200</v>
      </c>
      <c r="V1066" s="869"/>
      <c r="W1066" s="358">
        <v>5.2434477322136352E-2</v>
      </c>
      <c r="X1066" s="863"/>
      <c r="Y1066" s="863"/>
    </row>
    <row r="1067" spans="1:25" s="343" customFormat="1" ht="0.65" hidden="1" customHeight="1">
      <c r="A1067" s="343">
        <v>7025</v>
      </c>
      <c r="F1067" s="343" t="s">
        <v>463</v>
      </c>
      <c r="I1067" s="343" t="s">
        <v>463</v>
      </c>
      <c r="N1067" s="863"/>
      <c r="P1067" s="653"/>
      <c r="T1067" s="653"/>
    </row>
    <row r="1068" spans="1:25" s="343" customFormat="1" ht="0.65" hidden="1" customHeight="1">
      <c r="A1068" s="343">
        <v>7026</v>
      </c>
      <c r="F1068" s="343" t="s">
        <v>463</v>
      </c>
      <c r="I1068" s="343" t="s">
        <v>463</v>
      </c>
    </row>
    <row r="1069" spans="1:25" s="343" customFormat="1" ht="0.65" hidden="1" customHeight="1">
      <c r="A1069" s="343">
        <v>7027</v>
      </c>
      <c r="F1069" s="343" t="s">
        <v>463</v>
      </c>
      <c r="I1069" s="343" t="s">
        <v>463</v>
      </c>
    </row>
    <row r="1070" spans="1:25" s="343" customFormat="1" ht="0.65" hidden="1" customHeight="1">
      <c r="A1070" s="343">
        <v>7028</v>
      </c>
      <c r="F1070" s="343" t="s">
        <v>463</v>
      </c>
      <c r="I1070" s="343" t="s">
        <v>463</v>
      </c>
    </row>
    <row r="1071" spans="1:25" s="343" customFormat="1" ht="0.65" hidden="1" customHeight="1">
      <c r="A1071" s="343">
        <v>7029</v>
      </c>
      <c r="F1071" s="343" t="s">
        <v>463</v>
      </c>
      <c r="I1071" s="343" t="s">
        <v>463</v>
      </c>
    </row>
    <row r="1072" spans="1:25" s="343" customFormat="1" ht="0.65" hidden="1" customHeight="1">
      <c r="A1072" s="343">
        <v>7030</v>
      </c>
      <c r="F1072" s="343" t="s">
        <v>463</v>
      </c>
      <c r="I1072" s="343" t="s">
        <v>463</v>
      </c>
    </row>
    <row r="1073" spans="1:20" s="343" customFormat="1" ht="0.65" hidden="1" customHeight="1">
      <c r="A1073" s="343">
        <v>7031</v>
      </c>
      <c r="F1073" s="343" t="s">
        <v>463</v>
      </c>
      <c r="I1073" s="343" t="s">
        <v>463</v>
      </c>
    </row>
    <row r="1074" spans="1:20" s="343" customFormat="1" ht="0.65" hidden="1" customHeight="1">
      <c r="A1074" s="343">
        <v>7032</v>
      </c>
      <c r="F1074" s="343" t="s">
        <v>463</v>
      </c>
      <c r="I1074" s="343" t="s">
        <v>463</v>
      </c>
    </row>
    <row r="1075" spans="1:20" s="343" customFormat="1" ht="0.65" hidden="1" customHeight="1">
      <c r="A1075" s="343">
        <v>7033</v>
      </c>
      <c r="F1075" s="343" t="s">
        <v>463</v>
      </c>
      <c r="I1075" s="343" t="s">
        <v>463</v>
      </c>
    </row>
    <row r="1076" spans="1:20" s="343" customFormat="1" ht="0.65" hidden="1" customHeight="1">
      <c r="A1076" s="343">
        <v>7034</v>
      </c>
      <c r="F1076" s="343" t="s">
        <v>463</v>
      </c>
      <c r="I1076" s="343" t="s">
        <v>463</v>
      </c>
    </row>
    <row r="1077" spans="1:20" s="343" customFormat="1" ht="0.65" hidden="1" customHeight="1">
      <c r="A1077" s="343">
        <v>7035</v>
      </c>
      <c r="F1077" s="343" t="s">
        <v>463</v>
      </c>
      <c r="I1077" s="343" t="s">
        <v>463</v>
      </c>
    </row>
    <row r="1078" spans="1:20" s="343" customFormat="1" ht="0.65" hidden="1" customHeight="1">
      <c r="A1078" s="343">
        <v>7036</v>
      </c>
      <c r="F1078" s="343" t="s">
        <v>463</v>
      </c>
      <c r="I1078" s="343" t="s">
        <v>463</v>
      </c>
    </row>
    <row r="1079" spans="1:20" s="343" customFormat="1" ht="0.65" hidden="1" customHeight="1">
      <c r="A1079" s="343">
        <v>7037</v>
      </c>
      <c r="F1079" s="343" t="s">
        <v>463</v>
      </c>
      <c r="I1079" s="343" t="s">
        <v>463</v>
      </c>
    </row>
    <row r="1080" spans="1:20" s="343" customFormat="1" ht="0.65" hidden="1" customHeight="1">
      <c r="A1080" s="343">
        <v>7038</v>
      </c>
      <c r="F1080" s="343" t="s">
        <v>463</v>
      </c>
      <c r="I1080" s="343" t="s">
        <v>463</v>
      </c>
    </row>
    <row r="1081" spans="1:20" s="343" customFormat="1" ht="0.65" hidden="1" customHeight="1">
      <c r="A1081" s="343">
        <v>7039</v>
      </c>
    </row>
    <row r="1082" spans="1:20" s="343" customFormat="1" ht="0.65" hidden="1" customHeight="1">
      <c r="A1082" s="343">
        <v>7040</v>
      </c>
    </row>
    <row r="1083" spans="1:20" s="343" customFormat="1" ht="0.65" hidden="1" customHeight="1">
      <c r="A1083" s="343">
        <v>7041</v>
      </c>
      <c r="M1083" s="343">
        <v>0</v>
      </c>
      <c r="O1083" s="343">
        <v>1</v>
      </c>
      <c r="P1083" s="343" t="s">
        <v>3626</v>
      </c>
      <c r="R1083" s="863">
        <v>-120000</v>
      </c>
      <c r="S1083" s="343" t="s">
        <v>3886</v>
      </c>
      <c r="T1083" s="343" t="s">
        <v>3887</v>
      </c>
    </row>
    <row r="1084" spans="1:20" s="343" customFormat="1" ht="0.65" hidden="1" customHeight="1">
      <c r="A1084" s="343">
        <v>7042</v>
      </c>
      <c r="O1084" s="343">
        <v>2</v>
      </c>
      <c r="P1084" s="343" t="s">
        <v>3628</v>
      </c>
      <c r="R1084" s="863">
        <v>30000</v>
      </c>
      <c r="S1084" s="343" t="s">
        <v>3888</v>
      </c>
      <c r="T1084" s="343" t="s">
        <v>3889</v>
      </c>
    </row>
    <row r="1085" spans="1:20" s="343" customFormat="1" ht="0.65" hidden="1" customHeight="1">
      <c r="A1085" s="343">
        <v>7043</v>
      </c>
      <c r="O1085" s="343">
        <v>3</v>
      </c>
      <c r="P1085" s="343" t="s">
        <v>55</v>
      </c>
      <c r="R1085" s="863"/>
    </row>
    <row r="1086" spans="1:20" s="343" customFormat="1" ht="0.65" hidden="1" customHeight="1">
      <c r="A1086" s="343">
        <v>7044</v>
      </c>
      <c r="O1086" s="343">
        <v>4</v>
      </c>
      <c r="P1086" s="343" t="s">
        <v>55</v>
      </c>
      <c r="R1086" s="863"/>
    </row>
    <row r="1087" spans="1:20" s="343" customFormat="1" ht="0.65" hidden="1" customHeight="1">
      <c r="A1087" s="343">
        <v>7045</v>
      </c>
      <c r="O1087" s="343">
        <v>5</v>
      </c>
      <c r="P1087" s="343" t="s">
        <v>129</v>
      </c>
      <c r="R1087" s="863">
        <v>-90000</v>
      </c>
      <c r="S1087" s="343" t="s">
        <v>3890</v>
      </c>
      <c r="T1087" s="343" t="s">
        <v>3638</v>
      </c>
    </row>
    <row r="1088" spans="1:20" s="343" customFormat="1" ht="0.65" hidden="1" customHeight="1">
      <c r="A1088" s="343">
        <v>7046</v>
      </c>
      <c r="O1088" s="343">
        <v>6</v>
      </c>
      <c r="P1088" s="343" t="s">
        <v>3404</v>
      </c>
      <c r="R1088" s="863">
        <v>0</v>
      </c>
      <c r="S1088" s="343" t="s">
        <v>3639</v>
      </c>
      <c r="T1088" s="343" t="s">
        <v>3891</v>
      </c>
    </row>
    <row r="1089" spans="1:20" s="343" customFormat="1" ht="0.65" hidden="1" customHeight="1">
      <c r="A1089" s="343">
        <v>7047</v>
      </c>
      <c r="O1089" s="343">
        <v>7</v>
      </c>
      <c r="P1089" s="343" t="s">
        <v>3407</v>
      </c>
      <c r="R1089" s="863">
        <v>0</v>
      </c>
      <c r="S1089" s="343" t="s">
        <v>3639</v>
      </c>
      <c r="T1089" s="343" t="s">
        <v>3891</v>
      </c>
    </row>
    <row r="1090" spans="1:20" s="343" customFormat="1" ht="0.65" hidden="1" customHeight="1">
      <c r="A1090" s="343">
        <v>7048</v>
      </c>
      <c r="O1090" s="343">
        <v>8</v>
      </c>
      <c r="P1090" s="343" t="s">
        <v>3408</v>
      </c>
      <c r="R1090" s="863">
        <v>0</v>
      </c>
      <c r="S1090" s="343" t="s">
        <v>3639</v>
      </c>
      <c r="T1090" s="343" t="s">
        <v>3891</v>
      </c>
    </row>
    <row r="1091" spans="1:20" s="343" customFormat="1" ht="0.65" hidden="1" customHeight="1">
      <c r="A1091" s="343">
        <v>7049</v>
      </c>
      <c r="O1091" s="343">
        <v>9</v>
      </c>
      <c r="P1091" s="343" t="s">
        <v>3409</v>
      </c>
      <c r="R1091" s="863">
        <v>0</v>
      </c>
      <c r="S1091" s="343" t="s">
        <v>3639</v>
      </c>
      <c r="T1091" s="343" t="s">
        <v>3891</v>
      </c>
    </row>
    <row r="1092" spans="1:20" s="343" customFormat="1" ht="0.65" hidden="1" customHeight="1">
      <c r="A1092" s="343">
        <v>7050</v>
      </c>
      <c r="O1092" s="343">
        <v>10</v>
      </c>
      <c r="P1092" s="343" t="s">
        <v>3410</v>
      </c>
      <c r="R1092" s="863">
        <v>0</v>
      </c>
      <c r="S1092" s="343" t="s">
        <v>3639</v>
      </c>
      <c r="T1092" s="343" t="s">
        <v>3892</v>
      </c>
    </row>
    <row r="1093" spans="1:20" s="343" customFormat="1" ht="0.65" hidden="1" customHeight="1">
      <c r="A1093" s="343">
        <v>7051</v>
      </c>
      <c r="O1093" s="343">
        <v>11</v>
      </c>
      <c r="P1093" s="343" t="s">
        <v>3413</v>
      </c>
      <c r="R1093" s="863">
        <v>0</v>
      </c>
      <c r="S1093" s="343" t="s">
        <v>3639</v>
      </c>
      <c r="T1093" s="343" t="s">
        <v>3892</v>
      </c>
    </row>
    <row r="1094" spans="1:20" s="343" customFormat="1" ht="0.65" hidden="1" customHeight="1">
      <c r="A1094" s="343">
        <v>7052</v>
      </c>
      <c r="O1094" s="343">
        <v>12</v>
      </c>
      <c r="P1094" s="343" t="s">
        <v>3414</v>
      </c>
      <c r="R1094" s="863">
        <v>0</v>
      </c>
      <c r="S1094" s="343" t="s">
        <v>3639</v>
      </c>
      <c r="T1094" s="343" t="s">
        <v>3892</v>
      </c>
    </row>
    <row r="1095" spans="1:20" s="343" customFormat="1" ht="0.65" hidden="1" customHeight="1">
      <c r="A1095" s="343">
        <v>7053</v>
      </c>
      <c r="O1095" s="343">
        <v>13</v>
      </c>
      <c r="P1095" s="343" t="s">
        <v>3415</v>
      </c>
      <c r="R1095" s="863">
        <v>0</v>
      </c>
      <c r="S1095" s="343" t="s">
        <v>3639</v>
      </c>
      <c r="T1095" s="343" t="s">
        <v>3892</v>
      </c>
    </row>
    <row r="1096" spans="1:20" s="343" customFormat="1" ht="0.65" hidden="1" customHeight="1">
      <c r="A1096" s="343">
        <v>7054</v>
      </c>
      <c r="O1096" s="343">
        <v>14</v>
      </c>
      <c r="P1096" s="343" t="s">
        <v>3416</v>
      </c>
      <c r="R1096" s="863">
        <v>6000</v>
      </c>
      <c r="S1096" s="343" t="s">
        <v>3893</v>
      </c>
      <c r="T1096" s="343" t="s">
        <v>3418</v>
      </c>
    </row>
    <row r="1097" spans="1:20" s="343" customFormat="1" ht="0.65" hidden="1" customHeight="1">
      <c r="A1097" s="343">
        <v>7055</v>
      </c>
      <c r="O1097" s="343">
        <v>15</v>
      </c>
      <c r="P1097" s="343" t="s">
        <v>3419</v>
      </c>
      <c r="R1097" s="863">
        <v>6000</v>
      </c>
      <c r="S1097" s="343" t="s">
        <v>3893</v>
      </c>
      <c r="T1097" s="343" t="s">
        <v>3418</v>
      </c>
    </row>
    <row r="1098" spans="1:20" s="343" customFormat="1" ht="0.65" hidden="1" customHeight="1">
      <c r="A1098" s="343">
        <v>7056</v>
      </c>
      <c r="O1098" s="343">
        <v>16</v>
      </c>
      <c r="P1098" s="343" t="s">
        <v>3420</v>
      </c>
      <c r="R1098" s="863">
        <v>6000</v>
      </c>
      <c r="S1098" s="343" t="s">
        <v>3893</v>
      </c>
      <c r="T1098" s="343" t="s">
        <v>3418</v>
      </c>
    </row>
    <row r="1099" spans="1:20" s="343" customFormat="1" ht="0.65" hidden="1" customHeight="1">
      <c r="A1099" s="343">
        <v>7057</v>
      </c>
      <c r="O1099" s="343">
        <v>17</v>
      </c>
      <c r="P1099" s="343" t="s">
        <v>3421</v>
      </c>
      <c r="R1099" s="863">
        <v>6000</v>
      </c>
      <c r="S1099" s="343" t="s">
        <v>3893</v>
      </c>
      <c r="T1099" s="343" t="s">
        <v>3418</v>
      </c>
    </row>
    <row r="1100" spans="1:20" s="343" customFormat="1" ht="0.65" hidden="1" customHeight="1">
      <c r="A1100" s="343">
        <v>7058</v>
      </c>
      <c r="O1100" s="343">
        <v>18</v>
      </c>
      <c r="P1100" s="343" t="s">
        <v>3422</v>
      </c>
      <c r="R1100" s="863">
        <v>-6000</v>
      </c>
      <c r="S1100" s="343" t="s">
        <v>3894</v>
      </c>
      <c r="T1100" s="343" t="s">
        <v>3424</v>
      </c>
    </row>
    <row r="1101" spans="1:20" s="343" customFormat="1" ht="0.65" hidden="1" customHeight="1">
      <c r="A1101" s="343">
        <v>7059</v>
      </c>
      <c r="O1101" s="343">
        <v>19</v>
      </c>
      <c r="P1101" s="343" t="s">
        <v>3425</v>
      </c>
      <c r="R1101" s="863">
        <v>-6000</v>
      </c>
      <c r="S1101" s="343" t="s">
        <v>3894</v>
      </c>
      <c r="T1101" s="343" t="s">
        <v>3426</v>
      </c>
    </row>
    <row r="1102" spans="1:20" s="343" customFormat="1" ht="0.65" hidden="1" customHeight="1">
      <c r="A1102" s="343">
        <v>7060</v>
      </c>
      <c r="O1102" s="343">
        <v>20</v>
      </c>
      <c r="P1102" s="343" t="s">
        <v>3427</v>
      </c>
      <c r="R1102" s="863">
        <v>-6000</v>
      </c>
      <c r="S1102" s="343" t="s">
        <v>3894</v>
      </c>
      <c r="T1102" s="343" t="s">
        <v>3428</v>
      </c>
    </row>
    <row r="1103" spans="1:20" s="343" customFormat="1" ht="0.65" hidden="1" customHeight="1">
      <c r="A1103" s="343">
        <v>7061</v>
      </c>
      <c r="O1103" s="343">
        <v>21</v>
      </c>
      <c r="P1103" s="343" t="s">
        <v>3429</v>
      </c>
      <c r="R1103" s="863">
        <v>-6000</v>
      </c>
      <c r="S1103" s="343" t="s">
        <v>3894</v>
      </c>
      <c r="T1103" s="343" t="s">
        <v>3430</v>
      </c>
    </row>
    <row r="1104" spans="1:20" s="343" customFormat="1" ht="0.65" hidden="1" customHeight="1">
      <c r="A1104" s="343">
        <v>7062</v>
      </c>
      <c r="O1104" s="343">
        <v>22</v>
      </c>
      <c r="P1104" s="343" t="s">
        <v>3431</v>
      </c>
      <c r="R1104" s="863">
        <v>-1800</v>
      </c>
      <c r="S1104" s="343" t="s">
        <v>3895</v>
      </c>
      <c r="T1104" s="343" t="s">
        <v>3433</v>
      </c>
    </row>
    <row r="1105" spans="1:20" s="343" customFormat="1" ht="0.65" hidden="1" customHeight="1">
      <c r="A1105" s="343">
        <v>7063</v>
      </c>
      <c r="O1105" s="343">
        <v>23</v>
      </c>
      <c r="P1105" s="343" t="s">
        <v>3434</v>
      </c>
      <c r="R1105" s="863">
        <v>-1800</v>
      </c>
      <c r="S1105" s="343" t="s">
        <v>3895</v>
      </c>
      <c r="T1105" s="343" t="s">
        <v>3435</v>
      </c>
    </row>
    <row r="1106" spans="1:20" s="343" customFormat="1" ht="0.65" hidden="1" customHeight="1">
      <c r="A1106" s="343">
        <v>7064</v>
      </c>
      <c r="O1106" s="343">
        <v>24</v>
      </c>
      <c r="P1106" s="343" t="s">
        <v>3436</v>
      </c>
      <c r="R1106" s="863">
        <v>-1800</v>
      </c>
      <c r="S1106" s="343" t="s">
        <v>3895</v>
      </c>
      <c r="T1106" s="343" t="s">
        <v>3437</v>
      </c>
    </row>
    <row r="1107" spans="1:20" s="343" customFormat="1" ht="0.65" hidden="1" customHeight="1">
      <c r="A1107" s="343">
        <v>7065</v>
      </c>
      <c r="O1107" s="343">
        <v>25</v>
      </c>
      <c r="P1107" s="343" t="s">
        <v>3438</v>
      </c>
      <c r="R1107" s="863">
        <v>-1800</v>
      </c>
      <c r="S1107" s="343" t="s">
        <v>3895</v>
      </c>
      <c r="T1107" s="343" t="s">
        <v>3439</v>
      </c>
    </row>
    <row r="1108" spans="1:20" s="343" customFormat="1" ht="0.65" hidden="1" customHeight="1">
      <c r="A1108" s="343">
        <v>7066</v>
      </c>
      <c r="O1108" s="343">
        <v>26</v>
      </c>
      <c r="P1108" s="343" t="s">
        <v>3440</v>
      </c>
      <c r="R1108" s="863">
        <v>-4200</v>
      </c>
      <c r="S1108" s="343" t="s">
        <v>3896</v>
      </c>
      <c r="T1108" s="343" t="s">
        <v>3442</v>
      </c>
    </row>
    <row r="1109" spans="1:20" s="343" customFormat="1" ht="0.65" hidden="1" customHeight="1">
      <c r="A1109" s="343">
        <v>7067</v>
      </c>
      <c r="O1109" s="343">
        <v>27</v>
      </c>
      <c r="P1109" s="343" t="s">
        <v>3443</v>
      </c>
      <c r="R1109" s="863">
        <v>-4200</v>
      </c>
      <c r="S1109" s="343" t="s">
        <v>3896</v>
      </c>
      <c r="T1109" s="343" t="s">
        <v>3444</v>
      </c>
    </row>
    <row r="1110" spans="1:20" s="343" customFormat="1" ht="0.65" hidden="1" customHeight="1">
      <c r="A1110" s="343">
        <v>7068</v>
      </c>
      <c r="O1110" s="343">
        <v>28</v>
      </c>
      <c r="P1110" s="343" t="s">
        <v>3445</v>
      </c>
      <c r="R1110" s="863">
        <v>-4200</v>
      </c>
      <c r="S1110" s="343" t="s">
        <v>3896</v>
      </c>
      <c r="T1110" s="343" t="s">
        <v>3446</v>
      </c>
    </row>
    <row r="1111" spans="1:20" s="343" customFormat="1" ht="0.65" hidden="1" customHeight="1">
      <c r="A1111" s="343">
        <v>7069</v>
      </c>
      <c r="O1111" s="343">
        <v>29</v>
      </c>
      <c r="P1111" s="343" t="s">
        <v>3447</v>
      </c>
      <c r="R1111" s="863">
        <v>-4200</v>
      </c>
      <c r="S1111" s="343" t="s">
        <v>3896</v>
      </c>
      <c r="T1111" s="343" t="s">
        <v>3448</v>
      </c>
    </row>
    <row r="1112" spans="1:20" s="343" customFormat="1" ht="0.65" hidden="1" customHeight="1">
      <c r="A1112" s="343">
        <v>7070</v>
      </c>
      <c r="O1112" s="343">
        <v>30</v>
      </c>
      <c r="P1112" s="343" t="s">
        <v>3449</v>
      </c>
      <c r="R1112" s="863">
        <v>1800</v>
      </c>
      <c r="S1112" s="863" t="s">
        <v>3897</v>
      </c>
      <c r="T1112" s="343" t="s">
        <v>3451</v>
      </c>
    </row>
    <row r="1113" spans="1:20" s="343" customFormat="1" ht="0.65" hidden="1" customHeight="1">
      <c r="A1113" s="343">
        <v>7071</v>
      </c>
      <c r="O1113" s="343">
        <v>31</v>
      </c>
      <c r="P1113" s="343" t="s">
        <v>3452</v>
      </c>
      <c r="R1113" s="863">
        <v>1800</v>
      </c>
      <c r="S1113" s="863" t="s">
        <v>3897</v>
      </c>
      <c r="T1113" s="343" t="s">
        <v>3453</v>
      </c>
    </row>
    <row r="1114" spans="1:20" s="343" customFormat="1" ht="0.65" hidden="1" customHeight="1">
      <c r="A1114" s="343">
        <v>7072</v>
      </c>
      <c r="O1114" s="343">
        <v>32</v>
      </c>
      <c r="P1114" s="343" t="s">
        <v>3454</v>
      </c>
      <c r="R1114" s="863">
        <v>1800</v>
      </c>
      <c r="S1114" s="863" t="s">
        <v>3897</v>
      </c>
      <c r="T1114" s="343" t="s">
        <v>3455</v>
      </c>
    </row>
    <row r="1115" spans="1:20" s="343" customFormat="1" ht="0.65" hidden="1" customHeight="1">
      <c r="A1115" s="343">
        <v>7073</v>
      </c>
      <c r="O1115" s="343">
        <v>33</v>
      </c>
      <c r="P1115" s="343" t="s">
        <v>3456</v>
      </c>
      <c r="R1115" s="863">
        <v>1800</v>
      </c>
      <c r="S1115" s="863" t="s">
        <v>3897</v>
      </c>
      <c r="T1115" s="343" t="s">
        <v>3457</v>
      </c>
    </row>
    <row r="1116" spans="1:20" s="343" customFormat="1" ht="0.65" hidden="1" customHeight="1">
      <c r="A1116" s="343">
        <v>7074</v>
      </c>
      <c r="O1116" s="343">
        <v>34</v>
      </c>
      <c r="P1116" s="343" t="s">
        <v>3458</v>
      </c>
      <c r="R1116" s="863">
        <v>-120000</v>
      </c>
      <c r="S1116" s="343" t="s">
        <v>3886</v>
      </c>
      <c r="T1116" s="343" t="s">
        <v>3898</v>
      </c>
    </row>
    <row r="1117" spans="1:20" s="343" customFormat="1" ht="0.65" hidden="1" customHeight="1">
      <c r="A1117" s="343">
        <v>7075</v>
      </c>
      <c r="O1117" s="343">
        <v>35</v>
      </c>
      <c r="P1117" s="343" t="s">
        <v>3461</v>
      </c>
      <c r="R1117" s="863">
        <v>-120000</v>
      </c>
      <c r="S1117" s="863" t="s">
        <v>3886</v>
      </c>
      <c r="T1117" s="343" t="s">
        <v>3899</v>
      </c>
    </row>
    <row r="1118" spans="1:20" s="343" customFormat="1" ht="0.65" hidden="1" customHeight="1">
      <c r="A1118" s="343">
        <v>7076</v>
      </c>
      <c r="O1118" s="343">
        <v>36</v>
      </c>
      <c r="P1118" s="343" t="s">
        <v>3463</v>
      </c>
      <c r="R1118" s="863">
        <v>-120000</v>
      </c>
      <c r="S1118" s="863" t="s">
        <v>3886</v>
      </c>
      <c r="T1118" s="343" t="s">
        <v>3900</v>
      </c>
    </row>
    <row r="1119" spans="1:20" s="343" customFormat="1" ht="0.65" hidden="1" customHeight="1">
      <c r="A1119" s="343">
        <v>7077</v>
      </c>
      <c r="O1119" s="343">
        <v>37</v>
      </c>
      <c r="P1119" s="343" t="s">
        <v>3465</v>
      </c>
      <c r="R1119" s="863">
        <v>-120000</v>
      </c>
      <c r="S1119" s="863" t="s">
        <v>3886</v>
      </c>
      <c r="T1119" s="343" t="s">
        <v>3901</v>
      </c>
    </row>
    <row r="1120" spans="1:20" s="343" customFormat="1" ht="0.65" hidden="1" customHeight="1">
      <c r="A1120" s="343">
        <v>7078</v>
      </c>
      <c r="O1120" s="343">
        <v>38</v>
      </c>
      <c r="P1120" s="343" t="s">
        <v>3467</v>
      </c>
      <c r="R1120" s="863">
        <v>-120000</v>
      </c>
      <c r="S1120" s="863" t="s">
        <v>3886</v>
      </c>
      <c r="T1120" s="343" t="s">
        <v>3901</v>
      </c>
    </row>
    <row r="1121" spans="1:20" s="343" customFormat="1" ht="0.65" hidden="1" customHeight="1">
      <c r="A1121" s="343">
        <v>7079</v>
      </c>
      <c r="O1121" s="343">
        <v>39</v>
      </c>
      <c r="P1121" s="343" t="s">
        <v>3468</v>
      </c>
      <c r="R1121" s="863">
        <v>0</v>
      </c>
      <c r="S1121" s="343" t="s">
        <v>3652</v>
      </c>
      <c r="T1121" s="343" t="s">
        <v>3470</v>
      </c>
    </row>
    <row r="1122" spans="1:20" s="343" customFormat="1" ht="0.65" hidden="1" customHeight="1">
      <c r="A1122" s="343">
        <v>7080</v>
      </c>
      <c r="O1122" s="343">
        <v>40</v>
      </c>
      <c r="P1122" s="343" t="s">
        <v>3471</v>
      </c>
      <c r="R1122" s="863">
        <v>0</v>
      </c>
      <c r="S1122" s="863" t="s">
        <v>3652</v>
      </c>
      <c r="T1122" s="343" t="s">
        <v>3472</v>
      </c>
    </row>
    <row r="1123" spans="1:20" s="343" customFormat="1" ht="0.65" hidden="1" customHeight="1">
      <c r="A1123" s="343">
        <v>7081</v>
      </c>
      <c r="O1123" s="343">
        <v>41</v>
      </c>
      <c r="P1123" s="343" t="s">
        <v>3473</v>
      </c>
      <c r="R1123" s="863">
        <v>0</v>
      </c>
      <c r="S1123" s="863" t="s">
        <v>3652</v>
      </c>
      <c r="T1123" s="343" t="s">
        <v>3474</v>
      </c>
    </row>
    <row r="1124" spans="1:20" s="343" customFormat="1" ht="0.65" hidden="1" customHeight="1">
      <c r="A1124" s="343">
        <v>7082</v>
      </c>
      <c r="O1124" s="343">
        <v>42</v>
      </c>
      <c r="P1124" s="343" t="s">
        <v>3475</v>
      </c>
      <c r="R1124" s="863">
        <v>0</v>
      </c>
      <c r="S1124" s="863" t="s">
        <v>3652</v>
      </c>
      <c r="T1124" s="343" t="s">
        <v>3476</v>
      </c>
    </row>
    <row r="1125" spans="1:20" s="343" customFormat="1" ht="0.65" hidden="1" customHeight="1">
      <c r="A1125" s="343">
        <v>7083</v>
      </c>
      <c r="O1125" s="343">
        <v>43</v>
      </c>
      <c r="P1125" s="343" t="s">
        <v>3477</v>
      </c>
      <c r="R1125" s="863">
        <v>0</v>
      </c>
      <c r="S1125" s="863" t="s">
        <v>3652</v>
      </c>
      <c r="T1125" s="343" t="s">
        <v>3478</v>
      </c>
    </row>
    <row r="1126" spans="1:20" s="343" customFormat="1" ht="0.65" hidden="1" customHeight="1">
      <c r="A1126" s="343">
        <v>7084</v>
      </c>
      <c r="O1126" s="343">
        <v>44</v>
      </c>
      <c r="P1126" s="343" t="s">
        <v>3479</v>
      </c>
      <c r="R1126" s="863">
        <v>0</v>
      </c>
      <c r="S1126" s="343" t="s">
        <v>3653</v>
      </c>
      <c r="T1126" s="343" t="s">
        <v>3654</v>
      </c>
    </row>
    <row r="1127" spans="1:20" s="343" customFormat="1" ht="0.65" hidden="1" customHeight="1">
      <c r="A1127" s="343">
        <v>7085</v>
      </c>
      <c r="O1127" s="343">
        <v>45</v>
      </c>
      <c r="P1127" s="343" t="s">
        <v>3482</v>
      </c>
      <c r="R1127" s="863">
        <v>0</v>
      </c>
      <c r="S1127" s="863" t="s">
        <v>3653</v>
      </c>
      <c r="T1127" s="343" t="s">
        <v>3483</v>
      </c>
    </row>
    <row r="1128" spans="1:20" s="343" customFormat="1" ht="0.65" hidden="1" customHeight="1">
      <c r="A1128" s="343">
        <v>7086</v>
      </c>
      <c r="O1128" s="343">
        <v>46</v>
      </c>
      <c r="P1128" s="343" t="s">
        <v>3484</v>
      </c>
      <c r="R1128" s="863">
        <v>0</v>
      </c>
      <c r="S1128" s="863" t="s">
        <v>3653</v>
      </c>
      <c r="T1128" s="343" t="s">
        <v>3485</v>
      </c>
    </row>
    <row r="1129" spans="1:20" s="343" customFormat="1" ht="0.65" hidden="1" customHeight="1">
      <c r="A1129" s="343">
        <v>7087</v>
      </c>
      <c r="O1129" s="343">
        <v>47</v>
      </c>
      <c r="P1129" s="343" t="s">
        <v>3486</v>
      </c>
      <c r="R1129" s="863">
        <v>0</v>
      </c>
      <c r="S1129" s="863" t="s">
        <v>3653</v>
      </c>
      <c r="T1129" s="343" t="s">
        <v>3487</v>
      </c>
    </row>
    <row r="1130" spans="1:20" s="343" customFormat="1" ht="0.65" hidden="1" customHeight="1">
      <c r="A1130" s="343">
        <v>7088</v>
      </c>
      <c r="O1130" s="343">
        <v>48</v>
      </c>
      <c r="P1130" s="343" t="s">
        <v>3488</v>
      </c>
      <c r="R1130" s="863">
        <v>0</v>
      </c>
      <c r="S1130" s="863" t="s">
        <v>3653</v>
      </c>
      <c r="T1130" s="343" t="s">
        <v>3489</v>
      </c>
    </row>
    <row r="1131" spans="1:20" s="343" customFormat="1" ht="0.65" hidden="1" customHeight="1">
      <c r="A1131" s="343">
        <v>7089</v>
      </c>
      <c r="O1131" s="343">
        <v>49</v>
      </c>
      <c r="P1131" s="343" t="s">
        <v>3490</v>
      </c>
      <c r="R1131" s="863">
        <v>-120000</v>
      </c>
      <c r="S1131" s="863" t="s">
        <v>3902</v>
      </c>
      <c r="T1131" s="343" t="s">
        <v>3492</v>
      </c>
    </row>
    <row r="1132" spans="1:20" s="343" customFormat="1" ht="0.65" hidden="1" customHeight="1">
      <c r="A1132" s="343">
        <v>7090</v>
      </c>
      <c r="O1132" s="343">
        <v>50</v>
      </c>
      <c r="P1132" s="343" t="s">
        <v>3493</v>
      </c>
      <c r="R1132" s="863">
        <v>-120000</v>
      </c>
      <c r="S1132" s="863" t="s">
        <v>3902</v>
      </c>
      <c r="T1132" s="343" t="s">
        <v>3494</v>
      </c>
    </row>
    <row r="1133" spans="1:20" s="343" customFormat="1" ht="0.65" hidden="1" customHeight="1">
      <c r="A1133" s="343">
        <v>7091</v>
      </c>
      <c r="O1133" s="343">
        <v>51</v>
      </c>
      <c r="P1133" s="343" t="s">
        <v>3495</v>
      </c>
      <c r="R1133" s="863">
        <v>-120000</v>
      </c>
      <c r="S1133" s="863" t="s">
        <v>3902</v>
      </c>
      <c r="T1133" s="343" t="s">
        <v>3496</v>
      </c>
    </row>
    <row r="1134" spans="1:20" s="343" customFormat="1" ht="0.65" hidden="1" customHeight="1">
      <c r="A1134" s="343">
        <v>7092</v>
      </c>
      <c r="O1134" s="343">
        <v>52</v>
      </c>
      <c r="P1134" s="343" t="s">
        <v>3497</v>
      </c>
      <c r="R1134" s="863">
        <v>-120000</v>
      </c>
      <c r="S1134" s="863" t="s">
        <v>3902</v>
      </c>
      <c r="T1134" s="343" t="s">
        <v>3498</v>
      </c>
    </row>
    <row r="1135" spans="1:20" s="343" customFormat="1" ht="0.65" hidden="1" customHeight="1">
      <c r="A1135" s="343">
        <v>7093</v>
      </c>
      <c r="O1135" s="343">
        <v>53</v>
      </c>
      <c r="P1135" s="343" t="s">
        <v>3499</v>
      </c>
      <c r="R1135" s="863">
        <v>-120000</v>
      </c>
      <c r="S1135" s="863" t="s">
        <v>3902</v>
      </c>
      <c r="T1135" s="343" t="s">
        <v>3500</v>
      </c>
    </row>
    <row r="1136" spans="1:20" s="343" customFormat="1" ht="0.65" hidden="1" customHeight="1">
      <c r="A1136" s="343">
        <v>7094</v>
      </c>
      <c r="O1136" s="343">
        <v>54</v>
      </c>
      <c r="P1136" s="343" t="s">
        <v>3501</v>
      </c>
      <c r="R1136" s="863">
        <v>-120000</v>
      </c>
      <c r="S1136" s="343" t="s">
        <v>3903</v>
      </c>
      <c r="T1136" s="343" t="s">
        <v>3503</v>
      </c>
    </row>
    <row r="1137" spans="1:20" s="343" customFormat="1" ht="0.65" hidden="1" customHeight="1">
      <c r="A1137" s="343">
        <v>7095</v>
      </c>
      <c r="O1137" s="343">
        <v>55</v>
      </c>
      <c r="P1137" s="343" t="s">
        <v>3504</v>
      </c>
      <c r="R1137" s="863">
        <v>0</v>
      </c>
      <c r="S1137" s="343" t="s">
        <v>3904</v>
      </c>
      <c r="T1137" s="343" t="s">
        <v>3506</v>
      </c>
    </row>
    <row r="1138" spans="1:20" s="343" customFormat="1" ht="0.65" hidden="1" customHeight="1">
      <c r="A1138" s="343">
        <v>7096</v>
      </c>
      <c r="O1138" s="343">
        <v>56</v>
      </c>
      <c r="P1138" s="343" t="s">
        <v>3507</v>
      </c>
      <c r="R1138" s="863">
        <v>0</v>
      </c>
      <c r="S1138" s="343" t="s">
        <v>3904</v>
      </c>
      <c r="T1138" s="343" t="s">
        <v>3508</v>
      </c>
    </row>
    <row r="1139" spans="1:20" s="343" customFormat="1" ht="0.65" hidden="1" customHeight="1">
      <c r="A1139" s="343">
        <v>7097</v>
      </c>
      <c r="O1139" s="343">
        <v>57</v>
      </c>
      <c r="P1139" s="343" t="s">
        <v>3509</v>
      </c>
      <c r="R1139" s="863">
        <v>0</v>
      </c>
      <c r="S1139" s="343" t="s">
        <v>3904</v>
      </c>
      <c r="T1139" s="343" t="s">
        <v>3510</v>
      </c>
    </row>
    <row r="1140" spans="1:20" s="343" customFormat="1" ht="0.65" hidden="1" customHeight="1">
      <c r="A1140" s="343">
        <v>7098</v>
      </c>
      <c r="O1140" s="343">
        <v>58</v>
      </c>
      <c r="P1140" s="343" t="s">
        <v>3511</v>
      </c>
      <c r="R1140" s="863">
        <v>0</v>
      </c>
      <c r="S1140" s="343" t="s">
        <v>3904</v>
      </c>
      <c r="T1140" s="343" t="s">
        <v>3512</v>
      </c>
    </row>
    <row r="1141" spans="1:20" s="343" customFormat="1" ht="0.65" hidden="1" customHeight="1">
      <c r="A1141" s="343">
        <v>7099</v>
      </c>
      <c r="O1141" s="343">
        <v>59</v>
      </c>
      <c r="P1141" s="343" t="s">
        <v>3513</v>
      </c>
      <c r="R1141" s="863">
        <v>1800</v>
      </c>
      <c r="S1141" s="863" t="s">
        <v>3905</v>
      </c>
      <c r="T1141" s="343" t="s">
        <v>3515</v>
      </c>
    </row>
    <row r="1142" spans="1:20" s="343" customFormat="1" ht="0.65" hidden="1" customHeight="1">
      <c r="A1142" s="343">
        <v>7100</v>
      </c>
      <c r="O1142" s="343">
        <v>60</v>
      </c>
      <c r="P1142" s="343" t="s">
        <v>3516</v>
      </c>
      <c r="R1142" s="863">
        <v>1800</v>
      </c>
      <c r="S1142" s="863" t="s">
        <v>3905</v>
      </c>
      <c r="T1142" s="343" t="s">
        <v>3517</v>
      </c>
    </row>
    <row r="1143" spans="1:20" s="343" customFormat="1" ht="0.65" hidden="1" customHeight="1">
      <c r="A1143" s="343">
        <v>7101</v>
      </c>
      <c r="O1143" s="343">
        <v>61</v>
      </c>
      <c r="P1143" s="343" t="s">
        <v>3518</v>
      </c>
      <c r="R1143" s="863">
        <v>1800</v>
      </c>
      <c r="S1143" s="863" t="s">
        <v>3905</v>
      </c>
      <c r="T1143" s="343" t="s">
        <v>3519</v>
      </c>
    </row>
    <row r="1144" spans="1:20" s="343" customFormat="1" ht="0.65" hidden="1" customHeight="1">
      <c r="A1144" s="343">
        <v>7102</v>
      </c>
      <c r="O1144" s="343">
        <v>62</v>
      </c>
      <c r="P1144" s="343" t="s">
        <v>3520</v>
      </c>
      <c r="R1144" s="863">
        <v>1800</v>
      </c>
      <c r="S1144" s="863" t="s">
        <v>3905</v>
      </c>
      <c r="T1144" s="343" t="s">
        <v>3521</v>
      </c>
    </row>
    <row r="1145" spans="1:20" s="343" customFormat="1" ht="0.65" hidden="1" customHeight="1">
      <c r="A1145" s="343">
        <v>7103</v>
      </c>
      <c r="O1145" s="343">
        <v>63</v>
      </c>
      <c r="P1145" s="343" t="s">
        <v>3389</v>
      </c>
      <c r="R1145" s="863">
        <v>-120000</v>
      </c>
      <c r="S1145" s="343" t="s">
        <v>3903</v>
      </c>
      <c r="T1145" s="343" t="s">
        <v>3522</v>
      </c>
    </row>
    <row r="1146" spans="1:20" s="343" customFormat="1" ht="0.65" hidden="1" customHeight="1">
      <c r="A1146" s="343">
        <v>7104</v>
      </c>
      <c r="O1146" s="343">
        <v>64</v>
      </c>
      <c r="P1146" s="343" t="s">
        <v>3885</v>
      </c>
      <c r="R1146" s="863">
        <v>1800</v>
      </c>
      <c r="S1146" s="343" t="s">
        <v>3906</v>
      </c>
      <c r="T1146" s="343" t="s">
        <v>3907</v>
      </c>
    </row>
    <row r="1147" spans="1:20" s="343" customFormat="1" ht="0.65" hidden="1" customHeight="1">
      <c r="A1147" s="343">
        <v>7105</v>
      </c>
      <c r="O1147" s="343">
        <v>65</v>
      </c>
      <c r="P1147" s="343" t="s">
        <v>55</v>
      </c>
      <c r="R1147" s="863"/>
    </row>
    <row r="1148" spans="1:20" s="343" customFormat="1" ht="0.65" hidden="1" customHeight="1">
      <c r="A1148" s="343">
        <v>7106</v>
      </c>
      <c r="O1148" s="343">
        <v>66</v>
      </c>
      <c r="P1148" s="343" t="s">
        <v>55</v>
      </c>
      <c r="R1148" s="863"/>
    </row>
    <row r="1149" spans="1:20" s="343" customFormat="1" ht="0.65" hidden="1" customHeight="1">
      <c r="A1149" s="343">
        <v>7107</v>
      </c>
      <c r="O1149" s="343">
        <v>67</v>
      </c>
      <c r="P1149" s="343" t="s">
        <v>3394</v>
      </c>
      <c r="R1149" s="863">
        <v>-118200</v>
      </c>
      <c r="S1149" s="343" t="s">
        <v>3908</v>
      </c>
      <c r="T1149" s="343" t="s">
        <v>3909</v>
      </c>
    </row>
    <row r="1150" spans="1:20" s="343" customFormat="1" ht="0.65" hidden="1" customHeight="1">
      <c r="A1150" s="343">
        <v>7108</v>
      </c>
      <c r="O1150" s="343">
        <v>68</v>
      </c>
      <c r="P1150" s="343" t="s">
        <v>3527</v>
      </c>
      <c r="R1150" s="863">
        <v>90000</v>
      </c>
      <c r="S1150" s="343" t="s">
        <v>3910</v>
      </c>
      <c r="T1150" s="343" t="s">
        <v>3529</v>
      </c>
    </row>
    <row r="1151" spans="1:20" s="343" customFormat="1" ht="0.65" hidden="1" customHeight="1">
      <c r="A1151" s="343">
        <v>7109</v>
      </c>
      <c r="O1151" s="343">
        <v>69</v>
      </c>
      <c r="P1151" s="343" t="s">
        <v>3530</v>
      </c>
      <c r="R1151" s="863">
        <v>1800</v>
      </c>
      <c r="S1151" s="343" t="s">
        <v>3911</v>
      </c>
      <c r="T1151" s="343" t="s">
        <v>3532</v>
      </c>
    </row>
    <row r="1152" spans="1:20" s="343" customFormat="1" ht="0.65" hidden="1" customHeight="1">
      <c r="A1152" s="343">
        <v>7110</v>
      </c>
      <c r="O1152" s="343">
        <v>70</v>
      </c>
      <c r="P1152" s="343" t="s">
        <v>3533</v>
      </c>
      <c r="R1152" s="863">
        <v>1800</v>
      </c>
      <c r="S1152" s="343" t="s">
        <v>3911</v>
      </c>
      <c r="T1152" s="343" t="s">
        <v>3534</v>
      </c>
    </row>
    <row r="1153" spans="1:20" s="343" customFormat="1" ht="0.65" hidden="1" customHeight="1">
      <c r="A1153" s="343">
        <v>7111</v>
      </c>
      <c r="O1153" s="343">
        <v>71</v>
      </c>
      <c r="P1153" s="343" t="s">
        <v>3535</v>
      </c>
      <c r="R1153" s="863">
        <v>1800</v>
      </c>
      <c r="S1153" s="343" t="s">
        <v>3911</v>
      </c>
      <c r="T1153" s="343" t="s">
        <v>3536</v>
      </c>
    </row>
    <row r="1154" spans="1:20" s="343" customFormat="1" ht="0.65" hidden="1" customHeight="1">
      <c r="A1154" s="343">
        <v>7112</v>
      </c>
      <c r="O1154" s="343">
        <v>72</v>
      </c>
      <c r="P1154" s="343" t="s">
        <v>3537</v>
      </c>
      <c r="R1154" s="863">
        <v>-116400</v>
      </c>
      <c r="S1154" s="343" t="s">
        <v>3912</v>
      </c>
      <c r="T1154" s="343" t="s">
        <v>3539</v>
      </c>
    </row>
    <row r="1155" spans="1:20" s="343" customFormat="1" ht="0.65" hidden="1" customHeight="1">
      <c r="A1155" s="343">
        <v>7113</v>
      </c>
      <c r="O1155" s="343">
        <v>73</v>
      </c>
      <c r="P1155" s="343" t="s">
        <v>3540</v>
      </c>
      <c r="R1155" s="864">
        <v>0.1</v>
      </c>
      <c r="S1155" s="343" t="s">
        <v>3541</v>
      </c>
      <c r="T1155" s="343" t="s">
        <v>3542</v>
      </c>
    </row>
    <row r="1156" spans="1:20" s="343" customFormat="1" ht="0.65" hidden="1" customHeight="1">
      <c r="A1156" s="343">
        <v>7114</v>
      </c>
      <c r="O1156" s="343">
        <v>74</v>
      </c>
      <c r="P1156" s="343" t="s">
        <v>13</v>
      </c>
      <c r="R1156" s="863">
        <v>14973.567379277403</v>
      </c>
      <c r="S1156" s="343" t="s">
        <v>3913</v>
      </c>
      <c r="T1156" s="343" t="s">
        <v>3544</v>
      </c>
    </row>
    <row r="1157" spans="1:20" s="343" customFormat="1" ht="0.65" hidden="1" customHeight="1">
      <c r="A1157" s="343">
        <v>7115</v>
      </c>
      <c r="O1157" s="343">
        <v>75</v>
      </c>
      <c r="P1157" s="343" t="s">
        <v>28</v>
      </c>
      <c r="R1157" s="864">
        <v>5.2434477322136352E-2</v>
      </c>
      <c r="S1157" s="343" t="s">
        <v>3914</v>
      </c>
      <c r="T1157" s="343" t="s">
        <v>3546</v>
      </c>
    </row>
    <row r="1158" spans="1:20" s="343" customFormat="1" ht="0.65" hidden="1" customHeight="1">
      <c r="A1158" s="343">
        <v>7116</v>
      </c>
    </row>
    <row r="1159" spans="1:20" s="343" customFormat="1" ht="0.65" hidden="1" customHeight="1">
      <c r="A1159" s="343">
        <v>7117</v>
      </c>
      <c r="O1159" s="343">
        <v>1</v>
      </c>
      <c r="P1159" s="343" t="s">
        <v>3915</v>
      </c>
    </row>
    <row r="1160" spans="1:20" s="343" customFormat="1" ht="0.65" hidden="1" customHeight="1">
      <c r="A1160" s="343">
        <v>7118</v>
      </c>
      <c r="O1160" s="343">
        <v>2</v>
      </c>
      <c r="P1160" s="343" t="s">
        <v>3916</v>
      </c>
    </row>
    <row r="1161" spans="1:20" s="343" customFormat="1" ht="0.65" hidden="1" customHeight="1">
      <c r="A1161" s="343">
        <v>7119</v>
      </c>
      <c r="O1161" s="343">
        <v>3</v>
      </c>
      <c r="P1161" s="343" t="s">
        <v>4146</v>
      </c>
    </row>
    <row r="1162" spans="1:20" s="343" customFormat="1" ht="0.65" hidden="1" customHeight="1">
      <c r="A1162" s="343">
        <v>7120</v>
      </c>
      <c r="O1162" s="343">
        <v>4</v>
      </c>
      <c r="P1162" s="343" t="s">
        <v>3550</v>
      </c>
    </row>
    <row r="1163" spans="1:20" s="343" customFormat="1" ht="0.65" hidden="1" customHeight="1">
      <c r="A1163" s="343">
        <v>7121</v>
      </c>
      <c r="O1163" s="343">
        <v>5</v>
      </c>
      <c r="P1163" s="343" t="s">
        <v>3917</v>
      </c>
    </row>
    <row r="1164" spans="1:20" s="343" customFormat="1" ht="0.65" hidden="1" customHeight="1">
      <c r="A1164" s="343">
        <v>7122</v>
      </c>
      <c r="O1164" s="343">
        <v>6</v>
      </c>
      <c r="P1164" s="343" t="s">
        <v>3918</v>
      </c>
    </row>
    <row r="1165" spans="1:20" s="343" customFormat="1" ht="0.65" hidden="1" customHeight="1">
      <c r="A1165" s="343">
        <v>7123</v>
      </c>
      <c r="O1165" s="343">
        <v>7</v>
      </c>
    </row>
    <row r="1166" spans="1:20" s="343" customFormat="1" ht="0.65" hidden="1" customHeight="1">
      <c r="A1166" s="343">
        <v>7124</v>
      </c>
      <c r="O1166" s="343">
        <v>8</v>
      </c>
    </row>
    <row r="1167" spans="1:20" s="343" customFormat="1" ht="0.65" hidden="1" customHeight="1">
      <c r="A1167" s="343">
        <v>7125</v>
      </c>
      <c r="O1167" s="343">
        <v>9</v>
      </c>
    </row>
    <row r="1168" spans="1:20" s="343" customFormat="1" ht="0.65" hidden="1" customHeight="1">
      <c r="A1168" s="343">
        <v>7126</v>
      </c>
      <c r="O1168" s="343">
        <v>10</v>
      </c>
    </row>
    <row r="1169" spans="1:16" s="343" customFormat="1" ht="0.65" hidden="1" customHeight="1">
      <c r="A1169" s="343">
        <v>7127</v>
      </c>
    </row>
    <row r="1170" spans="1:16" s="343" customFormat="1" ht="0.65" hidden="1" customHeight="1">
      <c r="A1170" s="343">
        <f t="shared" ref="A1170:A1172" si="43">1+A1169</f>
        <v>7128</v>
      </c>
    </row>
    <row r="1171" spans="1:16" s="343" customFormat="1" ht="0.65" hidden="1" customHeight="1">
      <c r="A1171" s="343">
        <f t="shared" si="43"/>
        <v>7129</v>
      </c>
    </row>
    <row r="1172" spans="1:16" s="343" customFormat="1" ht="0.65" hidden="1" customHeight="1">
      <c r="A1172" s="343">
        <f t="shared" si="43"/>
        <v>7130</v>
      </c>
    </row>
    <row r="1173" spans="1:16" s="873" customFormat="1" ht="0.65" hidden="1" customHeight="1"/>
    <row r="1174" spans="1:16" s="873" customFormat="1" ht="0.65" hidden="1" customHeight="1">
      <c r="O1174" s="873">
        <v>1</v>
      </c>
      <c r="P1174" s="873" t="str">
        <f>UPPER("Planteamiento general")</f>
        <v>PLANTEAMIENTO GENERAL</v>
      </c>
    </row>
    <row r="1175" spans="1:16" s="873" customFormat="1" ht="0.65" hidden="1" customHeight="1">
      <c r="O1175" s="873">
        <v>2</v>
      </c>
      <c r="P1175" s="873" t="str">
        <f>UPPER("Desembolso inicial")</f>
        <v>DESEMBOLSO INICIAL</v>
      </c>
    </row>
    <row r="1176" spans="1:16" s="873" customFormat="1" ht="0.65" hidden="1" customHeight="1">
      <c r="O1176" s="873">
        <v>3</v>
      </c>
      <c r="P1176" s="873" t="str">
        <f>UPPER("Amortización de inmovilizados")</f>
        <v>AMORTIZACIÓN DE INMOVILIZADOS</v>
      </c>
    </row>
    <row r="1177" spans="1:16" s="873" customFormat="1" ht="0.65" hidden="1" customHeight="1">
      <c r="O1177" s="873">
        <v>4</v>
      </c>
      <c r="P1177" s="873" t="str">
        <f>UPPER("Existencias")</f>
        <v>EXISTENCIAS</v>
      </c>
    </row>
    <row r="1178" spans="1:16" s="873" customFormat="1" ht="0.65" hidden="1" customHeight="1">
      <c r="O1178" s="873">
        <v>5</v>
      </c>
      <c r="P1178" s="873" t="str">
        <f>UPPER("Valor residual")</f>
        <v>VALOR RESIDUAL</v>
      </c>
    </row>
    <row r="1179" spans="1:16" s="873" customFormat="1" ht="0.65" hidden="1" customHeight="1">
      <c r="O1179" s="873">
        <v>6</v>
      </c>
      <c r="P1179" s="873" t="str">
        <f>UPPER("Decisión final")</f>
        <v>DECISIÓN FINAL</v>
      </c>
    </row>
    <row r="1180" spans="1:16" s="140" customFormat="1" ht="15" hidden="1" customHeight="1"/>
    <row r="1181" spans="1:16" s="140" customFormat="1" ht="15" customHeight="1"/>
  </sheetData>
  <sheetProtection algorithmName="SHA-512" hashValue="HX/qs+H2I1eskVBVT6JkDe1IhTsZ5W7MPs+mogMGUI9fFyniM7wiXsItHY4gAOdmlM4RVNVQC/vl06dXV9oBrQ==" saltValue="QpruPzlULVzckx13YLqqgA==" spinCount="100000" sheet="1" selectLockedCells="1"/>
  <mergeCells count="112">
    <mergeCell ref="N1066:O1066"/>
    <mergeCell ref="R1066:S1066"/>
    <mergeCell ref="N1062:O1062"/>
    <mergeCell ref="R1062:S1062"/>
    <mergeCell ref="N1063:O1063"/>
    <mergeCell ref="R1063:S1063"/>
    <mergeCell ref="N1064:O1064"/>
    <mergeCell ref="R1064:S1064"/>
    <mergeCell ref="N932:O932"/>
    <mergeCell ref="R932:S932"/>
    <mergeCell ref="N934:O934"/>
    <mergeCell ref="R934:S934"/>
    <mergeCell ref="U1053:V1056"/>
    <mergeCell ref="N1061:O1061"/>
    <mergeCell ref="R1061:S1061"/>
    <mergeCell ref="U921:V924"/>
    <mergeCell ref="N929:O929"/>
    <mergeCell ref="R929:S929"/>
    <mergeCell ref="N930:O930"/>
    <mergeCell ref="R930:S930"/>
    <mergeCell ref="N931:O931"/>
    <mergeCell ref="R931:S931"/>
    <mergeCell ref="N799:O799"/>
    <mergeCell ref="R799:S799"/>
    <mergeCell ref="N800:O800"/>
    <mergeCell ref="R800:S800"/>
    <mergeCell ref="N802:O802"/>
    <mergeCell ref="R802:S802"/>
    <mergeCell ref="N670:O670"/>
    <mergeCell ref="R670:S670"/>
    <mergeCell ref="U789:V792"/>
    <mergeCell ref="N797:O797"/>
    <mergeCell ref="R797:S797"/>
    <mergeCell ref="N798:O798"/>
    <mergeCell ref="R798:S798"/>
    <mergeCell ref="N666:O666"/>
    <mergeCell ref="R666:S666"/>
    <mergeCell ref="N667:O667"/>
    <mergeCell ref="R667:S667"/>
    <mergeCell ref="N668:O668"/>
    <mergeCell ref="R668:S668"/>
    <mergeCell ref="N536:O536"/>
    <mergeCell ref="R536:S536"/>
    <mergeCell ref="N538:O538"/>
    <mergeCell ref="R538:S538"/>
    <mergeCell ref="U657:V660"/>
    <mergeCell ref="N665:O665"/>
    <mergeCell ref="R665:S665"/>
    <mergeCell ref="U525:V528"/>
    <mergeCell ref="N533:O533"/>
    <mergeCell ref="R533:S533"/>
    <mergeCell ref="N534:O534"/>
    <mergeCell ref="R534:S534"/>
    <mergeCell ref="N535:O535"/>
    <mergeCell ref="R535:S535"/>
    <mergeCell ref="N403:O403"/>
    <mergeCell ref="R403:S403"/>
    <mergeCell ref="N404:O404"/>
    <mergeCell ref="R404:S404"/>
    <mergeCell ref="N406:O406"/>
    <mergeCell ref="R406:S406"/>
    <mergeCell ref="N274:O274"/>
    <mergeCell ref="R274:S274"/>
    <mergeCell ref="U393:V396"/>
    <mergeCell ref="N401:O401"/>
    <mergeCell ref="R401:S401"/>
    <mergeCell ref="N402:O402"/>
    <mergeCell ref="R402:S402"/>
    <mergeCell ref="N270:O270"/>
    <mergeCell ref="R270:S270"/>
    <mergeCell ref="N271:O271"/>
    <mergeCell ref="R271:S271"/>
    <mergeCell ref="N272:O272"/>
    <mergeCell ref="R272:S272"/>
    <mergeCell ref="N182:O182"/>
    <mergeCell ref="R182:S182"/>
    <mergeCell ref="N184:O184"/>
    <mergeCell ref="R184:S184"/>
    <mergeCell ref="U261:V264"/>
    <mergeCell ref="N269:O269"/>
    <mergeCell ref="R269:S269"/>
    <mergeCell ref="U171:V174"/>
    <mergeCell ref="N179:O179"/>
    <mergeCell ref="R179:S179"/>
    <mergeCell ref="N180:O180"/>
    <mergeCell ref="R180:S180"/>
    <mergeCell ref="N181:O181"/>
    <mergeCell ref="R181:S181"/>
    <mergeCell ref="N157:O157"/>
    <mergeCell ref="R157:S157"/>
    <mergeCell ref="N158:O158"/>
    <mergeCell ref="R158:S158"/>
    <mergeCell ref="N160:O160"/>
    <mergeCell ref="R160:S160"/>
    <mergeCell ref="N43:X47"/>
    <mergeCell ref="U147:V150"/>
    <mergeCell ref="N155:O155"/>
    <mergeCell ref="R155:S155"/>
    <mergeCell ref="N156:O156"/>
    <mergeCell ref="R156:S156"/>
    <mergeCell ref="N30:O30"/>
    <mergeCell ref="R30:S30"/>
    <mergeCell ref="N31:O31"/>
    <mergeCell ref="R31:S31"/>
    <mergeCell ref="N33:O33"/>
    <mergeCell ref="R33:S33"/>
    <mergeCell ref="Q2:S2"/>
    <mergeCell ref="U20:V23"/>
    <mergeCell ref="N28:O28"/>
    <mergeCell ref="R28:S28"/>
    <mergeCell ref="N29:O29"/>
    <mergeCell ref="R29:S29"/>
  </mergeCells>
  <conditionalFormatting sqref="F11:F136 I11:I136 F213 I213 I221:I247 F221:F247">
    <cfRule type="expression" dxfId="29" priority="18">
      <formula>AND(NOT(F11=""),NOT(F11="blanco"))</formula>
    </cfRule>
  </conditionalFormatting>
  <conditionalFormatting sqref="N28:O31 R28:S31">
    <cfRule type="expression" dxfId="28" priority="17">
      <formula>NOT(N28="")</formula>
    </cfRule>
  </conditionalFormatting>
  <conditionalFormatting sqref="P28:P31 T28:T31">
    <cfRule type="expression" dxfId="27" priority="16">
      <formula>NOT(N28="")</formula>
    </cfRule>
  </conditionalFormatting>
  <conditionalFormatting sqref="A9:A47 A8:XFD8 R39:T39 A48:XFD1180">
    <cfRule type="expression" dxfId="26" priority="15">
      <formula>NOT($C$5="javi")</formula>
    </cfRule>
  </conditionalFormatting>
  <conditionalFormatting sqref="B12:B46">
    <cfRule type="expression" dxfId="25" priority="14">
      <formula>OR(NOT(B12=""),AND(B12="",NOT(B11=""),NOT(B13="")))</formula>
    </cfRule>
  </conditionalFormatting>
  <conditionalFormatting sqref="P28:P31 P33 T28:T31 T33 W29 W32:W33 V13:V17 N20:R24 N14:U17">
    <cfRule type="expression" dxfId="24" priority="6" stopIfTrue="1">
      <formula>$T$2="x"</formula>
    </cfRule>
    <cfRule type="expression" dxfId="23" priority="12" stopIfTrue="1">
      <formula>AND($T$35="x",$T$39=0,NOT(N164=""),N164=1,$A$1=$A$3)</formula>
    </cfRule>
    <cfRule type="expression" dxfId="22" priority="13" stopIfTrue="1">
      <formula>AND($T$35="x",$T$39=0,NOT(N164=""),N164=0,$A$1=$A$3)</formula>
    </cfRule>
  </conditionalFormatting>
  <conditionalFormatting sqref="E11:E47 H11:H47">
    <cfRule type="expression" dxfId="21" priority="11" stopIfTrue="1">
      <formula>NOT(E11="")</formula>
    </cfRule>
  </conditionalFormatting>
  <conditionalFormatting sqref="E9:J9 E40:J40 U20:V23">
    <cfRule type="expression" dxfId="20" priority="1" stopIfTrue="1">
      <formula>NOT($E$9="")</formula>
    </cfRule>
  </conditionalFormatting>
  <conditionalFormatting sqref="A1:XFD1048576">
    <cfRule type="expression" dxfId="19" priority="2" stopIfTrue="1">
      <formula>OR(NOT($A$2="SI"),$F$215="SI")</formula>
    </cfRule>
  </conditionalFormatting>
  <conditionalFormatting sqref="A7:Y47">
    <cfRule type="expression" dxfId="18" priority="7" stopIfTrue="1">
      <formula>$T$2="x"</formula>
    </cfRule>
  </conditionalFormatting>
  <conditionalFormatting sqref="N40:X42">
    <cfRule type="expression" dxfId="17" priority="10">
      <formula>OR(NOT($T$35="x"),$T$37="",NOT($U$37=""),NOT($T$39=0))</formula>
    </cfRule>
  </conditionalFormatting>
  <conditionalFormatting sqref="N43">
    <cfRule type="expression" dxfId="16" priority="9">
      <formula>OR(NOT($T$35="x"),$X$37="",NOT($Y$37=""),NOT($T$39=0))</formula>
    </cfRule>
  </conditionalFormatting>
  <conditionalFormatting sqref="M37:Y37">
    <cfRule type="expression" dxfId="15" priority="8">
      <formula>OR(NOT($T$35="x"),NOT($T$39=0))</formula>
    </cfRule>
  </conditionalFormatting>
  <conditionalFormatting sqref="O4:U4">
    <cfRule type="expression" dxfId="14" priority="3">
      <formula>NOT($R$4="")</formula>
    </cfRule>
  </conditionalFormatting>
  <conditionalFormatting sqref="P2:U4 A7:Y47">
    <cfRule type="expression" dxfId="13" priority="5">
      <formula>OR($C$4="",$D$4="ERROR")</formula>
    </cfRule>
  </conditionalFormatting>
  <conditionalFormatting sqref="N35:Y47">
    <cfRule type="expression" dxfId="12" priority="4" stopIfTrue="1">
      <formula>NOT($A$1=$A$3)</formula>
    </cfRule>
  </conditionalFormatting>
  <pageMargins left="0.70866141732283472" right="0.70866141732283472" top="0.74803149606299213" bottom="0.74803149606299213" header="0.31496062992125984" footer="0.31496062992125984"/>
  <pageSetup paperSize="9" scale="78" orientation="landscape" r:id="rId1"/>
  <headerFooter>
    <oddHeader>&amp;CCasos de inversión en condiciones de certeza: practicando el concepto de 'variabilidad a la decisión'</oddHeader>
    <oddFooter>&amp;CPágina &amp;P de &amp;N</oddFooter>
  </headerFooter>
  <colBreaks count="2" manualBreakCount="2">
    <brk id="3" max="1048575" man="1"/>
    <brk id="11"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CD268-068D-44F2-A80E-2DE295C8D62F}">
  <dimension ref="A1:Y1181"/>
  <sheetViews>
    <sheetView showGridLines="0" zoomScale="80" zoomScaleNormal="80" workbookViewId="0">
      <selection activeCell="C4" sqref="C4"/>
    </sheetView>
  </sheetViews>
  <sheetFormatPr baseColWidth="10" defaultColWidth="11.453125" defaultRowHeight="14.5"/>
  <cols>
    <col min="1" max="1" width="3.54296875" style="61" customWidth="1"/>
    <col min="2" max="2" width="128" style="59" customWidth="1"/>
    <col min="3" max="4" width="11.453125" style="59"/>
    <col min="5" max="5" width="24.453125" style="59" customWidth="1"/>
    <col min="6" max="6" width="12.54296875" style="59" customWidth="1"/>
    <col min="7" max="7" width="11.453125" style="59"/>
    <col min="8" max="8" width="24.453125" style="59" customWidth="1"/>
    <col min="9" max="9" width="12.54296875" style="59" customWidth="1"/>
    <col min="10" max="11" width="11.453125" style="59"/>
    <col min="12" max="12" width="8.54296875" style="59" customWidth="1"/>
    <col min="13" max="13" width="5.54296875" style="59" customWidth="1"/>
    <col min="14" max="24" width="12.54296875" style="59" customWidth="1"/>
    <col min="25" max="25" width="8.54296875" style="59" customWidth="1"/>
    <col min="26" max="16384" width="11.453125" style="59"/>
  </cols>
  <sheetData>
    <row r="1" spans="1:25">
      <c r="A1" s="61" t="str">
        <f>'Instrucciones de uso'!$H$15</f>
        <v>contraseña</v>
      </c>
    </row>
    <row r="2" spans="1:25">
      <c r="A2" s="368" t="str">
        <f>IF(AND('Instrucciones de uso'!$J$14="x",'Instrucciones de uso'!$I$33="SI"),"SI","NO")</f>
        <v>NO</v>
      </c>
    </row>
    <row r="3" spans="1:25">
      <c r="A3" s="61" t="str">
        <f>'Instrucciones de uso'!$J$15</f>
        <v>contraseña</v>
      </c>
    </row>
    <row r="4" spans="1:25">
      <c r="B4" s="839" t="s">
        <v>3352</v>
      </c>
      <c r="C4" s="144"/>
      <c r="D4" s="274" t="str">
        <f>IF(C4="","",IF(NOT(ISNUMBER(C4)),"ERROR",IF(AND(INT(C4)=C4,C4&gt;0,C4&lt;=7),"","ERROR")))</f>
        <v/>
      </c>
    </row>
    <row r="5" spans="1:25">
      <c r="C5" s="44"/>
    </row>
    <row r="8" spans="1:25" s="61" customFormat="1">
      <c r="A8" s="368">
        <v>1</v>
      </c>
      <c r="B8" s="368">
        <f t="shared" ref="B8:D8" si="0">1+A8</f>
        <v>2</v>
      </c>
      <c r="C8" s="368">
        <f t="shared" si="0"/>
        <v>3</v>
      </c>
      <c r="D8" s="368">
        <f t="shared" si="0"/>
        <v>4</v>
      </c>
      <c r="E8" s="368">
        <f>1+D8</f>
        <v>5</v>
      </c>
      <c r="F8" s="368">
        <f t="shared" ref="F8:W8" si="1">1+E8</f>
        <v>6</v>
      </c>
      <c r="G8" s="368">
        <f t="shared" si="1"/>
        <v>7</v>
      </c>
      <c r="H8" s="368">
        <f t="shared" si="1"/>
        <v>8</v>
      </c>
      <c r="I8" s="368">
        <f t="shared" si="1"/>
        <v>9</v>
      </c>
      <c r="J8" s="368">
        <f t="shared" si="1"/>
        <v>10</v>
      </c>
      <c r="K8" s="368">
        <f t="shared" si="1"/>
        <v>11</v>
      </c>
      <c r="L8" s="368">
        <f t="shared" si="1"/>
        <v>12</v>
      </c>
      <c r="M8" s="368">
        <f t="shared" si="1"/>
        <v>13</v>
      </c>
      <c r="N8" s="368">
        <f t="shared" si="1"/>
        <v>14</v>
      </c>
      <c r="O8" s="368">
        <f t="shared" si="1"/>
        <v>15</v>
      </c>
      <c r="P8" s="368">
        <f t="shared" si="1"/>
        <v>16</v>
      </c>
      <c r="Q8" s="368">
        <f t="shared" si="1"/>
        <v>17</v>
      </c>
      <c r="R8" s="368">
        <f t="shared" si="1"/>
        <v>18</v>
      </c>
      <c r="S8" s="368">
        <f t="shared" si="1"/>
        <v>19</v>
      </c>
      <c r="T8" s="368">
        <f t="shared" si="1"/>
        <v>20</v>
      </c>
      <c r="U8" s="368">
        <f t="shared" si="1"/>
        <v>21</v>
      </c>
      <c r="V8" s="368">
        <f t="shared" si="1"/>
        <v>22</v>
      </c>
      <c r="W8" s="368">
        <f t="shared" si="1"/>
        <v>23</v>
      </c>
    </row>
    <row r="9" spans="1:25">
      <c r="A9" s="61" t="str">
        <f>IF(AND(NOT(C4=""),D4=""),C4,"")</f>
        <v/>
      </c>
      <c r="B9" s="841" t="s">
        <v>3951</v>
      </c>
      <c r="D9" s="60"/>
      <c r="E9" s="60" t="str">
        <f>IF(ISERROR($F$215),"",IF($F$215="SI","No puede modificarse ese dato. Deshaga operación (Ctrl-Z) para seguir trabajando",""))</f>
        <v/>
      </c>
      <c r="F9" s="60"/>
      <c r="G9" s="60"/>
      <c r="H9" s="60"/>
      <c r="I9" s="60"/>
      <c r="J9" s="60"/>
      <c r="K9" s="60"/>
      <c r="M9" s="841" t="s">
        <v>3951</v>
      </c>
    </row>
    <row r="10" spans="1:25">
      <c r="A10" s="61" t="str">
        <f>IF(A9="","",A9*1000+1)</f>
        <v/>
      </c>
      <c r="B10" s="835" t="str">
        <f t="shared" ref="B10:B47" si="2">IF($A10="","",IF(VLOOKUP($A10,$A$251:$W$1080,B$8,FALSE)="","",VLOOKUP($A10,$A$251:$W$1080,B$8,FALSE)))</f>
        <v/>
      </c>
      <c r="D10" s="60"/>
      <c r="E10" s="165" t="str">
        <f t="shared" ref="E10:F47" si="3">IF($A10="","",IF(VLOOKUP($A10,$A$251:$W$1080,E$8,FALSE)="","",VLOOKUP($A10,$A$251:$W$1080,E$8,FALSE)))</f>
        <v/>
      </c>
      <c r="F10" s="165"/>
      <c r="G10" s="165"/>
      <c r="H10" s="165"/>
      <c r="I10" s="165"/>
      <c r="J10" s="874"/>
      <c r="K10" s="163"/>
      <c r="M10" s="156" t="str">
        <f>IF($A10="","",IF(VLOOKUP($A10,$A$251:$W$1080,M$8,FALSE)="","",VLOOKUP($A10,$A$251:$W$1080,M$8,FALSE)))</f>
        <v/>
      </c>
      <c r="N10" s="762"/>
      <c r="O10" s="762"/>
      <c r="P10" s="762"/>
      <c r="Q10" s="762"/>
      <c r="R10" s="762"/>
      <c r="S10" s="762"/>
      <c r="T10" s="762"/>
      <c r="U10" s="762"/>
      <c r="V10" s="762"/>
      <c r="W10" s="60"/>
      <c r="X10" s="60"/>
      <c r="Y10" s="60"/>
    </row>
    <row r="11" spans="1:25">
      <c r="A11" s="61" t="str">
        <f>IF(A10="","",1+A10)</f>
        <v/>
      </c>
      <c r="B11" s="59" t="str">
        <f t="shared" si="2"/>
        <v/>
      </c>
      <c r="D11" s="60"/>
      <c r="E11" s="875" t="str">
        <f t="shared" si="3"/>
        <v/>
      </c>
      <c r="F11" s="876" t="str">
        <f t="shared" si="3"/>
        <v/>
      </c>
      <c r="G11" s="877"/>
      <c r="H11" s="875" t="str">
        <f t="shared" ref="H11:I30" si="4">IF($A11="","",IF(VLOOKUP($A11,$A$251:$W$1080,H$8,FALSE)="","",VLOOKUP($A11,$A$251:$W$1080,H$8,FALSE)))</f>
        <v/>
      </c>
      <c r="I11" s="876" t="str">
        <f t="shared" si="4"/>
        <v/>
      </c>
      <c r="J11" s="877"/>
      <c r="K11" s="116"/>
      <c r="M11" s="1"/>
      <c r="N11" s="98" t="str">
        <f>IF(ISERROR(IF(OR(AND(NOT(N14=""),NOT(ISNUMBER(N14))),AND(NOT(N15=""),NOT(ISNUMBER(N15))),AND(NOT(N16=""),NOT(ISNUMBER(N16))),AND(NOT(N17=""),NOT(ISNUMBER(N17)))),"ERROR","")),"ERROR",IF(OR(AND(NOT(N14=""),NOT(ISNUMBER(N14))),AND(NOT(N15=""),NOT(ISNUMBER(N15))),AND(NOT(N16=""),NOT(ISNUMBER(N16))),AND(NOT(N17=""),NOT(ISNUMBER(N17)))),"ERROR",""))</f>
        <v>ERROR</v>
      </c>
      <c r="O11" s="98" t="str">
        <f t="shared" ref="O11:U11" si="5">IF(ISERROR(IF(OR(AND(NOT(O14=""),NOT(ISNUMBER(O14))),AND(NOT(O15=""),NOT(ISNUMBER(O15))),AND(NOT(O16=""),NOT(ISNUMBER(O16))),AND(NOT(O17=""),NOT(ISNUMBER(O17)))),"ERROR","")),"ERROR",IF(OR(AND(NOT(O14=""),NOT(ISNUMBER(O14))),AND(NOT(O15=""),NOT(ISNUMBER(O15))),AND(NOT(O16=""),NOT(ISNUMBER(O16))),AND(NOT(O17=""),NOT(ISNUMBER(O17)))),"ERROR",""))</f>
        <v>ERROR</v>
      </c>
      <c r="P11" s="98" t="str">
        <f t="shared" si="5"/>
        <v>ERROR</v>
      </c>
      <c r="Q11" s="98" t="str">
        <f t="shared" si="5"/>
        <v>ERROR</v>
      </c>
      <c r="R11" s="98" t="str">
        <f t="shared" si="5"/>
        <v>ERROR</v>
      </c>
      <c r="S11" s="98" t="str">
        <f t="shared" si="5"/>
        <v>ERROR</v>
      </c>
      <c r="T11" s="98" t="str">
        <f t="shared" si="5"/>
        <v>ERROR</v>
      </c>
      <c r="U11" s="98" t="str">
        <f t="shared" si="5"/>
        <v>ERROR</v>
      </c>
      <c r="V11" s="98" t="str">
        <f>IF(ISERROR(IF(OR(AND(NOT(V13=""),NOT(ISNUMBER(V13))),AND(NOT(V14=""),NOT(ISNUMBER(V14))),AND(NOT(V15=""),NOT(ISNUMBER(V15))),AND(NOT(V16=""),NOT(ISNUMBER(V16))),AND(NOT(V17=""),NOT(ISNUMBER(V17)))),"ERROR","")),"ERROR",IF(OR(AND(NOT(V13=""),NOT(ISNUMBER(V13))),AND(NOT(V14=""),NOT(ISNUMBER(V14))),AND(NOT(V15=""),NOT(ISNUMBER(V15))),AND(NOT(V16=""),NOT(ISNUMBER(V16))),AND(NOT(V17=""),NOT(ISNUMBER(V17)))),"ERROR",""))</f>
        <v>ERROR</v>
      </c>
      <c r="W11" s="60"/>
      <c r="X11" s="60"/>
      <c r="Y11" s="60"/>
    </row>
    <row r="12" spans="1:25">
      <c r="A12" s="61" t="str">
        <f t="shared" ref="A12:A75" si="6">IF(A11="","",1+A11)</f>
        <v/>
      </c>
      <c r="B12" s="59" t="str">
        <f t="shared" si="2"/>
        <v/>
      </c>
      <c r="D12" s="60"/>
      <c r="E12" s="875" t="str">
        <f t="shared" si="3"/>
        <v/>
      </c>
      <c r="F12" s="876" t="str">
        <f t="shared" si="3"/>
        <v/>
      </c>
      <c r="G12" s="877"/>
      <c r="H12" s="875" t="str">
        <f t="shared" si="4"/>
        <v/>
      </c>
      <c r="I12" s="876" t="str">
        <f t="shared" si="4"/>
        <v/>
      </c>
      <c r="J12" s="877"/>
      <c r="K12" s="116"/>
      <c r="M12" s="107" t="s">
        <v>0</v>
      </c>
      <c r="N12" s="878" t="s">
        <v>69</v>
      </c>
      <c r="O12" s="878" t="s">
        <v>70</v>
      </c>
      <c r="P12" s="878" t="s">
        <v>71</v>
      </c>
      <c r="Q12" s="878" t="s">
        <v>72</v>
      </c>
      <c r="R12" s="878" t="s">
        <v>73</v>
      </c>
      <c r="S12" s="878" t="s">
        <v>74</v>
      </c>
      <c r="T12" s="878" t="s">
        <v>75</v>
      </c>
      <c r="U12" s="878" t="s">
        <v>3353</v>
      </c>
      <c r="V12" s="878" t="s">
        <v>1</v>
      </c>
      <c r="W12" s="60"/>
      <c r="X12" s="60"/>
      <c r="Y12" s="60"/>
    </row>
    <row r="13" spans="1:25">
      <c r="A13" s="61" t="str">
        <f t="shared" si="6"/>
        <v/>
      </c>
      <c r="B13" s="59" t="str">
        <f t="shared" si="2"/>
        <v/>
      </c>
      <c r="D13" s="60"/>
      <c r="E13" s="875" t="str">
        <f t="shared" si="3"/>
        <v/>
      </c>
      <c r="F13" s="876" t="str">
        <f t="shared" si="3"/>
        <v/>
      </c>
      <c r="G13" s="877"/>
      <c r="H13" s="875" t="str">
        <f t="shared" si="4"/>
        <v/>
      </c>
      <c r="I13" s="876" t="str">
        <f t="shared" si="4"/>
        <v/>
      </c>
      <c r="J13" s="877"/>
      <c r="K13" s="116"/>
      <c r="M13" s="112">
        <v>0</v>
      </c>
      <c r="N13" s="879">
        <v>0</v>
      </c>
      <c r="O13" s="879">
        <v>0</v>
      </c>
      <c r="P13" s="879">
        <v>0</v>
      </c>
      <c r="Q13" s="879">
        <v>0</v>
      </c>
      <c r="R13" s="879">
        <v>0</v>
      </c>
      <c r="S13" s="879">
        <v>0</v>
      </c>
      <c r="T13" s="879">
        <v>0</v>
      </c>
      <c r="U13" s="879">
        <v>0</v>
      </c>
      <c r="V13" s="880" t="e">
        <f>IF(VLOOKUP($A13,$A$251:$W$1080,V$8,FALSE)="","",VLOOKUP($A13,$A$251:$W$1080,V$8,FALSE))</f>
        <v>#N/A</v>
      </c>
      <c r="W13" s="60"/>
      <c r="X13" s="60"/>
      <c r="Y13" s="60"/>
    </row>
    <row r="14" spans="1:25">
      <c r="A14" s="61" t="str">
        <f t="shared" si="6"/>
        <v/>
      </c>
      <c r="B14" s="59" t="str">
        <f t="shared" si="2"/>
        <v/>
      </c>
      <c r="D14" s="60"/>
      <c r="E14" s="875" t="str">
        <f t="shared" si="3"/>
        <v/>
      </c>
      <c r="F14" s="876" t="str">
        <f t="shared" si="3"/>
        <v/>
      </c>
      <c r="G14" s="877"/>
      <c r="H14" s="875" t="str">
        <f t="shared" si="4"/>
        <v/>
      </c>
      <c r="I14" s="876" t="str">
        <f t="shared" si="4"/>
        <v/>
      </c>
      <c r="J14" s="877"/>
      <c r="K14" s="116"/>
      <c r="M14" s="112">
        <f>1+M13</f>
        <v>1</v>
      </c>
      <c r="N14" s="881" t="e">
        <f>IF(VLOOKUP($A14,$A$251:$W$1080,N$8,FALSE)="","",VLOOKUP($A14,$A$251:$W$1080,N$8,FALSE))</f>
        <v>#N/A</v>
      </c>
      <c r="O14" s="881" t="e">
        <f t="shared" ref="O14:V17" si="7">IF(VLOOKUP($A14,$A$251:$W$1080,O$8,FALSE)="","",VLOOKUP($A14,$A$251:$W$1080,O$8,FALSE))</f>
        <v>#N/A</v>
      </c>
      <c r="P14" s="881" t="e">
        <f t="shared" si="7"/>
        <v>#N/A</v>
      </c>
      <c r="Q14" s="881" t="e">
        <f t="shared" si="7"/>
        <v>#N/A</v>
      </c>
      <c r="R14" s="881" t="e">
        <f t="shared" si="7"/>
        <v>#N/A</v>
      </c>
      <c r="S14" s="881" t="e">
        <f t="shared" si="7"/>
        <v>#N/A</v>
      </c>
      <c r="T14" s="881" t="e">
        <f t="shared" si="7"/>
        <v>#N/A</v>
      </c>
      <c r="U14" s="881" t="e">
        <f t="shared" si="7"/>
        <v>#N/A</v>
      </c>
      <c r="V14" s="881" t="e">
        <f t="shared" si="7"/>
        <v>#N/A</v>
      </c>
      <c r="W14" s="60"/>
      <c r="X14" s="60"/>
      <c r="Y14" s="60"/>
    </row>
    <row r="15" spans="1:25">
      <c r="A15" s="61" t="str">
        <f t="shared" si="6"/>
        <v/>
      </c>
      <c r="B15" s="59" t="str">
        <f t="shared" si="2"/>
        <v/>
      </c>
      <c r="D15" s="60"/>
      <c r="E15" s="875" t="str">
        <f t="shared" si="3"/>
        <v/>
      </c>
      <c r="F15" s="876" t="str">
        <f t="shared" si="3"/>
        <v/>
      </c>
      <c r="G15" s="877"/>
      <c r="H15" s="875" t="str">
        <f t="shared" si="4"/>
        <v/>
      </c>
      <c r="I15" s="876" t="str">
        <f t="shared" si="4"/>
        <v/>
      </c>
      <c r="J15" s="877"/>
      <c r="K15" s="116"/>
      <c r="M15" s="112">
        <f>1+M14</f>
        <v>2</v>
      </c>
      <c r="N15" s="881" t="e">
        <f t="shared" ref="N15:N17" si="8">IF(VLOOKUP($A15,$A$251:$W$1080,N$8,FALSE)="","",VLOOKUP($A15,$A$251:$W$1080,N$8,FALSE))</f>
        <v>#N/A</v>
      </c>
      <c r="O15" s="881" t="e">
        <f t="shared" si="7"/>
        <v>#N/A</v>
      </c>
      <c r="P15" s="881" t="e">
        <f t="shared" si="7"/>
        <v>#N/A</v>
      </c>
      <c r="Q15" s="881" t="e">
        <f t="shared" si="7"/>
        <v>#N/A</v>
      </c>
      <c r="R15" s="881" t="e">
        <f t="shared" si="7"/>
        <v>#N/A</v>
      </c>
      <c r="S15" s="881" t="e">
        <f t="shared" si="7"/>
        <v>#N/A</v>
      </c>
      <c r="T15" s="881" t="e">
        <f t="shared" si="7"/>
        <v>#N/A</v>
      </c>
      <c r="U15" s="881" t="e">
        <f t="shared" si="7"/>
        <v>#N/A</v>
      </c>
      <c r="V15" s="881" t="e">
        <f t="shared" si="7"/>
        <v>#N/A</v>
      </c>
      <c r="W15" s="60"/>
      <c r="X15" s="60"/>
      <c r="Y15" s="60"/>
    </row>
    <row r="16" spans="1:25">
      <c r="A16" s="61" t="str">
        <f t="shared" si="6"/>
        <v/>
      </c>
      <c r="B16" s="59" t="str">
        <f t="shared" si="2"/>
        <v/>
      </c>
      <c r="D16" s="60"/>
      <c r="E16" s="875" t="str">
        <f t="shared" si="3"/>
        <v/>
      </c>
      <c r="F16" s="876" t="str">
        <f t="shared" si="3"/>
        <v/>
      </c>
      <c r="G16" s="877"/>
      <c r="H16" s="875" t="str">
        <f t="shared" si="4"/>
        <v/>
      </c>
      <c r="I16" s="876" t="str">
        <f t="shared" si="4"/>
        <v/>
      </c>
      <c r="J16" s="877"/>
      <c r="K16" s="116"/>
      <c r="M16" s="112">
        <f>1+M15</f>
        <v>3</v>
      </c>
      <c r="N16" s="881" t="e">
        <f t="shared" si="8"/>
        <v>#N/A</v>
      </c>
      <c r="O16" s="881" t="e">
        <f t="shared" si="7"/>
        <v>#N/A</v>
      </c>
      <c r="P16" s="881" t="e">
        <f t="shared" si="7"/>
        <v>#N/A</v>
      </c>
      <c r="Q16" s="881" t="e">
        <f t="shared" si="7"/>
        <v>#N/A</v>
      </c>
      <c r="R16" s="881" t="e">
        <f t="shared" si="7"/>
        <v>#N/A</v>
      </c>
      <c r="S16" s="881" t="e">
        <f t="shared" si="7"/>
        <v>#N/A</v>
      </c>
      <c r="T16" s="881" t="e">
        <f t="shared" si="7"/>
        <v>#N/A</v>
      </c>
      <c r="U16" s="881" t="e">
        <f t="shared" si="7"/>
        <v>#N/A</v>
      </c>
      <c r="V16" s="881" t="e">
        <f t="shared" si="7"/>
        <v>#N/A</v>
      </c>
      <c r="W16" s="60"/>
      <c r="X16" s="60"/>
      <c r="Y16" s="60"/>
    </row>
    <row r="17" spans="1:25">
      <c r="A17" s="61" t="str">
        <f t="shared" si="6"/>
        <v/>
      </c>
      <c r="B17" s="59" t="str">
        <f t="shared" si="2"/>
        <v/>
      </c>
      <c r="D17" s="60"/>
      <c r="E17" s="875" t="str">
        <f t="shared" si="3"/>
        <v/>
      </c>
      <c r="F17" s="876" t="str">
        <f t="shared" si="3"/>
        <v/>
      </c>
      <c r="G17" s="877"/>
      <c r="H17" s="875" t="str">
        <f t="shared" si="4"/>
        <v/>
      </c>
      <c r="I17" s="876" t="str">
        <f t="shared" si="4"/>
        <v/>
      </c>
      <c r="J17" s="877"/>
      <c r="K17" s="116"/>
      <c r="M17" s="112">
        <f>1+M16</f>
        <v>4</v>
      </c>
      <c r="N17" s="881" t="e">
        <f t="shared" si="8"/>
        <v>#N/A</v>
      </c>
      <c r="O17" s="881" t="e">
        <f t="shared" si="7"/>
        <v>#N/A</v>
      </c>
      <c r="P17" s="881" t="e">
        <f t="shared" si="7"/>
        <v>#N/A</v>
      </c>
      <c r="Q17" s="881" t="e">
        <f t="shared" si="7"/>
        <v>#N/A</v>
      </c>
      <c r="R17" s="881" t="e">
        <f t="shared" si="7"/>
        <v>#N/A</v>
      </c>
      <c r="S17" s="881" t="e">
        <f t="shared" si="7"/>
        <v>#N/A</v>
      </c>
      <c r="T17" s="881" t="e">
        <f t="shared" si="7"/>
        <v>#N/A</v>
      </c>
      <c r="U17" s="881" t="e">
        <f t="shared" si="7"/>
        <v>#N/A</v>
      </c>
      <c r="V17" s="881" t="e">
        <f t="shared" si="7"/>
        <v>#N/A</v>
      </c>
      <c r="W17" s="60"/>
      <c r="X17" s="60"/>
      <c r="Y17" s="60"/>
    </row>
    <row r="18" spans="1:25">
      <c r="A18" s="61" t="str">
        <f t="shared" si="6"/>
        <v/>
      </c>
      <c r="B18" s="59" t="str">
        <f t="shared" si="2"/>
        <v/>
      </c>
      <c r="D18" s="60"/>
      <c r="E18" s="875" t="str">
        <f t="shared" si="3"/>
        <v/>
      </c>
      <c r="F18" s="876" t="str">
        <f t="shared" si="3"/>
        <v/>
      </c>
      <c r="G18" s="877"/>
      <c r="H18" s="875" t="str">
        <f t="shared" si="4"/>
        <v/>
      </c>
      <c r="I18" s="876" t="str">
        <f t="shared" si="4"/>
        <v/>
      </c>
      <c r="J18" s="877"/>
      <c r="K18" s="116"/>
      <c r="M18" s="60"/>
      <c r="N18" s="98" t="str">
        <f>IF(ISERROR(IF(OR(AND(NOT(N20=""),NOT(ISNUMBER(N20))),AND(NOT(N21=""),NOT(ISNUMBER(N21))),AND(NOT(N22=""),NOT(ISNUMBER(N22))),AND(NOT(N23=""),NOT(ISNUMBER(N23))),AND(NOT(N24=""),NOT(ISNUMBER(N24)))),"ERROR","")),"ERROR",IF(OR(AND(NOT(N21=""),NOT(ISNUMBER(N21))),AND(NOT(N22=""),NOT(ISNUMBER(N22))),AND(NOT(N23=""),NOT(ISNUMBER(N23))),AND(NOT(N24=""),NOT(ISNUMBER(N24)))),"ERROR",""))</f>
        <v>ERROR</v>
      </c>
      <c r="O18" s="98" t="str">
        <f t="shared" ref="O18:R18" si="9">IF(ISERROR(IF(OR(AND(NOT(O20=""),NOT(ISNUMBER(O20))),AND(NOT(O21=""),NOT(ISNUMBER(O21))),AND(NOT(O22=""),NOT(ISNUMBER(O22))),AND(NOT(O23=""),NOT(ISNUMBER(O23))),AND(NOT(O24=""),NOT(ISNUMBER(O24)))),"ERROR","")),"ERROR",IF(OR(AND(NOT(O21=""),NOT(ISNUMBER(O21))),AND(NOT(O22=""),NOT(ISNUMBER(O22))),AND(NOT(O23=""),NOT(ISNUMBER(O23))),AND(NOT(O24=""),NOT(ISNUMBER(O24)))),"ERROR",""))</f>
        <v>ERROR</v>
      </c>
      <c r="P18" s="98" t="str">
        <f t="shared" si="9"/>
        <v>ERROR</v>
      </c>
      <c r="Q18" s="98" t="str">
        <f t="shared" si="9"/>
        <v>ERROR</v>
      </c>
      <c r="R18" s="98" t="str">
        <f t="shared" si="9"/>
        <v>ERROR</v>
      </c>
      <c r="S18" s="60"/>
      <c r="T18" s="63"/>
      <c r="U18" s="63"/>
      <c r="V18" s="63"/>
      <c r="W18" s="6"/>
      <c r="X18" s="6"/>
      <c r="Y18" s="6"/>
    </row>
    <row r="19" spans="1:25">
      <c r="A19" s="61" t="str">
        <f t="shared" si="6"/>
        <v/>
      </c>
      <c r="B19" s="59" t="str">
        <f t="shared" si="2"/>
        <v/>
      </c>
      <c r="D19" s="60"/>
      <c r="E19" s="875" t="str">
        <f t="shared" si="3"/>
        <v/>
      </c>
      <c r="F19" s="876" t="str">
        <f t="shared" si="3"/>
        <v/>
      </c>
      <c r="G19" s="877"/>
      <c r="H19" s="875" t="str">
        <f t="shared" si="4"/>
        <v/>
      </c>
      <c r="I19" s="876" t="str">
        <f t="shared" si="4"/>
        <v/>
      </c>
      <c r="J19" s="877"/>
      <c r="K19" s="116"/>
      <c r="M19" s="107" t="s">
        <v>0</v>
      </c>
      <c r="N19" s="878" t="s">
        <v>3354</v>
      </c>
      <c r="O19" s="878" t="s">
        <v>76</v>
      </c>
      <c r="P19" s="878" t="s">
        <v>77</v>
      </c>
      <c r="Q19" s="878" t="s">
        <v>78</v>
      </c>
      <c r="R19" s="878" t="s">
        <v>79</v>
      </c>
      <c r="S19" s="60"/>
      <c r="T19" s="60"/>
      <c r="U19" s="1"/>
      <c r="V19" s="1"/>
      <c r="W19" s="1"/>
      <c r="X19" s="1"/>
      <c r="Y19" s="1"/>
    </row>
    <row r="20" spans="1:25">
      <c r="A20" s="61" t="str">
        <f t="shared" si="6"/>
        <v/>
      </c>
      <c r="B20" s="59" t="str">
        <f t="shared" si="2"/>
        <v/>
      </c>
      <c r="D20" s="60"/>
      <c r="E20" s="875" t="str">
        <f t="shared" si="3"/>
        <v/>
      </c>
      <c r="F20" s="876" t="str">
        <f t="shared" si="3"/>
        <v/>
      </c>
      <c r="G20" s="877"/>
      <c r="H20" s="875" t="str">
        <f t="shared" si="4"/>
        <v/>
      </c>
      <c r="I20" s="876" t="str">
        <f t="shared" si="4"/>
        <v/>
      </c>
      <c r="J20" s="877"/>
      <c r="K20" s="116"/>
      <c r="M20" s="112">
        <v>0</v>
      </c>
      <c r="N20" s="880" t="e">
        <f t="shared" ref="N20:R24" si="10">IF(VLOOKUP($A20,$A$251:$W$1080,N$8,FALSE)="","",VLOOKUP($A20,$A$251:$W$1080,N$8,FALSE))</f>
        <v>#N/A</v>
      </c>
      <c r="O20" s="880" t="e">
        <f t="shared" si="10"/>
        <v>#N/A</v>
      </c>
      <c r="P20" s="880" t="e">
        <f t="shared" si="10"/>
        <v>#N/A</v>
      </c>
      <c r="Q20" s="880" t="e">
        <f t="shared" si="10"/>
        <v>#N/A</v>
      </c>
      <c r="R20" s="880" t="e">
        <f t="shared" si="10"/>
        <v>#N/A</v>
      </c>
      <c r="S20" s="60"/>
      <c r="T20" s="60"/>
      <c r="U20" s="1060" t="str">
        <f>IF(ISERROR($F$215),"",IF($F$215="SI","No puede modificarse ese dato. Deshaga operación (Ctrl-Z) para seguir trabajando",""))</f>
        <v/>
      </c>
      <c r="V20" s="1060"/>
      <c r="W20" s="1"/>
      <c r="X20" s="1"/>
      <c r="Y20" s="1"/>
    </row>
    <row r="21" spans="1:25">
      <c r="A21" s="61" t="str">
        <f t="shared" si="6"/>
        <v/>
      </c>
      <c r="B21" s="59" t="str">
        <f t="shared" si="2"/>
        <v/>
      </c>
      <c r="D21" s="60"/>
      <c r="E21" s="875" t="str">
        <f t="shared" si="3"/>
        <v/>
      </c>
      <c r="F21" s="876" t="str">
        <f t="shared" si="3"/>
        <v/>
      </c>
      <c r="G21" s="877"/>
      <c r="H21" s="875" t="str">
        <f t="shared" si="4"/>
        <v/>
      </c>
      <c r="I21" s="876" t="str">
        <f t="shared" si="4"/>
        <v/>
      </c>
      <c r="J21" s="877"/>
      <c r="K21" s="116"/>
      <c r="M21" s="112">
        <f>1+M20</f>
        <v>1</v>
      </c>
      <c r="N21" s="881" t="e">
        <f t="shared" si="10"/>
        <v>#N/A</v>
      </c>
      <c r="O21" s="881" t="e">
        <f t="shared" si="10"/>
        <v>#N/A</v>
      </c>
      <c r="P21" s="881" t="e">
        <f t="shared" si="10"/>
        <v>#N/A</v>
      </c>
      <c r="Q21" s="881" t="e">
        <f t="shared" si="10"/>
        <v>#N/A</v>
      </c>
      <c r="R21" s="881" t="e">
        <f t="shared" si="10"/>
        <v>#N/A</v>
      </c>
      <c r="S21" s="60"/>
      <c r="T21" s="60"/>
      <c r="U21" s="1060"/>
      <c r="V21" s="1060"/>
      <c r="W21" s="1"/>
      <c r="X21" s="1"/>
      <c r="Y21" s="1"/>
    </row>
    <row r="22" spans="1:25">
      <c r="A22" s="61" t="str">
        <f t="shared" si="6"/>
        <v/>
      </c>
      <c r="B22" s="59" t="str">
        <f t="shared" si="2"/>
        <v/>
      </c>
      <c r="D22" s="60"/>
      <c r="E22" s="882" t="str">
        <f t="shared" si="3"/>
        <v/>
      </c>
      <c r="F22" s="883" t="str">
        <f t="shared" si="3"/>
        <v/>
      </c>
      <c r="G22" s="884"/>
      <c r="H22" s="882" t="str">
        <f t="shared" si="4"/>
        <v/>
      </c>
      <c r="I22" s="883" t="str">
        <f t="shared" si="4"/>
        <v/>
      </c>
      <c r="J22" s="884"/>
      <c r="K22" s="116"/>
      <c r="M22" s="112">
        <f>1+M21</f>
        <v>2</v>
      </c>
      <c r="N22" s="881" t="e">
        <f t="shared" si="10"/>
        <v>#N/A</v>
      </c>
      <c r="O22" s="881" t="e">
        <f t="shared" si="10"/>
        <v>#N/A</v>
      </c>
      <c r="P22" s="881" t="e">
        <f t="shared" si="10"/>
        <v>#N/A</v>
      </c>
      <c r="Q22" s="881" t="e">
        <f t="shared" si="10"/>
        <v>#N/A</v>
      </c>
      <c r="R22" s="881" t="e">
        <f t="shared" si="10"/>
        <v>#N/A</v>
      </c>
      <c r="S22" s="60"/>
      <c r="T22" s="60"/>
      <c r="U22" s="1060"/>
      <c r="V22" s="1060"/>
      <c r="W22" s="1"/>
      <c r="X22" s="1"/>
      <c r="Y22" s="1"/>
    </row>
    <row r="23" spans="1:25">
      <c r="A23" s="61" t="str">
        <f t="shared" si="6"/>
        <v/>
      </c>
      <c r="B23" s="59" t="str">
        <f t="shared" si="2"/>
        <v/>
      </c>
      <c r="D23" s="60"/>
      <c r="E23" s="882" t="str">
        <f t="shared" si="3"/>
        <v/>
      </c>
      <c r="F23" s="883" t="str">
        <f t="shared" si="3"/>
        <v/>
      </c>
      <c r="G23" s="884"/>
      <c r="H23" s="882" t="str">
        <f t="shared" si="4"/>
        <v/>
      </c>
      <c r="I23" s="883" t="str">
        <f t="shared" si="4"/>
        <v/>
      </c>
      <c r="J23" s="884"/>
      <c r="K23" s="116"/>
      <c r="M23" s="112">
        <f>1+M22</f>
        <v>3</v>
      </c>
      <c r="N23" s="881" t="e">
        <f t="shared" si="10"/>
        <v>#N/A</v>
      </c>
      <c r="O23" s="881" t="e">
        <f t="shared" si="10"/>
        <v>#N/A</v>
      </c>
      <c r="P23" s="881" t="e">
        <f t="shared" si="10"/>
        <v>#N/A</v>
      </c>
      <c r="Q23" s="881" t="e">
        <f t="shared" si="10"/>
        <v>#N/A</v>
      </c>
      <c r="R23" s="881" t="e">
        <f t="shared" si="10"/>
        <v>#N/A</v>
      </c>
      <c r="S23" s="60"/>
      <c r="T23" s="60"/>
      <c r="U23" s="1060"/>
      <c r="V23" s="1060"/>
      <c r="W23" s="1"/>
      <c r="X23" s="1"/>
      <c r="Y23" s="1"/>
    </row>
    <row r="24" spans="1:25">
      <c r="A24" s="61" t="str">
        <f t="shared" si="6"/>
        <v/>
      </c>
      <c r="B24" s="59" t="str">
        <f t="shared" si="2"/>
        <v/>
      </c>
      <c r="D24" s="60"/>
      <c r="E24" s="882" t="str">
        <f t="shared" si="3"/>
        <v/>
      </c>
      <c r="F24" s="883" t="str">
        <f t="shared" si="3"/>
        <v/>
      </c>
      <c r="G24" s="884"/>
      <c r="H24" s="882" t="str">
        <f t="shared" si="4"/>
        <v/>
      </c>
      <c r="I24" s="883" t="str">
        <f t="shared" si="4"/>
        <v/>
      </c>
      <c r="J24" s="884"/>
      <c r="K24" s="116"/>
      <c r="M24" s="112">
        <f>1+M23</f>
        <v>4</v>
      </c>
      <c r="N24" s="881" t="e">
        <f t="shared" si="10"/>
        <v>#N/A</v>
      </c>
      <c r="O24" s="881" t="e">
        <f t="shared" si="10"/>
        <v>#N/A</v>
      </c>
      <c r="P24" s="881" t="e">
        <f t="shared" si="10"/>
        <v>#N/A</v>
      </c>
      <c r="Q24" s="881" t="e">
        <f t="shared" si="10"/>
        <v>#N/A</v>
      </c>
      <c r="R24" s="881" t="e">
        <f t="shared" si="10"/>
        <v>#N/A</v>
      </c>
      <c r="S24" s="60"/>
      <c r="T24" s="1"/>
      <c r="U24" s="1"/>
      <c r="V24" s="1"/>
      <c r="W24" s="1"/>
      <c r="X24" s="1"/>
      <c r="Y24" s="1"/>
    </row>
    <row r="25" spans="1:25">
      <c r="A25" s="61" t="str">
        <f t="shared" si="6"/>
        <v/>
      </c>
      <c r="B25" s="59" t="str">
        <f t="shared" si="2"/>
        <v/>
      </c>
      <c r="D25" s="60"/>
      <c r="E25" s="882" t="str">
        <f t="shared" si="3"/>
        <v/>
      </c>
      <c r="F25" s="883" t="str">
        <f t="shared" si="3"/>
        <v/>
      </c>
      <c r="G25" s="884"/>
      <c r="H25" s="882" t="str">
        <f t="shared" si="4"/>
        <v/>
      </c>
      <c r="I25" s="883" t="str">
        <f t="shared" si="4"/>
        <v/>
      </c>
      <c r="J25" s="884"/>
      <c r="K25" s="116"/>
      <c r="M25" s="1"/>
      <c r="N25" s="63"/>
      <c r="O25" s="63"/>
      <c r="P25" s="63"/>
      <c r="Q25" s="63"/>
      <c r="R25" s="63"/>
      <c r="S25" s="63"/>
      <c r="T25" s="1"/>
      <c r="U25" s="60"/>
      <c r="V25" s="1"/>
      <c r="W25" s="1"/>
      <c r="X25" s="1"/>
      <c r="Y25" s="60"/>
    </row>
    <row r="26" spans="1:25">
      <c r="A26" s="61" t="str">
        <f t="shared" si="6"/>
        <v/>
      </c>
      <c r="B26" s="59" t="str">
        <f t="shared" si="2"/>
        <v/>
      </c>
      <c r="D26" s="60"/>
      <c r="E26" s="882" t="str">
        <f t="shared" si="3"/>
        <v/>
      </c>
      <c r="F26" s="883" t="str">
        <f t="shared" si="3"/>
        <v/>
      </c>
      <c r="G26" s="884"/>
      <c r="H26" s="882" t="str">
        <f t="shared" si="4"/>
        <v/>
      </c>
      <c r="I26" s="883" t="str">
        <f t="shared" si="4"/>
        <v/>
      </c>
      <c r="J26" s="884"/>
      <c r="K26" s="116"/>
      <c r="M26" s="1"/>
      <c r="N26" s="62" t="s">
        <v>3355</v>
      </c>
      <c r="O26" s="60"/>
      <c r="P26" s="60"/>
      <c r="Q26" s="60"/>
      <c r="R26" s="62" t="s">
        <v>3356</v>
      </c>
      <c r="S26" s="60"/>
      <c r="T26" s="60"/>
      <c r="U26" s="60"/>
      <c r="V26" s="1"/>
      <c r="W26" s="1"/>
      <c r="X26" s="1"/>
      <c r="Y26" s="60"/>
    </row>
    <row r="27" spans="1:25">
      <c r="A27" s="61" t="str">
        <f t="shared" si="6"/>
        <v/>
      </c>
      <c r="B27" s="59" t="str">
        <f t="shared" si="2"/>
        <v/>
      </c>
      <c r="D27" s="60"/>
      <c r="E27" s="882" t="str">
        <f t="shared" si="3"/>
        <v/>
      </c>
      <c r="F27" s="883" t="str">
        <f t="shared" si="3"/>
        <v/>
      </c>
      <c r="G27" s="884"/>
      <c r="H27" s="882" t="str">
        <f t="shared" si="4"/>
        <v/>
      </c>
      <c r="I27" s="883" t="str">
        <f t="shared" si="4"/>
        <v/>
      </c>
      <c r="J27" s="884"/>
      <c r="K27" s="116"/>
      <c r="M27" s="60"/>
      <c r="N27" s="1"/>
      <c r="O27" s="1"/>
      <c r="P27" s="98" t="str">
        <f>IF(ISERROR(IF(OR(AND(NOT(P28=""),NOT(ISNUMBER(P28))),AND(NOT(P29=""),NOT(ISNUMBER(P29))),AND(NOT(P30=""),NOT(ISNUMBER(P30))),AND(NOT(P31=""),NOT(ISNUMBER(P31))),AND(NOT(P33=""),NOT(ISNUMBER(P33)))),"ERROR","")),"ERROR",IF(OR(AND(NOT(P28=""),NOT(ISNUMBER(P28))),AND(NOT(P29=""),NOT(ISNUMBER(P29))),AND(NOT(P30=""),NOT(ISNUMBER(P30))),AND(NOT(P31=""),NOT(ISNUMBER(P31))),AND(NOT(P33=""),NOT(ISNUMBER(P33)))),"ERROR",""))</f>
        <v>ERROR</v>
      </c>
      <c r="Q27" s="60"/>
      <c r="R27" s="62"/>
      <c r="S27" s="60"/>
      <c r="T27" s="98" t="str">
        <f>IF(ISERROR(IF(OR(AND(NOT(T28=""),NOT(ISNUMBER(T28))),AND(NOT(T29=""),NOT(ISNUMBER(T29))),AND(NOT(T30=""),NOT(ISNUMBER(T30))),AND(NOT(T31=""),NOT(ISNUMBER(T31))),AND(NOT(T33=""),NOT(ISNUMBER(T33)))),"ERROR","")),"ERROR",IF(OR(AND(NOT(T28=""),NOT(ISNUMBER(T28))),AND(NOT(T29=""),NOT(ISNUMBER(T29))),AND(NOT(T30=""),NOT(ISNUMBER(T30))),AND(NOT(T31=""),NOT(ISNUMBER(T31))),AND(NOT(T33=""),NOT(ISNUMBER(T33)))),"ERROR",""))</f>
        <v>ERROR</v>
      </c>
      <c r="U27" s="60"/>
      <c r="V27" s="60"/>
      <c r="W27" s="98" t="str">
        <f>IF(ISERROR(IF(OR(AND(NOT(W28=""),NOT(ISNUMBER(W28))),AND(NOT(W29=""),NOT(ISNUMBER(W29))),AND(NOT(W32=""),NOT(ISNUMBER(W32))),AND(NOT(W33=""),NOT(ISNUMBER(W33)))),"ERROR","")),"ERROR",IF(OR(AND(NOT(W28=""),NOT(ISNUMBER(W28))),AND(NOT(W29=""),NOT(ISNUMBER(W29))),AND(NOT(W32=""),NOT(ISNUMBER(W32))),AND(NOT(W33=""),NOT(ISNUMBER(W33)))),"ERROR",""))</f>
        <v>ERROR</v>
      </c>
      <c r="X27" s="1"/>
      <c r="Y27" s="60"/>
    </row>
    <row r="28" spans="1:25">
      <c r="A28" s="61" t="str">
        <f t="shared" si="6"/>
        <v/>
      </c>
      <c r="B28" s="59" t="str">
        <f t="shared" si="2"/>
        <v/>
      </c>
      <c r="D28" s="60"/>
      <c r="E28" s="882" t="str">
        <f t="shared" si="3"/>
        <v/>
      </c>
      <c r="F28" s="883" t="str">
        <f t="shared" si="3"/>
        <v/>
      </c>
      <c r="G28" s="884"/>
      <c r="H28" s="882" t="str">
        <f t="shared" si="4"/>
        <v/>
      </c>
      <c r="I28" s="883" t="str">
        <f t="shared" si="4"/>
        <v/>
      </c>
      <c r="J28" s="884"/>
      <c r="K28" s="116"/>
      <c r="M28" s="60"/>
      <c r="N28" s="1054" t="str">
        <f t="shared" ref="N28:O31" si="11">IF($A28="","",IF(VLOOKUP($A28,$A$251:$W$1080,N$8,FALSE)="","",VLOOKUP($A28,$A$251:$W$1080,N$8,FALSE)))</f>
        <v/>
      </c>
      <c r="O28" s="1054" t="str">
        <f t="shared" si="11"/>
        <v/>
      </c>
      <c r="P28" s="328" t="e">
        <f t="shared" ref="P28:P31" si="12">IF(VLOOKUP($A28,$A$251:$W$1080,P$8,FALSE)="","",VLOOKUP($A28,$A$251:$W$1080,P$8,FALSE))</f>
        <v>#N/A</v>
      </c>
      <c r="Q28" s="60"/>
      <c r="R28" s="1055" t="str">
        <f t="shared" ref="R28:S31" si="13">IF($A28="","",IF(VLOOKUP($A28,$A$251:$W$1080,R$8,FALSE)="","",VLOOKUP($A28,$A$251:$W$1080,R$8,FALSE)))</f>
        <v/>
      </c>
      <c r="S28" s="1054" t="str">
        <f t="shared" si="13"/>
        <v/>
      </c>
      <c r="T28" s="328" t="e">
        <f t="shared" ref="T28:T31" si="14">IF(VLOOKUP($A28,$A$251:$W$1080,T$8,FALSE)="","",VLOOKUP($A28,$A$251:$W$1080,T$8,FALSE))</f>
        <v>#N/A</v>
      </c>
      <c r="U28" s="60"/>
      <c r="V28" s="60"/>
      <c r="W28" s="60"/>
      <c r="X28" s="1"/>
      <c r="Y28" s="60"/>
    </row>
    <row r="29" spans="1:25">
      <c r="A29" s="61" t="str">
        <f t="shared" si="6"/>
        <v/>
      </c>
      <c r="B29" s="59" t="str">
        <f t="shared" si="2"/>
        <v/>
      </c>
      <c r="D29" s="60"/>
      <c r="E29" s="882" t="str">
        <f t="shared" si="3"/>
        <v/>
      </c>
      <c r="F29" s="883" t="str">
        <f t="shared" si="3"/>
        <v/>
      </c>
      <c r="G29" s="884"/>
      <c r="H29" s="882" t="str">
        <f t="shared" si="4"/>
        <v/>
      </c>
      <c r="I29" s="883" t="str">
        <f t="shared" si="4"/>
        <v/>
      </c>
      <c r="J29" s="884"/>
      <c r="K29" s="116"/>
      <c r="M29" s="1"/>
      <c r="N29" s="1054" t="str">
        <f t="shared" si="11"/>
        <v/>
      </c>
      <c r="O29" s="1054" t="str">
        <f t="shared" si="11"/>
        <v/>
      </c>
      <c r="P29" s="328" t="e">
        <f t="shared" si="12"/>
        <v>#N/A</v>
      </c>
      <c r="Q29" s="60"/>
      <c r="R29" s="1055" t="str">
        <f t="shared" si="13"/>
        <v/>
      </c>
      <c r="S29" s="1054" t="str">
        <f t="shared" si="13"/>
        <v/>
      </c>
      <c r="T29" s="328" t="e">
        <f t="shared" si="14"/>
        <v>#N/A</v>
      </c>
      <c r="U29" s="60"/>
      <c r="V29" s="255" t="s">
        <v>339</v>
      </c>
      <c r="W29" s="885" t="e">
        <f>IF(VLOOKUP($A29,$A$251:$W$1080,W$8,FALSE)="","",VLOOKUP($A29,$A$251:$W$1080,W$8,FALSE))</f>
        <v>#N/A</v>
      </c>
      <c r="X29" s="1"/>
      <c r="Y29" s="60"/>
    </row>
    <row r="30" spans="1:25">
      <c r="A30" s="61" t="str">
        <f t="shared" si="6"/>
        <v/>
      </c>
      <c r="B30" s="59" t="str">
        <f t="shared" si="2"/>
        <v/>
      </c>
      <c r="D30" s="60"/>
      <c r="E30" s="882" t="str">
        <f t="shared" si="3"/>
        <v/>
      </c>
      <c r="F30" s="883" t="str">
        <f t="shared" si="3"/>
        <v/>
      </c>
      <c r="G30" s="884"/>
      <c r="H30" s="882" t="str">
        <f t="shared" si="4"/>
        <v/>
      </c>
      <c r="I30" s="883" t="str">
        <f t="shared" si="4"/>
        <v/>
      </c>
      <c r="J30" s="884"/>
      <c r="K30" s="116"/>
      <c r="M30" s="1"/>
      <c r="N30" s="1054" t="str">
        <f t="shared" si="11"/>
        <v/>
      </c>
      <c r="O30" s="1054" t="str">
        <f t="shared" si="11"/>
        <v/>
      </c>
      <c r="P30" s="328" t="e">
        <f t="shared" si="12"/>
        <v>#N/A</v>
      </c>
      <c r="Q30" s="60"/>
      <c r="R30" s="1055" t="str">
        <f t="shared" si="13"/>
        <v/>
      </c>
      <c r="S30" s="1054" t="str">
        <f t="shared" si="13"/>
        <v/>
      </c>
      <c r="T30" s="328" t="e">
        <f t="shared" si="14"/>
        <v>#N/A</v>
      </c>
      <c r="U30" s="60"/>
      <c r="V30" s="60"/>
      <c r="W30" s="126"/>
      <c r="X30" s="60"/>
      <c r="Y30" s="60"/>
    </row>
    <row r="31" spans="1:25">
      <c r="A31" s="61" t="str">
        <f t="shared" si="6"/>
        <v/>
      </c>
      <c r="B31" s="59" t="str">
        <f t="shared" si="2"/>
        <v/>
      </c>
      <c r="D31" s="60"/>
      <c r="E31" s="882" t="str">
        <f t="shared" si="3"/>
        <v/>
      </c>
      <c r="F31" s="883" t="str">
        <f t="shared" si="3"/>
        <v/>
      </c>
      <c r="G31" s="884"/>
      <c r="H31" s="882" t="str">
        <f t="shared" ref="H31:I47" si="15">IF($A31="","",IF(VLOOKUP($A31,$A$251:$W$1080,H$8,FALSE)="","",VLOOKUP($A31,$A$251:$W$1080,H$8,FALSE)))</f>
        <v/>
      </c>
      <c r="I31" s="883" t="str">
        <f t="shared" si="15"/>
        <v/>
      </c>
      <c r="J31" s="884"/>
      <c r="K31" s="116"/>
      <c r="M31" s="1"/>
      <c r="N31" s="1054" t="str">
        <f t="shared" si="11"/>
        <v/>
      </c>
      <c r="O31" s="1054" t="str">
        <f t="shared" si="11"/>
        <v/>
      </c>
      <c r="P31" s="328" t="e">
        <f t="shared" si="12"/>
        <v>#N/A</v>
      </c>
      <c r="Q31" s="60"/>
      <c r="R31" s="1055" t="str">
        <f t="shared" si="13"/>
        <v/>
      </c>
      <c r="S31" s="1054" t="str">
        <f t="shared" si="13"/>
        <v/>
      </c>
      <c r="T31" s="328" t="e">
        <f t="shared" si="14"/>
        <v>#N/A</v>
      </c>
      <c r="U31" s="60"/>
      <c r="V31" s="60"/>
      <c r="W31" s="126"/>
      <c r="X31" s="1"/>
      <c r="Y31" s="1"/>
    </row>
    <row r="32" spans="1:25">
      <c r="A32" s="61" t="str">
        <f t="shared" si="6"/>
        <v/>
      </c>
      <c r="B32" s="59" t="str">
        <f t="shared" si="2"/>
        <v/>
      </c>
      <c r="D32" s="60"/>
      <c r="E32" s="882" t="str">
        <f t="shared" si="3"/>
        <v/>
      </c>
      <c r="F32" s="883" t="str">
        <f t="shared" si="3"/>
        <v/>
      </c>
      <c r="G32" s="884"/>
      <c r="H32" s="882" t="str">
        <f t="shared" si="15"/>
        <v/>
      </c>
      <c r="I32" s="883" t="str">
        <f t="shared" si="15"/>
        <v/>
      </c>
      <c r="J32" s="884"/>
      <c r="K32" s="116"/>
      <c r="M32" s="1"/>
      <c r="N32" s="852"/>
      <c r="O32" s="158"/>
      <c r="P32" s="158"/>
      <c r="Q32" s="1"/>
      <c r="R32" s="853"/>
      <c r="S32" s="1"/>
      <c r="T32" s="127"/>
      <c r="U32" s="1"/>
      <c r="V32" s="255" t="s">
        <v>2763</v>
      </c>
      <c r="W32" s="886" t="e">
        <f t="shared" ref="W32:W33" si="16">IF(VLOOKUP($A32,$A$251:$W$1080,W$8,FALSE)="","",VLOOKUP($A32,$A$251:$W$1080,W$8,FALSE))</f>
        <v>#N/A</v>
      </c>
      <c r="X32" s="1"/>
      <c r="Y32" s="1"/>
    </row>
    <row r="33" spans="1:25">
      <c r="A33" s="61" t="str">
        <f t="shared" si="6"/>
        <v/>
      </c>
      <c r="B33" s="59" t="str">
        <f t="shared" si="2"/>
        <v/>
      </c>
      <c r="D33" s="60"/>
      <c r="E33" s="882" t="str">
        <f t="shared" si="3"/>
        <v/>
      </c>
      <c r="F33" s="883" t="str">
        <f t="shared" si="3"/>
        <v/>
      </c>
      <c r="G33" s="884"/>
      <c r="H33" s="882" t="str">
        <f t="shared" si="15"/>
        <v/>
      </c>
      <c r="I33" s="883" t="str">
        <f t="shared" si="15"/>
        <v/>
      </c>
      <c r="J33" s="884"/>
      <c r="K33" s="116"/>
      <c r="M33" s="1"/>
      <c r="N33" s="1056" t="str">
        <f>IF($A33="","",IF(VLOOKUP($A33,$A$251:$W$1080,N$8,FALSE)="","",VLOOKUP($A33,$A$251:$W$1080,N$8,FALSE)))</f>
        <v/>
      </c>
      <c r="O33" s="1056" t="str">
        <f>IF($A33="","",IF(VLOOKUP($A33,$A$251:$W$1080,O$8,FALSE)="","",VLOOKUP($A33,$A$251:$W$1080,O$8,FALSE)))</f>
        <v/>
      </c>
      <c r="P33" s="887" t="e">
        <f>IF(VLOOKUP($A33,$A$251:$W$1080,P$8,FALSE)="","",VLOOKUP($A33,$A$251:$W$1080,P$8,FALSE))</f>
        <v>#N/A</v>
      </c>
      <c r="Q33" s="1"/>
      <c r="R33" s="1057" t="str">
        <f>IF($A33="","",IF(VLOOKUP($A33,$A$251:$W$1080,R$8,FALSE)="","",VLOOKUP($A33,$A$251:$W$1080,R$8,FALSE)))</f>
        <v/>
      </c>
      <c r="S33" s="1056" t="str">
        <f>IF($A33="","",IF(VLOOKUP($A33,$A$251:$W$1080,S$8,FALSE)="","",VLOOKUP($A33,$A$251:$W$1080,S$8,FALSE)))</f>
        <v/>
      </c>
      <c r="T33" s="887" t="e">
        <f>IF(VLOOKUP($A33,$A$251:$W$1080,T$8,FALSE)="","",VLOOKUP($A33,$A$251:$W$1080,T$8,FALSE))</f>
        <v>#N/A</v>
      </c>
      <c r="U33" s="60"/>
      <c r="V33" s="854" t="s">
        <v>358</v>
      </c>
      <c r="W33" s="885" t="e">
        <f t="shared" si="16"/>
        <v>#N/A</v>
      </c>
      <c r="X33" s="1"/>
      <c r="Y33" s="1"/>
    </row>
    <row r="34" spans="1:25">
      <c r="A34" s="61" t="str">
        <f t="shared" si="6"/>
        <v/>
      </c>
      <c r="B34" s="59" t="str">
        <f t="shared" si="2"/>
        <v/>
      </c>
      <c r="D34" s="60"/>
      <c r="E34" s="882" t="str">
        <f t="shared" si="3"/>
        <v/>
      </c>
      <c r="F34" s="883" t="str">
        <f t="shared" si="3"/>
        <v/>
      </c>
      <c r="G34" s="884"/>
      <c r="H34" s="882" t="str">
        <f t="shared" si="15"/>
        <v/>
      </c>
      <c r="I34" s="883" t="str">
        <f t="shared" si="15"/>
        <v/>
      </c>
      <c r="J34" s="884"/>
      <c r="K34" s="116"/>
      <c r="M34" s="60"/>
      <c r="N34" s="6"/>
      <c r="O34" s="6"/>
      <c r="P34" s="6"/>
      <c r="Q34" s="6"/>
      <c r="R34" s="6"/>
      <c r="S34" s="6"/>
      <c r="T34" s="6"/>
      <c r="U34" s="1"/>
      <c r="V34" s="1"/>
      <c r="W34" s="1"/>
      <c r="X34" s="1"/>
      <c r="Y34" s="1"/>
    </row>
    <row r="35" spans="1:25">
      <c r="A35" s="61" t="str">
        <f t="shared" si="6"/>
        <v/>
      </c>
      <c r="B35" s="59" t="str">
        <f t="shared" si="2"/>
        <v/>
      </c>
      <c r="D35" s="60"/>
      <c r="E35" s="882" t="str">
        <f t="shared" si="3"/>
        <v/>
      </c>
      <c r="F35" s="883" t="str">
        <f t="shared" si="3"/>
        <v/>
      </c>
      <c r="G35" s="884"/>
      <c r="H35" s="882" t="str">
        <f t="shared" si="15"/>
        <v/>
      </c>
      <c r="I35" s="883" t="str">
        <f t="shared" si="15"/>
        <v/>
      </c>
      <c r="J35" s="884"/>
      <c r="K35" s="116"/>
      <c r="N35" s="1"/>
      <c r="O35" s="1"/>
      <c r="P35" s="1"/>
      <c r="Q35" s="1"/>
      <c r="R35" s="1"/>
      <c r="S35" s="888"/>
      <c r="T35" s="889" t="s">
        <v>36</v>
      </c>
      <c r="U35" s="765"/>
      <c r="V35" s="764"/>
      <c r="W35" s="1"/>
      <c r="X35" s="1"/>
      <c r="Y35" s="1"/>
    </row>
    <row r="36" spans="1:25">
      <c r="A36" s="61" t="str">
        <f t="shared" si="6"/>
        <v/>
      </c>
      <c r="B36" s="59" t="str">
        <f t="shared" si="2"/>
        <v/>
      </c>
      <c r="D36" s="60"/>
      <c r="E36" s="882" t="str">
        <f t="shared" si="3"/>
        <v/>
      </c>
      <c r="F36" s="883" t="str">
        <f t="shared" si="3"/>
        <v/>
      </c>
      <c r="G36" s="884"/>
      <c r="H36" s="882" t="str">
        <f t="shared" si="15"/>
        <v/>
      </c>
      <c r="I36" s="883" t="str">
        <f t="shared" si="15"/>
        <v/>
      </c>
      <c r="J36" s="884"/>
      <c r="K36" s="116"/>
      <c r="N36" s="1"/>
      <c r="O36" s="1"/>
      <c r="P36" s="1"/>
      <c r="Q36" s="1"/>
      <c r="R36" s="1"/>
      <c r="S36" s="1"/>
      <c r="T36" s="856"/>
      <c r="U36" s="1"/>
      <c r="V36" s="1"/>
      <c r="W36" s="1"/>
      <c r="X36" s="1"/>
      <c r="Y36" s="1"/>
    </row>
    <row r="37" spans="1:25">
      <c r="A37" s="61" t="str">
        <f t="shared" si="6"/>
        <v/>
      </c>
      <c r="B37" s="59" t="str">
        <f t="shared" si="2"/>
        <v/>
      </c>
      <c r="D37" s="60"/>
      <c r="E37" s="882" t="str">
        <f t="shared" si="3"/>
        <v/>
      </c>
      <c r="F37" s="883" t="str">
        <f t="shared" si="3"/>
        <v/>
      </c>
      <c r="G37" s="884"/>
      <c r="H37" s="882" t="str">
        <f t="shared" si="15"/>
        <v/>
      </c>
      <c r="I37" s="883" t="str">
        <f t="shared" si="15"/>
        <v/>
      </c>
      <c r="J37" s="884"/>
      <c r="K37" s="116"/>
      <c r="N37" s="1"/>
      <c r="O37" s="1"/>
      <c r="P37" s="1"/>
      <c r="Q37" s="1"/>
      <c r="R37" s="1"/>
      <c r="S37" s="855" t="s">
        <v>3358</v>
      </c>
      <c r="T37" s="715"/>
      <c r="U37" s="765" t="str">
        <f>IF(T37="","",IF(NOT(ISNUMBER(T37)),"ERROR",IF(AND(INT(T37)=T37,OR(AND(T37&gt;0,T37&lt;=75))),"","ERROR")))</f>
        <v/>
      </c>
      <c r="V37" s="1"/>
      <c r="W37" s="855" t="s">
        <v>3359</v>
      </c>
      <c r="X37" s="715"/>
      <c r="Y37" s="765" t="str">
        <f>IF(X37="","",IF(ISERROR(VLOOKUP(X37,O126:O135,1,FALSE)),"ERROR",""))</f>
        <v/>
      </c>
    </row>
    <row r="38" spans="1:25">
      <c r="A38" s="61" t="str">
        <f t="shared" si="6"/>
        <v/>
      </c>
      <c r="B38" s="59" t="str">
        <f t="shared" si="2"/>
        <v/>
      </c>
      <c r="D38" s="60"/>
      <c r="E38" s="882" t="str">
        <f t="shared" si="3"/>
        <v/>
      </c>
      <c r="F38" s="883" t="str">
        <f t="shared" si="3"/>
        <v/>
      </c>
      <c r="G38" s="884"/>
      <c r="H38" s="882" t="str">
        <f t="shared" si="15"/>
        <v/>
      </c>
      <c r="I38" s="883" t="str">
        <f t="shared" si="15"/>
        <v/>
      </c>
      <c r="J38" s="884"/>
      <c r="K38" s="116"/>
      <c r="N38" s="1"/>
      <c r="O38" s="1"/>
      <c r="P38" s="1"/>
      <c r="Q38" s="1"/>
      <c r="R38" s="1"/>
      <c r="S38" s="1"/>
      <c r="T38" s="707"/>
      <c r="U38" s="1"/>
      <c r="V38" s="1"/>
      <c r="W38" s="1"/>
      <c r="X38" s="707"/>
      <c r="Y38" s="1"/>
    </row>
    <row r="39" spans="1:25">
      <c r="A39" s="61" t="str">
        <f t="shared" si="6"/>
        <v/>
      </c>
      <c r="B39" s="59" t="str">
        <f t="shared" si="2"/>
        <v/>
      </c>
      <c r="D39" s="60"/>
      <c r="E39" s="882" t="str">
        <f t="shared" si="3"/>
        <v/>
      </c>
      <c r="F39" s="883" t="str">
        <f t="shared" si="3"/>
        <v/>
      </c>
      <c r="G39" s="884"/>
      <c r="H39" s="882" t="str">
        <f t="shared" si="15"/>
        <v/>
      </c>
      <c r="I39" s="883" t="str">
        <f t="shared" si="15"/>
        <v/>
      </c>
      <c r="J39" s="884"/>
      <c r="K39" s="116"/>
      <c r="N39" s="1"/>
      <c r="O39" s="1"/>
      <c r="P39" s="1"/>
      <c r="Q39" s="1"/>
      <c r="R39" s="1"/>
      <c r="S39" s="857" t="s">
        <v>410</v>
      </c>
      <c r="T39" s="858">
        <f>COUNTIF(L7:X33,"ERROR")</f>
        <v>17</v>
      </c>
      <c r="U39" s="1"/>
      <c r="V39" s="1"/>
      <c r="W39" s="859"/>
      <c r="X39" s="859"/>
      <c r="Y39" s="1"/>
    </row>
    <row r="40" spans="1:25" ht="17.149999999999999" customHeight="1">
      <c r="A40" s="61" t="str">
        <f t="shared" si="6"/>
        <v/>
      </c>
      <c r="B40" s="59" t="str">
        <f t="shared" si="2"/>
        <v/>
      </c>
      <c r="D40" s="60"/>
      <c r="E40" s="882" t="str">
        <f>IF(ISERROR($F$215),"",IF($F$215="SI","No puede modificarse ese dato. Deshaga operación (Ctrl-Z) para seguir trabajando",""))</f>
        <v/>
      </c>
      <c r="F40" s="883"/>
      <c r="G40" s="884"/>
      <c r="H40" s="882"/>
      <c r="I40" s="883"/>
      <c r="J40" s="884"/>
      <c r="K40" s="116"/>
      <c r="N40" s="890" t="str">
        <f>IF(AND(T35="x",T39=0,NOT(T37=""),U37=""),IF(VLOOKUP($T$37,$O$50:$T$124,2,FALSE)="","",IF(ISERROR(CONCATENATE(VLOOKUP($T$37,$O$50:$T$124,2,FALSE)," = ",TEXT(VLOOKUP($T$37,$O$50:$T$124,4,FALSE),IF(ABS(VLOOKUP($T$37,$O$50:$T$124,4,FALSE))&gt;999,"#.##0","0,0000")))),"",CONCATENATE(VLOOKUP($T$37,$O$50:$T$124,2,FALSE)," = ",TEXT(VLOOKUP($T$37,$O$50:$T$124,4,FALSE),IF(ABS(VLOOKUP($T$37,$O$50:$T$124,4,FALSE))&gt;999,"#.##0","0,0000"))))),"")</f>
        <v/>
      </c>
      <c r="O40" s="256"/>
      <c r="P40" s="256"/>
      <c r="Q40" s="256"/>
      <c r="R40" s="256"/>
      <c r="S40" s="256"/>
      <c r="T40" s="256"/>
      <c r="U40" s="256"/>
      <c r="V40" s="256"/>
      <c r="W40" s="256"/>
      <c r="X40" s="256"/>
      <c r="Y40" s="1"/>
    </row>
    <row r="41" spans="1:25" ht="17.149999999999999" customHeight="1">
      <c r="A41" s="61" t="str">
        <f t="shared" si="6"/>
        <v/>
      </c>
      <c r="B41" s="59" t="str">
        <f t="shared" si="2"/>
        <v/>
      </c>
      <c r="D41" s="60"/>
      <c r="E41" s="882" t="str">
        <f t="shared" si="3"/>
        <v/>
      </c>
      <c r="F41" s="883" t="str">
        <f t="shared" si="3"/>
        <v/>
      </c>
      <c r="G41" s="884"/>
      <c r="H41" s="882" t="str">
        <f t="shared" si="15"/>
        <v/>
      </c>
      <c r="I41" s="883" t="str">
        <f t="shared" si="15"/>
        <v/>
      </c>
      <c r="J41" s="884"/>
      <c r="K41" s="116"/>
      <c r="N41" s="891" t="str">
        <f>IF(AND(T35="x",T39=0,NOT(T37=""),U37=""),IF(N42="","",VLOOKUP(T37,$O$50:$T$124,6,FALSE)),"")</f>
        <v/>
      </c>
      <c r="O41" s="20"/>
      <c r="P41" s="20"/>
      <c r="Q41" s="20"/>
      <c r="R41" s="20"/>
      <c r="S41" s="20"/>
      <c r="T41" s="20"/>
      <c r="U41" s="20"/>
      <c r="V41" s="20"/>
      <c r="W41" s="20"/>
      <c r="X41" s="20"/>
      <c r="Y41" s="1"/>
    </row>
    <row r="42" spans="1:25" ht="17.149999999999999" customHeight="1">
      <c r="A42" s="61" t="str">
        <f t="shared" si="6"/>
        <v/>
      </c>
      <c r="B42" s="59" t="str">
        <f t="shared" si="2"/>
        <v/>
      </c>
      <c r="D42" s="60"/>
      <c r="E42" s="882" t="str">
        <f t="shared" si="3"/>
        <v/>
      </c>
      <c r="F42" s="883" t="str">
        <f t="shared" si="3"/>
        <v/>
      </c>
      <c r="G42" s="884"/>
      <c r="H42" s="882" t="str">
        <f t="shared" si="15"/>
        <v/>
      </c>
      <c r="I42" s="883" t="str">
        <f t="shared" si="15"/>
        <v/>
      </c>
      <c r="J42" s="884"/>
      <c r="K42" s="116"/>
      <c r="N42" s="892" t="str">
        <f>IF(AND(T35="x",T39=0,NOT(T37=""),U37=""),IF(VLOOKUP(T37,$O$50:$T$124,5,FALSE)="","",VLOOKUP(T37,$O$50:$T$124,5,FALSE)),"")</f>
        <v/>
      </c>
      <c r="O42" s="20"/>
      <c r="P42" s="20"/>
      <c r="Q42" s="20"/>
      <c r="R42" s="20"/>
      <c r="S42" s="20"/>
      <c r="T42" s="20"/>
      <c r="U42" s="20"/>
      <c r="V42" s="20"/>
      <c r="W42" s="20"/>
      <c r="X42" s="20"/>
      <c r="Y42" s="1"/>
    </row>
    <row r="43" spans="1:25" ht="17.149999999999999" customHeight="1">
      <c r="A43" s="61" t="str">
        <f t="shared" si="6"/>
        <v/>
      </c>
      <c r="B43" s="59" t="str">
        <f t="shared" si="2"/>
        <v/>
      </c>
      <c r="D43" s="60"/>
      <c r="E43" s="882" t="str">
        <f t="shared" si="3"/>
        <v/>
      </c>
      <c r="F43" s="883" t="str">
        <f t="shared" si="3"/>
        <v/>
      </c>
      <c r="G43" s="884"/>
      <c r="H43" s="882" t="str">
        <f t="shared" si="15"/>
        <v/>
      </c>
      <c r="I43" s="883" t="str">
        <f t="shared" si="15"/>
        <v/>
      </c>
      <c r="J43" s="884"/>
      <c r="K43" s="116"/>
      <c r="N43" s="1063" t="str">
        <f>IF(AND(T35="x",T39=0,NOT(X37=""),Y37=""),IF(VLOOKUP(X37,O126:P135,2,FALSE)="","",CONCATENATE(VLOOKUP(X37,O1174:P1179,2,FALSE),": 
",VLOOKUP(X37,O126:P135,2,FALSE))),"")</f>
        <v/>
      </c>
      <c r="O43" s="1063"/>
      <c r="P43" s="1063"/>
      <c r="Q43" s="1063"/>
      <c r="R43" s="1063"/>
      <c r="S43" s="1063"/>
      <c r="T43" s="1063"/>
      <c r="U43" s="1063"/>
      <c r="V43" s="1063"/>
      <c r="W43" s="1063"/>
      <c r="X43" s="1063"/>
      <c r="Y43" s="1"/>
    </row>
    <row r="44" spans="1:25" ht="17.149999999999999" customHeight="1">
      <c r="A44" s="61" t="str">
        <f t="shared" si="6"/>
        <v/>
      </c>
      <c r="B44" s="59" t="str">
        <f t="shared" si="2"/>
        <v/>
      </c>
      <c r="D44" s="60"/>
      <c r="E44" s="882" t="str">
        <f t="shared" si="3"/>
        <v/>
      </c>
      <c r="F44" s="883" t="str">
        <f t="shared" si="3"/>
        <v/>
      </c>
      <c r="G44" s="884"/>
      <c r="H44" s="882" t="str">
        <f t="shared" si="15"/>
        <v/>
      </c>
      <c r="I44" s="883" t="str">
        <f t="shared" si="15"/>
        <v/>
      </c>
      <c r="J44" s="884"/>
      <c r="K44" s="116"/>
      <c r="N44" s="1063"/>
      <c r="O44" s="1063"/>
      <c r="P44" s="1063"/>
      <c r="Q44" s="1063"/>
      <c r="R44" s="1063"/>
      <c r="S44" s="1063"/>
      <c r="T44" s="1063"/>
      <c r="U44" s="1063"/>
      <c r="V44" s="1063"/>
      <c r="W44" s="1063"/>
      <c r="X44" s="1063"/>
      <c r="Y44" s="1"/>
    </row>
    <row r="45" spans="1:25" ht="17.149999999999999" customHeight="1">
      <c r="A45" s="61" t="str">
        <f t="shared" si="6"/>
        <v/>
      </c>
      <c r="B45" s="59" t="str">
        <f t="shared" si="2"/>
        <v/>
      </c>
      <c r="D45" s="60"/>
      <c r="E45" s="882" t="str">
        <f t="shared" si="3"/>
        <v/>
      </c>
      <c r="F45" s="883" t="str">
        <f t="shared" si="3"/>
        <v/>
      </c>
      <c r="G45" s="884"/>
      <c r="H45" s="882" t="str">
        <f t="shared" si="15"/>
        <v/>
      </c>
      <c r="I45" s="883" t="str">
        <f t="shared" si="15"/>
        <v/>
      </c>
      <c r="J45" s="884"/>
      <c r="K45" s="116"/>
      <c r="N45" s="1063"/>
      <c r="O45" s="1063"/>
      <c r="P45" s="1063"/>
      <c r="Q45" s="1063"/>
      <c r="R45" s="1063"/>
      <c r="S45" s="1063"/>
      <c r="T45" s="1063"/>
      <c r="U45" s="1063"/>
      <c r="V45" s="1063"/>
      <c r="W45" s="1063"/>
      <c r="X45" s="1063"/>
      <c r="Y45" s="1"/>
    </row>
    <row r="46" spans="1:25" ht="17.149999999999999" customHeight="1">
      <c r="A46" s="61" t="str">
        <f t="shared" si="6"/>
        <v/>
      </c>
      <c r="B46" s="59" t="str">
        <f t="shared" si="2"/>
        <v/>
      </c>
      <c r="D46" s="60"/>
      <c r="E46" s="882" t="str">
        <f t="shared" si="3"/>
        <v/>
      </c>
      <c r="F46" s="883" t="str">
        <f t="shared" si="3"/>
        <v/>
      </c>
      <c r="G46" s="884"/>
      <c r="H46" s="882" t="str">
        <f t="shared" si="15"/>
        <v/>
      </c>
      <c r="I46" s="883" t="str">
        <f t="shared" si="15"/>
        <v/>
      </c>
      <c r="J46" s="884"/>
      <c r="K46" s="116"/>
      <c r="N46" s="1063"/>
      <c r="O46" s="1063"/>
      <c r="P46" s="1063"/>
      <c r="Q46" s="1063"/>
      <c r="R46" s="1063"/>
      <c r="S46" s="1063"/>
      <c r="T46" s="1063"/>
      <c r="U46" s="1063"/>
      <c r="V46" s="1063"/>
      <c r="W46" s="1063"/>
      <c r="X46" s="1063"/>
      <c r="Y46" s="1"/>
    </row>
    <row r="47" spans="1:25" ht="17.149999999999999" customHeight="1">
      <c r="A47" s="61" t="str">
        <f t="shared" si="6"/>
        <v/>
      </c>
      <c r="B47" s="59" t="str">
        <f t="shared" si="2"/>
        <v/>
      </c>
      <c r="D47" s="60"/>
      <c r="E47" s="882" t="str">
        <f t="shared" si="3"/>
        <v/>
      </c>
      <c r="F47" s="883" t="str">
        <f t="shared" si="3"/>
        <v/>
      </c>
      <c r="G47" s="884"/>
      <c r="H47" s="882" t="str">
        <f t="shared" si="15"/>
        <v/>
      </c>
      <c r="I47" s="883" t="str">
        <f t="shared" si="15"/>
        <v/>
      </c>
      <c r="J47" s="884"/>
      <c r="K47" s="116"/>
      <c r="N47" s="1063"/>
      <c r="O47" s="1063"/>
      <c r="P47" s="1063"/>
      <c r="Q47" s="1063"/>
      <c r="R47" s="1063"/>
      <c r="S47" s="1063"/>
      <c r="T47" s="1063"/>
      <c r="U47" s="1063"/>
      <c r="V47" s="1063"/>
      <c r="W47" s="1063"/>
      <c r="X47" s="1063"/>
      <c r="Y47" s="1"/>
    </row>
    <row r="48" spans="1:25" s="64" customFormat="1" ht="15" customHeight="1">
      <c r="A48" s="64" t="str">
        <f t="shared" si="6"/>
        <v/>
      </c>
      <c r="E48" s="30"/>
      <c r="F48" s="30"/>
      <c r="G48" s="88"/>
      <c r="H48" s="30"/>
      <c r="I48" s="30"/>
      <c r="J48" s="88"/>
      <c r="X48" s="132"/>
      <c r="Y48" s="132"/>
    </row>
    <row r="49" spans="1:25" s="64" customFormat="1" ht="15" hidden="1" customHeight="1">
      <c r="A49" s="64" t="str">
        <f t="shared" si="6"/>
        <v/>
      </c>
      <c r="E49" s="30"/>
      <c r="F49" s="30"/>
      <c r="G49" s="88"/>
      <c r="H49" s="30"/>
      <c r="I49" s="30"/>
      <c r="J49" s="88"/>
      <c r="X49" s="132"/>
      <c r="Y49" s="132"/>
    </row>
    <row r="50" spans="1:25" s="343" customFormat="1" ht="0.65" hidden="1" customHeight="1">
      <c r="A50" s="343" t="str">
        <f t="shared" si="6"/>
        <v/>
      </c>
      <c r="G50" s="653"/>
      <c r="J50" s="653"/>
      <c r="O50" s="343">
        <f>1+O49</f>
        <v>1</v>
      </c>
      <c r="P50" s="343" t="e">
        <f>IF(VLOOKUP($A50,$A$251:$W$1172,P$8,FALSE)="","",VLOOKUP($A50,$A$251:$W$1172,P$8,FALSE))</f>
        <v>#N/A</v>
      </c>
      <c r="Q50" s="343" t="e">
        <f t="shared" ref="Q50:T69" si="17">IF(VLOOKUP($A50,$A$251:$W$1172,Q$8,FALSE)="","",VLOOKUP($A50,$A$251:$W$1172,Q$8,FALSE))</f>
        <v>#N/A</v>
      </c>
      <c r="R50" s="863" t="e">
        <f t="shared" si="17"/>
        <v>#N/A</v>
      </c>
      <c r="S50" s="343" t="e">
        <f t="shared" si="17"/>
        <v>#N/A</v>
      </c>
      <c r="T50" s="343" t="e">
        <f t="shared" si="17"/>
        <v>#N/A</v>
      </c>
      <c r="X50" s="863"/>
      <c r="Y50" s="863"/>
    </row>
    <row r="51" spans="1:25" s="343" customFormat="1" ht="0.65" hidden="1" customHeight="1">
      <c r="A51" s="343" t="str">
        <f t="shared" si="6"/>
        <v/>
      </c>
      <c r="G51" s="653"/>
      <c r="J51" s="653"/>
      <c r="O51" s="343">
        <f t="shared" ref="O51:O114" si="18">1+O50</f>
        <v>2</v>
      </c>
      <c r="P51" s="343" t="e">
        <f t="shared" ref="P51:T70" si="19">IF(VLOOKUP($A51,$A$251:$W$1172,P$8,FALSE)="","",VLOOKUP($A51,$A$251:$W$1172,P$8,FALSE))</f>
        <v>#N/A</v>
      </c>
      <c r="Q51" s="343" t="e">
        <f t="shared" si="17"/>
        <v>#N/A</v>
      </c>
      <c r="R51" s="863" t="e">
        <f t="shared" si="17"/>
        <v>#N/A</v>
      </c>
      <c r="S51" s="343" t="e">
        <f t="shared" si="17"/>
        <v>#N/A</v>
      </c>
      <c r="T51" s="343" t="e">
        <f t="shared" si="17"/>
        <v>#N/A</v>
      </c>
      <c r="X51" s="863"/>
      <c r="Y51" s="863"/>
    </row>
    <row r="52" spans="1:25" s="343" customFormat="1" ht="0.65" hidden="1" customHeight="1">
      <c r="A52" s="343" t="str">
        <f t="shared" si="6"/>
        <v/>
      </c>
      <c r="G52" s="653"/>
      <c r="J52" s="653"/>
      <c r="O52" s="343">
        <f t="shared" si="18"/>
        <v>3</v>
      </c>
      <c r="P52" s="343" t="e">
        <f t="shared" si="19"/>
        <v>#N/A</v>
      </c>
      <c r="Q52" s="343" t="e">
        <f t="shared" si="17"/>
        <v>#N/A</v>
      </c>
      <c r="R52" s="863" t="e">
        <f t="shared" si="17"/>
        <v>#N/A</v>
      </c>
      <c r="S52" s="343" t="e">
        <f t="shared" si="17"/>
        <v>#N/A</v>
      </c>
      <c r="T52" s="343" t="e">
        <f t="shared" si="17"/>
        <v>#N/A</v>
      </c>
      <c r="X52" s="863"/>
      <c r="Y52" s="863"/>
    </row>
    <row r="53" spans="1:25" s="343" customFormat="1" ht="0.65" hidden="1" customHeight="1">
      <c r="A53" s="343" t="str">
        <f t="shared" si="6"/>
        <v/>
      </c>
      <c r="G53" s="653"/>
      <c r="J53" s="653"/>
      <c r="O53" s="343">
        <f t="shared" si="18"/>
        <v>4</v>
      </c>
      <c r="P53" s="343" t="e">
        <f t="shared" si="19"/>
        <v>#N/A</v>
      </c>
      <c r="Q53" s="343" t="e">
        <f t="shared" si="17"/>
        <v>#N/A</v>
      </c>
      <c r="R53" s="863" t="e">
        <f t="shared" si="17"/>
        <v>#N/A</v>
      </c>
      <c r="S53" s="343" t="e">
        <f t="shared" si="17"/>
        <v>#N/A</v>
      </c>
      <c r="T53" s="343" t="e">
        <f t="shared" si="17"/>
        <v>#N/A</v>
      </c>
      <c r="X53" s="863"/>
      <c r="Y53" s="863"/>
    </row>
    <row r="54" spans="1:25" s="343" customFormat="1" ht="0.65" hidden="1" customHeight="1">
      <c r="A54" s="343" t="str">
        <f t="shared" si="6"/>
        <v/>
      </c>
      <c r="G54" s="653"/>
      <c r="J54" s="653"/>
      <c r="O54" s="343">
        <f t="shared" si="18"/>
        <v>5</v>
      </c>
      <c r="P54" s="343" t="e">
        <f t="shared" si="19"/>
        <v>#N/A</v>
      </c>
      <c r="Q54" s="343" t="e">
        <f t="shared" si="17"/>
        <v>#N/A</v>
      </c>
      <c r="R54" s="863" t="e">
        <f t="shared" si="17"/>
        <v>#N/A</v>
      </c>
      <c r="S54" s="343" t="e">
        <f t="shared" si="17"/>
        <v>#N/A</v>
      </c>
      <c r="T54" s="343" t="e">
        <f t="shared" si="17"/>
        <v>#N/A</v>
      </c>
      <c r="X54" s="863"/>
      <c r="Y54" s="863"/>
    </row>
    <row r="55" spans="1:25" s="343" customFormat="1" ht="0.65" hidden="1" customHeight="1">
      <c r="A55" s="343" t="str">
        <f t="shared" si="6"/>
        <v/>
      </c>
      <c r="G55" s="653"/>
      <c r="J55" s="653"/>
      <c r="O55" s="343">
        <f t="shared" si="18"/>
        <v>6</v>
      </c>
      <c r="P55" s="343" t="e">
        <f t="shared" si="19"/>
        <v>#N/A</v>
      </c>
      <c r="Q55" s="343" t="e">
        <f t="shared" si="17"/>
        <v>#N/A</v>
      </c>
      <c r="R55" s="863" t="e">
        <f t="shared" si="17"/>
        <v>#N/A</v>
      </c>
      <c r="S55" s="343" t="e">
        <f t="shared" si="17"/>
        <v>#N/A</v>
      </c>
      <c r="T55" s="343" t="e">
        <f t="shared" si="17"/>
        <v>#N/A</v>
      </c>
      <c r="X55" s="863"/>
      <c r="Y55" s="863"/>
    </row>
    <row r="56" spans="1:25" s="343" customFormat="1" ht="0.65" hidden="1" customHeight="1">
      <c r="A56" s="343" t="str">
        <f t="shared" si="6"/>
        <v/>
      </c>
      <c r="G56" s="653"/>
      <c r="J56" s="653"/>
      <c r="O56" s="343">
        <f t="shared" si="18"/>
        <v>7</v>
      </c>
      <c r="P56" s="343" t="e">
        <f t="shared" si="19"/>
        <v>#N/A</v>
      </c>
      <c r="Q56" s="343" t="e">
        <f t="shared" si="17"/>
        <v>#N/A</v>
      </c>
      <c r="R56" s="863" t="e">
        <f t="shared" si="17"/>
        <v>#N/A</v>
      </c>
      <c r="S56" s="343" t="e">
        <f t="shared" si="17"/>
        <v>#N/A</v>
      </c>
      <c r="T56" s="343" t="e">
        <f t="shared" si="17"/>
        <v>#N/A</v>
      </c>
      <c r="X56" s="863"/>
      <c r="Y56" s="863"/>
    </row>
    <row r="57" spans="1:25" s="343" customFormat="1" ht="0.65" hidden="1" customHeight="1">
      <c r="A57" s="343" t="str">
        <f t="shared" si="6"/>
        <v/>
      </c>
      <c r="G57" s="653"/>
      <c r="J57" s="653"/>
      <c r="O57" s="343">
        <f t="shared" si="18"/>
        <v>8</v>
      </c>
      <c r="P57" s="343" t="e">
        <f t="shared" si="19"/>
        <v>#N/A</v>
      </c>
      <c r="Q57" s="343" t="e">
        <f t="shared" si="17"/>
        <v>#N/A</v>
      </c>
      <c r="R57" s="863" t="e">
        <f t="shared" si="17"/>
        <v>#N/A</v>
      </c>
      <c r="S57" s="343" t="e">
        <f t="shared" si="17"/>
        <v>#N/A</v>
      </c>
      <c r="T57" s="343" t="e">
        <f t="shared" si="17"/>
        <v>#N/A</v>
      </c>
      <c r="X57" s="863"/>
      <c r="Y57" s="863"/>
    </row>
    <row r="58" spans="1:25" s="343" customFormat="1" ht="0.65" hidden="1" customHeight="1">
      <c r="A58" s="343" t="str">
        <f t="shared" si="6"/>
        <v/>
      </c>
      <c r="G58" s="653"/>
      <c r="J58" s="653"/>
      <c r="O58" s="343">
        <f t="shared" si="18"/>
        <v>9</v>
      </c>
      <c r="P58" s="343" t="e">
        <f t="shared" si="19"/>
        <v>#N/A</v>
      </c>
      <c r="Q58" s="343" t="e">
        <f t="shared" si="17"/>
        <v>#N/A</v>
      </c>
      <c r="R58" s="863" t="e">
        <f t="shared" si="17"/>
        <v>#N/A</v>
      </c>
      <c r="S58" s="343" t="e">
        <f t="shared" si="17"/>
        <v>#N/A</v>
      </c>
      <c r="T58" s="343" t="e">
        <f t="shared" si="17"/>
        <v>#N/A</v>
      </c>
      <c r="X58" s="863"/>
      <c r="Y58" s="863"/>
    </row>
    <row r="59" spans="1:25" s="343" customFormat="1" ht="0.65" hidden="1" customHeight="1">
      <c r="A59" s="343" t="str">
        <f t="shared" si="6"/>
        <v/>
      </c>
      <c r="G59" s="653"/>
      <c r="J59" s="653"/>
      <c r="O59" s="343">
        <f t="shared" si="18"/>
        <v>10</v>
      </c>
      <c r="P59" s="343" t="e">
        <f t="shared" si="19"/>
        <v>#N/A</v>
      </c>
      <c r="Q59" s="343" t="e">
        <f t="shared" si="17"/>
        <v>#N/A</v>
      </c>
      <c r="R59" s="863" t="e">
        <f t="shared" si="17"/>
        <v>#N/A</v>
      </c>
      <c r="S59" s="343" t="e">
        <f t="shared" si="17"/>
        <v>#N/A</v>
      </c>
      <c r="T59" s="343" t="e">
        <f t="shared" si="17"/>
        <v>#N/A</v>
      </c>
      <c r="X59" s="863"/>
      <c r="Y59" s="863"/>
    </row>
    <row r="60" spans="1:25" s="343" customFormat="1" ht="0.65" hidden="1" customHeight="1">
      <c r="A60" s="343" t="str">
        <f t="shared" si="6"/>
        <v/>
      </c>
      <c r="G60" s="653"/>
      <c r="J60" s="653"/>
      <c r="O60" s="343">
        <f t="shared" si="18"/>
        <v>11</v>
      </c>
      <c r="P60" s="343" t="e">
        <f t="shared" si="19"/>
        <v>#N/A</v>
      </c>
      <c r="Q60" s="343" t="e">
        <f t="shared" si="17"/>
        <v>#N/A</v>
      </c>
      <c r="R60" s="863" t="e">
        <f t="shared" si="17"/>
        <v>#N/A</v>
      </c>
      <c r="S60" s="343" t="e">
        <f t="shared" si="17"/>
        <v>#N/A</v>
      </c>
      <c r="T60" s="343" t="e">
        <f t="shared" si="17"/>
        <v>#N/A</v>
      </c>
      <c r="X60" s="863"/>
      <c r="Y60" s="863"/>
    </row>
    <row r="61" spans="1:25" s="343" customFormat="1" ht="0.65" hidden="1" customHeight="1">
      <c r="A61" s="343" t="str">
        <f t="shared" si="6"/>
        <v/>
      </c>
      <c r="G61" s="653"/>
      <c r="J61" s="653"/>
      <c r="O61" s="343">
        <f t="shared" si="18"/>
        <v>12</v>
      </c>
      <c r="P61" s="343" t="e">
        <f t="shared" si="19"/>
        <v>#N/A</v>
      </c>
      <c r="Q61" s="343" t="e">
        <f t="shared" si="17"/>
        <v>#N/A</v>
      </c>
      <c r="R61" s="863" t="e">
        <f t="shared" si="17"/>
        <v>#N/A</v>
      </c>
      <c r="S61" s="343" t="e">
        <f t="shared" si="17"/>
        <v>#N/A</v>
      </c>
      <c r="T61" s="343" t="e">
        <f t="shared" si="17"/>
        <v>#N/A</v>
      </c>
      <c r="X61" s="863"/>
      <c r="Y61" s="863"/>
    </row>
    <row r="62" spans="1:25" s="343" customFormat="1" ht="0.65" hidden="1" customHeight="1">
      <c r="A62" s="343" t="str">
        <f t="shared" si="6"/>
        <v/>
      </c>
      <c r="G62" s="653"/>
      <c r="J62" s="653"/>
      <c r="O62" s="343">
        <f t="shared" si="18"/>
        <v>13</v>
      </c>
      <c r="P62" s="343" t="e">
        <f t="shared" si="19"/>
        <v>#N/A</v>
      </c>
      <c r="Q62" s="343" t="e">
        <f t="shared" si="17"/>
        <v>#N/A</v>
      </c>
      <c r="R62" s="863" t="e">
        <f t="shared" si="17"/>
        <v>#N/A</v>
      </c>
      <c r="S62" s="343" t="e">
        <f t="shared" si="17"/>
        <v>#N/A</v>
      </c>
      <c r="T62" s="343" t="e">
        <f t="shared" si="17"/>
        <v>#N/A</v>
      </c>
      <c r="X62" s="863"/>
      <c r="Y62" s="863"/>
    </row>
    <row r="63" spans="1:25" s="343" customFormat="1" ht="0.65" hidden="1" customHeight="1">
      <c r="A63" s="343" t="str">
        <f t="shared" si="6"/>
        <v/>
      </c>
      <c r="G63" s="653"/>
      <c r="J63" s="653"/>
      <c r="O63" s="343">
        <f t="shared" si="18"/>
        <v>14</v>
      </c>
      <c r="P63" s="343" t="e">
        <f t="shared" si="19"/>
        <v>#N/A</v>
      </c>
      <c r="Q63" s="343" t="e">
        <f t="shared" si="17"/>
        <v>#N/A</v>
      </c>
      <c r="R63" s="863" t="e">
        <f t="shared" si="17"/>
        <v>#N/A</v>
      </c>
      <c r="S63" s="343" t="e">
        <f t="shared" si="17"/>
        <v>#N/A</v>
      </c>
      <c r="T63" s="343" t="e">
        <f t="shared" si="17"/>
        <v>#N/A</v>
      </c>
      <c r="X63" s="863"/>
      <c r="Y63" s="863"/>
    </row>
    <row r="64" spans="1:25" s="343" customFormat="1" ht="0.65" hidden="1" customHeight="1">
      <c r="A64" s="343" t="str">
        <f t="shared" si="6"/>
        <v/>
      </c>
      <c r="G64" s="653"/>
      <c r="J64" s="653"/>
      <c r="O64" s="343">
        <f t="shared" si="18"/>
        <v>15</v>
      </c>
      <c r="P64" s="343" t="e">
        <f t="shared" si="19"/>
        <v>#N/A</v>
      </c>
      <c r="Q64" s="343" t="e">
        <f t="shared" si="17"/>
        <v>#N/A</v>
      </c>
      <c r="R64" s="863" t="e">
        <f t="shared" si="17"/>
        <v>#N/A</v>
      </c>
      <c r="S64" s="343" t="e">
        <f t="shared" si="17"/>
        <v>#N/A</v>
      </c>
      <c r="T64" s="343" t="e">
        <f t="shared" si="17"/>
        <v>#N/A</v>
      </c>
      <c r="X64" s="863"/>
      <c r="Y64" s="863"/>
    </row>
    <row r="65" spans="1:25" s="343" customFormat="1" ht="0.65" hidden="1" customHeight="1">
      <c r="A65" s="343" t="str">
        <f t="shared" si="6"/>
        <v/>
      </c>
      <c r="G65" s="653"/>
      <c r="J65" s="653"/>
      <c r="O65" s="343">
        <f t="shared" si="18"/>
        <v>16</v>
      </c>
      <c r="P65" s="343" t="e">
        <f t="shared" si="19"/>
        <v>#N/A</v>
      </c>
      <c r="Q65" s="343" t="e">
        <f t="shared" si="17"/>
        <v>#N/A</v>
      </c>
      <c r="R65" s="863" t="e">
        <f t="shared" si="17"/>
        <v>#N/A</v>
      </c>
      <c r="S65" s="343" t="e">
        <f t="shared" si="17"/>
        <v>#N/A</v>
      </c>
      <c r="T65" s="343" t="e">
        <f t="shared" si="17"/>
        <v>#N/A</v>
      </c>
      <c r="X65" s="863"/>
      <c r="Y65" s="863"/>
    </row>
    <row r="66" spans="1:25" s="343" customFormat="1" ht="0.65" hidden="1" customHeight="1">
      <c r="A66" s="343" t="str">
        <f t="shared" si="6"/>
        <v/>
      </c>
      <c r="G66" s="653"/>
      <c r="J66" s="653"/>
      <c r="O66" s="343">
        <f t="shared" si="18"/>
        <v>17</v>
      </c>
      <c r="P66" s="343" t="e">
        <f t="shared" si="19"/>
        <v>#N/A</v>
      </c>
      <c r="Q66" s="343" t="e">
        <f t="shared" si="17"/>
        <v>#N/A</v>
      </c>
      <c r="R66" s="863" t="e">
        <f t="shared" si="17"/>
        <v>#N/A</v>
      </c>
      <c r="S66" s="343" t="e">
        <f t="shared" si="17"/>
        <v>#N/A</v>
      </c>
      <c r="T66" s="343" t="e">
        <f t="shared" si="17"/>
        <v>#N/A</v>
      </c>
      <c r="X66" s="863"/>
      <c r="Y66" s="863"/>
    </row>
    <row r="67" spans="1:25" s="343" customFormat="1" ht="0.65" hidden="1" customHeight="1">
      <c r="A67" s="343" t="str">
        <f t="shared" si="6"/>
        <v/>
      </c>
      <c r="G67" s="653"/>
      <c r="J67" s="653"/>
      <c r="O67" s="343">
        <f t="shared" si="18"/>
        <v>18</v>
      </c>
      <c r="P67" s="343" t="e">
        <f t="shared" si="19"/>
        <v>#N/A</v>
      </c>
      <c r="Q67" s="343" t="e">
        <f t="shared" si="17"/>
        <v>#N/A</v>
      </c>
      <c r="R67" s="863" t="e">
        <f t="shared" si="17"/>
        <v>#N/A</v>
      </c>
      <c r="S67" s="343" t="e">
        <f t="shared" si="17"/>
        <v>#N/A</v>
      </c>
      <c r="T67" s="343" t="e">
        <f t="shared" si="17"/>
        <v>#N/A</v>
      </c>
      <c r="X67" s="863"/>
      <c r="Y67" s="863"/>
    </row>
    <row r="68" spans="1:25" s="343" customFormat="1" ht="0.65" hidden="1" customHeight="1">
      <c r="A68" s="343" t="str">
        <f t="shared" si="6"/>
        <v/>
      </c>
      <c r="G68" s="653"/>
      <c r="J68" s="653"/>
      <c r="O68" s="343">
        <f t="shared" si="18"/>
        <v>19</v>
      </c>
      <c r="P68" s="343" t="e">
        <f t="shared" si="19"/>
        <v>#N/A</v>
      </c>
      <c r="Q68" s="343" t="e">
        <f t="shared" si="17"/>
        <v>#N/A</v>
      </c>
      <c r="R68" s="863" t="e">
        <f t="shared" si="17"/>
        <v>#N/A</v>
      </c>
      <c r="S68" s="343" t="e">
        <f t="shared" si="17"/>
        <v>#N/A</v>
      </c>
      <c r="T68" s="343" t="e">
        <f t="shared" si="17"/>
        <v>#N/A</v>
      </c>
      <c r="X68" s="863"/>
      <c r="Y68" s="863"/>
    </row>
    <row r="69" spans="1:25" s="343" customFormat="1" ht="0.65" hidden="1" customHeight="1">
      <c r="A69" s="343" t="str">
        <f t="shared" si="6"/>
        <v/>
      </c>
      <c r="G69" s="653"/>
      <c r="J69" s="653"/>
      <c r="O69" s="343">
        <f t="shared" si="18"/>
        <v>20</v>
      </c>
      <c r="P69" s="343" t="e">
        <f t="shared" si="19"/>
        <v>#N/A</v>
      </c>
      <c r="Q69" s="343" t="e">
        <f t="shared" si="17"/>
        <v>#N/A</v>
      </c>
      <c r="R69" s="863" t="e">
        <f t="shared" si="17"/>
        <v>#N/A</v>
      </c>
      <c r="S69" s="343" t="e">
        <f t="shared" si="17"/>
        <v>#N/A</v>
      </c>
      <c r="T69" s="343" t="e">
        <f t="shared" si="17"/>
        <v>#N/A</v>
      </c>
      <c r="X69" s="863"/>
      <c r="Y69" s="863"/>
    </row>
    <row r="70" spans="1:25" s="343" customFormat="1" ht="0.65" hidden="1" customHeight="1">
      <c r="A70" s="343" t="str">
        <f t="shared" si="6"/>
        <v/>
      </c>
      <c r="G70" s="653"/>
      <c r="J70" s="653"/>
      <c r="O70" s="343">
        <f t="shared" si="18"/>
        <v>21</v>
      </c>
      <c r="P70" s="343" t="e">
        <f t="shared" si="19"/>
        <v>#N/A</v>
      </c>
      <c r="Q70" s="343" t="e">
        <f t="shared" si="19"/>
        <v>#N/A</v>
      </c>
      <c r="R70" s="863" t="e">
        <f t="shared" si="19"/>
        <v>#N/A</v>
      </c>
      <c r="S70" s="343" t="e">
        <f t="shared" si="19"/>
        <v>#N/A</v>
      </c>
      <c r="T70" s="343" t="e">
        <f t="shared" si="19"/>
        <v>#N/A</v>
      </c>
      <c r="X70" s="863"/>
      <c r="Y70" s="863"/>
    </row>
    <row r="71" spans="1:25" s="343" customFormat="1" ht="0.65" hidden="1" customHeight="1">
      <c r="A71" s="343" t="str">
        <f t="shared" si="6"/>
        <v/>
      </c>
      <c r="G71" s="653"/>
      <c r="J71" s="653"/>
      <c r="O71" s="343">
        <f t="shared" si="18"/>
        <v>22</v>
      </c>
      <c r="P71" s="343" t="e">
        <f t="shared" ref="P71:T86" si="20">IF(VLOOKUP($A71,$A$251:$W$1172,P$8,FALSE)="","",VLOOKUP($A71,$A$251:$W$1172,P$8,FALSE))</f>
        <v>#N/A</v>
      </c>
      <c r="Q71" s="343" t="e">
        <f t="shared" si="20"/>
        <v>#N/A</v>
      </c>
      <c r="R71" s="863" t="e">
        <f t="shared" si="20"/>
        <v>#N/A</v>
      </c>
      <c r="S71" s="343" t="e">
        <f t="shared" si="20"/>
        <v>#N/A</v>
      </c>
      <c r="T71" s="343" t="e">
        <f t="shared" si="20"/>
        <v>#N/A</v>
      </c>
      <c r="X71" s="863"/>
      <c r="Y71" s="863"/>
    </row>
    <row r="72" spans="1:25" s="343" customFormat="1" ht="0.65" hidden="1" customHeight="1">
      <c r="A72" s="343" t="str">
        <f t="shared" si="6"/>
        <v/>
      </c>
      <c r="G72" s="653"/>
      <c r="J72" s="653"/>
      <c r="O72" s="343">
        <f t="shared" si="18"/>
        <v>23</v>
      </c>
      <c r="P72" s="343" t="e">
        <f t="shared" si="20"/>
        <v>#N/A</v>
      </c>
      <c r="Q72" s="343" t="e">
        <f t="shared" si="20"/>
        <v>#N/A</v>
      </c>
      <c r="R72" s="863" t="e">
        <f t="shared" si="20"/>
        <v>#N/A</v>
      </c>
      <c r="S72" s="343" t="e">
        <f t="shared" si="20"/>
        <v>#N/A</v>
      </c>
      <c r="T72" s="343" t="e">
        <f t="shared" si="20"/>
        <v>#N/A</v>
      </c>
      <c r="X72" s="863"/>
      <c r="Y72" s="863"/>
    </row>
    <row r="73" spans="1:25" s="343" customFormat="1" ht="0.65" hidden="1" customHeight="1">
      <c r="A73" s="343" t="str">
        <f t="shared" si="6"/>
        <v/>
      </c>
      <c r="G73" s="653"/>
      <c r="J73" s="653"/>
      <c r="O73" s="343">
        <f t="shared" si="18"/>
        <v>24</v>
      </c>
      <c r="P73" s="343" t="e">
        <f t="shared" si="20"/>
        <v>#N/A</v>
      </c>
      <c r="Q73" s="343" t="e">
        <f t="shared" si="20"/>
        <v>#N/A</v>
      </c>
      <c r="R73" s="863" t="e">
        <f t="shared" si="20"/>
        <v>#N/A</v>
      </c>
      <c r="S73" s="343" t="e">
        <f t="shared" si="20"/>
        <v>#N/A</v>
      </c>
      <c r="T73" s="343" t="e">
        <f t="shared" si="20"/>
        <v>#N/A</v>
      </c>
      <c r="X73" s="863"/>
      <c r="Y73" s="863"/>
    </row>
    <row r="74" spans="1:25" s="343" customFormat="1" ht="0.65" hidden="1" customHeight="1">
      <c r="A74" s="343" t="str">
        <f t="shared" si="6"/>
        <v/>
      </c>
      <c r="G74" s="653"/>
      <c r="J74" s="653"/>
      <c r="O74" s="343">
        <f t="shared" si="18"/>
        <v>25</v>
      </c>
      <c r="P74" s="343" t="e">
        <f t="shared" si="20"/>
        <v>#N/A</v>
      </c>
      <c r="Q74" s="343" t="e">
        <f t="shared" si="20"/>
        <v>#N/A</v>
      </c>
      <c r="R74" s="863" t="e">
        <f t="shared" si="20"/>
        <v>#N/A</v>
      </c>
      <c r="S74" s="343" t="e">
        <f t="shared" si="20"/>
        <v>#N/A</v>
      </c>
      <c r="T74" s="343" t="e">
        <f t="shared" si="20"/>
        <v>#N/A</v>
      </c>
      <c r="X74" s="863"/>
      <c r="Y74" s="863"/>
    </row>
    <row r="75" spans="1:25" s="343" customFormat="1" ht="0.65" hidden="1" customHeight="1">
      <c r="A75" s="343" t="str">
        <f t="shared" si="6"/>
        <v/>
      </c>
      <c r="G75" s="653"/>
      <c r="J75" s="653"/>
      <c r="O75" s="343">
        <f t="shared" si="18"/>
        <v>26</v>
      </c>
      <c r="P75" s="343" t="e">
        <f t="shared" si="20"/>
        <v>#N/A</v>
      </c>
      <c r="Q75" s="343" t="e">
        <f t="shared" si="20"/>
        <v>#N/A</v>
      </c>
      <c r="R75" s="863" t="e">
        <f t="shared" si="20"/>
        <v>#N/A</v>
      </c>
      <c r="S75" s="343" t="e">
        <f t="shared" si="20"/>
        <v>#N/A</v>
      </c>
      <c r="T75" s="343" t="e">
        <f t="shared" si="20"/>
        <v>#N/A</v>
      </c>
      <c r="X75" s="863"/>
      <c r="Y75" s="863"/>
    </row>
    <row r="76" spans="1:25" s="343" customFormat="1" ht="0.65" hidden="1" customHeight="1">
      <c r="A76" s="343" t="str">
        <f t="shared" ref="A76:A139" si="21">IF(A75="","",1+A75)</f>
        <v/>
      </c>
      <c r="G76" s="653"/>
      <c r="J76" s="653"/>
      <c r="O76" s="343">
        <f t="shared" si="18"/>
        <v>27</v>
      </c>
      <c r="P76" s="343" t="e">
        <f t="shared" si="20"/>
        <v>#N/A</v>
      </c>
      <c r="Q76" s="343" t="e">
        <f t="shared" si="20"/>
        <v>#N/A</v>
      </c>
      <c r="R76" s="863" t="e">
        <f t="shared" si="20"/>
        <v>#N/A</v>
      </c>
      <c r="S76" s="343" t="e">
        <f t="shared" si="20"/>
        <v>#N/A</v>
      </c>
      <c r="T76" s="343" t="e">
        <f t="shared" si="20"/>
        <v>#N/A</v>
      </c>
      <c r="X76" s="863"/>
      <c r="Y76" s="863"/>
    </row>
    <row r="77" spans="1:25" s="343" customFormat="1" ht="0.65" hidden="1" customHeight="1">
      <c r="A77" s="343" t="str">
        <f t="shared" si="21"/>
        <v/>
      </c>
      <c r="G77" s="653"/>
      <c r="J77" s="653"/>
      <c r="O77" s="343">
        <f t="shared" si="18"/>
        <v>28</v>
      </c>
      <c r="P77" s="343" t="e">
        <f t="shared" si="20"/>
        <v>#N/A</v>
      </c>
      <c r="Q77" s="343" t="e">
        <f t="shared" si="20"/>
        <v>#N/A</v>
      </c>
      <c r="R77" s="863" t="e">
        <f t="shared" si="20"/>
        <v>#N/A</v>
      </c>
      <c r="S77" s="343" t="e">
        <f t="shared" si="20"/>
        <v>#N/A</v>
      </c>
      <c r="T77" s="343" t="e">
        <f t="shared" si="20"/>
        <v>#N/A</v>
      </c>
      <c r="X77" s="863"/>
      <c r="Y77" s="863"/>
    </row>
    <row r="78" spans="1:25" s="343" customFormat="1" ht="0.65" hidden="1" customHeight="1">
      <c r="A78" s="343" t="str">
        <f t="shared" si="21"/>
        <v/>
      </c>
      <c r="G78" s="653"/>
      <c r="J78" s="653"/>
      <c r="O78" s="343">
        <f t="shared" si="18"/>
        <v>29</v>
      </c>
      <c r="P78" s="343" t="e">
        <f t="shared" si="20"/>
        <v>#N/A</v>
      </c>
      <c r="Q78" s="343" t="e">
        <f t="shared" si="20"/>
        <v>#N/A</v>
      </c>
      <c r="R78" s="863" t="e">
        <f t="shared" si="20"/>
        <v>#N/A</v>
      </c>
      <c r="S78" s="343" t="e">
        <f t="shared" si="20"/>
        <v>#N/A</v>
      </c>
      <c r="T78" s="343" t="e">
        <f t="shared" si="20"/>
        <v>#N/A</v>
      </c>
      <c r="X78" s="863"/>
      <c r="Y78" s="863"/>
    </row>
    <row r="79" spans="1:25" s="343" customFormat="1" ht="0.65" hidden="1" customHeight="1">
      <c r="A79" s="343" t="str">
        <f t="shared" si="21"/>
        <v/>
      </c>
      <c r="G79" s="653"/>
      <c r="J79" s="653"/>
      <c r="O79" s="343">
        <f t="shared" si="18"/>
        <v>30</v>
      </c>
      <c r="P79" s="343" t="e">
        <f t="shared" si="20"/>
        <v>#N/A</v>
      </c>
      <c r="Q79" s="343" t="e">
        <f t="shared" si="20"/>
        <v>#N/A</v>
      </c>
      <c r="R79" s="863" t="e">
        <f t="shared" si="20"/>
        <v>#N/A</v>
      </c>
      <c r="S79" s="343" t="e">
        <f t="shared" si="20"/>
        <v>#N/A</v>
      </c>
      <c r="T79" s="343" t="e">
        <f t="shared" si="20"/>
        <v>#N/A</v>
      </c>
      <c r="X79" s="863"/>
      <c r="Y79" s="863"/>
    </row>
    <row r="80" spans="1:25" s="343" customFormat="1" ht="0.65" hidden="1" customHeight="1">
      <c r="A80" s="343" t="str">
        <f t="shared" si="21"/>
        <v/>
      </c>
      <c r="G80" s="653"/>
      <c r="J80" s="653"/>
      <c r="O80" s="343">
        <f t="shared" si="18"/>
        <v>31</v>
      </c>
      <c r="P80" s="343" t="e">
        <f t="shared" si="20"/>
        <v>#N/A</v>
      </c>
      <c r="Q80" s="343" t="e">
        <f t="shared" si="20"/>
        <v>#N/A</v>
      </c>
      <c r="R80" s="863" t="e">
        <f t="shared" si="20"/>
        <v>#N/A</v>
      </c>
      <c r="S80" s="343" t="e">
        <f t="shared" si="20"/>
        <v>#N/A</v>
      </c>
      <c r="T80" s="343" t="e">
        <f t="shared" si="20"/>
        <v>#N/A</v>
      </c>
      <c r="X80" s="863"/>
      <c r="Y80" s="863"/>
    </row>
    <row r="81" spans="1:25" s="343" customFormat="1" ht="0.65" hidden="1" customHeight="1">
      <c r="A81" s="343" t="str">
        <f t="shared" si="21"/>
        <v/>
      </c>
      <c r="G81" s="653"/>
      <c r="J81" s="653"/>
      <c r="O81" s="343">
        <f t="shared" si="18"/>
        <v>32</v>
      </c>
      <c r="P81" s="343" t="e">
        <f t="shared" si="20"/>
        <v>#N/A</v>
      </c>
      <c r="Q81" s="343" t="e">
        <f t="shared" si="20"/>
        <v>#N/A</v>
      </c>
      <c r="R81" s="863" t="e">
        <f t="shared" si="20"/>
        <v>#N/A</v>
      </c>
      <c r="S81" s="343" t="e">
        <f t="shared" si="20"/>
        <v>#N/A</v>
      </c>
      <c r="T81" s="343" t="e">
        <f t="shared" si="20"/>
        <v>#N/A</v>
      </c>
      <c r="X81" s="863"/>
      <c r="Y81" s="863"/>
    </row>
    <row r="82" spans="1:25" s="343" customFormat="1" ht="0.65" hidden="1" customHeight="1">
      <c r="A82" s="343" t="str">
        <f t="shared" si="21"/>
        <v/>
      </c>
      <c r="G82" s="653"/>
      <c r="J82" s="653"/>
      <c r="O82" s="343">
        <f t="shared" si="18"/>
        <v>33</v>
      </c>
      <c r="P82" s="343" t="e">
        <f t="shared" si="20"/>
        <v>#N/A</v>
      </c>
      <c r="Q82" s="343" t="e">
        <f t="shared" si="20"/>
        <v>#N/A</v>
      </c>
      <c r="R82" s="863" t="e">
        <f t="shared" si="20"/>
        <v>#N/A</v>
      </c>
      <c r="S82" s="343" t="e">
        <f t="shared" si="20"/>
        <v>#N/A</v>
      </c>
      <c r="T82" s="343" t="e">
        <f t="shared" si="20"/>
        <v>#N/A</v>
      </c>
      <c r="X82" s="863"/>
      <c r="Y82" s="863"/>
    </row>
    <row r="83" spans="1:25" s="343" customFormat="1" ht="0.65" hidden="1" customHeight="1">
      <c r="A83" s="343" t="str">
        <f t="shared" si="21"/>
        <v/>
      </c>
      <c r="G83" s="653"/>
      <c r="J83" s="653"/>
      <c r="O83" s="343">
        <f t="shared" si="18"/>
        <v>34</v>
      </c>
      <c r="P83" s="343" t="e">
        <f t="shared" si="20"/>
        <v>#N/A</v>
      </c>
      <c r="Q83" s="343" t="e">
        <f t="shared" si="20"/>
        <v>#N/A</v>
      </c>
      <c r="R83" s="863" t="e">
        <f t="shared" si="20"/>
        <v>#N/A</v>
      </c>
      <c r="S83" s="343" t="e">
        <f t="shared" si="20"/>
        <v>#N/A</v>
      </c>
      <c r="T83" s="343" t="e">
        <f t="shared" si="20"/>
        <v>#N/A</v>
      </c>
      <c r="X83" s="863"/>
      <c r="Y83" s="863"/>
    </row>
    <row r="84" spans="1:25" s="343" customFormat="1" ht="0.65" hidden="1" customHeight="1">
      <c r="A84" s="343" t="str">
        <f t="shared" si="21"/>
        <v/>
      </c>
      <c r="G84" s="653"/>
      <c r="J84" s="653"/>
      <c r="O84" s="343">
        <f t="shared" si="18"/>
        <v>35</v>
      </c>
      <c r="P84" s="343" t="e">
        <f t="shared" si="20"/>
        <v>#N/A</v>
      </c>
      <c r="Q84" s="343" t="e">
        <f t="shared" si="20"/>
        <v>#N/A</v>
      </c>
      <c r="R84" s="863" t="e">
        <f t="shared" si="20"/>
        <v>#N/A</v>
      </c>
      <c r="S84" s="343" t="e">
        <f t="shared" si="20"/>
        <v>#N/A</v>
      </c>
      <c r="T84" s="343" t="e">
        <f t="shared" si="20"/>
        <v>#N/A</v>
      </c>
      <c r="X84" s="863"/>
      <c r="Y84" s="863"/>
    </row>
    <row r="85" spans="1:25" s="343" customFormat="1" ht="0.65" hidden="1" customHeight="1">
      <c r="A85" s="343" t="str">
        <f t="shared" si="21"/>
        <v/>
      </c>
      <c r="G85" s="653"/>
      <c r="J85" s="653"/>
      <c r="O85" s="343">
        <f t="shared" si="18"/>
        <v>36</v>
      </c>
      <c r="P85" s="343" t="e">
        <f t="shared" si="20"/>
        <v>#N/A</v>
      </c>
      <c r="Q85" s="343" t="e">
        <f t="shared" si="20"/>
        <v>#N/A</v>
      </c>
      <c r="R85" s="863" t="e">
        <f t="shared" si="20"/>
        <v>#N/A</v>
      </c>
      <c r="S85" s="343" t="e">
        <f t="shared" si="20"/>
        <v>#N/A</v>
      </c>
      <c r="T85" s="343" t="e">
        <f t="shared" si="20"/>
        <v>#N/A</v>
      </c>
      <c r="X85" s="863"/>
      <c r="Y85" s="863"/>
    </row>
    <row r="86" spans="1:25" s="343" customFormat="1" ht="0.65" hidden="1" customHeight="1">
      <c r="A86" s="343" t="str">
        <f t="shared" si="21"/>
        <v/>
      </c>
      <c r="G86" s="653"/>
      <c r="J86" s="653"/>
      <c r="O86" s="343">
        <f t="shared" si="18"/>
        <v>37</v>
      </c>
      <c r="P86" s="343" t="e">
        <f t="shared" si="20"/>
        <v>#N/A</v>
      </c>
      <c r="Q86" s="343" t="e">
        <f t="shared" si="20"/>
        <v>#N/A</v>
      </c>
      <c r="R86" s="863" t="e">
        <f t="shared" si="20"/>
        <v>#N/A</v>
      </c>
      <c r="S86" s="343" t="e">
        <f t="shared" si="20"/>
        <v>#N/A</v>
      </c>
      <c r="T86" s="343" t="e">
        <f t="shared" si="20"/>
        <v>#N/A</v>
      </c>
      <c r="X86" s="863"/>
      <c r="Y86" s="863"/>
    </row>
    <row r="87" spans="1:25" s="343" customFormat="1" ht="0.65" hidden="1" customHeight="1">
      <c r="A87" s="343" t="str">
        <f t="shared" si="21"/>
        <v/>
      </c>
      <c r="G87" s="653"/>
      <c r="J87" s="653"/>
      <c r="O87" s="343">
        <f t="shared" si="18"/>
        <v>38</v>
      </c>
      <c r="P87" s="343" t="e">
        <f t="shared" ref="P87:T102" si="22">IF(VLOOKUP($A87,$A$251:$W$1172,P$8,FALSE)="","",VLOOKUP($A87,$A$251:$W$1172,P$8,FALSE))</f>
        <v>#N/A</v>
      </c>
      <c r="Q87" s="343" t="e">
        <f t="shared" si="22"/>
        <v>#N/A</v>
      </c>
      <c r="R87" s="863" t="e">
        <f t="shared" si="22"/>
        <v>#N/A</v>
      </c>
      <c r="S87" s="343" t="e">
        <f t="shared" si="22"/>
        <v>#N/A</v>
      </c>
      <c r="T87" s="343" t="e">
        <f t="shared" si="22"/>
        <v>#N/A</v>
      </c>
      <c r="X87" s="863"/>
      <c r="Y87" s="863"/>
    </row>
    <row r="88" spans="1:25" s="343" customFormat="1" ht="0.65" hidden="1" customHeight="1">
      <c r="A88" s="343" t="str">
        <f t="shared" si="21"/>
        <v/>
      </c>
      <c r="G88" s="653"/>
      <c r="J88" s="653"/>
      <c r="O88" s="343">
        <f t="shared" si="18"/>
        <v>39</v>
      </c>
      <c r="P88" s="343" t="e">
        <f t="shared" si="22"/>
        <v>#N/A</v>
      </c>
      <c r="Q88" s="343" t="e">
        <f t="shared" si="22"/>
        <v>#N/A</v>
      </c>
      <c r="R88" s="863" t="e">
        <f t="shared" si="22"/>
        <v>#N/A</v>
      </c>
      <c r="S88" s="343" t="e">
        <f t="shared" si="22"/>
        <v>#N/A</v>
      </c>
      <c r="T88" s="343" t="e">
        <f t="shared" si="22"/>
        <v>#N/A</v>
      </c>
      <c r="X88" s="863"/>
      <c r="Y88" s="863"/>
    </row>
    <row r="89" spans="1:25" s="343" customFormat="1" ht="0.65" hidden="1" customHeight="1">
      <c r="A89" s="343" t="str">
        <f t="shared" si="21"/>
        <v/>
      </c>
      <c r="G89" s="653"/>
      <c r="J89" s="653"/>
      <c r="O89" s="343">
        <f t="shared" si="18"/>
        <v>40</v>
      </c>
      <c r="P89" s="343" t="e">
        <f t="shared" si="22"/>
        <v>#N/A</v>
      </c>
      <c r="Q89" s="343" t="e">
        <f t="shared" si="22"/>
        <v>#N/A</v>
      </c>
      <c r="R89" s="863" t="e">
        <f t="shared" si="22"/>
        <v>#N/A</v>
      </c>
      <c r="S89" s="343" t="e">
        <f t="shared" si="22"/>
        <v>#N/A</v>
      </c>
      <c r="T89" s="343" t="e">
        <f t="shared" si="22"/>
        <v>#N/A</v>
      </c>
      <c r="X89" s="863"/>
      <c r="Y89" s="863"/>
    </row>
    <row r="90" spans="1:25" s="343" customFormat="1" ht="0.65" hidden="1" customHeight="1">
      <c r="A90" s="343" t="str">
        <f t="shared" si="21"/>
        <v/>
      </c>
      <c r="G90" s="653"/>
      <c r="J90" s="653"/>
      <c r="O90" s="343">
        <f t="shared" si="18"/>
        <v>41</v>
      </c>
      <c r="P90" s="343" t="e">
        <f t="shared" si="22"/>
        <v>#N/A</v>
      </c>
      <c r="Q90" s="343" t="e">
        <f t="shared" si="22"/>
        <v>#N/A</v>
      </c>
      <c r="R90" s="863" t="e">
        <f t="shared" si="22"/>
        <v>#N/A</v>
      </c>
      <c r="S90" s="343" t="e">
        <f t="shared" si="22"/>
        <v>#N/A</v>
      </c>
      <c r="T90" s="343" t="e">
        <f t="shared" si="22"/>
        <v>#N/A</v>
      </c>
      <c r="X90" s="863"/>
      <c r="Y90" s="863"/>
    </row>
    <row r="91" spans="1:25" s="343" customFormat="1" ht="0.65" hidden="1" customHeight="1">
      <c r="A91" s="343" t="str">
        <f t="shared" si="21"/>
        <v/>
      </c>
      <c r="G91" s="653"/>
      <c r="J91" s="653"/>
      <c r="O91" s="343">
        <f t="shared" si="18"/>
        <v>42</v>
      </c>
      <c r="P91" s="343" t="e">
        <f t="shared" si="22"/>
        <v>#N/A</v>
      </c>
      <c r="Q91" s="343" t="e">
        <f t="shared" si="22"/>
        <v>#N/A</v>
      </c>
      <c r="R91" s="863" t="e">
        <f t="shared" si="22"/>
        <v>#N/A</v>
      </c>
      <c r="S91" s="343" t="e">
        <f t="shared" si="22"/>
        <v>#N/A</v>
      </c>
      <c r="T91" s="343" t="e">
        <f t="shared" si="22"/>
        <v>#N/A</v>
      </c>
      <c r="X91" s="863"/>
      <c r="Y91" s="863"/>
    </row>
    <row r="92" spans="1:25" s="343" customFormat="1" ht="0.65" hidden="1" customHeight="1">
      <c r="A92" s="343" t="str">
        <f t="shared" si="21"/>
        <v/>
      </c>
      <c r="G92" s="653"/>
      <c r="J92" s="653"/>
      <c r="O92" s="343">
        <f t="shared" si="18"/>
        <v>43</v>
      </c>
      <c r="P92" s="343" t="e">
        <f t="shared" si="22"/>
        <v>#N/A</v>
      </c>
      <c r="Q92" s="343" t="e">
        <f t="shared" si="22"/>
        <v>#N/A</v>
      </c>
      <c r="R92" s="863" t="e">
        <f t="shared" si="22"/>
        <v>#N/A</v>
      </c>
      <c r="S92" s="343" t="e">
        <f t="shared" si="22"/>
        <v>#N/A</v>
      </c>
      <c r="T92" s="343" t="e">
        <f t="shared" si="22"/>
        <v>#N/A</v>
      </c>
      <c r="X92" s="863"/>
      <c r="Y92" s="863"/>
    </row>
    <row r="93" spans="1:25" s="343" customFormat="1" ht="0.65" hidden="1" customHeight="1">
      <c r="A93" s="343" t="str">
        <f t="shared" si="21"/>
        <v/>
      </c>
      <c r="G93" s="653"/>
      <c r="J93" s="653"/>
      <c r="O93" s="343">
        <f t="shared" si="18"/>
        <v>44</v>
      </c>
      <c r="P93" s="343" t="e">
        <f t="shared" si="22"/>
        <v>#N/A</v>
      </c>
      <c r="Q93" s="343" t="e">
        <f t="shared" si="22"/>
        <v>#N/A</v>
      </c>
      <c r="R93" s="863" t="e">
        <f t="shared" si="22"/>
        <v>#N/A</v>
      </c>
      <c r="S93" s="343" t="e">
        <f t="shared" si="22"/>
        <v>#N/A</v>
      </c>
      <c r="T93" s="343" t="e">
        <f t="shared" si="22"/>
        <v>#N/A</v>
      </c>
      <c r="X93" s="863"/>
      <c r="Y93" s="863"/>
    </row>
    <row r="94" spans="1:25" s="343" customFormat="1" ht="0.65" hidden="1" customHeight="1">
      <c r="A94" s="343" t="str">
        <f t="shared" si="21"/>
        <v/>
      </c>
      <c r="G94" s="653"/>
      <c r="J94" s="653"/>
      <c r="O94" s="343">
        <f t="shared" si="18"/>
        <v>45</v>
      </c>
      <c r="P94" s="343" t="e">
        <f t="shared" si="22"/>
        <v>#N/A</v>
      </c>
      <c r="Q94" s="343" t="e">
        <f t="shared" si="22"/>
        <v>#N/A</v>
      </c>
      <c r="R94" s="863" t="e">
        <f t="shared" si="22"/>
        <v>#N/A</v>
      </c>
      <c r="S94" s="343" t="e">
        <f t="shared" si="22"/>
        <v>#N/A</v>
      </c>
      <c r="T94" s="343" t="e">
        <f t="shared" si="22"/>
        <v>#N/A</v>
      </c>
      <c r="X94" s="863"/>
      <c r="Y94" s="863"/>
    </row>
    <row r="95" spans="1:25" s="343" customFormat="1" ht="0.65" hidden="1" customHeight="1">
      <c r="A95" s="343" t="str">
        <f t="shared" si="21"/>
        <v/>
      </c>
      <c r="G95" s="653"/>
      <c r="J95" s="653"/>
      <c r="O95" s="343">
        <f t="shared" si="18"/>
        <v>46</v>
      </c>
      <c r="P95" s="343" t="e">
        <f t="shared" si="22"/>
        <v>#N/A</v>
      </c>
      <c r="Q95" s="343" t="e">
        <f t="shared" si="22"/>
        <v>#N/A</v>
      </c>
      <c r="R95" s="863" t="e">
        <f t="shared" si="22"/>
        <v>#N/A</v>
      </c>
      <c r="S95" s="343" t="e">
        <f t="shared" si="22"/>
        <v>#N/A</v>
      </c>
      <c r="T95" s="343" t="e">
        <f t="shared" si="22"/>
        <v>#N/A</v>
      </c>
      <c r="X95" s="863"/>
      <c r="Y95" s="863"/>
    </row>
    <row r="96" spans="1:25" s="343" customFormat="1" ht="0.65" hidden="1" customHeight="1">
      <c r="A96" s="343" t="str">
        <f t="shared" si="21"/>
        <v/>
      </c>
      <c r="G96" s="653"/>
      <c r="J96" s="653"/>
      <c r="O96" s="343">
        <f t="shared" si="18"/>
        <v>47</v>
      </c>
      <c r="P96" s="343" t="e">
        <f t="shared" si="22"/>
        <v>#N/A</v>
      </c>
      <c r="Q96" s="343" t="e">
        <f t="shared" si="22"/>
        <v>#N/A</v>
      </c>
      <c r="R96" s="863" t="e">
        <f t="shared" si="22"/>
        <v>#N/A</v>
      </c>
      <c r="S96" s="343" t="e">
        <f t="shared" si="22"/>
        <v>#N/A</v>
      </c>
      <c r="T96" s="343" t="e">
        <f t="shared" si="22"/>
        <v>#N/A</v>
      </c>
      <c r="X96" s="863"/>
      <c r="Y96" s="863"/>
    </row>
    <row r="97" spans="1:25" s="343" customFormat="1" ht="0.65" hidden="1" customHeight="1">
      <c r="A97" s="343" t="str">
        <f t="shared" si="21"/>
        <v/>
      </c>
      <c r="G97" s="653"/>
      <c r="J97" s="653"/>
      <c r="O97" s="343">
        <f t="shared" si="18"/>
        <v>48</v>
      </c>
      <c r="P97" s="343" t="e">
        <f t="shared" si="22"/>
        <v>#N/A</v>
      </c>
      <c r="Q97" s="343" t="e">
        <f t="shared" si="22"/>
        <v>#N/A</v>
      </c>
      <c r="R97" s="863" t="e">
        <f t="shared" si="22"/>
        <v>#N/A</v>
      </c>
      <c r="S97" s="343" t="e">
        <f t="shared" si="22"/>
        <v>#N/A</v>
      </c>
      <c r="T97" s="343" t="e">
        <f t="shared" si="22"/>
        <v>#N/A</v>
      </c>
      <c r="X97" s="863"/>
      <c r="Y97" s="863"/>
    </row>
    <row r="98" spans="1:25" s="343" customFormat="1" ht="0.65" hidden="1" customHeight="1">
      <c r="A98" s="343" t="str">
        <f t="shared" si="21"/>
        <v/>
      </c>
      <c r="G98" s="653"/>
      <c r="J98" s="653"/>
      <c r="O98" s="343">
        <f t="shared" si="18"/>
        <v>49</v>
      </c>
      <c r="P98" s="343" t="e">
        <f t="shared" si="22"/>
        <v>#N/A</v>
      </c>
      <c r="Q98" s="343" t="e">
        <f t="shared" si="22"/>
        <v>#N/A</v>
      </c>
      <c r="R98" s="863" t="e">
        <f t="shared" si="22"/>
        <v>#N/A</v>
      </c>
      <c r="S98" s="343" t="e">
        <f t="shared" si="22"/>
        <v>#N/A</v>
      </c>
      <c r="T98" s="343" t="e">
        <f t="shared" si="22"/>
        <v>#N/A</v>
      </c>
      <c r="X98" s="863"/>
      <c r="Y98" s="863"/>
    </row>
    <row r="99" spans="1:25" s="343" customFormat="1" ht="0.65" hidden="1" customHeight="1">
      <c r="A99" s="343" t="str">
        <f t="shared" si="21"/>
        <v/>
      </c>
      <c r="G99" s="653"/>
      <c r="J99" s="653"/>
      <c r="O99" s="343">
        <f t="shared" si="18"/>
        <v>50</v>
      </c>
      <c r="P99" s="343" t="e">
        <f t="shared" si="22"/>
        <v>#N/A</v>
      </c>
      <c r="Q99" s="343" t="e">
        <f t="shared" si="22"/>
        <v>#N/A</v>
      </c>
      <c r="R99" s="863" t="e">
        <f t="shared" si="22"/>
        <v>#N/A</v>
      </c>
      <c r="S99" s="343" t="e">
        <f t="shared" si="22"/>
        <v>#N/A</v>
      </c>
      <c r="T99" s="343" t="e">
        <f t="shared" si="22"/>
        <v>#N/A</v>
      </c>
      <c r="X99" s="863"/>
      <c r="Y99" s="863"/>
    </row>
    <row r="100" spans="1:25" s="343" customFormat="1" ht="0.65" hidden="1" customHeight="1">
      <c r="A100" s="343" t="str">
        <f t="shared" si="21"/>
        <v/>
      </c>
      <c r="G100" s="653"/>
      <c r="J100" s="653"/>
      <c r="O100" s="343">
        <f t="shared" si="18"/>
        <v>51</v>
      </c>
      <c r="P100" s="343" t="e">
        <f t="shared" si="22"/>
        <v>#N/A</v>
      </c>
      <c r="Q100" s="343" t="e">
        <f t="shared" si="22"/>
        <v>#N/A</v>
      </c>
      <c r="R100" s="863" t="e">
        <f t="shared" si="22"/>
        <v>#N/A</v>
      </c>
      <c r="S100" s="343" t="e">
        <f t="shared" si="22"/>
        <v>#N/A</v>
      </c>
      <c r="T100" s="343" t="e">
        <f t="shared" si="22"/>
        <v>#N/A</v>
      </c>
      <c r="X100" s="863"/>
      <c r="Y100" s="863"/>
    </row>
    <row r="101" spans="1:25" s="343" customFormat="1" ht="0.65" hidden="1" customHeight="1">
      <c r="A101" s="343" t="str">
        <f t="shared" si="21"/>
        <v/>
      </c>
      <c r="G101" s="653"/>
      <c r="J101" s="653"/>
      <c r="O101" s="343">
        <f t="shared" si="18"/>
        <v>52</v>
      </c>
      <c r="P101" s="343" t="e">
        <f t="shared" si="22"/>
        <v>#N/A</v>
      </c>
      <c r="Q101" s="343" t="e">
        <f t="shared" si="22"/>
        <v>#N/A</v>
      </c>
      <c r="R101" s="863" t="e">
        <f t="shared" si="22"/>
        <v>#N/A</v>
      </c>
      <c r="S101" s="343" t="e">
        <f t="shared" si="22"/>
        <v>#N/A</v>
      </c>
      <c r="T101" s="343" t="e">
        <f t="shared" si="22"/>
        <v>#N/A</v>
      </c>
      <c r="X101" s="863"/>
      <c r="Y101" s="863"/>
    </row>
    <row r="102" spans="1:25" s="343" customFormat="1" ht="0.65" hidden="1" customHeight="1">
      <c r="A102" s="343" t="str">
        <f t="shared" si="21"/>
        <v/>
      </c>
      <c r="G102" s="653"/>
      <c r="J102" s="653"/>
      <c r="O102" s="343">
        <f t="shared" si="18"/>
        <v>53</v>
      </c>
      <c r="P102" s="343" t="e">
        <f t="shared" si="22"/>
        <v>#N/A</v>
      </c>
      <c r="Q102" s="343" t="e">
        <f t="shared" si="22"/>
        <v>#N/A</v>
      </c>
      <c r="R102" s="863" t="e">
        <f t="shared" si="22"/>
        <v>#N/A</v>
      </c>
      <c r="S102" s="343" t="e">
        <f t="shared" si="22"/>
        <v>#N/A</v>
      </c>
      <c r="T102" s="343" t="e">
        <f t="shared" si="22"/>
        <v>#N/A</v>
      </c>
      <c r="X102" s="863"/>
      <c r="Y102" s="863"/>
    </row>
    <row r="103" spans="1:25" s="343" customFormat="1" ht="0.65" hidden="1" customHeight="1">
      <c r="A103" s="343" t="str">
        <f t="shared" si="21"/>
        <v/>
      </c>
      <c r="G103" s="653"/>
      <c r="J103" s="653"/>
      <c r="O103" s="343">
        <f t="shared" si="18"/>
        <v>54</v>
      </c>
      <c r="P103" s="343" t="e">
        <f t="shared" ref="P103:T118" si="23">IF(VLOOKUP($A103,$A$251:$W$1172,P$8,FALSE)="","",VLOOKUP($A103,$A$251:$W$1172,P$8,FALSE))</f>
        <v>#N/A</v>
      </c>
      <c r="Q103" s="343" t="e">
        <f t="shared" si="23"/>
        <v>#N/A</v>
      </c>
      <c r="R103" s="863" t="e">
        <f t="shared" si="23"/>
        <v>#N/A</v>
      </c>
      <c r="S103" s="343" t="e">
        <f t="shared" si="23"/>
        <v>#N/A</v>
      </c>
      <c r="T103" s="343" t="e">
        <f t="shared" si="23"/>
        <v>#N/A</v>
      </c>
      <c r="X103" s="863"/>
      <c r="Y103" s="863"/>
    </row>
    <row r="104" spans="1:25" s="343" customFormat="1" ht="0.65" hidden="1" customHeight="1">
      <c r="A104" s="343" t="str">
        <f t="shared" si="21"/>
        <v/>
      </c>
      <c r="G104" s="653"/>
      <c r="J104" s="653"/>
      <c r="O104" s="343">
        <f t="shared" si="18"/>
        <v>55</v>
      </c>
      <c r="P104" s="343" t="e">
        <f t="shared" si="23"/>
        <v>#N/A</v>
      </c>
      <c r="Q104" s="343" t="e">
        <f t="shared" si="23"/>
        <v>#N/A</v>
      </c>
      <c r="R104" s="863" t="e">
        <f t="shared" si="23"/>
        <v>#N/A</v>
      </c>
      <c r="S104" s="343" t="e">
        <f t="shared" si="23"/>
        <v>#N/A</v>
      </c>
      <c r="T104" s="343" t="e">
        <f t="shared" si="23"/>
        <v>#N/A</v>
      </c>
      <c r="X104" s="863"/>
      <c r="Y104" s="863"/>
    </row>
    <row r="105" spans="1:25" s="343" customFormat="1" ht="0.65" hidden="1" customHeight="1">
      <c r="A105" s="343" t="str">
        <f t="shared" si="21"/>
        <v/>
      </c>
      <c r="G105" s="653"/>
      <c r="J105" s="653"/>
      <c r="O105" s="343">
        <f t="shared" si="18"/>
        <v>56</v>
      </c>
      <c r="P105" s="343" t="e">
        <f t="shared" si="23"/>
        <v>#N/A</v>
      </c>
      <c r="Q105" s="343" t="e">
        <f t="shared" si="23"/>
        <v>#N/A</v>
      </c>
      <c r="R105" s="863" t="e">
        <f t="shared" si="23"/>
        <v>#N/A</v>
      </c>
      <c r="S105" s="343" t="e">
        <f t="shared" si="23"/>
        <v>#N/A</v>
      </c>
      <c r="T105" s="343" t="e">
        <f t="shared" si="23"/>
        <v>#N/A</v>
      </c>
      <c r="X105" s="863"/>
      <c r="Y105" s="863"/>
    </row>
    <row r="106" spans="1:25" s="343" customFormat="1" ht="0.65" hidden="1" customHeight="1">
      <c r="A106" s="343" t="str">
        <f t="shared" si="21"/>
        <v/>
      </c>
      <c r="G106" s="653"/>
      <c r="J106" s="653"/>
      <c r="O106" s="343">
        <f t="shared" si="18"/>
        <v>57</v>
      </c>
      <c r="P106" s="343" t="e">
        <f t="shared" si="23"/>
        <v>#N/A</v>
      </c>
      <c r="Q106" s="343" t="e">
        <f t="shared" si="23"/>
        <v>#N/A</v>
      </c>
      <c r="R106" s="863" t="e">
        <f t="shared" si="23"/>
        <v>#N/A</v>
      </c>
      <c r="S106" s="343" t="e">
        <f t="shared" si="23"/>
        <v>#N/A</v>
      </c>
      <c r="T106" s="343" t="e">
        <f t="shared" si="23"/>
        <v>#N/A</v>
      </c>
      <c r="X106" s="863"/>
      <c r="Y106" s="863"/>
    </row>
    <row r="107" spans="1:25" s="343" customFormat="1" ht="0.65" hidden="1" customHeight="1">
      <c r="A107" s="343" t="str">
        <f t="shared" si="21"/>
        <v/>
      </c>
      <c r="G107" s="653"/>
      <c r="J107" s="653"/>
      <c r="O107" s="343">
        <f t="shared" si="18"/>
        <v>58</v>
      </c>
      <c r="P107" s="343" t="e">
        <f t="shared" si="23"/>
        <v>#N/A</v>
      </c>
      <c r="Q107" s="343" t="e">
        <f t="shared" si="23"/>
        <v>#N/A</v>
      </c>
      <c r="R107" s="863" t="e">
        <f t="shared" si="23"/>
        <v>#N/A</v>
      </c>
      <c r="S107" s="343" t="e">
        <f t="shared" si="23"/>
        <v>#N/A</v>
      </c>
      <c r="T107" s="343" t="e">
        <f t="shared" si="23"/>
        <v>#N/A</v>
      </c>
      <c r="X107" s="863"/>
      <c r="Y107" s="863"/>
    </row>
    <row r="108" spans="1:25" s="343" customFormat="1" ht="0.65" hidden="1" customHeight="1">
      <c r="A108" s="343" t="str">
        <f t="shared" si="21"/>
        <v/>
      </c>
      <c r="G108" s="653"/>
      <c r="J108" s="653"/>
      <c r="O108" s="343">
        <f t="shared" si="18"/>
        <v>59</v>
      </c>
      <c r="P108" s="343" t="e">
        <f t="shared" si="23"/>
        <v>#N/A</v>
      </c>
      <c r="Q108" s="343" t="e">
        <f t="shared" si="23"/>
        <v>#N/A</v>
      </c>
      <c r="R108" s="863" t="e">
        <f t="shared" si="23"/>
        <v>#N/A</v>
      </c>
      <c r="S108" s="343" t="e">
        <f t="shared" si="23"/>
        <v>#N/A</v>
      </c>
      <c r="T108" s="343" t="e">
        <f t="shared" si="23"/>
        <v>#N/A</v>
      </c>
      <c r="X108" s="863"/>
      <c r="Y108" s="863"/>
    </row>
    <row r="109" spans="1:25" s="343" customFormat="1" ht="0.65" hidden="1" customHeight="1">
      <c r="A109" s="343" t="str">
        <f t="shared" si="21"/>
        <v/>
      </c>
      <c r="G109" s="653"/>
      <c r="J109" s="653"/>
      <c r="O109" s="343">
        <f t="shared" si="18"/>
        <v>60</v>
      </c>
      <c r="P109" s="343" t="e">
        <f t="shared" si="23"/>
        <v>#N/A</v>
      </c>
      <c r="Q109" s="343" t="e">
        <f t="shared" si="23"/>
        <v>#N/A</v>
      </c>
      <c r="R109" s="863" t="e">
        <f t="shared" si="23"/>
        <v>#N/A</v>
      </c>
      <c r="S109" s="343" t="e">
        <f t="shared" si="23"/>
        <v>#N/A</v>
      </c>
      <c r="T109" s="343" t="e">
        <f t="shared" si="23"/>
        <v>#N/A</v>
      </c>
      <c r="X109" s="863"/>
      <c r="Y109" s="863"/>
    </row>
    <row r="110" spans="1:25" s="343" customFormat="1" ht="0.65" hidden="1" customHeight="1">
      <c r="A110" s="343" t="str">
        <f t="shared" si="21"/>
        <v/>
      </c>
      <c r="G110" s="653"/>
      <c r="J110" s="653"/>
      <c r="O110" s="343">
        <f t="shared" si="18"/>
        <v>61</v>
      </c>
      <c r="P110" s="343" t="e">
        <f t="shared" si="23"/>
        <v>#N/A</v>
      </c>
      <c r="Q110" s="343" t="e">
        <f t="shared" si="23"/>
        <v>#N/A</v>
      </c>
      <c r="R110" s="863" t="e">
        <f t="shared" si="23"/>
        <v>#N/A</v>
      </c>
      <c r="S110" s="343" t="e">
        <f t="shared" si="23"/>
        <v>#N/A</v>
      </c>
      <c r="T110" s="343" t="e">
        <f t="shared" si="23"/>
        <v>#N/A</v>
      </c>
      <c r="X110" s="863"/>
      <c r="Y110" s="863"/>
    </row>
    <row r="111" spans="1:25" s="343" customFormat="1" ht="0.65" hidden="1" customHeight="1">
      <c r="A111" s="343" t="str">
        <f t="shared" si="21"/>
        <v/>
      </c>
      <c r="G111" s="653"/>
      <c r="J111" s="653"/>
      <c r="O111" s="343">
        <f t="shared" si="18"/>
        <v>62</v>
      </c>
      <c r="P111" s="343" t="e">
        <f t="shared" si="23"/>
        <v>#N/A</v>
      </c>
      <c r="Q111" s="343" t="e">
        <f t="shared" si="23"/>
        <v>#N/A</v>
      </c>
      <c r="R111" s="863" t="e">
        <f t="shared" si="23"/>
        <v>#N/A</v>
      </c>
      <c r="S111" s="343" t="e">
        <f t="shared" si="23"/>
        <v>#N/A</v>
      </c>
      <c r="T111" s="343" t="e">
        <f t="shared" si="23"/>
        <v>#N/A</v>
      </c>
      <c r="X111" s="863"/>
      <c r="Y111" s="863"/>
    </row>
    <row r="112" spans="1:25" s="343" customFormat="1" ht="0.65" hidden="1" customHeight="1">
      <c r="A112" s="343" t="str">
        <f t="shared" si="21"/>
        <v/>
      </c>
      <c r="G112" s="653"/>
      <c r="J112" s="653"/>
      <c r="O112" s="343">
        <f t="shared" si="18"/>
        <v>63</v>
      </c>
      <c r="P112" s="343" t="e">
        <f t="shared" si="23"/>
        <v>#N/A</v>
      </c>
      <c r="Q112" s="343" t="e">
        <f t="shared" si="23"/>
        <v>#N/A</v>
      </c>
      <c r="R112" s="863" t="e">
        <f t="shared" si="23"/>
        <v>#N/A</v>
      </c>
      <c r="S112" s="343" t="e">
        <f t="shared" si="23"/>
        <v>#N/A</v>
      </c>
      <c r="T112" s="343" t="e">
        <f t="shared" si="23"/>
        <v>#N/A</v>
      </c>
      <c r="X112" s="863"/>
      <c r="Y112" s="863"/>
    </row>
    <row r="113" spans="1:25" s="343" customFormat="1" ht="0.65" hidden="1" customHeight="1">
      <c r="A113" s="343" t="str">
        <f t="shared" si="21"/>
        <v/>
      </c>
      <c r="G113" s="653"/>
      <c r="J113" s="653"/>
      <c r="O113" s="343">
        <f t="shared" si="18"/>
        <v>64</v>
      </c>
      <c r="P113" s="343" t="e">
        <f t="shared" si="23"/>
        <v>#N/A</v>
      </c>
      <c r="Q113" s="343" t="e">
        <f t="shared" si="23"/>
        <v>#N/A</v>
      </c>
      <c r="R113" s="863" t="e">
        <f t="shared" si="23"/>
        <v>#N/A</v>
      </c>
      <c r="S113" s="343" t="e">
        <f t="shared" si="23"/>
        <v>#N/A</v>
      </c>
      <c r="T113" s="343" t="e">
        <f t="shared" si="23"/>
        <v>#N/A</v>
      </c>
      <c r="X113" s="863"/>
      <c r="Y113" s="863"/>
    </row>
    <row r="114" spans="1:25" s="343" customFormat="1" ht="0.65" hidden="1" customHeight="1">
      <c r="A114" s="343" t="str">
        <f t="shared" si="21"/>
        <v/>
      </c>
      <c r="G114" s="653"/>
      <c r="J114" s="653"/>
      <c r="O114" s="343">
        <f t="shared" si="18"/>
        <v>65</v>
      </c>
      <c r="P114" s="343" t="e">
        <f t="shared" si="23"/>
        <v>#N/A</v>
      </c>
      <c r="Q114" s="343" t="e">
        <f t="shared" si="23"/>
        <v>#N/A</v>
      </c>
      <c r="R114" s="863" t="e">
        <f t="shared" si="23"/>
        <v>#N/A</v>
      </c>
      <c r="S114" s="343" t="e">
        <f t="shared" si="23"/>
        <v>#N/A</v>
      </c>
      <c r="T114" s="343" t="e">
        <f t="shared" si="23"/>
        <v>#N/A</v>
      </c>
      <c r="X114" s="863"/>
      <c r="Y114" s="863"/>
    </row>
    <row r="115" spans="1:25" s="343" customFormat="1" ht="0.65" hidden="1" customHeight="1">
      <c r="A115" s="343" t="str">
        <f t="shared" si="21"/>
        <v/>
      </c>
      <c r="G115" s="653"/>
      <c r="J115" s="653"/>
      <c r="O115" s="343">
        <f t="shared" ref="O115:O124" si="24">1+O114</f>
        <v>66</v>
      </c>
      <c r="P115" s="343" t="e">
        <f t="shared" si="23"/>
        <v>#N/A</v>
      </c>
      <c r="Q115" s="343" t="e">
        <f t="shared" si="23"/>
        <v>#N/A</v>
      </c>
      <c r="R115" s="863" t="e">
        <f t="shared" si="23"/>
        <v>#N/A</v>
      </c>
      <c r="S115" s="343" t="e">
        <f t="shared" si="23"/>
        <v>#N/A</v>
      </c>
      <c r="T115" s="343" t="e">
        <f t="shared" si="23"/>
        <v>#N/A</v>
      </c>
      <c r="X115" s="863"/>
      <c r="Y115" s="863"/>
    </row>
    <row r="116" spans="1:25" s="343" customFormat="1" ht="0.65" hidden="1" customHeight="1">
      <c r="A116" s="343" t="str">
        <f t="shared" si="21"/>
        <v/>
      </c>
      <c r="G116" s="653"/>
      <c r="J116" s="653"/>
      <c r="O116" s="343">
        <f t="shared" si="24"/>
        <v>67</v>
      </c>
      <c r="P116" s="343" t="e">
        <f t="shared" si="23"/>
        <v>#N/A</v>
      </c>
      <c r="Q116" s="343" t="e">
        <f t="shared" si="23"/>
        <v>#N/A</v>
      </c>
      <c r="R116" s="863" t="e">
        <f t="shared" si="23"/>
        <v>#N/A</v>
      </c>
      <c r="S116" s="343" t="e">
        <f t="shared" si="23"/>
        <v>#N/A</v>
      </c>
      <c r="T116" s="343" t="e">
        <f t="shared" si="23"/>
        <v>#N/A</v>
      </c>
      <c r="X116" s="863"/>
      <c r="Y116" s="863"/>
    </row>
    <row r="117" spans="1:25" s="343" customFormat="1" ht="0.65" hidden="1" customHeight="1">
      <c r="A117" s="343" t="str">
        <f t="shared" si="21"/>
        <v/>
      </c>
      <c r="G117" s="653"/>
      <c r="J117" s="653"/>
      <c r="O117" s="343">
        <f t="shared" si="24"/>
        <v>68</v>
      </c>
      <c r="P117" s="343" t="e">
        <f t="shared" si="23"/>
        <v>#N/A</v>
      </c>
      <c r="Q117" s="343" t="e">
        <f t="shared" si="23"/>
        <v>#N/A</v>
      </c>
      <c r="R117" s="863" t="e">
        <f t="shared" si="23"/>
        <v>#N/A</v>
      </c>
      <c r="S117" s="343" t="e">
        <f t="shared" si="23"/>
        <v>#N/A</v>
      </c>
      <c r="T117" s="343" t="e">
        <f t="shared" si="23"/>
        <v>#N/A</v>
      </c>
      <c r="X117" s="863"/>
      <c r="Y117" s="863"/>
    </row>
    <row r="118" spans="1:25" s="343" customFormat="1" ht="0.65" hidden="1" customHeight="1">
      <c r="A118" s="343" t="str">
        <f t="shared" si="21"/>
        <v/>
      </c>
      <c r="G118" s="653"/>
      <c r="J118" s="653"/>
      <c r="O118" s="343">
        <f t="shared" si="24"/>
        <v>69</v>
      </c>
      <c r="P118" s="343" t="e">
        <f t="shared" si="23"/>
        <v>#N/A</v>
      </c>
      <c r="Q118" s="343" t="e">
        <f t="shared" si="23"/>
        <v>#N/A</v>
      </c>
      <c r="R118" s="863" t="e">
        <f t="shared" si="23"/>
        <v>#N/A</v>
      </c>
      <c r="S118" s="343" t="e">
        <f t="shared" si="23"/>
        <v>#N/A</v>
      </c>
      <c r="T118" s="343" t="e">
        <f t="shared" si="23"/>
        <v>#N/A</v>
      </c>
      <c r="X118" s="863"/>
      <c r="Y118" s="863"/>
    </row>
    <row r="119" spans="1:25" s="343" customFormat="1" ht="0.65" hidden="1" customHeight="1">
      <c r="A119" s="343" t="str">
        <f t="shared" si="21"/>
        <v/>
      </c>
      <c r="G119" s="653"/>
      <c r="J119" s="653"/>
      <c r="O119" s="343">
        <f t="shared" si="24"/>
        <v>70</v>
      </c>
      <c r="P119" s="343" t="e">
        <f t="shared" ref="P119:T124" si="25">IF(VLOOKUP($A119,$A$251:$W$1172,P$8,FALSE)="","",VLOOKUP($A119,$A$251:$W$1172,P$8,FALSE))</f>
        <v>#N/A</v>
      </c>
      <c r="Q119" s="343" t="e">
        <f t="shared" si="25"/>
        <v>#N/A</v>
      </c>
      <c r="R119" s="863" t="e">
        <f t="shared" si="25"/>
        <v>#N/A</v>
      </c>
      <c r="S119" s="343" t="e">
        <f t="shared" si="25"/>
        <v>#N/A</v>
      </c>
      <c r="T119" s="343" t="e">
        <f t="shared" si="25"/>
        <v>#N/A</v>
      </c>
      <c r="X119" s="863"/>
      <c r="Y119" s="863"/>
    </row>
    <row r="120" spans="1:25" s="343" customFormat="1" ht="0.65" hidden="1" customHeight="1">
      <c r="A120" s="343" t="str">
        <f t="shared" si="21"/>
        <v/>
      </c>
      <c r="G120" s="653"/>
      <c r="J120" s="653"/>
      <c r="O120" s="343">
        <f t="shared" si="24"/>
        <v>71</v>
      </c>
      <c r="P120" s="343" t="e">
        <f t="shared" si="25"/>
        <v>#N/A</v>
      </c>
      <c r="Q120" s="343" t="e">
        <f t="shared" si="25"/>
        <v>#N/A</v>
      </c>
      <c r="R120" s="863" t="e">
        <f t="shared" si="25"/>
        <v>#N/A</v>
      </c>
      <c r="S120" s="343" t="e">
        <f t="shared" si="25"/>
        <v>#N/A</v>
      </c>
      <c r="T120" s="343" t="e">
        <f t="shared" si="25"/>
        <v>#N/A</v>
      </c>
      <c r="X120" s="863"/>
      <c r="Y120" s="863"/>
    </row>
    <row r="121" spans="1:25" s="343" customFormat="1" ht="0.65" hidden="1" customHeight="1">
      <c r="A121" s="343" t="str">
        <f t="shared" si="21"/>
        <v/>
      </c>
      <c r="G121" s="653"/>
      <c r="J121" s="653"/>
      <c r="O121" s="343">
        <f t="shared" si="24"/>
        <v>72</v>
      </c>
      <c r="P121" s="343" t="e">
        <f t="shared" si="25"/>
        <v>#N/A</v>
      </c>
      <c r="Q121" s="343" t="e">
        <f t="shared" si="25"/>
        <v>#N/A</v>
      </c>
      <c r="R121" s="863" t="e">
        <f t="shared" si="25"/>
        <v>#N/A</v>
      </c>
      <c r="S121" s="343" t="e">
        <f t="shared" si="25"/>
        <v>#N/A</v>
      </c>
      <c r="T121" s="343" t="e">
        <f t="shared" si="25"/>
        <v>#N/A</v>
      </c>
      <c r="X121" s="863"/>
      <c r="Y121" s="863"/>
    </row>
    <row r="122" spans="1:25" s="343" customFormat="1" ht="0.65" hidden="1" customHeight="1">
      <c r="A122" s="343" t="str">
        <f t="shared" si="21"/>
        <v/>
      </c>
      <c r="G122" s="653"/>
      <c r="J122" s="653"/>
      <c r="O122" s="343">
        <f t="shared" si="24"/>
        <v>73</v>
      </c>
      <c r="P122" s="343" t="e">
        <f t="shared" si="25"/>
        <v>#N/A</v>
      </c>
      <c r="Q122" s="343" t="e">
        <f t="shared" si="25"/>
        <v>#N/A</v>
      </c>
      <c r="R122" s="864" t="e">
        <f t="shared" si="25"/>
        <v>#N/A</v>
      </c>
      <c r="S122" s="343" t="e">
        <f t="shared" si="25"/>
        <v>#N/A</v>
      </c>
      <c r="T122" s="343" t="e">
        <f t="shared" si="25"/>
        <v>#N/A</v>
      </c>
      <c r="X122" s="863"/>
      <c r="Y122" s="863"/>
    </row>
    <row r="123" spans="1:25" s="343" customFormat="1" ht="0.65" hidden="1" customHeight="1">
      <c r="A123" s="343" t="str">
        <f t="shared" si="21"/>
        <v/>
      </c>
      <c r="G123" s="653"/>
      <c r="J123" s="653"/>
      <c r="O123" s="343">
        <f t="shared" si="24"/>
        <v>74</v>
      </c>
      <c r="P123" s="343" t="e">
        <f t="shared" si="25"/>
        <v>#N/A</v>
      </c>
      <c r="Q123" s="343" t="e">
        <f t="shared" si="25"/>
        <v>#N/A</v>
      </c>
      <c r="R123" s="863" t="e">
        <f t="shared" si="25"/>
        <v>#N/A</v>
      </c>
      <c r="S123" s="343" t="e">
        <f t="shared" si="25"/>
        <v>#N/A</v>
      </c>
      <c r="T123" s="343" t="e">
        <f t="shared" si="25"/>
        <v>#N/A</v>
      </c>
      <c r="X123" s="863"/>
      <c r="Y123" s="863"/>
    </row>
    <row r="124" spans="1:25" s="343" customFormat="1" ht="0.65" hidden="1" customHeight="1">
      <c r="A124" s="343" t="str">
        <f t="shared" si="21"/>
        <v/>
      </c>
      <c r="G124" s="653"/>
      <c r="J124" s="653"/>
      <c r="O124" s="343">
        <f t="shared" si="24"/>
        <v>75</v>
      </c>
      <c r="P124" s="343" t="e">
        <f t="shared" si="25"/>
        <v>#N/A</v>
      </c>
      <c r="Q124" s="343" t="e">
        <f t="shared" si="25"/>
        <v>#N/A</v>
      </c>
      <c r="R124" s="864" t="e">
        <f t="shared" si="25"/>
        <v>#N/A</v>
      </c>
      <c r="S124" s="343" t="e">
        <f t="shared" si="25"/>
        <v>#N/A</v>
      </c>
      <c r="T124" s="343" t="e">
        <f t="shared" si="25"/>
        <v>#N/A</v>
      </c>
      <c r="X124" s="863"/>
      <c r="Y124" s="863"/>
    </row>
    <row r="125" spans="1:25" s="343" customFormat="1" ht="0.65" hidden="1" customHeight="1">
      <c r="A125" s="343" t="str">
        <f t="shared" si="21"/>
        <v/>
      </c>
      <c r="G125" s="653"/>
      <c r="J125" s="653"/>
      <c r="X125" s="863"/>
      <c r="Y125" s="863"/>
    </row>
    <row r="126" spans="1:25" s="343" customFormat="1" ht="0.65" hidden="1" customHeight="1">
      <c r="A126" s="343" t="str">
        <f t="shared" si="21"/>
        <v/>
      </c>
      <c r="G126" s="653"/>
      <c r="J126" s="653"/>
      <c r="O126" s="343">
        <v>1</v>
      </c>
      <c r="P126" s="343" t="e">
        <f t="shared" ref="P126:P135" si="26">IF(VLOOKUP($A126,$A$251:$W$1172,P$8,FALSE)="","",VLOOKUP($A126,$A$251:$W$1172,P$8,FALSE))</f>
        <v>#N/A</v>
      </c>
      <c r="X126" s="863"/>
      <c r="Y126" s="863"/>
    </row>
    <row r="127" spans="1:25" s="343" customFormat="1" ht="0.65" hidden="1" customHeight="1">
      <c r="A127" s="343" t="str">
        <f t="shared" si="21"/>
        <v/>
      </c>
      <c r="G127" s="653"/>
      <c r="J127" s="653"/>
      <c r="O127" s="343">
        <v>2</v>
      </c>
      <c r="P127" s="343" t="e">
        <f t="shared" si="26"/>
        <v>#N/A</v>
      </c>
      <c r="X127" s="863"/>
      <c r="Y127" s="863"/>
    </row>
    <row r="128" spans="1:25" s="343" customFormat="1" ht="0.65" hidden="1" customHeight="1">
      <c r="A128" s="343" t="str">
        <f t="shared" si="21"/>
        <v/>
      </c>
      <c r="G128" s="653"/>
      <c r="J128" s="653"/>
      <c r="O128" s="343">
        <v>3</v>
      </c>
      <c r="P128" s="343" t="e">
        <f t="shared" si="26"/>
        <v>#N/A</v>
      </c>
      <c r="X128" s="863"/>
      <c r="Y128" s="863"/>
    </row>
    <row r="129" spans="1:25" s="343" customFormat="1" ht="0.65" hidden="1" customHeight="1">
      <c r="A129" s="343" t="str">
        <f t="shared" si="21"/>
        <v/>
      </c>
      <c r="G129" s="653"/>
      <c r="J129" s="653"/>
      <c r="O129" s="343">
        <v>4</v>
      </c>
      <c r="P129" s="343" t="e">
        <f t="shared" si="26"/>
        <v>#N/A</v>
      </c>
      <c r="X129" s="863"/>
      <c r="Y129" s="863"/>
    </row>
    <row r="130" spans="1:25" s="343" customFormat="1" ht="0.65" hidden="1" customHeight="1">
      <c r="A130" s="343" t="str">
        <f t="shared" si="21"/>
        <v/>
      </c>
      <c r="G130" s="653"/>
      <c r="J130" s="653"/>
      <c r="O130" s="343">
        <v>5</v>
      </c>
      <c r="P130" s="343" t="e">
        <f t="shared" si="26"/>
        <v>#N/A</v>
      </c>
      <c r="X130" s="863"/>
      <c r="Y130" s="863"/>
    </row>
    <row r="131" spans="1:25" s="343" customFormat="1" ht="0.65" hidden="1" customHeight="1">
      <c r="A131" s="343" t="str">
        <f t="shared" si="21"/>
        <v/>
      </c>
      <c r="G131" s="653"/>
      <c r="J131" s="653"/>
      <c r="O131" s="343">
        <v>6</v>
      </c>
      <c r="P131" s="343" t="e">
        <f t="shared" si="26"/>
        <v>#N/A</v>
      </c>
      <c r="X131" s="863"/>
      <c r="Y131" s="863"/>
    </row>
    <row r="132" spans="1:25" s="343" customFormat="1" ht="0.65" hidden="1" customHeight="1">
      <c r="A132" s="343" t="str">
        <f t="shared" si="21"/>
        <v/>
      </c>
      <c r="G132" s="653"/>
      <c r="J132" s="653"/>
      <c r="P132" s="343" t="e">
        <f t="shared" si="26"/>
        <v>#N/A</v>
      </c>
      <c r="X132" s="863"/>
      <c r="Y132" s="863"/>
    </row>
    <row r="133" spans="1:25" s="343" customFormat="1" ht="0.65" hidden="1" customHeight="1">
      <c r="A133" s="343" t="str">
        <f t="shared" si="21"/>
        <v/>
      </c>
      <c r="G133" s="653"/>
      <c r="J133" s="653"/>
      <c r="P133" s="343" t="e">
        <f t="shared" si="26"/>
        <v>#N/A</v>
      </c>
      <c r="X133" s="863"/>
      <c r="Y133" s="863"/>
    </row>
    <row r="134" spans="1:25" s="343" customFormat="1" ht="0.65" hidden="1" customHeight="1">
      <c r="A134" s="343" t="str">
        <f t="shared" si="21"/>
        <v/>
      </c>
      <c r="G134" s="653"/>
      <c r="J134" s="653"/>
      <c r="P134" s="343" t="e">
        <f t="shared" si="26"/>
        <v>#N/A</v>
      </c>
      <c r="X134" s="863"/>
      <c r="Y134" s="863"/>
    </row>
    <row r="135" spans="1:25" s="343" customFormat="1" ht="0.65" hidden="1" customHeight="1">
      <c r="A135" s="343" t="str">
        <f t="shared" si="21"/>
        <v/>
      </c>
      <c r="G135" s="653"/>
      <c r="J135" s="653"/>
      <c r="P135" s="343" t="e">
        <f t="shared" si="26"/>
        <v>#N/A</v>
      </c>
      <c r="X135" s="863"/>
      <c r="Y135" s="863"/>
    </row>
    <row r="136" spans="1:25" s="343" customFormat="1" ht="0.65" hidden="1" customHeight="1">
      <c r="A136" s="343" t="str">
        <f t="shared" si="21"/>
        <v/>
      </c>
      <c r="G136" s="653"/>
      <c r="J136" s="653"/>
      <c r="X136" s="863"/>
      <c r="Y136" s="863"/>
    </row>
    <row r="137" spans="1:25" s="343" customFormat="1" ht="0.65" hidden="1" customHeight="1">
      <c r="A137" s="343" t="str">
        <f t="shared" si="21"/>
        <v/>
      </c>
      <c r="E137" s="653"/>
      <c r="G137" s="653"/>
      <c r="J137" s="653"/>
      <c r="M137" s="863" t="e">
        <f t="shared" ref="M137:V144" si="27">IF(VLOOKUP($A137-127,$A$251:$W$1080,M$8,FALSE)="","",VLOOKUP($A137-127,$A$251:$W$1080,M$8,FALSE))</f>
        <v>#VALUE!</v>
      </c>
      <c r="N137" s="863"/>
      <c r="O137" s="863"/>
      <c r="P137" s="863"/>
      <c r="Q137" s="863"/>
      <c r="R137" s="863"/>
      <c r="S137" s="863"/>
      <c r="T137" s="863"/>
      <c r="U137" s="863"/>
      <c r="V137" s="863"/>
      <c r="X137" s="863"/>
      <c r="Y137" s="863"/>
    </row>
    <row r="138" spans="1:25" s="343" customFormat="1" ht="0.65" hidden="1" customHeight="1">
      <c r="A138" s="343" t="str">
        <f t="shared" si="21"/>
        <v/>
      </c>
      <c r="D138" s="653"/>
      <c r="J138" s="653"/>
      <c r="M138" s="863"/>
      <c r="N138" s="865" t="s">
        <v>55</v>
      </c>
      <c r="O138" s="865" t="s">
        <v>55</v>
      </c>
      <c r="P138" s="865" t="s">
        <v>55</v>
      </c>
      <c r="Q138" s="865" t="s">
        <v>55</v>
      </c>
      <c r="R138" s="865" t="s">
        <v>55</v>
      </c>
      <c r="S138" s="865" t="s">
        <v>55</v>
      </c>
      <c r="T138" s="865" t="s">
        <v>55</v>
      </c>
      <c r="U138" s="865" t="s">
        <v>55</v>
      </c>
      <c r="V138" s="865" t="s">
        <v>55</v>
      </c>
      <c r="X138" s="863"/>
      <c r="Y138" s="863"/>
    </row>
    <row r="139" spans="1:25" s="343" customFormat="1" ht="0.65" hidden="1" customHeight="1">
      <c r="A139" s="343" t="str">
        <f t="shared" si="21"/>
        <v/>
      </c>
      <c r="D139" s="653"/>
      <c r="J139" s="653"/>
      <c r="M139" s="659"/>
      <c r="N139" s="866"/>
      <c r="O139" s="866"/>
      <c r="P139" s="866"/>
      <c r="Q139" s="866"/>
      <c r="R139" s="866"/>
      <c r="S139" s="866"/>
      <c r="T139" s="866"/>
      <c r="U139" s="866"/>
      <c r="V139" s="866"/>
      <c r="X139" s="863"/>
      <c r="Y139" s="863"/>
    </row>
    <row r="140" spans="1:25" s="343" customFormat="1" ht="0.65" hidden="1" customHeight="1">
      <c r="A140" s="343" t="str">
        <f t="shared" ref="A140:A174" si="28">IF(A139="","",1+A139)</f>
        <v/>
      </c>
      <c r="D140" s="653"/>
      <c r="J140" s="653"/>
      <c r="M140" s="663"/>
      <c r="N140" s="343" t="e">
        <f t="shared" si="27"/>
        <v>#VALUE!</v>
      </c>
      <c r="O140" s="343" t="e">
        <f t="shared" si="27"/>
        <v>#VALUE!</v>
      </c>
      <c r="P140" s="343" t="e">
        <f t="shared" si="27"/>
        <v>#VALUE!</v>
      </c>
      <c r="Q140" s="343" t="e">
        <f t="shared" si="27"/>
        <v>#VALUE!</v>
      </c>
      <c r="R140" s="343" t="e">
        <f t="shared" si="27"/>
        <v>#VALUE!</v>
      </c>
      <c r="S140" s="343" t="e">
        <f t="shared" si="27"/>
        <v>#VALUE!</v>
      </c>
      <c r="T140" s="343" t="e">
        <f t="shared" si="27"/>
        <v>#VALUE!</v>
      </c>
      <c r="U140" s="343" t="e">
        <f t="shared" si="27"/>
        <v>#VALUE!</v>
      </c>
      <c r="V140" s="863" t="e">
        <f t="shared" si="27"/>
        <v>#VALUE!</v>
      </c>
      <c r="X140" s="863"/>
      <c r="Y140" s="863"/>
    </row>
    <row r="141" spans="1:25" s="343" customFormat="1" ht="0.65" hidden="1" customHeight="1">
      <c r="A141" s="343" t="str">
        <f t="shared" si="28"/>
        <v/>
      </c>
      <c r="D141" s="653"/>
      <c r="J141" s="653"/>
      <c r="M141" s="663"/>
      <c r="N141" s="863" t="e">
        <f t="shared" si="27"/>
        <v>#VALUE!</v>
      </c>
      <c r="O141" s="863" t="e">
        <f t="shared" si="27"/>
        <v>#VALUE!</v>
      </c>
      <c r="P141" s="863" t="e">
        <f t="shared" si="27"/>
        <v>#VALUE!</v>
      </c>
      <c r="Q141" s="863" t="e">
        <f t="shared" si="27"/>
        <v>#VALUE!</v>
      </c>
      <c r="R141" s="863" t="e">
        <f t="shared" si="27"/>
        <v>#VALUE!</v>
      </c>
      <c r="S141" s="863" t="e">
        <f t="shared" si="27"/>
        <v>#VALUE!</v>
      </c>
      <c r="T141" s="863" t="e">
        <f t="shared" si="27"/>
        <v>#VALUE!</v>
      </c>
      <c r="U141" s="863" t="e">
        <f t="shared" si="27"/>
        <v>#VALUE!</v>
      </c>
      <c r="V141" s="863" t="e">
        <f t="shared" si="27"/>
        <v>#VALUE!</v>
      </c>
      <c r="X141" s="863"/>
      <c r="Y141" s="863"/>
    </row>
    <row r="142" spans="1:25" s="343" customFormat="1" ht="0.65" hidden="1" customHeight="1">
      <c r="A142" s="343" t="str">
        <f t="shared" si="28"/>
        <v/>
      </c>
      <c r="D142" s="653"/>
      <c r="J142" s="653"/>
      <c r="M142" s="663"/>
      <c r="N142" s="863" t="e">
        <f t="shared" si="27"/>
        <v>#VALUE!</v>
      </c>
      <c r="O142" s="863" t="e">
        <f t="shared" si="27"/>
        <v>#VALUE!</v>
      </c>
      <c r="P142" s="863" t="e">
        <f t="shared" si="27"/>
        <v>#VALUE!</v>
      </c>
      <c r="Q142" s="863" t="e">
        <f t="shared" si="27"/>
        <v>#VALUE!</v>
      </c>
      <c r="R142" s="863" t="e">
        <f t="shared" si="27"/>
        <v>#VALUE!</v>
      </c>
      <c r="S142" s="863" t="e">
        <f t="shared" si="27"/>
        <v>#VALUE!</v>
      </c>
      <c r="T142" s="863" t="e">
        <f t="shared" si="27"/>
        <v>#VALUE!</v>
      </c>
      <c r="U142" s="863" t="e">
        <f t="shared" si="27"/>
        <v>#VALUE!</v>
      </c>
      <c r="V142" s="863" t="e">
        <f t="shared" si="27"/>
        <v>#VALUE!</v>
      </c>
      <c r="X142" s="863"/>
      <c r="Y142" s="863"/>
    </row>
    <row r="143" spans="1:25" s="343" customFormat="1" ht="0.65" hidden="1" customHeight="1">
      <c r="A143" s="343" t="str">
        <f t="shared" si="28"/>
        <v/>
      </c>
      <c r="D143" s="653"/>
      <c r="J143" s="653"/>
      <c r="M143" s="663"/>
      <c r="N143" s="863" t="e">
        <f t="shared" si="27"/>
        <v>#VALUE!</v>
      </c>
      <c r="O143" s="863" t="e">
        <f t="shared" si="27"/>
        <v>#VALUE!</v>
      </c>
      <c r="P143" s="863" t="e">
        <f t="shared" si="27"/>
        <v>#VALUE!</v>
      </c>
      <c r="Q143" s="863" t="e">
        <f t="shared" si="27"/>
        <v>#VALUE!</v>
      </c>
      <c r="R143" s="863" t="e">
        <f t="shared" si="27"/>
        <v>#VALUE!</v>
      </c>
      <c r="S143" s="863" t="e">
        <f t="shared" si="27"/>
        <v>#VALUE!</v>
      </c>
      <c r="T143" s="863" t="e">
        <f t="shared" si="27"/>
        <v>#VALUE!</v>
      </c>
      <c r="U143" s="863" t="e">
        <f t="shared" si="27"/>
        <v>#VALUE!</v>
      </c>
      <c r="V143" s="863" t="e">
        <f t="shared" si="27"/>
        <v>#VALUE!</v>
      </c>
      <c r="X143" s="863"/>
      <c r="Y143" s="863"/>
    </row>
    <row r="144" spans="1:25" s="343" customFormat="1" ht="0.65" hidden="1" customHeight="1">
      <c r="A144" s="343" t="str">
        <f t="shared" si="28"/>
        <v/>
      </c>
      <c r="D144" s="653"/>
      <c r="J144" s="653"/>
      <c r="M144" s="663"/>
      <c r="N144" s="863" t="e">
        <f t="shared" si="27"/>
        <v>#VALUE!</v>
      </c>
      <c r="O144" s="863" t="e">
        <f t="shared" si="27"/>
        <v>#VALUE!</v>
      </c>
      <c r="P144" s="863" t="e">
        <f t="shared" si="27"/>
        <v>#VALUE!</v>
      </c>
      <c r="Q144" s="863" t="e">
        <f t="shared" si="27"/>
        <v>#VALUE!</v>
      </c>
      <c r="R144" s="863" t="e">
        <f t="shared" si="27"/>
        <v>#VALUE!</v>
      </c>
      <c r="S144" s="863" t="e">
        <f t="shared" si="27"/>
        <v>#VALUE!</v>
      </c>
      <c r="T144" s="863" t="e">
        <f t="shared" si="27"/>
        <v>#VALUE!</v>
      </c>
      <c r="U144" s="863" t="e">
        <f t="shared" si="27"/>
        <v>#VALUE!</v>
      </c>
      <c r="V144" s="863" t="e">
        <f t="shared" si="27"/>
        <v>#VALUE!</v>
      </c>
      <c r="X144" s="863"/>
      <c r="Y144" s="863"/>
    </row>
    <row r="145" spans="1:25" s="343" customFormat="1" ht="0.65" hidden="1" customHeight="1">
      <c r="A145" s="343" t="str">
        <f t="shared" si="28"/>
        <v/>
      </c>
      <c r="D145" s="653"/>
      <c r="J145" s="653"/>
      <c r="N145" s="865" t="s">
        <v>55</v>
      </c>
      <c r="O145" s="865" t="s">
        <v>55</v>
      </c>
      <c r="P145" s="865" t="s">
        <v>55</v>
      </c>
      <c r="Q145" s="865" t="s">
        <v>55</v>
      </c>
      <c r="R145" s="865" t="s">
        <v>55</v>
      </c>
      <c r="T145" s="653"/>
      <c r="U145" s="653"/>
      <c r="V145" s="653"/>
      <c r="W145" s="659"/>
      <c r="X145" s="863"/>
      <c r="Y145" s="863"/>
    </row>
    <row r="146" spans="1:25" s="343" customFormat="1" ht="0.65" hidden="1" customHeight="1">
      <c r="A146" s="343" t="str">
        <f t="shared" si="28"/>
        <v/>
      </c>
      <c r="D146" s="653"/>
      <c r="J146" s="653"/>
      <c r="M146" s="659"/>
      <c r="N146" s="866"/>
      <c r="O146" s="866"/>
      <c r="P146" s="866"/>
      <c r="Q146" s="866"/>
      <c r="R146" s="866"/>
      <c r="U146" s="863"/>
      <c r="V146" s="863"/>
      <c r="W146" s="863"/>
      <c r="X146" s="863"/>
      <c r="Y146" s="863"/>
    </row>
    <row r="147" spans="1:25" s="343" customFormat="1" ht="0.65" hidden="1" customHeight="1">
      <c r="A147" s="343" t="str">
        <f t="shared" si="28"/>
        <v/>
      </c>
      <c r="D147" s="653"/>
      <c r="J147" s="653"/>
      <c r="M147" s="663"/>
      <c r="N147" s="863" t="e">
        <f t="shared" ref="N147:R151" si="29">IF(VLOOKUP($A147-127,$A$251:$W$1080,N$8,FALSE)="","",VLOOKUP($A147-127,$A$251:$W$1080,N$8,FALSE))</f>
        <v>#VALUE!</v>
      </c>
      <c r="O147" s="863" t="e">
        <f t="shared" si="29"/>
        <v>#VALUE!</v>
      </c>
      <c r="P147" s="863" t="e">
        <f t="shared" si="29"/>
        <v>#VALUE!</v>
      </c>
      <c r="Q147" s="863" t="e">
        <f t="shared" si="29"/>
        <v>#VALUE!</v>
      </c>
      <c r="R147" s="863" t="e">
        <f t="shared" si="29"/>
        <v>#VALUE!</v>
      </c>
      <c r="U147" s="1064" t="s">
        <v>55</v>
      </c>
      <c r="V147" s="1064"/>
      <c r="W147" s="863"/>
      <c r="X147" s="863"/>
      <c r="Y147" s="863"/>
    </row>
    <row r="148" spans="1:25" s="343" customFormat="1" ht="0.65" hidden="1" customHeight="1">
      <c r="A148" s="343" t="str">
        <f t="shared" si="28"/>
        <v/>
      </c>
      <c r="D148" s="653"/>
      <c r="J148" s="653"/>
      <c r="M148" s="663"/>
      <c r="N148" s="863" t="e">
        <f t="shared" si="29"/>
        <v>#VALUE!</v>
      </c>
      <c r="O148" s="863" t="e">
        <f t="shared" si="29"/>
        <v>#VALUE!</v>
      </c>
      <c r="P148" s="863" t="e">
        <f t="shared" si="29"/>
        <v>#VALUE!</v>
      </c>
      <c r="Q148" s="863" t="e">
        <f t="shared" si="29"/>
        <v>#VALUE!</v>
      </c>
      <c r="R148" s="863" t="e">
        <f t="shared" si="29"/>
        <v>#VALUE!</v>
      </c>
      <c r="U148" s="1064"/>
      <c r="V148" s="1064"/>
      <c r="W148" s="863"/>
      <c r="X148" s="863"/>
      <c r="Y148" s="863"/>
    </row>
    <row r="149" spans="1:25" s="343" customFormat="1" ht="0.65" hidden="1" customHeight="1">
      <c r="A149" s="343" t="str">
        <f t="shared" si="28"/>
        <v/>
      </c>
      <c r="D149" s="653"/>
      <c r="J149" s="653"/>
      <c r="M149" s="663"/>
      <c r="N149" s="863" t="e">
        <f t="shared" si="29"/>
        <v>#VALUE!</v>
      </c>
      <c r="O149" s="863" t="e">
        <f t="shared" si="29"/>
        <v>#VALUE!</v>
      </c>
      <c r="P149" s="863" t="e">
        <f t="shared" si="29"/>
        <v>#VALUE!</v>
      </c>
      <c r="Q149" s="863" t="e">
        <f t="shared" si="29"/>
        <v>#VALUE!</v>
      </c>
      <c r="R149" s="863" t="e">
        <f t="shared" si="29"/>
        <v>#VALUE!</v>
      </c>
      <c r="U149" s="1064"/>
      <c r="V149" s="1064"/>
      <c r="W149" s="863"/>
      <c r="X149" s="863"/>
      <c r="Y149" s="863"/>
    </row>
    <row r="150" spans="1:25" s="343" customFormat="1" ht="0.65" hidden="1" customHeight="1">
      <c r="A150" s="343" t="str">
        <f t="shared" si="28"/>
        <v/>
      </c>
      <c r="D150" s="653"/>
      <c r="J150" s="653"/>
      <c r="M150" s="663"/>
      <c r="N150" s="863" t="e">
        <f t="shared" si="29"/>
        <v>#VALUE!</v>
      </c>
      <c r="O150" s="863" t="e">
        <f t="shared" si="29"/>
        <v>#VALUE!</v>
      </c>
      <c r="P150" s="863" t="e">
        <f t="shared" si="29"/>
        <v>#VALUE!</v>
      </c>
      <c r="Q150" s="863" t="e">
        <f t="shared" si="29"/>
        <v>#VALUE!</v>
      </c>
      <c r="R150" s="863" t="e">
        <f t="shared" si="29"/>
        <v>#VALUE!</v>
      </c>
      <c r="U150" s="1064"/>
      <c r="V150" s="1064"/>
      <c r="W150" s="863"/>
      <c r="X150" s="863"/>
      <c r="Y150" s="863"/>
    </row>
    <row r="151" spans="1:25" s="343" customFormat="1" ht="0.65" hidden="1" customHeight="1">
      <c r="A151" s="343" t="str">
        <f t="shared" si="28"/>
        <v/>
      </c>
      <c r="J151" s="653"/>
      <c r="M151" s="663"/>
      <c r="N151" s="863" t="e">
        <f t="shared" si="29"/>
        <v>#VALUE!</v>
      </c>
      <c r="O151" s="863" t="e">
        <f t="shared" si="29"/>
        <v>#VALUE!</v>
      </c>
      <c r="P151" s="863" t="e">
        <f t="shared" si="29"/>
        <v>#VALUE!</v>
      </c>
      <c r="Q151" s="863" t="e">
        <f t="shared" si="29"/>
        <v>#VALUE!</v>
      </c>
      <c r="R151" s="863" t="e">
        <f t="shared" si="29"/>
        <v>#VALUE!</v>
      </c>
      <c r="T151" s="863"/>
      <c r="U151" s="863"/>
      <c r="V151" s="863"/>
      <c r="W151" s="863"/>
      <c r="X151" s="863"/>
      <c r="Y151" s="863"/>
    </row>
    <row r="152" spans="1:25" s="343" customFormat="1" ht="0.65" hidden="1" customHeight="1">
      <c r="A152" s="343" t="str">
        <f t="shared" si="28"/>
        <v/>
      </c>
      <c r="J152" s="653"/>
      <c r="M152" s="863"/>
      <c r="N152" s="653"/>
      <c r="O152" s="653"/>
      <c r="P152" s="653"/>
      <c r="Q152" s="653"/>
      <c r="R152" s="653"/>
      <c r="S152" s="653"/>
      <c r="T152" s="863"/>
      <c r="V152" s="863"/>
      <c r="W152" s="863"/>
      <c r="X152" s="863"/>
      <c r="Y152" s="863"/>
    </row>
    <row r="153" spans="1:25" s="343" customFormat="1" ht="0.65" hidden="1" customHeight="1">
      <c r="A153" s="343" t="str">
        <f t="shared" si="28"/>
        <v/>
      </c>
      <c r="J153" s="653"/>
      <c r="M153" s="863"/>
      <c r="V153" s="863"/>
      <c r="W153" s="863"/>
      <c r="X153" s="863"/>
      <c r="Y153" s="863"/>
    </row>
    <row r="154" spans="1:25" s="343" customFormat="1" ht="0.65" hidden="1" customHeight="1">
      <c r="A154" s="343" t="str">
        <f t="shared" si="28"/>
        <v/>
      </c>
      <c r="D154" s="663"/>
      <c r="J154" s="653"/>
      <c r="N154" s="863"/>
      <c r="O154" s="863"/>
      <c r="P154" s="865"/>
      <c r="T154" s="865"/>
      <c r="W154" s="865"/>
      <c r="X154" s="863"/>
      <c r="Y154" s="863"/>
    </row>
    <row r="155" spans="1:25" s="343" customFormat="1" ht="0.65" hidden="1" customHeight="1">
      <c r="A155" s="343" t="str">
        <f t="shared" si="28"/>
        <v/>
      </c>
      <c r="D155" s="663"/>
      <c r="J155" s="653"/>
      <c r="N155" s="1061" t="e">
        <f t="shared" ref="N155:T158" si="30">IF(VLOOKUP($A155-127,$A$251:$W$1080,N$8,FALSE)="","",VLOOKUP($A155-127,$A$251:$W$1080,N$8,FALSE))</f>
        <v>#VALUE!</v>
      </c>
      <c r="O155" s="1061" t="e">
        <f t="shared" si="30"/>
        <v>#VALUE!</v>
      </c>
      <c r="P155" s="863" t="e">
        <f t="shared" si="30"/>
        <v>#VALUE!</v>
      </c>
      <c r="Q155" s="343" t="e">
        <f t="shared" si="30"/>
        <v>#VALUE!</v>
      </c>
      <c r="R155" s="1061" t="e">
        <f t="shared" si="30"/>
        <v>#VALUE!</v>
      </c>
      <c r="S155" s="1061" t="e">
        <f t="shared" si="30"/>
        <v>#VALUE!</v>
      </c>
      <c r="T155" s="863" t="e">
        <f t="shared" si="30"/>
        <v>#VALUE!</v>
      </c>
      <c r="V155" s="343" t="e">
        <f>IF(VLOOKUP($A155-127,$A$251:$W$1080,V$8,FALSE)="","",VLOOKUP($A155-127,$A$251:$W$1080,V$8,FALSE))</f>
        <v>#VALUE!</v>
      </c>
      <c r="W155" s="343" t="e">
        <f>IF(VLOOKUP($A155-127,$A$251:$W$1080,W$8,FALSE)="","",VLOOKUP($A155-127,$A$251:$W$1080,W$8,FALSE))</f>
        <v>#VALUE!</v>
      </c>
      <c r="X155" s="863"/>
      <c r="Y155" s="863"/>
    </row>
    <row r="156" spans="1:25" s="343" customFormat="1" ht="0.65" hidden="1" customHeight="1">
      <c r="A156" s="343" t="str">
        <f t="shared" si="28"/>
        <v/>
      </c>
      <c r="D156" s="663"/>
      <c r="J156" s="653"/>
      <c r="M156" s="863"/>
      <c r="N156" s="1061" t="e">
        <f t="shared" si="30"/>
        <v>#VALUE!</v>
      </c>
      <c r="O156" s="1061" t="e">
        <f t="shared" si="30"/>
        <v>#VALUE!</v>
      </c>
      <c r="P156" s="863" t="e">
        <f t="shared" si="30"/>
        <v>#VALUE!</v>
      </c>
      <c r="Q156" s="343" t="e">
        <f t="shared" si="30"/>
        <v>#VALUE!</v>
      </c>
      <c r="R156" s="1061" t="e">
        <f t="shared" si="30"/>
        <v>#VALUE!</v>
      </c>
      <c r="S156" s="1061" t="e">
        <f t="shared" si="30"/>
        <v>#VALUE!</v>
      </c>
      <c r="T156" s="863" t="e">
        <f t="shared" si="30"/>
        <v>#VALUE!</v>
      </c>
      <c r="V156" s="662"/>
      <c r="W156" s="358" t="e">
        <f>IF(VLOOKUP($A156-127,$A$251:$W$1080,W$8,FALSE)="","",VLOOKUP($A156-127,$A$251:$W$1080,W$8,FALSE))</f>
        <v>#VALUE!</v>
      </c>
      <c r="X156" s="863"/>
      <c r="Y156" s="863"/>
    </row>
    <row r="157" spans="1:25" s="343" customFormat="1" ht="0.65" hidden="1" customHeight="1">
      <c r="A157" s="343" t="str">
        <f t="shared" si="28"/>
        <v/>
      </c>
      <c r="D157" s="663"/>
      <c r="J157" s="653"/>
      <c r="M157" s="863"/>
      <c r="N157" s="1061" t="e">
        <f t="shared" si="30"/>
        <v>#VALUE!</v>
      </c>
      <c r="O157" s="1061" t="e">
        <f t="shared" si="30"/>
        <v>#VALUE!</v>
      </c>
      <c r="P157" s="863" t="e">
        <f t="shared" si="30"/>
        <v>#VALUE!</v>
      </c>
      <c r="Q157" s="343" t="e">
        <f t="shared" si="30"/>
        <v>#VALUE!</v>
      </c>
      <c r="R157" s="1061" t="e">
        <f t="shared" si="30"/>
        <v>#VALUE!</v>
      </c>
      <c r="S157" s="1061" t="e">
        <f t="shared" si="30"/>
        <v>#VALUE!</v>
      </c>
      <c r="T157" s="863" t="e">
        <f t="shared" si="30"/>
        <v>#VALUE!</v>
      </c>
      <c r="X157" s="863"/>
      <c r="Y157" s="863"/>
    </row>
    <row r="158" spans="1:25" s="343" customFormat="1" ht="0.65" hidden="1" customHeight="1">
      <c r="A158" s="343" t="str">
        <f t="shared" si="28"/>
        <v/>
      </c>
      <c r="D158" s="663"/>
      <c r="J158" s="653"/>
      <c r="M158" s="863"/>
      <c r="N158" s="1061" t="e">
        <f t="shared" si="30"/>
        <v>#VALUE!</v>
      </c>
      <c r="O158" s="1061" t="e">
        <f t="shared" si="30"/>
        <v>#VALUE!</v>
      </c>
      <c r="P158" s="863" t="e">
        <f t="shared" si="30"/>
        <v>#VALUE!</v>
      </c>
      <c r="Q158" s="343" t="e">
        <f t="shared" si="30"/>
        <v>#VALUE!</v>
      </c>
      <c r="R158" s="1061" t="e">
        <f t="shared" si="30"/>
        <v>#VALUE!</v>
      </c>
      <c r="S158" s="1061" t="e">
        <f t="shared" si="30"/>
        <v>#VALUE!</v>
      </c>
      <c r="T158" s="863" t="e">
        <f t="shared" si="30"/>
        <v>#VALUE!</v>
      </c>
      <c r="X158" s="863"/>
      <c r="Y158" s="863"/>
    </row>
    <row r="159" spans="1:25" s="343" customFormat="1" ht="0.65" hidden="1" customHeight="1">
      <c r="A159" s="343" t="str">
        <f t="shared" si="28"/>
        <v/>
      </c>
      <c r="D159" s="663"/>
      <c r="J159" s="653"/>
      <c r="M159" s="863"/>
      <c r="N159" s="867"/>
      <c r="Q159" s="863"/>
      <c r="R159" s="868"/>
      <c r="S159" s="863"/>
      <c r="T159" s="863"/>
      <c r="U159" s="863"/>
      <c r="V159" s="662"/>
      <c r="W159" s="659" t="e">
        <f>IF(VLOOKUP($A159-127,$A$251:$W$1080,W$8,FALSE)="","",VLOOKUP($A159-127,$A$251:$W$1080,W$8,FALSE))</f>
        <v>#VALUE!</v>
      </c>
      <c r="X159" s="863"/>
      <c r="Y159" s="863"/>
    </row>
    <row r="160" spans="1:25" s="343" customFormat="1" ht="0.65" hidden="1" customHeight="1">
      <c r="A160" s="343" t="str">
        <f t="shared" si="28"/>
        <v/>
      </c>
      <c r="D160" s="663"/>
      <c r="J160" s="653"/>
      <c r="M160" s="863"/>
      <c r="N160" s="1062" t="e">
        <f t="shared" ref="N160:T160" si="31">IF(VLOOKUP($A160-127,$A$251:$W$1080,N$8,FALSE)="","",VLOOKUP($A160-127,$A$251:$W$1080,N$8,FALSE))</f>
        <v>#VALUE!</v>
      </c>
      <c r="O160" s="1062" t="e">
        <f t="shared" si="31"/>
        <v>#VALUE!</v>
      </c>
      <c r="P160" s="863" t="e">
        <f t="shared" si="31"/>
        <v>#VALUE!</v>
      </c>
      <c r="Q160" s="863" t="e">
        <f t="shared" si="31"/>
        <v>#VALUE!</v>
      </c>
      <c r="R160" s="1062" t="e">
        <f t="shared" si="31"/>
        <v>#VALUE!</v>
      </c>
      <c r="S160" s="1062" t="e">
        <f t="shared" si="31"/>
        <v>#VALUE!</v>
      </c>
      <c r="T160" s="863" t="e">
        <f t="shared" si="31"/>
        <v>#VALUE!</v>
      </c>
      <c r="V160" s="869"/>
      <c r="W160" s="358" t="e">
        <f>IF(VLOOKUP($A160-127,$A$251:$W$1080,W$8,FALSE)="","",VLOOKUP($A160-127,$A$251:$W$1080,W$8,FALSE))</f>
        <v>#VALUE!</v>
      </c>
      <c r="X160" s="863"/>
      <c r="Y160" s="863"/>
    </row>
    <row r="161" spans="1:25" s="343" customFormat="1" ht="0.65" hidden="1" customHeight="1">
      <c r="A161" s="343" t="str">
        <f t="shared" si="28"/>
        <v/>
      </c>
      <c r="D161" s="663"/>
      <c r="J161" s="653"/>
      <c r="X161" s="863"/>
      <c r="Y161" s="863"/>
    </row>
    <row r="162" spans="1:25" s="343" customFormat="1" ht="0.65" hidden="1" customHeight="1">
      <c r="A162" s="343" t="str">
        <f t="shared" si="28"/>
        <v/>
      </c>
      <c r="D162" s="663"/>
      <c r="J162" s="653"/>
      <c r="X162" s="863"/>
      <c r="Y162" s="863"/>
    </row>
    <row r="163" spans="1:25" s="343" customFormat="1" ht="0.65" hidden="1" customHeight="1">
      <c r="A163" s="343" t="str">
        <f t="shared" si="28"/>
        <v/>
      </c>
      <c r="D163" s="663"/>
      <c r="J163" s="653"/>
      <c r="N163" s="652">
        <v>9.9999999999999995E-7</v>
      </c>
      <c r="O163" s="866"/>
      <c r="P163" s="866"/>
      <c r="Q163" s="866"/>
      <c r="R163" s="866"/>
      <c r="S163" s="866"/>
      <c r="T163" s="866"/>
      <c r="U163" s="866"/>
      <c r="V163" s="866"/>
      <c r="X163" s="863"/>
      <c r="Y163" s="863"/>
    </row>
    <row r="164" spans="1:25" s="343" customFormat="1" ht="0.65" hidden="1" customHeight="1">
      <c r="A164" s="343" t="str">
        <f t="shared" si="28"/>
        <v/>
      </c>
      <c r="D164" s="663"/>
      <c r="J164" s="653"/>
      <c r="M164" s="663"/>
      <c r="N164" s="653"/>
      <c r="O164" s="653"/>
      <c r="P164" s="653"/>
      <c r="Q164" s="653"/>
      <c r="R164" s="653"/>
      <c r="S164" s="653"/>
      <c r="T164" s="653"/>
      <c r="U164" s="653"/>
      <c r="V164" s="659"/>
      <c r="W164" s="653"/>
      <c r="X164" s="863"/>
      <c r="Y164" s="863"/>
    </row>
    <row r="165" spans="1:25" s="343" customFormat="1" ht="0.65" hidden="1" customHeight="1">
      <c r="A165" s="343" t="str">
        <f t="shared" si="28"/>
        <v/>
      </c>
      <c r="D165" s="663"/>
      <c r="J165" s="653"/>
      <c r="M165" s="663"/>
      <c r="N165" s="659"/>
      <c r="O165" s="659"/>
      <c r="P165" s="659"/>
      <c r="Q165" s="659"/>
      <c r="R165" s="659"/>
      <c r="S165" s="659"/>
      <c r="T165" s="659"/>
      <c r="U165" s="659"/>
      <c r="V165" s="659"/>
      <c r="W165" s="653"/>
      <c r="X165" s="863"/>
      <c r="Y165" s="863"/>
    </row>
    <row r="166" spans="1:25" s="343" customFormat="1" ht="0.65" hidden="1" customHeight="1">
      <c r="A166" s="343" t="str">
        <f t="shared" si="28"/>
        <v/>
      </c>
      <c r="D166" s="870"/>
      <c r="J166" s="653"/>
      <c r="M166" s="663"/>
      <c r="N166" s="659"/>
      <c r="O166" s="659"/>
      <c r="P166" s="659"/>
      <c r="Q166" s="659"/>
      <c r="R166" s="659"/>
      <c r="S166" s="659"/>
      <c r="T166" s="659"/>
      <c r="U166" s="659"/>
      <c r="V166" s="659"/>
      <c r="W166" s="653"/>
      <c r="X166" s="863"/>
      <c r="Y166" s="863"/>
    </row>
    <row r="167" spans="1:25" s="343" customFormat="1" ht="0.65" hidden="1" customHeight="1">
      <c r="A167" s="343" t="str">
        <f t="shared" si="28"/>
        <v/>
      </c>
      <c r="J167" s="653"/>
      <c r="M167" s="663"/>
      <c r="N167" s="659"/>
      <c r="O167" s="659"/>
      <c r="P167" s="659"/>
      <c r="Q167" s="659"/>
      <c r="R167" s="659"/>
      <c r="S167" s="659"/>
      <c r="T167" s="659"/>
      <c r="U167" s="659"/>
      <c r="V167" s="659"/>
      <c r="W167" s="653"/>
      <c r="X167" s="863"/>
      <c r="Y167" s="863"/>
    </row>
    <row r="168" spans="1:25" s="343" customFormat="1" ht="0.65" hidden="1" customHeight="1">
      <c r="A168" s="343" t="str">
        <f t="shared" si="28"/>
        <v/>
      </c>
      <c r="J168" s="653"/>
      <c r="M168" s="663"/>
      <c r="N168" s="659"/>
      <c r="O168" s="659"/>
      <c r="P168" s="659"/>
      <c r="Q168" s="659"/>
      <c r="R168" s="659"/>
      <c r="S168" s="659"/>
      <c r="T168" s="659"/>
      <c r="U168" s="659"/>
      <c r="V168" s="659"/>
      <c r="W168" s="653"/>
      <c r="X168" s="863"/>
      <c r="Y168" s="863"/>
    </row>
    <row r="169" spans="1:25" s="343" customFormat="1" ht="0.65" hidden="1" customHeight="1">
      <c r="A169" s="343" t="str">
        <f t="shared" si="28"/>
        <v/>
      </c>
      <c r="J169" s="653"/>
      <c r="N169" s="865"/>
      <c r="O169" s="865"/>
      <c r="P169" s="865"/>
      <c r="Q169" s="865"/>
      <c r="R169" s="865"/>
      <c r="S169" s="653"/>
      <c r="T169" s="653"/>
      <c r="U169" s="653"/>
      <c r="V169" s="653"/>
      <c r="W169" s="659"/>
      <c r="X169" s="863"/>
      <c r="Y169" s="863"/>
    </row>
    <row r="170" spans="1:25" s="343" customFormat="1" ht="0.65" hidden="1" customHeight="1">
      <c r="A170" s="343" t="str">
        <f t="shared" si="28"/>
        <v/>
      </c>
      <c r="J170" s="653"/>
      <c r="M170" s="659"/>
      <c r="N170" s="866"/>
      <c r="O170" s="866"/>
      <c r="P170" s="866"/>
      <c r="Q170" s="866"/>
      <c r="R170" s="866"/>
      <c r="S170" s="653"/>
      <c r="T170" s="653"/>
      <c r="U170" s="659"/>
      <c r="V170" s="659"/>
      <c r="W170" s="659"/>
      <c r="X170" s="863"/>
      <c r="Y170" s="863"/>
    </row>
    <row r="171" spans="1:25" s="343" customFormat="1" ht="0.65" hidden="1" customHeight="1">
      <c r="A171" s="343" t="str">
        <f t="shared" si="28"/>
        <v/>
      </c>
      <c r="J171" s="653"/>
      <c r="M171" s="663"/>
      <c r="N171" s="659"/>
      <c r="O171" s="659"/>
      <c r="P171" s="659"/>
      <c r="Q171" s="659"/>
      <c r="R171" s="659"/>
      <c r="S171" s="653"/>
      <c r="T171" s="653"/>
      <c r="U171" s="1064"/>
      <c r="V171" s="1064"/>
      <c r="W171" s="659"/>
      <c r="X171" s="863"/>
      <c r="Y171" s="863"/>
    </row>
    <row r="172" spans="1:25" s="343" customFormat="1" ht="0.65" hidden="1" customHeight="1">
      <c r="A172" s="343" t="str">
        <f t="shared" si="28"/>
        <v/>
      </c>
      <c r="J172" s="653"/>
      <c r="M172" s="663"/>
      <c r="N172" s="659"/>
      <c r="O172" s="659"/>
      <c r="P172" s="659"/>
      <c r="Q172" s="659"/>
      <c r="R172" s="659"/>
      <c r="S172" s="653"/>
      <c r="T172" s="653"/>
      <c r="U172" s="1064"/>
      <c r="V172" s="1064"/>
      <c r="W172" s="659"/>
      <c r="X172" s="863"/>
      <c r="Y172" s="863"/>
    </row>
    <row r="173" spans="1:25" s="343" customFormat="1" ht="0.65" hidden="1" customHeight="1">
      <c r="A173" s="343" t="str">
        <f t="shared" si="28"/>
        <v/>
      </c>
      <c r="J173" s="653"/>
      <c r="M173" s="663"/>
      <c r="N173" s="659"/>
      <c r="O173" s="659"/>
      <c r="P173" s="659"/>
      <c r="Q173" s="659"/>
      <c r="R173" s="659"/>
      <c r="S173" s="653"/>
      <c r="T173" s="653"/>
      <c r="U173" s="1064"/>
      <c r="V173" s="1064"/>
      <c r="W173" s="659"/>
      <c r="X173" s="863"/>
      <c r="Y173" s="863"/>
    </row>
    <row r="174" spans="1:25" s="343" customFormat="1" ht="0.65" hidden="1" customHeight="1">
      <c r="A174" s="343" t="str">
        <f t="shared" si="28"/>
        <v/>
      </c>
      <c r="J174" s="653"/>
      <c r="M174" s="663"/>
      <c r="N174" s="659"/>
      <c r="O174" s="659"/>
      <c r="P174" s="659"/>
      <c r="Q174" s="659"/>
      <c r="R174" s="659"/>
      <c r="S174" s="653"/>
      <c r="T174" s="653"/>
      <c r="U174" s="1064"/>
      <c r="V174" s="1064"/>
      <c r="W174" s="659"/>
      <c r="X174" s="863"/>
      <c r="Y174" s="863"/>
    </row>
    <row r="175" spans="1:25" s="343" customFormat="1" ht="0.65" hidden="1" customHeight="1">
      <c r="G175" s="653"/>
      <c r="J175" s="653"/>
      <c r="M175" s="663"/>
      <c r="N175" s="659"/>
      <c r="O175" s="659"/>
      <c r="P175" s="659"/>
      <c r="Q175" s="659"/>
      <c r="R175" s="659"/>
      <c r="S175" s="653"/>
      <c r="T175" s="659"/>
      <c r="U175" s="659"/>
      <c r="V175" s="659"/>
      <c r="W175" s="659"/>
      <c r="X175" s="863"/>
      <c r="Y175" s="863"/>
    </row>
    <row r="176" spans="1:25" s="343" customFormat="1" ht="0.65" hidden="1" customHeight="1">
      <c r="D176" s="653"/>
      <c r="G176" s="653"/>
      <c r="J176" s="653"/>
      <c r="K176" s="653"/>
      <c r="M176" s="863"/>
      <c r="N176" s="653"/>
      <c r="O176" s="653"/>
      <c r="P176" s="653"/>
      <c r="Q176" s="653"/>
      <c r="R176" s="653"/>
      <c r="S176" s="653"/>
      <c r="T176" s="659"/>
      <c r="U176" s="653"/>
      <c r="V176" s="659"/>
      <c r="W176" s="659"/>
      <c r="X176" s="863"/>
      <c r="Y176" s="863"/>
    </row>
    <row r="177" spans="4:25" s="343" customFormat="1" ht="0.65" hidden="1" customHeight="1">
      <c r="D177" s="653"/>
      <c r="G177" s="653"/>
      <c r="J177" s="653"/>
      <c r="K177" s="653"/>
      <c r="M177" s="863"/>
      <c r="N177" s="653"/>
      <c r="O177" s="653"/>
      <c r="P177" s="653"/>
      <c r="Q177" s="653"/>
      <c r="R177" s="653"/>
      <c r="S177" s="653"/>
      <c r="T177" s="653"/>
      <c r="U177" s="653"/>
      <c r="V177" s="659"/>
      <c r="W177" s="659"/>
      <c r="X177" s="863"/>
      <c r="Y177" s="863"/>
    </row>
    <row r="178" spans="4:25" s="343" customFormat="1" ht="0.65" hidden="1" customHeight="1">
      <c r="D178" s="653"/>
      <c r="G178" s="653"/>
      <c r="J178" s="653"/>
      <c r="K178" s="653"/>
      <c r="N178" s="659"/>
      <c r="O178" s="659"/>
      <c r="P178" s="865"/>
      <c r="Q178" s="653"/>
      <c r="R178" s="653"/>
      <c r="S178" s="653"/>
      <c r="T178" s="865"/>
      <c r="U178" s="653"/>
      <c r="V178" s="653"/>
      <c r="W178" s="865"/>
      <c r="X178" s="863"/>
      <c r="Y178" s="863"/>
    </row>
    <row r="179" spans="4:25" s="343" customFormat="1" ht="0.65" hidden="1" customHeight="1">
      <c r="D179" s="653"/>
      <c r="G179" s="653"/>
      <c r="J179" s="653"/>
      <c r="K179" s="653"/>
      <c r="N179" s="1065"/>
      <c r="O179" s="1065"/>
      <c r="P179" s="659"/>
      <c r="Q179" s="653"/>
      <c r="R179" s="1065"/>
      <c r="S179" s="1065"/>
      <c r="T179" s="659"/>
      <c r="U179" s="653"/>
      <c r="V179" s="653"/>
      <c r="W179" s="653"/>
      <c r="X179" s="863"/>
      <c r="Y179" s="863"/>
    </row>
    <row r="180" spans="4:25" s="343" customFormat="1" ht="0.65" hidden="1" customHeight="1">
      <c r="D180" s="653"/>
      <c r="G180" s="653"/>
      <c r="J180" s="653"/>
      <c r="K180" s="653"/>
      <c r="M180" s="863"/>
      <c r="N180" s="1065"/>
      <c r="O180" s="1065"/>
      <c r="P180" s="659"/>
      <c r="Q180" s="653"/>
      <c r="R180" s="1065"/>
      <c r="S180" s="1065"/>
      <c r="T180" s="659"/>
      <c r="U180" s="653"/>
      <c r="V180" s="659"/>
      <c r="W180" s="652"/>
      <c r="X180" s="863"/>
      <c r="Y180" s="863"/>
    </row>
    <row r="181" spans="4:25" s="343" customFormat="1" ht="0.65" hidden="1" customHeight="1">
      <c r="D181" s="653"/>
      <c r="G181" s="653"/>
      <c r="J181" s="653"/>
      <c r="K181" s="653"/>
      <c r="M181" s="863"/>
      <c r="N181" s="1065"/>
      <c r="O181" s="1065"/>
      <c r="P181" s="659"/>
      <c r="Q181" s="653"/>
      <c r="R181" s="1065"/>
      <c r="S181" s="1065"/>
      <c r="T181" s="659"/>
      <c r="U181" s="653"/>
      <c r="V181" s="653"/>
      <c r="W181" s="653"/>
      <c r="X181" s="863"/>
      <c r="Y181" s="863"/>
    </row>
    <row r="182" spans="4:25" s="343" customFormat="1" ht="0.65" hidden="1" customHeight="1">
      <c r="D182" s="653"/>
      <c r="G182" s="653"/>
      <c r="J182" s="653"/>
      <c r="K182" s="653"/>
      <c r="M182" s="863"/>
      <c r="N182" s="1065"/>
      <c r="O182" s="1065"/>
      <c r="P182" s="659"/>
      <c r="Q182" s="653"/>
      <c r="R182" s="1065"/>
      <c r="S182" s="1065"/>
      <c r="T182" s="659"/>
      <c r="U182" s="653"/>
      <c r="V182" s="653"/>
      <c r="W182" s="653"/>
      <c r="X182" s="863"/>
      <c r="Y182" s="863"/>
    </row>
    <row r="183" spans="4:25" s="343" customFormat="1" ht="0.65" hidden="1" customHeight="1">
      <c r="D183" s="653"/>
      <c r="G183" s="653"/>
      <c r="J183" s="653"/>
      <c r="K183" s="653"/>
      <c r="M183" s="863"/>
      <c r="N183" s="653"/>
      <c r="O183" s="653"/>
      <c r="P183" s="653"/>
      <c r="Q183" s="659"/>
      <c r="R183" s="659"/>
      <c r="S183" s="659"/>
      <c r="T183" s="659"/>
      <c r="U183" s="659"/>
      <c r="V183" s="659"/>
      <c r="W183" s="659"/>
      <c r="X183" s="863"/>
      <c r="Y183" s="863"/>
    </row>
    <row r="184" spans="4:25" s="343" customFormat="1" ht="0.65" hidden="1" customHeight="1">
      <c r="D184" s="653"/>
      <c r="G184" s="653"/>
      <c r="J184" s="653"/>
      <c r="K184" s="653"/>
      <c r="M184" s="863"/>
      <c r="N184" s="1066"/>
      <c r="O184" s="1066"/>
      <c r="P184" s="659"/>
      <c r="Q184" s="659"/>
      <c r="R184" s="1066"/>
      <c r="S184" s="1066"/>
      <c r="T184" s="659"/>
      <c r="U184" s="653"/>
      <c r="V184" s="653"/>
      <c r="W184" s="652"/>
      <c r="X184" s="863"/>
      <c r="Y184" s="863"/>
    </row>
    <row r="185" spans="4:25" s="343" customFormat="1" ht="0.65" hidden="1" customHeight="1">
      <c r="D185" s="653"/>
      <c r="G185" s="653"/>
      <c r="J185" s="653"/>
      <c r="K185" s="653"/>
      <c r="X185" s="863"/>
      <c r="Y185" s="863"/>
    </row>
    <row r="186" spans="4:25" s="343" customFormat="1" ht="0.65" hidden="1" customHeight="1">
      <c r="D186" s="653"/>
      <c r="G186" s="653"/>
      <c r="J186" s="653"/>
      <c r="K186" s="653"/>
      <c r="M186" s="659"/>
      <c r="X186" s="863"/>
      <c r="Y186" s="863"/>
    </row>
    <row r="187" spans="4:25" s="343" customFormat="1" ht="0.65" hidden="1" customHeight="1">
      <c r="D187" s="653"/>
      <c r="G187" s="653"/>
      <c r="J187" s="653"/>
      <c r="K187" s="653"/>
      <c r="X187" s="863"/>
      <c r="Y187" s="863"/>
    </row>
    <row r="188" spans="4:25" s="343" customFormat="1" ht="0.65" hidden="1" customHeight="1">
      <c r="G188" s="653"/>
      <c r="J188" s="653"/>
      <c r="K188" s="653"/>
      <c r="X188" s="863"/>
      <c r="Y188" s="863"/>
    </row>
    <row r="189" spans="4:25" s="343" customFormat="1" ht="0.65" hidden="1" customHeight="1">
      <c r="G189" s="653"/>
      <c r="J189" s="653"/>
      <c r="K189" s="653"/>
      <c r="X189" s="863"/>
      <c r="Y189" s="863"/>
    </row>
    <row r="190" spans="4:25" s="343" customFormat="1" ht="0.65" hidden="1" customHeight="1">
      <c r="G190" s="653"/>
      <c r="J190" s="653"/>
      <c r="K190" s="653"/>
      <c r="X190" s="863"/>
      <c r="Y190" s="863"/>
    </row>
    <row r="191" spans="4:25" s="343" customFormat="1" ht="0.65" hidden="1" customHeight="1">
      <c r="G191" s="653"/>
      <c r="J191" s="653"/>
      <c r="K191" s="653"/>
      <c r="X191" s="863"/>
      <c r="Y191" s="863"/>
    </row>
    <row r="192" spans="4:25" s="343" customFormat="1" ht="0.65" hidden="1" customHeight="1">
      <c r="G192" s="653"/>
      <c r="J192" s="653"/>
      <c r="K192" s="653"/>
      <c r="X192" s="863"/>
      <c r="Y192" s="863"/>
    </row>
    <row r="193" spans="7:25" s="343" customFormat="1" ht="0.65" hidden="1" customHeight="1">
      <c r="G193" s="653"/>
      <c r="J193" s="653"/>
      <c r="K193" s="653"/>
      <c r="X193" s="863"/>
      <c r="Y193" s="863"/>
    </row>
    <row r="194" spans="7:25" s="343" customFormat="1" ht="0.65" hidden="1" customHeight="1">
      <c r="G194" s="653"/>
      <c r="J194" s="653"/>
      <c r="K194" s="653"/>
      <c r="X194" s="863"/>
      <c r="Y194" s="863"/>
    </row>
    <row r="195" spans="7:25" s="343" customFormat="1" ht="0.65" hidden="1" customHeight="1">
      <c r="G195" s="653"/>
      <c r="J195" s="653"/>
      <c r="K195" s="653"/>
      <c r="X195" s="863"/>
      <c r="Y195" s="863"/>
    </row>
    <row r="196" spans="7:25" s="343" customFormat="1" ht="0.65" hidden="1" customHeight="1">
      <c r="G196" s="653"/>
      <c r="J196" s="653"/>
      <c r="K196" s="653"/>
      <c r="X196" s="863"/>
      <c r="Y196" s="863"/>
    </row>
    <row r="197" spans="7:25" s="343" customFormat="1" ht="0.65" hidden="1" customHeight="1">
      <c r="G197" s="653"/>
      <c r="J197" s="653"/>
      <c r="K197" s="653"/>
      <c r="X197" s="863"/>
      <c r="Y197" s="863"/>
    </row>
    <row r="198" spans="7:25" s="343" customFormat="1" ht="0.65" hidden="1" customHeight="1">
      <c r="G198" s="653"/>
      <c r="J198" s="653"/>
      <c r="K198" s="653"/>
      <c r="X198" s="863"/>
      <c r="Y198" s="863"/>
    </row>
    <row r="199" spans="7:25" s="343" customFormat="1" ht="0.65" hidden="1" customHeight="1">
      <c r="G199" s="653"/>
      <c r="J199" s="653"/>
      <c r="K199" s="653"/>
      <c r="X199" s="863"/>
      <c r="Y199" s="863"/>
    </row>
    <row r="200" spans="7:25" s="343" customFormat="1" ht="0.65" hidden="1" customHeight="1">
      <c r="G200" s="653"/>
      <c r="J200" s="653"/>
      <c r="K200" s="653"/>
      <c r="X200" s="863"/>
      <c r="Y200" s="863"/>
    </row>
    <row r="201" spans="7:25" s="343" customFormat="1" ht="0.65" hidden="1" customHeight="1">
      <c r="G201" s="653"/>
      <c r="J201" s="653"/>
      <c r="K201" s="653"/>
      <c r="X201" s="863"/>
      <c r="Y201" s="863"/>
    </row>
    <row r="202" spans="7:25" s="343" customFormat="1" ht="0.65" hidden="1" customHeight="1">
      <c r="G202" s="653"/>
      <c r="J202" s="653"/>
      <c r="K202" s="653"/>
      <c r="X202" s="863"/>
      <c r="Y202" s="863"/>
    </row>
    <row r="203" spans="7:25" s="343" customFormat="1" ht="0.65" hidden="1" customHeight="1">
      <c r="G203" s="653"/>
      <c r="J203" s="653"/>
      <c r="K203" s="653"/>
      <c r="X203" s="863"/>
      <c r="Y203" s="863"/>
    </row>
    <row r="204" spans="7:25" s="343" customFormat="1" ht="0.65" hidden="1" customHeight="1">
      <c r="G204" s="653"/>
      <c r="J204" s="653"/>
      <c r="K204" s="653"/>
      <c r="X204" s="863"/>
      <c r="Y204" s="863"/>
    </row>
    <row r="205" spans="7:25" s="343" customFormat="1" ht="0.65" hidden="1" customHeight="1">
      <c r="G205" s="653"/>
      <c r="J205" s="653"/>
      <c r="K205" s="653"/>
      <c r="X205" s="863"/>
      <c r="Y205" s="863"/>
    </row>
    <row r="206" spans="7:25" s="343" customFormat="1" ht="0.65" hidden="1" customHeight="1">
      <c r="G206" s="653"/>
      <c r="J206" s="653"/>
      <c r="K206" s="653"/>
      <c r="X206" s="863"/>
      <c r="Y206" s="863"/>
    </row>
    <row r="207" spans="7:25" s="343" customFormat="1" ht="0.65" hidden="1" customHeight="1">
      <c r="G207" s="653"/>
      <c r="J207" s="653"/>
      <c r="K207" s="653"/>
      <c r="X207" s="863"/>
      <c r="Y207" s="863"/>
    </row>
    <row r="208" spans="7:25" s="343" customFormat="1" ht="0.65" hidden="1" customHeight="1">
      <c r="G208" s="653"/>
      <c r="J208" s="653"/>
      <c r="K208" s="653"/>
      <c r="X208" s="863"/>
      <c r="Y208" s="863"/>
    </row>
    <row r="209" spans="5:25" s="343" customFormat="1" ht="0.65" hidden="1" customHeight="1">
      <c r="G209" s="653"/>
      <c r="J209" s="653"/>
      <c r="K209" s="653"/>
      <c r="X209" s="863"/>
      <c r="Y209" s="863"/>
    </row>
    <row r="210" spans="5:25" s="343" customFormat="1" ht="0.65" hidden="1" customHeight="1">
      <c r="G210" s="653"/>
      <c r="J210" s="653"/>
      <c r="K210" s="653"/>
      <c r="X210" s="863"/>
      <c r="Y210" s="863"/>
    </row>
    <row r="211" spans="5:25" s="343" customFormat="1" ht="0.65" hidden="1" customHeight="1">
      <c r="G211" s="653"/>
      <c r="J211" s="653"/>
      <c r="K211" s="653"/>
      <c r="X211" s="863"/>
      <c r="Y211" s="863"/>
    </row>
    <row r="212" spans="5:25" s="343" customFormat="1" ht="0.65" hidden="1" customHeight="1">
      <c r="G212" s="653"/>
      <c r="J212" s="653"/>
      <c r="K212" s="653"/>
      <c r="X212" s="863"/>
      <c r="Y212" s="863"/>
    </row>
    <row r="213" spans="5:25" s="343" customFormat="1" ht="0.65" hidden="1" customHeight="1">
      <c r="G213" s="653"/>
      <c r="J213" s="653"/>
      <c r="X213" s="863"/>
      <c r="Y213" s="863"/>
    </row>
    <row r="214" spans="5:25" s="343" customFormat="1" ht="0.65" hidden="1" customHeight="1">
      <c r="E214" s="869"/>
      <c r="F214" s="653"/>
      <c r="G214" s="653"/>
      <c r="J214" s="653"/>
      <c r="X214" s="863"/>
      <c r="Y214" s="863"/>
    </row>
    <row r="215" spans="5:25" s="343" customFormat="1" ht="0.65" hidden="1" customHeight="1">
      <c r="E215" s="869"/>
      <c r="F215" s="653" t="s">
        <v>520</v>
      </c>
      <c r="G215" s="653"/>
      <c r="J215" s="653"/>
      <c r="X215" s="863"/>
      <c r="Y215" s="863"/>
    </row>
    <row r="216" spans="5:25" s="343" customFormat="1" ht="0.65" hidden="1" customHeight="1">
      <c r="G216" s="653"/>
      <c r="J216" s="653"/>
      <c r="X216" s="863"/>
      <c r="Y216" s="863"/>
    </row>
    <row r="217" spans="5:25" s="343" customFormat="1" ht="0.65" hidden="1" customHeight="1">
      <c r="G217" s="653"/>
      <c r="J217" s="653"/>
      <c r="X217" s="863"/>
      <c r="Y217" s="863"/>
    </row>
    <row r="218" spans="5:25" s="343" customFormat="1" ht="0.65" hidden="1" customHeight="1">
      <c r="G218" s="653"/>
      <c r="J218" s="653"/>
      <c r="X218" s="863"/>
      <c r="Y218" s="863"/>
    </row>
    <row r="219" spans="5:25" s="343" customFormat="1" ht="0.65" hidden="1" customHeight="1">
      <c r="G219" s="653"/>
      <c r="J219" s="653"/>
      <c r="X219" s="863"/>
      <c r="Y219" s="863"/>
    </row>
    <row r="220" spans="5:25" s="343" customFormat="1" ht="0.65" hidden="1" customHeight="1">
      <c r="G220" s="653"/>
      <c r="J220" s="653"/>
      <c r="X220" s="863"/>
      <c r="Y220" s="863"/>
    </row>
    <row r="221" spans="5:25" s="343" customFormat="1" ht="0.65" hidden="1" customHeight="1">
      <c r="G221" s="653"/>
      <c r="J221" s="653"/>
      <c r="X221" s="863"/>
      <c r="Y221" s="863"/>
    </row>
    <row r="222" spans="5:25" s="343" customFormat="1" ht="0.65" hidden="1" customHeight="1">
      <c r="G222" s="653"/>
      <c r="J222" s="653"/>
      <c r="X222" s="863"/>
      <c r="Y222" s="863"/>
    </row>
    <row r="223" spans="5:25" s="343" customFormat="1" ht="0.65" hidden="1" customHeight="1">
      <c r="G223" s="653"/>
      <c r="J223" s="653"/>
      <c r="X223" s="863"/>
      <c r="Y223" s="863"/>
    </row>
    <row r="224" spans="5:25" s="343" customFormat="1" ht="0.65" hidden="1" customHeight="1">
      <c r="G224" s="653"/>
      <c r="J224" s="653"/>
      <c r="X224" s="863"/>
      <c r="Y224" s="863"/>
    </row>
    <row r="225" spans="7:25" s="343" customFormat="1" ht="0.65" hidden="1" customHeight="1">
      <c r="G225" s="653"/>
      <c r="J225" s="653"/>
      <c r="X225" s="863"/>
      <c r="Y225" s="863"/>
    </row>
    <row r="226" spans="7:25" s="343" customFormat="1" ht="0.65" hidden="1" customHeight="1">
      <c r="G226" s="653"/>
      <c r="J226" s="653"/>
      <c r="X226" s="863"/>
      <c r="Y226" s="863"/>
    </row>
    <row r="227" spans="7:25" s="343" customFormat="1" ht="0.65" hidden="1" customHeight="1">
      <c r="G227" s="653"/>
      <c r="J227" s="653"/>
      <c r="X227" s="863"/>
      <c r="Y227" s="863"/>
    </row>
    <row r="228" spans="7:25" s="343" customFormat="1" ht="0.65" hidden="1" customHeight="1">
      <c r="G228" s="653"/>
      <c r="J228" s="653"/>
      <c r="X228" s="863"/>
      <c r="Y228" s="863"/>
    </row>
    <row r="229" spans="7:25" s="343" customFormat="1" ht="0.65" hidden="1" customHeight="1">
      <c r="G229" s="653"/>
      <c r="J229" s="653"/>
      <c r="X229" s="863"/>
      <c r="Y229" s="863"/>
    </row>
    <row r="230" spans="7:25" s="343" customFormat="1" ht="0.65" hidden="1" customHeight="1">
      <c r="G230" s="653"/>
      <c r="J230" s="653"/>
      <c r="X230" s="863"/>
      <c r="Y230" s="863"/>
    </row>
    <row r="231" spans="7:25" s="343" customFormat="1" ht="0.65" hidden="1" customHeight="1">
      <c r="G231" s="653"/>
      <c r="J231" s="653"/>
      <c r="X231" s="863"/>
      <c r="Y231" s="863"/>
    </row>
    <row r="232" spans="7:25" s="343" customFormat="1" ht="0.65" hidden="1" customHeight="1">
      <c r="G232" s="653"/>
      <c r="J232" s="653"/>
      <c r="X232" s="863"/>
      <c r="Y232" s="863"/>
    </row>
    <row r="233" spans="7:25" s="343" customFormat="1" ht="0.65" hidden="1" customHeight="1">
      <c r="G233" s="653"/>
      <c r="J233" s="653"/>
      <c r="X233" s="863"/>
      <c r="Y233" s="863"/>
    </row>
    <row r="234" spans="7:25" s="343" customFormat="1" ht="0.65" hidden="1" customHeight="1">
      <c r="G234" s="653"/>
      <c r="J234" s="653"/>
      <c r="X234" s="863"/>
      <c r="Y234" s="863"/>
    </row>
    <row r="235" spans="7:25" s="343" customFormat="1" ht="0.65" hidden="1" customHeight="1">
      <c r="G235" s="653"/>
      <c r="J235" s="653"/>
      <c r="X235" s="863"/>
      <c r="Y235" s="863"/>
    </row>
    <row r="236" spans="7:25" s="343" customFormat="1" ht="0.65" hidden="1" customHeight="1">
      <c r="G236" s="653"/>
      <c r="J236" s="653"/>
      <c r="X236" s="863"/>
      <c r="Y236" s="863"/>
    </row>
    <row r="237" spans="7:25" s="343" customFormat="1" ht="0.65" hidden="1" customHeight="1">
      <c r="G237" s="653"/>
      <c r="J237" s="653"/>
      <c r="X237" s="863"/>
      <c r="Y237" s="863"/>
    </row>
    <row r="238" spans="7:25" s="343" customFormat="1" ht="0.65" hidden="1" customHeight="1">
      <c r="G238" s="653"/>
      <c r="J238" s="653"/>
      <c r="X238" s="863"/>
      <c r="Y238" s="863"/>
    </row>
    <row r="239" spans="7:25" s="343" customFormat="1" ht="0.65" hidden="1" customHeight="1">
      <c r="G239" s="653"/>
      <c r="J239" s="653"/>
      <c r="X239" s="863"/>
      <c r="Y239" s="863"/>
    </row>
    <row r="240" spans="7:25" s="343" customFormat="1" ht="0.65" hidden="1" customHeight="1">
      <c r="G240" s="653"/>
      <c r="J240" s="653"/>
      <c r="X240" s="863"/>
      <c r="Y240" s="863"/>
    </row>
    <row r="241" spans="1:25" s="343" customFormat="1" ht="0.65" hidden="1" customHeight="1">
      <c r="G241" s="653"/>
      <c r="J241" s="653"/>
      <c r="X241" s="863"/>
      <c r="Y241" s="863"/>
    </row>
    <row r="242" spans="1:25" s="343" customFormat="1" ht="0.65" hidden="1" customHeight="1">
      <c r="G242" s="653"/>
      <c r="J242" s="653"/>
      <c r="X242" s="863"/>
      <c r="Y242" s="863"/>
    </row>
    <row r="243" spans="1:25" s="343" customFormat="1" ht="0.65" hidden="1" customHeight="1">
      <c r="G243" s="653"/>
      <c r="J243" s="653"/>
      <c r="X243" s="863"/>
      <c r="Y243" s="863"/>
    </row>
    <row r="244" spans="1:25" s="343" customFormat="1" ht="0.65" hidden="1" customHeight="1">
      <c r="G244" s="653"/>
      <c r="J244" s="653"/>
      <c r="X244" s="863"/>
      <c r="Y244" s="863"/>
    </row>
    <row r="245" spans="1:25" s="343" customFormat="1" ht="0.65" hidden="1" customHeight="1">
      <c r="G245" s="653"/>
      <c r="J245" s="653"/>
      <c r="X245" s="863"/>
      <c r="Y245" s="863"/>
    </row>
    <row r="246" spans="1:25" s="343" customFormat="1" ht="0.65" hidden="1" customHeight="1">
      <c r="G246" s="653"/>
      <c r="J246" s="653"/>
      <c r="X246" s="863"/>
      <c r="Y246" s="863"/>
    </row>
    <row r="247" spans="1:25" s="343" customFormat="1" ht="0.65" hidden="1" customHeight="1">
      <c r="G247" s="653"/>
      <c r="J247" s="653"/>
      <c r="X247" s="863"/>
      <c r="Y247" s="863"/>
    </row>
    <row r="248" spans="1:25" s="343" customFormat="1" ht="0.65" hidden="1" customHeight="1"/>
    <row r="249" spans="1:25" s="343" customFormat="1" ht="0.65" hidden="1" customHeight="1">
      <c r="A249" s="653">
        <v>1</v>
      </c>
      <c r="B249" s="653">
        <v>2</v>
      </c>
      <c r="C249" s="653">
        <v>3</v>
      </c>
      <c r="D249" s="653">
        <v>4</v>
      </c>
      <c r="E249" s="653">
        <v>5</v>
      </c>
      <c r="F249" s="653">
        <v>6</v>
      </c>
      <c r="G249" s="653">
        <v>7</v>
      </c>
      <c r="H249" s="653">
        <v>8</v>
      </c>
      <c r="I249" s="653">
        <v>9</v>
      </c>
      <c r="J249" s="653">
        <v>10</v>
      </c>
      <c r="K249" s="653">
        <v>11</v>
      </c>
      <c r="L249" s="653">
        <v>12</v>
      </c>
      <c r="M249" s="653">
        <v>13</v>
      </c>
      <c r="N249" s="653">
        <v>14</v>
      </c>
      <c r="O249" s="653">
        <v>15</v>
      </c>
      <c r="P249" s="653">
        <v>16</v>
      </c>
      <c r="Q249" s="653">
        <v>17</v>
      </c>
      <c r="R249" s="653">
        <v>18</v>
      </c>
      <c r="S249" s="653">
        <v>19</v>
      </c>
      <c r="T249" s="653">
        <v>20</v>
      </c>
      <c r="U249" s="653">
        <v>21</v>
      </c>
      <c r="V249" s="653">
        <v>22</v>
      </c>
      <c r="W249" s="653">
        <v>23</v>
      </c>
    </row>
    <row r="250" spans="1:25" s="343" customFormat="1" ht="0.65" hidden="1" customHeight="1">
      <c r="A250" s="343">
        <v>1</v>
      </c>
    </row>
    <row r="251" spans="1:25" s="343" customFormat="1" ht="0.65" hidden="1" customHeight="1">
      <c r="A251" s="343">
        <v>1001</v>
      </c>
      <c r="B251" s="343" t="s">
        <v>3362</v>
      </c>
      <c r="E251" s="343" t="s">
        <v>3363</v>
      </c>
      <c r="M251" s="863" t="s">
        <v>3363</v>
      </c>
      <c r="N251" s="863"/>
      <c r="O251" s="863"/>
      <c r="P251" s="863"/>
      <c r="Q251" s="863"/>
      <c r="R251" s="863"/>
      <c r="S251" s="863"/>
      <c r="T251" s="863"/>
      <c r="U251" s="863"/>
      <c r="V251" s="863"/>
    </row>
    <row r="252" spans="1:25" s="343" customFormat="1" ht="0.65" hidden="1" customHeight="1">
      <c r="A252" s="343">
        <v>1002</v>
      </c>
      <c r="M252" s="863"/>
      <c r="N252" s="865" t="s">
        <v>55</v>
      </c>
      <c r="O252" s="865" t="s">
        <v>55</v>
      </c>
      <c r="P252" s="865" t="s">
        <v>55</v>
      </c>
      <c r="Q252" s="865" t="s">
        <v>55</v>
      </c>
      <c r="R252" s="865" t="s">
        <v>55</v>
      </c>
      <c r="S252" s="865" t="s">
        <v>55</v>
      </c>
      <c r="T252" s="865" t="s">
        <v>55</v>
      </c>
      <c r="U252" s="865" t="s">
        <v>55</v>
      </c>
      <c r="V252" s="865" t="s">
        <v>55</v>
      </c>
    </row>
    <row r="253" spans="1:25" s="343" customFormat="1" ht="0.65" hidden="1" customHeight="1">
      <c r="A253" s="343">
        <v>1003</v>
      </c>
      <c r="B253" s="343" t="s">
        <v>3364</v>
      </c>
      <c r="H253" s="343" t="s">
        <v>3365</v>
      </c>
      <c r="I253" s="659">
        <v>300000</v>
      </c>
      <c r="M253" s="659"/>
      <c r="N253" s="866"/>
      <c r="O253" s="866"/>
      <c r="P253" s="866"/>
      <c r="Q253" s="866"/>
      <c r="R253" s="866"/>
      <c r="S253" s="866"/>
      <c r="T253" s="866"/>
      <c r="U253" s="866"/>
      <c r="V253" s="866"/>
    </row>
    <row r="254" spans="1:25" s="343" customFormat="1" ht="0.65" hidden="1" customHeight="1">
      <c r="A254" s="343">
        <v>1004</v>
      </c>
      <c r="B254" s="343" t="s">
        <v>3366</v>
      </c>
      <c r="E254" s="343" t="s">
        <v>3367</v>
      </c>
      <c r="H254" s="343" t="s">
        <v>3368</v>
      </c>
      <c r="I254" s="659">
        <v>240000</v>
      </c>
      <c r="M254" s="663"/>
      <c r="N254" s="343">
        <v>0</v>
      </c>
      <c r="O254" s="343">
        <v>0</v>
      </c>
      <c r="P254" s="343">
        <v>0</v>
      </c>
      <c r="Q254" s="343">
        <v>0</v>
      </c>
      <c r="R254" s="343">
        <v>0</v>
      </c>
      <c r="S254" s="343">
        <v>0</v>
      </c>
      <c r="T254" s="343">
        <v>0</v>
      </c>
      <c r="U254" s="343">
        <v>0</v>
      </c>
      <c r="V254" s="863">
        <v>-143000</v>
      </c>
    </row>
    <row r="255" spans="1:25" s="343" customFormat="1" ht="0.65" hidden="1" customHeight="1">
      <c r="A255" s="343">
        <v>1005</v>
      </c>
      <c r="B255" s="343" t="s">
        <v>3369</v>
      </c>
      <c r="M255" s="663"/>
      <c r="N255" s="863">
        <v>300000</v>
      </c>
      <c r="O255" s="863">
        <v>240000</v>
      </c>
      <c r="P255" s="863">
        <v>20000</v>
      </c>
      <c r="Q255" s="863">
        <v>40000</v>
      </c>
      <c r="R255" s="863">
        <v>12000</v>
      </c>
      <c r="S255" s="863">
        <v>28000</v>
      </c>
      <c r="T255" s="863">
        <v>48000</v>
      </c>
      <c r="U255" s="863">
        <v>48000</v>
      </c>
      <c r="V255" s="863">
        <v>48000</v>
      </c>
    </row>
    <row r="256" spans="1:25" s="343" customFormat="1" ht="0.65" hidden="1" customHeight="1">
      <c r="A256" s="343">
        <v>1006</v>
      </c>
      <c r="E256" s="343" t="s">
        <v>3370</v>
      </c>
      <c r="F256" s="659">
        <v>200000</v>
      </c>
      <c r="H256" s="343" t="s">
        <v>3371</v>
      </c>
      <c r="I256" s="653">
        <v>90</v>
      </c>
      <c r="M256" s="663"/>
      <c r="N256" s="863">
        <v>300000</v>
      </c>
      <c r="O256" s="863">
        <v>240000</v>
      </c>
      <c r="P256" s="863">
        <v>20000</v>
      </c>
      <c r="Q256" s="863">
        <v>40000</v>
      </c>
      <c r="R256" s="863">
        <v>12000</v>
      </c>
      <c r="S256" s="863">
        <v>28000</v>
      </c>
      <c r="T256" s="863">
        <v>48000</v>
      </c>
      <c r="U256" s="863">
        <v>48000</v>
      </c>
      <c r="V256" s="863">
        <v>48000</v>
      </c>
    </row>
    <row r="257" spans="1:25" s="343" customFormat="1" ht="0.65" hidden="1" customHeight="1">
      <c r="A257" s="343">
        <v>1007</v>
      </c>
      <c r="B257" s="343" t="s">
        <v>3372</v>
      </c>
      <c r="E257" s="343" t="s">
        <v>3373</v>
      </c>
      <c r="F257" s="659">
        <v>40000</v>
      </c>
      <c r="H257" s="343" t="s">
        <v>3374</v>
      </c>
      <c r="I257" s="653">
        <v>60</v>
      </c>
      <c r="M257" s="663"/>
      <c r="N257" s="863">
        <v>300000</v>
      </c>
      <c r="O257" s="863">
        <v>240000</v>
      </c>
      <c r="P257" s="863">
        <v>20000</v>
      </c>
      <c r="Q257" s="863">
        <v>40000</v>
      </c>
      <c r="R257" s="863">
        <v>12000</v>
      </c>
      <c r="S257" s="863">
        <v>28000</v>
      </c>
      <c r="T257" s="863">
        <v>48000</v>
      </c>
      <c r="U257" s="863">
        <v>48000</v>
      </c>
      <c r="V257" s="863">
        <v>48000</v>
      </c>
    </row>
    <row r="258" spans="1:25" s="343" customFormat="1" ht="0.65" hidden="1" customHeight="1">
      <c r="A258" s="343">
        <v>1008</v>
      </c>
      <c r="B258" s="343" t="s">
        <v>3375</v>
      </c>
      <c r="E258" s="343" t="s">
        <v>2886</v>
      </c>
      <c r="F258" s="659">
        <v>20000</v>
      </c>
      <c r="H258" s="343" t="s">
        <v>3376</v>
      </c>
      <c r="I258" s="653">
        <v>30</v>
      </c>
      <c r="M258" s="663"/>
      <c r="N258" s="863">
        <v>300000</v>
      </c>
      <c r="O258" s="863">
        <v>240000</v>
      </c>
      <c r="P258" s="863">
        <v>20000</v>
      </c>
      <c r="Q258" s="863">
        <v>40000</v>
      </c>
      <c r="R258" s="863">
        <v>12000</v>
      </c>
      <c r="S258" s="863">
        <v>28000</v>
      </c>
      <c r="T258" s="863">
        <v>48000</v>
      </c>
      <c r="U258" s="863">
        <v>48000</v>
      </c>
      <c r="V258" s="863">
        <v>146000</v>
      </c>
    </row>
    <row r="259" spans="1:25" s="343" customFormat="1" ht="0.65" hidden="1" customHeight="1">
      <c r="A259" s="343">
        <v>1009</v>
      </c>
      <c r="B259" s="343" t="s">
        <v>3377</v>
      </c>
      <c r="E259" s="343" t="s">
        <v>3378</v>
      </c>
      <c r="F259" s="659">
        <v>10000</v>
      </c>
      <c r="N259" s="865" t="s">
        <v>55</v>
      </c>
      <c r="O259" s="865" t="s">
        <v>55</v>
      </c>
      <c r="P259" s="865" t="s">
        <v>55</v>
      </c>
      <c r="Q259" s="865" t="s">
        <v>55</v>
      </c>
      <c r="R259" s="865" t="s">
        <v>55</v>
      </c>
      <c r="T259" s="653"/>
      <c r="U259" s="653"/>
      <c r="V259" s="653"/>
      <c r="W259" s="659"/>
      <c r="X259" s="659"/>
      <c r="Y259" s="659"/>
    </row>
    <row r="260" spans="1:25" s="343" customFormat="1" ht="0.65" hidden="1" customHeight="1">
      <c r="A260" s="343">
        <v>1010</v>
      </c>
      <c r="B260" s="343" t="s">
        <v>3379</v>
      </c>
      <c r="H260" s="343" t="s">
        <v>3380</v>
      </c>
      <c r="I260" s="358">
        <v>0.1</v>
      </c>
      <c r="M260" s="659"/>
      <c r="N260" s="866"/>
      <c r="O260" s="866"/>
      <c r="P260" s="866"/>
      <c r="Q260" s="866"/>
      <c r="R260" s="866"/>
      <c r="U260" s="863"/>
      <c r="V260" s="863"/>
      <c r="W260" s="863"/>
      <c r="X260" s="863"/>
      <c r="Y260" s="863"/>
    </row>
    <row r="261" spans="1:25" s="343" customFormat="1" ht="0.65" hidden="1" customHeight="1">
      <c r="A261" s="343">
        <v>1011</v>
      </c>
      <c r="H261" s="343" t="s">
        <v>3381</v>
      </c>
      <c r="I261" s="358">
        <v>0.3</v>
      </c>
      <c r="M261" s="663"/>
      <c r="N261" s="863">
        <v>20000</v>
      </c>
      <c r="O261" s="863">
        <v>75000</v>
      </c>
      <c r="P261" s="863">
        <v>40000</v>
      </c>
      <c r="Q261" s="863">
        <v>55000</v>
      </c>
      <c r="R261" s="863">
        <v>55000</v>
      </c>
      <c r="U261" s="1064" t="s">
        <v>55</v>
      </c>
      <c r="V261" s="1064"/>
      <c r="W261" s="863"/>
      <c r="X261" s="863"/>
      <c r="Y261" s="863"/>
    </row>
    <row r="262" spans="1:25" s="343" customFormat="1" ht="0.65" hidden="1" customHeight="1">
      <c r="A262" s="343">
        <v>1012</v>
      </c>
      <c r="B262" s="343" t="s">
        <v>3382</v>
      </c>
      <c r="M262" s="663"/>
      <c r="N262" s="863">
        <v>20000</v>
      </c>
      <c r="O262" s="863">
        <v>75000</v>
      </c>
      <c r="P262" s="863">
        <v>40000</v>
      </c>
      <c r="Q262" s="863">
        <v>55000</v>
      </c>
      <c r="R262" s="863">
        <v>0</v>
      </c>
      <c r="U262" s="1064"/>
      <c r="V262" s="1064"/>
      <c r="W262" s="863"/>
      <c r="X262" s="863"/>
      <c r="Y262" s="863"/>
    </row>
    <row r="263" spans="1:25" s="343" customFormat="1" ht="0.65" hidden="1" customHeight="1">
      <c r="A263" s="343">
        <v>1013</v>
      </c>
      <c r="B263" s="343" t="s">
        <v>3383</v>
      </c>
      <c r="M263" s="663"/>
      <c r="N263" s="863">
        <v>20000</v>
      </c>
      <c r="O263" s="863">
        <v>75000</v>
      </c>
      <c r="P263" s="863">
        <v>40000</v>
      </c>
      <c r="Q263" s="863">
        <v>55000</v>
      </c>
      <c r="R263" s="863">
        <v>0</v>
      </c>
      <c r="U263" s="1064"/>
      <c r="V263" s="1064"/>
      <c r="W263" s="863"/>
      <c r="X263" s="863"/>
      <c r="Y263" s="863"/>
    </row>
    <row r="264" spans="1:25" s="343" customFormat="1" ht="0.65" hidden="1" customHeight="1">
      <c r="A264" s="343">
        <v>1014</v>
      </c>
      <c r="B264" s="343" t="s">
        <v>3384</v>
      </c>
      <c r="M264" s="663"/>
      <c r="N264" s="863">
        <v>20000</v>
      </c>
      <c r="O264" s="863">
        <v>75000</v>
      </c>
      <c r="P264" s="863">
        <v>40000</v>
      </c>
      <c r="Q264" s="863">
        <v>55000</v>
      </c>
      <c r="R264" s="863">
        <v>0</v>
      </c>
      <c r="U264" s="1064"/>
      <c r="V264" s="1064"/>
      <c r="W264" s="863"/>
      <c r="X264" s="863"/>
      <c r="Y264" s="863"/>
    </row>
    <row r="265" spans="1:25" s="343" customFormat="1" ht="0.65" hidden="1" customHeight="1">
      <c r="A265" s="343">
        <v>1015</v>
      </c>
      <c r="M265" s="663"/>
      <c r="N265" s="863">
        <v>20000</v>
      </c>
      <c r="O265" s="863">
        <v>75000</v>
      </c>
      <c r="P265" s="863">
        <v>40000</v>
      </c>
      <c r="Q265" s="863">
        <v>55000</v>
      </c>
      <c r="R265" s="863">
        <v>0</v>
      </c>
      <c r="T265" s="863"/>
      <c r="U265" s="863"/>
      <c r="V265" s="863"/>
      <c r="W265" s="863"/>
      <c r="X265" s="863"/>
      <c r="Y265" s="863"/>
    </row>
    <row r="266" spans="1:25" s="343" customFormat="1" ht="0.65" hidden="1" customHeight="1">
      <c r="A266" s="343">
        <v>1016</v>
      </c>
      <c r="B266" s="343" t="s">
        <v>3385</v>
      </c>
      <c r="M266" s="863"/>
      <c r="N266" s="653"/>
      <c r="O266" s="653"/>
      <c r="P266" s="653"/>
      <c r="Q266" s="653"/>
      <c r="R266" s="653"/>
      <c r="S266" s="653"/>
      <c r="T266" s="863"/>
      <c r="V266" s="863"/>
      <c r="W266" s="863"/>
      <c r="X266" s="863"/>
    </row>
    <row r="267" spans="1:25" s="343" customFormat="1" ht="0.65" hidden="1" customHeight="1">
      <c r="A267" s="343">
        <v>1017</v>
      </c>
      <c r="B267" s="343" t="s">
        <v>3386</v>
      </c>
      <c r="M267" s="863"/>
      <c r="V267" s="863"/>
      <c r="W267" s="863"/>
      <c r="X267" s="863"/>
    </row>
    <row r="268" spans="1:25" s="343" customFormat="1" ht="0.65" hidden="1" customHeight="1">
      <c r="A268" s="343">
        <v>1018</v>
      </c>
      <c r="B268" s="343" t="s">
        <v>3387</v>
      </c>
      <c r="N268" s="863"/>
      <c r="O268" s="863"/>
      <c r="P268" s="865" t="s">
        <v>55</v>
      </c>
      <c r="T268" s="865" t="s">
        <v>55</v>
      </c>
      <c r="W268" s="865" t="s">
        <v>55</v>
      </c>
      <c r="X268" s="863"/>
    </row>
    <row r="269" spans="1:25" s="343" customFormat="1" ht="0.65" hidden="1" customHeight="1">
      <c r="A269" s="343">
        <v>1019</v>
      </c>
      <c r="N269" s="1061" t="s">
        <v>3388</v>
      </c>
      <c r="O269" s="1061"/>
      <c r="P269" s="863">
        <v>88000</v>
      </c>
      <c r="R269" s="1061" t="s">
        <v>3389</v>
      </c>
      <c r="S269" s="1061"/>
      <c r="T269" s="863">
        <v>55000</v>
      </c>
      <c r="X269" s="863"/>
    </row>
    <row r="270" spans="1:25" s="343" customFormat="1" ht="0.65" hidden="1" customHeight="1">
      <c r="A270" s="343">
        <v>1020</v>
      </c>
      <c r="B270" s="343" t="s">
        <v>3390</v>
      </c>
      <c r="M270" s="863"/>
      <c r="N270" s="1061" t="s">
        <v>3391</v>
      </c>
      <c r="O270" s="1061"/>
      <c r="P270" s="863">
        <v>55000</v>
      </c>
      <c r="R270" s="1061" t="s">
        <v>3392</v>
      </c>
      <c r="S270" s="1061"/>
      <c r="T270" s="863">
        <v>43000</v>
      </c>
      <c r="V270" s="662"/>
      <c r="W270" s="358">
        <v>0.1</v>
      </c>
      <c r="X270" s="863"/>
    </row>
    <row r="271" spans="1:25" s="343" customFormat="1" ht="0.65" hidden="1" customHeight="1">
      <c r="A271" s="343">
        <v>1021</v>
      </c>
      <c r="M271" s="863"/>
      <c r="N271" s="1061"/>
      <c r="O271" s="1061"/>
      <c r="P271" s="863"/>
      <c r="R271" s="1061"/>
      <c r="S271" s="1061"/>
      <c r="T271" s="863"/>
    </row>
    <row r="272" spans="1:25" s="343" customFormat="1" ht="0.65" hidden="1" customHeight="1">
      <c r="A272" s="343">
        <v>1022</v>
      </c>
      <c r="B272" s="343" t="s">
        <v>3393</v>
      </c>
      <c r="M272" s="863"/>
      <c r="N272" s="1061"/>
      <c r="O272" s="1061"/>
      <c r="P272" s="863"/>
      <c r="R272" s="1061"/>
      <c r="S272" s="1061"/>
      <c r="T272" s="863"/>
      <c r="X272" s="863"/>
      <c r="Y272" s="863"/>
    </row>
    <row r="273" spans="1:25" s="343" customFormat="1" ht="0.65" hidden="1" customHeight="1">
      <c r="A273" s="343">
        <v>1023</v>
      </c>
      <c r="M273" s="863"/>
      <c r="N273" s="867"/>
      <c r="Q273" s="863"/>
      <c r="R273" s="868"/>
      <c r="S273" s="863"/>
      <c r="T273" s="863"/>
      <c r="U273" s="863"/>
      <c r="V273" s="662"/>
      <c r="W273" s="659">
        <v>76088.860050542949</v>
      </c>
      <c r="X273" s="863"/>
      <c r="Y273" s="863"/>
    </row>
    <row r="274" spans="1:25" s="343" customFormat="1" ht="0.65" hidden="1" customHeight="1">
      <c r="A274" s="343">
        <v>1024</v>
      </c>
      <c r="M274" s="863"/>
      <c r="N274" s="1062" t="s">
        <v>129</v>
      </c>
      <c r="O274" s="1062"/>
      <c r="P274" s="863">
        <v>143000</v>
      </c>
      <c r="Q274" s="863"/>
      <c r="R274" s="1062" t="s">
        <v>3394</v>
      </c>
      <c r="S274" s="1062"/>
      <c r="T274" s="863">
        <v>98000</v>
      </c>
      <c r="V274" s="869"/>
      <c r="W274" s="358">
        <v>0.2836182382173551</v>
      </c>
      <c r="X274" s="863"/>
      <c r="Y274" s="863"/>
    </row>
    <row r="275" spans="1:25" s="343" customFormat="1" ht="0.65" hidden="1" customHeight="1">
      <c r="A275" s="343">
        <v>1025</v>
      </c>
      <c r="N275" s="863"/>
      <c r="P275" s="653"/>
      <c r="T275" s="653"/>
      <c r="W275" s="653"/>
      <c r="X275" s="863"/>
      <c r="Y275" s="863"/>
    </row>
    <row r="276" spans="1:25" s="343" customFormat="1" ht="0.65" hidden="1" customHeight="1">
      <c r="A276" s="343">
        <v>1026</v>
      </c>
      <c r="X276" s="863"/>
      <c r="Y276" s="863"/>
    </row>
    <row r="277" spans="1:25" s="343" customFormat="1" ht="0.65" hidden="1" customHeight="1">
      <c r="A277" s="343">
        <v>1027</v>
      </c>
      <c r="X277" s="863"/>
      <c r="Y277" s="863"/>
    </row>
    <row r="278" spans="1:25" s="343" customFormat="1" ht="0.65" hidden="1" customHeight="1">
      <c r="A278" s="343">
        <v>1028</v>
      </c>
      <c r="X278" s="863"/>
      <c r="Y278" s="863"/>
    </row>
    <row r="279" spans="1:25" s="343" customFormat="1" ht="0.65" hidden="1" customHeight="1">
      <c r="A279" s="343">
        <v>1029</v>
      </c>
      <c r="X279" s="863"/>
      <c r="Y279" s="863"/>
    </row>
    <row r="280" spans="1:25" s="343" customFormat="1" ht="0.65" hidden="1" customHeight="1">
      <c r="A280" s="343">
        <v>1030</v>
      </c>
      <c r="X280" s="863"/>
      <c r="Y280" s="863"/>
    </row>
    <row r="281" spans="1:25" s="343" customFormat="1" ht="0.65" hidden="1" customHeight="1">
      <c r="A281" s="343">
        <v>1031</v>
      </c>
      <c r="X281" s="863"/>
      <c r="Y281" s="863"/>
    </row>
    <row r="282" spans="1:25" s="343" customFormat="1" ht="0.65" hidden="1" customHeight="1">
      <c r="A282" s="343">
        <v>1032</v>
      </c>
      <c r="X282" s="863"/>
      <c r="Y282" s="863"/>
    </row>
    <row r="283" spans="1:25" s="343" customFormat="1" ht="0.65" hidden="1" customHeight="1">
      <c r="A283" s="343">
        <v>1033</v>
      </c>
      <c r="X283" s="863"/>
      <c r="Y283" s="863"/>
    </row>
    <row r="284" spans="1:25" s="343" customFormat="1" ht="0.65" hidden="1" customHeight="1">
      <c r="A284" s="343">
        <v>1034</v>
      </c>
      <c r="X284" s="863"/>
      <c r="Y284" s="863"/>
    </row>
    <row r="285" spans="1:25" s="343" customFormat="1" ht="0.65" hidden="1" customHeight="1">
      <c r="A285" s="343">
        <v>1035</v>
      </c>
      <c r="X285" s="863"/>
      <c r="Y285" s="863"/>
    </row>
    <row r="286" spans="1:25" s="343" customFormat="1" ht="0.65" hidden="1" customHeight="1">
      <c r="A286" s="343">
        <v>1036</v>
      </c>
      <c r="X286" s="863"/>
      <c r="Y286" s="863"/>
    </row>
    <row r="287" spans="1:25" s="343" customFormat="1" ht="0.65" hidden="1" customHeight="1">
      <c r="A287" s="343">
        <v>1037</v>
      </c>
      <c r="X287" s="863"/>
      <c r="Y287" s="863"/>
    </row>
    <row r="288" spans="1:25" s="343" customFormat="1" ht="0.65" hidden="1" customHeight="1">
      <c r="A288" s="343">
        <v>1038</v>
      </c>
      <c r="X288" s="863"/>
      <c r="Y288" s="863"/>
    </row>
    <row r="289" spans="1:25" s="343" customFormat="1" ht="0.65" hidden="1" customHeight="1">
      <c r="A289" s="343">
        <v>1039</v>
      </c>
      <c r="X289" s="863"/>
      <c r="Y289" s="863"/>
    </row>
    <row r="290" spans="1:25" s="343" customFormat="1" ht="0.65" hidden="1" customHeight="1">
      <c r="A290" s="343">
        <v>1040</v>
      </c>
      <c r="X290" s="863"/>
      <c r="Y290" s="863"/>
    </row>
    <row r="291" spans="1:25" s="343" customFormat="1" ht="0.65" hidden="1" customHeight="1">
      <c r="A291" s="343">
        <v>1041</v>
      </c>
      <c r="M291" s="343">
        <v>0</v>
      </c>
      <c r="O291" s="343">
        <v>1</v>
      </c>
      <c r="P291" s="343" t="s">
        <v>3388</v>
      </c>
      <c r="R291" s="863">
        <v>88000</v>
      </c>
      <c r="S291" s="343" t="s">
        <v>3398</v>
      </c>
      <c r="T291" s="343" t="s">
        <v>3399</v>
      </c>
      <c r="X291" s="863"/>
      <c r="Y291" s="863"/>
    </row>
    <row r="292" spans="1:25" s="343" customFormat="1" ht="0.65" hidden="1" customHeight="1">
      <c r="A292" s="343">
        <v>1042</v>
      </c>
      <c r="O292" s="343">
        <v>2</v>
      </c>
      <c r="P292" s="343" t="s">
        <v>3391</v>
      </c>
      <c r="R292" s="863">
        <v>55000</v>
      </c>
      <c r="S292" s="343" t="s">
        <v>3400</v>
      </c>
      <c r="T292" s="343" t="s">
        <v>3401</v>
      </c>
      <c r="X292" s="863"/>
      <c r="Y292" s="863"/>
    </row>
    <row r="293" spans="1:25" s="343" customFormat="1" ht="0.65" hidden="1" customHeight="1">
      <c r="A293" s="343">
        <v>1043</v>
      </c>
      <c r="O293" s="343">
        <v>3</v>
      </c>
      <c r="P293" s="343" t="s">
        <v>55</v>
      </c>
      <c r="R293" s="863" t="s">
        <v>55</v>
      </c>
      <c r="X293" s="863"/>
      <c r="Y293" s="863"/>
    </row>
    <row r="294" spans="1:25" s="343" customFormat="1" ht="0.65" hidden="1" customHeight="1">
      <c r="A294" s="343">
        <v>1044</v>
      </c>
      <c r="O294" s="343">
        <v>4</v>
      </c>
      <c r="P294" s="343" t="s">
        <v>55</v>
      </c>
      <c r="R294" s="863" t="s">
        <v>55</v>
      </c>
      <c r="X294" s="863"/>
      <c r="Y294" s="863"/>
    </row>
    <row r="295" spans="1:25" s="343" customFormat="1" ht="0.65" hidden="1" customHeight="1">
      <c r="A295" s="343">
        <v>1045</v>
      </c>
      <c r="O295" s="343">
        <v>5</v>
      </c>
      <c r="P295" s="343" t="s">
        <v>129</v>
      </c>
      <c r="R295" s="863">
        <v>143000</v>
      </c>
      <c r="S295" s="343" t="s">
        <v>3402</v>
      </c>
      <c r="T295" s="343" t="s">
        <v>3403</v>
      </c>
      <c r="X295" s="863"/>
      <c r="Y295" s="863"/>
    </row>
    <row r="296" spans="1:25" s="343" customFormat="1" ht="0.65" hidden="1" customHeight="1">
      <c r="A296" s="343">
        <v>1046</v>
      </c>
      <c r="O296" s="343">
        <v>6</v>
      </c>
      <c r="P296" s="343" t="s">
        <v>3404</v>
      </c>
      <c r="R296" s="863">
        <v>300000</v>
      </c>
      <c r="S296" s="343" t="s">
        <v>3405</v>
      </c>
      <c r="T296" s="343" t="s">
        <v>3406</v>
      </c>
      <c r="X296" s="863"/>
      <c r="Y296" s="863"/>
    </row>
    <row r="297" spans="1:25" s="343" customFormat="1" ht="0.65" hidden="1" customHeight="1">
      <c r="A297" s="343">
        <v>1047</v>
      </c>
      <c r="O297" s="343">
        <v>7</v>
      </c>
      <c r="P297" s="343" t="s">
        <v>3407</v>
      </c>
      <c r="R297" s="863">
        <v>300000</v>
      </c>
      <c r="S297" s="343" t="s">
        <v>3405</v>
      </c>
      <c r="T297" s="343" t="s">
        <v>3406</v>
      </c>
      <c r="X297" s="863"/>
      <c r="Y297" s="863"/>
    </row>
    <row r="298" spans="1:25" s="343" customFormat="1" ht="0.65" hidden="1" customHeight="1">
      <c r="A298" s="343">
        <v>1048</v>
      </c>
      <c r="O298" s="343">
        <v>8</v>
      </c>
      <c r="P298" s="343" t="s">
        <v>3408</v>
      </c>
      <c r="R298" s="863">
        <v>300000</v>
      </c>
      <c r="S298" s="343" t="s">
        <v>3405</v>
      </c>
      <c r="T298" s="343" t="s">
        <v>3406</v>
      </c>
      <c r="X298" s="863"/>
      <c r="Y298" s="863"/>
    </row>
    <row r="299" spans="1:25" s="343" customFormat="1" ht="0.65" hidden="1" customHeight="1">
      <c r="A299" s="343">
        <v>1049</v>
      </c>
      <c r="O299" s="343">
        <v>9</v>
      </c>
      <c r="P299" s="343" t="s">
        <v>3409</v>
      </c>
      <c r="R299" s="863">
        <v>300000</v>
      </c>
      <c r="S299" s="343" t="s">
        <v>3405</v>
      </c>
      <c r="T299" s="343" t="s">
        <v>3406</v>
      </c>
      <c r="X299" s="863"/>
      <c r="Y299" s="863"/>
    </row>
    <row r="300" spans="1:25" s="343" customFormat="1" ht="0.65" hidden="1" customHeight="1">
      <c r="A300" s="343">
        <v>1050</v>
      </c>
      <c r="O300" s="343">
        <v>10</v>
      </c>
      <c r="P300" s="343" t="s">
        <v>3410</v>
      </c>
      <c r="R300" s="863">
        <v>240000</v>
      </c>
      <c r="S300" s="343" t="s">
        <v>3411</v>
      </c>
      <c r="T300" s="343" t="s">
        <v>3412</v>
      </c>
      <c r="X300" s="863"/>
      <c r="Y300" s="863"/>
    </row>
    <row r="301" spans="1:25" s="343" customFormat="1" ht="0.65" hidden="1" customHeight="1">
      <c r="A301" s="343">
        <v>1051</v>
      </c>
      <c r="O301" s="343">
        <v>11</v>
      </c>
      <c r="P301" s="343" t="s">
        <v>3413</v>
      </c>
      <c r="R301" s="863">
        <v>240000</v>
      </c>
      <c r="S301" s="343" t="s">
        <v>3411</v>
      </c>
      <c r="T301" s="343" t="s">
        <v>3412</v>
      </c>
      <c r="X301" s="863"/>
      <c r="Y301" s="863"/>
    </row>
    <row r="302" spans="1:25" s="343" customFormat="1" ht="0.65" hidden="1" customHeight="1">
      <c r="A302" s="343">
        <v>1052</v>
      </c>
      <c r="O302" s="343">
        <v>12</v>
      </c>
      <c r="P302" s="343" t="s">
        <v>3414</v>
      </c>
      <c r="R302" s="863">
        <v>240000</v>
      </c>
      <c r="S302" s="343" t="s">
        <v>3411</v>
      </c>
      <c r="T302" s="343" t="s">
        <v>3412</v>
      </c>
      <c r="X302" s="863"/>
      <c r="Y302" s="863"/>
    </row>
    <row r="303" spans="1:25" s="343" customFormat="1" ht="0.65" hidden="1" customHeight="1">
      <c r="A303" s="343">
        <v>1053</v>
      </c>
      <c r="O303" s="343">
        <v>13</v>
      </c>
      <c r="P303" s="343" t="s">
        <v>3415</v>
      </c>
      <c r="R303" s="863">
        <v>240000</v>
      </c>
      <c r="S303" s="343" t="s">
        <v>3411</v>
      </c>
      <c r="T303" s="343" t="s">
        <v>3412</v>
      </c>
      <c r="X303" s="863"/>
      <c r="Y303" s="863"/>
    </row>
    <row r="304" spans="1:25" s="343" customFormat="1" ht="0.65" hidden="1" customHeight="1">
      <c r="A304" s="343">
        <v>1054</v>
      </c>
      <c r="O304" s="343">
        <v>14</v>
      </c>
      <c r="P304" s="343" t="s">
        <v>3416</v>
      </c>
      <c r="R304" s="863">
        <v>20000</v>
      </c>
      <c r="S304" s="343" t="s">
        <v>3417</v>
      </c>
      <c r="T304" s="343" t="s">
        <v>3418</v>
      </c>
      <c r="X304" s="863"/>
      <c r="Y304" s="863"/>
    </row>
    <row r="305" spans="1:25" s="343" customFormat="1" ht="0.65" hidden="1" customHeight="1">
      <c r="A305" s="343">
        <v>1055</v>
      </c>
      <c r="O305" s="343">
        <v>15</v>
      </c>
      <c r="P305" s="343" t="s">
        <v>3419</v>
      </c>
      <c r="R305" s="863">
        <v>20000</v>
      </c>
      <c r="S305" s="343" t="s">
        <v>3417</v>
      </c>
      <c r="T305" s="343" t="s">
        <v>3418</v>
      </c>
      <c r="X305" s="863"/>
      <c r="Y305" s="863"/>
    </row>
    <row r="306" spans="1:25" s="343" customFormat="1" ht="0.65" hidden="1" customHeight="1">
      <c r="A306" s="343">
        <v>1056</v>
      </c>
      <c r="O306" s="343">
        <v>16</v>
      </c>
      <c r="P306" s="343" t="s">
        <v>3420</v>
      </c>
      <c r="R306" s="863">
        <v>20000</v>
      </c>
      <c r="S306" s="343" t="s">
        <v>3417</v>
      </c>
      <c r="T306" s="343" t="s">
        <v>3418</v>
      </c>
      <c r="X306" s="863"/>
      <c r="Y306" s="863"/>
    </row>
    <row r="307" spans="1:25" s="343" customFormat="1" ht="0.65" hidden="1" customHeight="1">
      <c r="A307" s="343">
        <v>1057</v>
      </c>
      <c r="O307" s="343">
        <v>17</v>
      </c>
      <c r="P307" s="343" t="s">
        <v>3421</v>
      </c>
      <c r="R307" s="863">
        <v>20000</v>
      </c>
      <c r="S307" s="343" t="s">
        <v>3417</v>
      </c>
      <c r="T307" s="343" t="s">
        <v>3418</v>
      </c>
      <c r="X307" s="863"/>
      <c r="Y307" s="863"/>
    </row>
    <row r="308" spans="1:25" s="343" customFormat="1" ht="0.65" hidden="1" customHeight="1">
      <c r="A308" s="343">
        <v>1058</v>
      </c>
      <c r="O308" s="343">
        <v>18</v>
      </c>
      <c r="P308" s="343" t="s">
        <v>3422</v>
      </c>
      <c r="R308" s="863">
        <v>40000</v>
      </c>
      <c r="S308" s="343" t="s">
        <v>3423</v>
      </c>
      <c r="T308" s="343" t="s">
        <v>3424</v>
      </c>
      <c r="X308" s="863"/>
      <c r="Y308" s="863"/>
    </row>
    <row r="309" spans="1:25" s="343" customFormat="1" ht="0.65" hidden="1" customHeight="1">
      <c r="A309" s="343">
        <v>1059</v>
      </c>
      <c r="O309" s="343">
        <v>19</v>
      </c>
      <c r="P309" s="343" t="s">
        <v>3425</v>
      </c>
      <c r="R309" s="863">
        <v>40000</v>
      </c>
      <c r="S309" s="343" t="s">
        <v>3423</v>
      </c>
      <c r="T309" s="343" t="s">
        <v>3426</v>
      </c>
      <c r="X309" s="863"/>
      <c r="Y309" s="863"/>
    </row>
    <row r="310" spans="1:25" s="343" customFormat="1" ht="0.65" hidden="1" customHeight="1">
      <c r="A310" s="343">
        <v>1060</v>
      </c>
      <c r="O310" s="343">
        <v>20</v>
      </c>
      <c r="P310" s="343" t="s">
        <v>3427</v>
      </c>
      <c r="R310" s="863">
        <v>40000</v>
      </c>
      <c r="S310" s="343" t="s">
        <v>3423</v>
      </c>
      <c r="T310" s="343" t="s">
        <v>3428</v>
      </c>
      <c r="X310" s="863"/>
      <c r="Y310" s="863"/>
    </row>
    <row r="311" spans="1:25" s="343" customFormat="1" ht="0.65" hidden="1" customHeight="1">
      <c r="A311" s="343">
        <v>1061</v>
      </c>
      <c r="O311" s="343">
        <v>21</v>
      </c>
      <c r="P311" s="343" t="s">
        <v>3429</v>
      </c>
      <c r="R311" s="863">
        <v>40000</v>
      </c>
      <c r="S311" s="343" t="s">
        <v>3423</v>
      </c>
      <c r="T311" s="343" t="s">
        <v>3430</v>
      </c>
      <c r="X311" s="863"/>
      <c r="Y311" s="863"/>
    </row>
    <row r="312" spans="1:25" s="343" customFormat="1" ht="0.65" hidden="1" customHeight="1">
      <c r="A312" s="343">
        <v>1062</v>
      </c>
      <c r="O312" s="343">
        <v>22</v>
      </c>
      <c r="P312" s="343" t="s">
        <v>3431</v>
      </c>
      <c r="R312" s="863">
        <v>12000</v>
      </c>
      <c r="S312" s="343" t="s">
        <v>3432</v>
      </c>
      <c r="T312" s="343" t="s">
        <v>3433</v>
      </c>
      <c r="X312" s="863"/>
      <c r="Y312" s="863"/>
    </row>
    <row r="313" spans="1:25" s="343" customFormat="1" ht="0.65" hidden="1" customHeight="1">
      <c r="A313" s="343">
        <v>1063</v>
      </c>
      <c r="O313" s="343">
        <v>23</v>
      </c>
      <c r="P313" s="343" t="s">
        <v>3434</v>
      </c>
      <c r="R313" s="863">
        <v>12000</v>
      </c>
      <c r="S313" s="343" t="s">
        <v>3432</v>
      </c>
      <c r="T313" s="343" t="s">
        <v>3435</v>
      </c>
      <c r="X313" s="863"/>
      <c r="Y313" s="863"/>
    </row>
    <row r="314" spans="1:25" s="343" customFormat="1" ht="0.65" hidden="1" customHeight="1">
      <c r="A314" s="343">
        <v>1064</v>
      </c>
      <c r="O314" s="343">
        <v>24</v>
      </c>
      <c r="P314" s="343" t="s">
        <v>3436</v>
      </c>
      <c r="R314" s="863">
        <v>12000</v>
      </c>
      <c r="S314" s="343" t="s">
        <v>3432</v>
      </c>
      <c r="T314" s="343" t="s">
        <v>3437</v>
      </c>
      <c r="X314" s="863"/>
      <c r="Y314" s="863"/>
    </row>
    <row r="315" spans="1:25" s="343" customFormat="1" ht="0.65" hidden="1" customHeight="1">
      <c r="A315" s="343">
        <v>1065</v>
      </c>
      <c r="O315" s="343">
        <v>25</v>
      </c>
      <c r="P315" s="343" t="s">
        <v>3438</v>
      </c>
      <c r="R315" s="863">
        <v>12000</v>
      </c>
      <c r="S315" s="343" t="s">
        <v>3432</v>
      </c>
      <c r="T315" s="343" t="s">
        <v>3439</v>
      </c>
      <c r="X315" s="863"/>
      <c r="Y315" s="863"/>
    </row>
    <row r="316" spans="1:25" s="343" customFormat="1" ht="0.65" hidden="1" customHeight="1">
      <c r="A316" s="343">
        <v>1066</v>
      </c>
      <c r="O316" s="343">
        <v>26</v>
      </c>
      <c r="P316" s="343" t="s">
        <v>3440</v>
      </c>
      <c r="R316" s="863">
        <v>28000</v>
      </c>
      <c r="S316" s="343" t="s">
        <v>3441</v>
      </c>
      <c r="T316" s="343" t="s">
        <v>3442</v>
      </c>
      <c r="X316" s="863"/>
      <c r="Y316" s="863"/>
    </row>
    <row r="317" spans="1:25" s="343" customFormat="1" ht="0.65" hidden="1" customHeight="1">
      <c r="A317" s="343">
        <v>1067</v>
      </c>
      <c r="O317" s="343">
        <v>27</v>
      </c>
      <c r="P317" s="343" t="s">
        <v>3443</v>
      </c>
      <c r="R317" s="863">
        <v>28000</v>
      </c>
      <c r="S317" s="343" t="s">
        <v>3441</v>
      </c>
      <c r="T317" s="343" t="s">
        <v>3444</v>
      </c>
      <c r="X317" s="863"/>
      <c r="Y317" s="863"/>
    </row>
    <row r="318" spans="1:25" s="343" customFormat="1" ht="0.65" hidden="1" customHeight="1">
      <c r="A318" s="343">
        <v>1068</v>
      </c>
      <c r="O318" s="343">
        <v>28</v>
      </c>
      <c r="P318" s="343" t="s">
        <v>3445</v>
      </c>
      <c r="R318" s="863">
        <v>28000</v>
      </c>
      <c r="S318" s="343" t="s">
        <v>3441</v>
      </c>
      <c r="T318" s="343" t="s">
        <v>3446</v>
      </c>
      <c r="X318" s="863"/>
      <c r="Y318" s="863"/>
    </row>
    <row r="319" spans="1:25" s="343" customFormat="1" ht="0.65" hidden="1" customHeight="1">
      <c r="A319" s="343">
        <v>1069</v>
      </c>
      <c r="O319" s="343">
        <v>29</v>
      </c>
      <c r="P319" s="343" t="s">
        <v>3447</v>
      </c>
      <c r="R319" s="863">
        <v>28000</v>
      </c>
      <c r="S319" s="343" t="s">
        <v>3441</v>
      </c>
      <c r="T319" s="343" t="s">
        <v>3448</v>
      </c>
      <c r="X319" s="863"/>
      <c r="Y319" s="863"/>
    </row>
    <row r="320" spans="1:25" s="343" customFormat="1" ht="0.65" hidden="1" customHeight="1">
      <c r="A320" s="343">
        <v>1070</v>
      </c>
      <c r="O320" s="343">
        <v>30</v>
      </c>
      <c r="P320" s="343" t="s">
        <v>3449</v>
      </c>
      <c r="R320" s="863">
        <v>48000</v>
      </c>
      <c r="S320" s="863" t="s">
        <v>3450</v>
      </c>
      <c r="T320" s="343" t="s">
        <v>3451</v>
      </c>
      <c r="X320" s="863"/>
      <c r="Y320" s="863"/>
    </row>
    <row r="321" spans="1:25" s="343" customFormat="1" ht="0.65" hidden="1" customHeight="1">
      <c r="A321" s="343">
        <v>1071</v>
      </c>
      <c r="O321" s="343">
        <v>31</v>
      </c>
      <c r="P321" s="343" t="s">
        <v>3452</v>
      </c>
      <c r="R321" s="863">
        <v>48000</v>
      </c>
      <c r="S321" s="863" t="s">
        <v>3450</v>
      </c>
      <c r="T321" s="343" t="s">
        <v>3453</v>
      </c>
      <c r="X321" s="863"/>
      <c r="Y321" s="863"/>
    </row>
    <row r="322" spans="1:25" s="343" customFormat="1" ht="0.65" hidden="1" customHeight="1">
      <c r="A322" s="343">
        <v>1072</v>
      </c>
      <c r="O322" s="343">
        <v>32</v>
      </c>
      <c r="P322" s="343" t="s">
        <v>3454</v>
      </c>
      <c r="R322" s="863">
        <v>48000</v>
      </c>
      <c r="S322" s="863" t="s">
        <v>3450</v>
      </c>
      <c r="T322" s="343" t="s">
        <v>3455</v>
      </c>
      <c r="X322" s="863"/>
      <c r="Y322" s="863"/>
    </row>
    <row r="323" spans="1:25" s="343" customFormat="1" ht="0.65" hidden="1" customHeight="1">
      <c r="A323" s="343">
        <v>1073</v>
      </c>
      <c r="O323" s="343">
        <v>33</v>
      </c>
      <c r="P323" s="343" t="s">
        <v>3456</v>
      </c>
      <c r="R323" s="863">
        <v>48000</v>
      </c>
      <c r="S323" s="863" t="s">
        <v>3450</v>
      </c>
      <c r="T323" s="343" t="s">
        <v>3457</v>
      </c>
      <c r="X323" s="863"/>
      <c r="Y323" s="863"/>
    </row>
    <row r="324" spans="1:25" s="343" customFormat="1" ht="0.65" hidden="1" customHeight="1">
      <c r="A324" s="343">
        <v>1074</v>
      </c>
      <c r="O324" s="343">
        <v>34</v>
      </c>
      <c r="P324" s="343" t="s">
        <v>3458</v>
      </c>
      <c r="R324" s="863">
        <v>20000</v>
      </c>
      <c r="S324" s="343" t="s">
        <v>3459</v>
      </c>
      <c r="T324" s="893" t="s">
        <v>3460</v>
      </c>
      <c r="X324" s="863"/>
      <c r="Y324" s="863"/>
    </row>
    <row r="325" spans="1:25" s="343" customFormat="1" ht="0.65" hidden="1" customHeight="1">
      <c r="A325" s="343">
        <v>1075</v>
      </c>
      <c r="O325" s="343">
        <v>35</v>
      </c>
      <c r="P325" s="343" t="s">
        <v>3461</v>
      </c>
      <c r="R325" s="863">
        <v>20000</v>
      </c>
      <c r="S325" s="863" t="s">
        <v>3459</v>
      </c>
      <c r="T325" s="893" t="s">
        <v>3462</v>
      </c>
      <c r="X325" s="863"/>
      <c r="Y325" s="863"/>
    </row>
    <row r="326" spans="1:25" s="343" customFormat="1" ht="0.65" hidden="1" customHeight="1">
      <c r="A326" s="343">
        <v>1076</v>
      </c>
      <c r="O326" s="343">
        <v>36</v>
      </c>
      <c r="P326" s="343" t="s">
        <v>3463</v>
      </c>
      <c r="R326" s="863">
        <v>20000</v>
      </c>
      <c r="S326" s="863" t="s">
        <v>3459</v>
      </c>
      <c r="T326" s="893" t="s">
        <v>3464</v>
      </c>
      <c r="X326" s="863"/>
      <c r="Y326" s="863"/>
    </row>
    <row r="327" spans="1:25" s="343" customFormat="1" ht="0.65" hidden="1" customHeight="1">
      <c r="A327" s="343">
        <v>1077</v>
      </c>
      <c r="O327" s="343">
        <v>37</v>
      </c>
      <c r="P327" s="343" t="s">
        <v>3465</v>
      </c>
      <c r="R327" s="863">
        <v>20000</v>
      </c>
      <c r="S327" s="863" t="s">
        <v>3459</v>
      </c>
      <c r="T327" s="893" t="s">
        <v>3466</v>
      </c>
      <c r="X327" s="863"/>
      <c r="Y327" s="863"/>
    </row>
    <row r="328" spans="1:25" s="343" customFormat="1" ht="0.65" hidden="1" customHeight="1">
      <c r="A328" s="343">
        <v>1078</v>
      </c>
      <c r="O328" s="343">
        <v>38</v>
      </c>
      <c r="P328" s="343" t="s">
        <v>3467</v>
      </c>
      <c r="R328" s="863">
        <v>20000</v>
      </c>
      <c r="S328" s="863" t="s">
        <v>3459</v>
      </c>
      <c r="T328" s="893" t="s">
        <v>3466</v>
      </c>
      <c r="X328" s="863"/>
      <c r="Y328" s="863"/>
    </row>
    <row r="329" spans="1:25" s="343" customFormat="1" ht="0.65" hidden="1" customHeight="1">
      <c r="A329" s="343">
        <v>1079</v>
      </c>
      <c r="O329" s="343">
        <v>39</v>
      </c>
      <c r="P329" s="343" t="s">
        <v>3468</v>
      </c>
      <c r="R329" s="863">
        <v>75000</v>
      </c>
      <c r="S329" s="343" t="s">
        <v>3469</v>
      </c>
      <c r="T329" s="343" t="s">
        <v>3470</v>
      </c>
      <c r="X329" s="863"/>
      <c r="Y329" s="863"/>
    </row>
    <row r="330" spans="1:25" s="343" customFormat="1" ht="0.65" hidden="1" customHeight="1">
      <c r="A330" s="343">
        <v>1080</v>
      </c>
      <c r="O330" s="343">
        <v>40</v>
      </c>
      <c r="P330" s="343" t="s">
        <v>3471</v>
      </c>
      <c r="R330" s="863">
        <v>75000</v>
      </c>
      <c r="S330" s="863" t="s">
        <v>3469</v>
      </c>
      <c r="T330" s="343" t="s">
        <v>3472</v>
      </c>
      <c r="X330" s="863"/>
      <c r="Y330" s="863"/>
    </row>
    <row r="331" spans="1:25" s="343" customFormat="1" ht="0.65" hidden="1" customHeight="1">
      <c r="A331" s="343">
        <v>1081</v>
      </c>
      <c r="O331" s="343">
        <v>41</v>
      </c>
      <c r="P331" s="343" t="s">
        <v>3473</v>
      </c>
      <c r="R331" s="863">
        <v>75000</v>
      </c>
      <c r="S331" s="863" t="s">
        <v>3469</v>
      </c>
      <c r="T331" s="343" t="s">
        <v>3474</v>
      </c>
      <c r="X331" s="863"/>
      <c r="Y331" s="863"/>
    </row>
    <row r="332" spans="1:25" s="343" customFormat="1" ht="0.65" hidden="1" customHeight="1">
      <c r="A332" s="343">
        <v>1082</v>
      </c>
      <c r="O332" s="343">
        <v>42</v>
      </c>
      <c r="P332" s="343" t="s">
        <v>3475</v>
      </c>
      <c r="R332" s="863">
        <v>75000</v>
      </c>
      <c r="S332" s="863" t="s">
        <v>3469</v>
      </c>
      <c r="T332" s="343" t="s">
        <v>3476</v>
      </c>
      <c r="X332" s="863"/>
      <c r="Y332" s="863"/>
    </row>
    <row r="333" spans="1:25" s="343" customFormat="1" ht="0.65" hidden="1" customHeight="1">
      <c r="A333" s="343">
        <v>1083</v>
      </c>
      <c r="O333" s="343">
        <v>43</v>
      </c>
      <c r="P333" s="343" t="s">
        <v>3477</v>
      </c>
      <c r="R333" s="863">
        <v>75000</v>
      </c>
      <c r="S333" s="863" t="s">
        <v>3469</v>
      </c>
      <c r="T333" s="343" t="s">
        <v>3478</v>
      </c>
      <c r="X333" s="863"/>
      <c r="Y333" s="863"/>
    </row>
    <row r="334" spans="1:25" s="343" customFormat="1" ht="0.65" hidden="1" customHeight="1">
      <c r="A334" s="343">
        <v>1084</v>
      </c>
      <c r="O334" s="343">
        <v>44</v>
      </c>
      <c r="P334" s="343" t="s">
        <v>3479</v>
      </c>
      <c r="R334" s="863">
        <v>40000</v>
      </c>
      <c r="S334" s="343" t="s">
        <v>3480</v>
      </c>
      <c r="T334" s="343" t="s">
        <v>3481</v>
      </c>
      <c r="X334" s="863"/>
      <c r="Y334" s="863"/>
    </row>
    <row r="335" spans="1:25" s="343" customFormat="1" ht="0.65" hidden="1" customHeight="1">
      <c r="A335" s="343">
        <v>1085</v>
      </c>
      <c r="O335" s="343">
        <v>45</v>
      </c>
      <c r="P335" s="343" t="s">
        <v>3482</v>
      </c>
      <c r="R335" s="863">
        <v>40000</v>
      </c>
      <c r="S335" s="863" t="s">
        <v>3480</v>
      </c>
      <c r="T335" s="343" t="s">
        <v>3483</v>
      </c>
      <c r="X335" s="863"/>
      <c r="Y335" s="863"/>
    </row>
    <row r="336" spans="1:25" s="343" customFormat="1" ht="0.65" hidden="1" customHeight="1">
      <c r="A336" s="343">
        <v>1086</v>
      </c>
      <c r="O336" s="343">
        <v>46</v>
      </c>
      <c r="P336" s="343" t="s">
        <v>3484</v>
      </c>
      <c r="R336" s="863">
        <v>40000</v>
      </c>
      <c r="S336" s="863" t="s">
        <v>3480</v>
      </c>
      <c r="T336" s="343" t="s">
        <v>3485</v>
      </c>
      <c r="X336" s="863"/>
      <c r="Y336" s="863"/>
    </row>
    <row r="337" spans="1:25" s="343" customFormat="1" ht="0.65" hidden="1" customHeight="1">
      <c r="A337" s="343">
        <v>1087</v>
      </c>
      <c r="O337" s="343">
        <v>47</v>
      </c>
      <c r="P337" s="343" t="s">
        <v>3486</v>
      </c>
      <c r="R337" s="863">
        <v>40000</v>
      </c>
      <c r="S337" s="863" t="s">
        <v>3480</v>
      </c>
      <c r="T337" s="343" t="s">
        <v>3487</v>
      </c>
      <c r="X337" s="863"/>
      <c r="Y337" s="863"/>
    </row>
    <row r="338" spans="1:25" s="343" customFormat="1" ht="0.65" hidden="1" customHeight="1">
      <c r="A338" s="343">
        <v>1088</v>
      </c>
      <c r="O338" s="343">
        <v>48</v>
      </c>
      <c r="P338" s="343" t="s">
        <v>3488</v>
      </c>
      <c r="R338" s="863">
        <v>40000</v>
      </c>
      <c r="S338" s="863" t="s">
        <v>3480</v>
      </c>
      <c r="T338" s="343" t="s">
        <v>3489</v>
      </c>
      <c r="X338" s="863"/>
      <c r="Y338" s="863"/>
    </row>
    <row r="339" spans="1:25" s="343" customFormat="1" ht="0.65" hidden="1" customHeight="1">
      <c r="A339" s="343">
        <v>1089</v>
      </c>
      <c r="O339" s="343">
        <v>49</v>
      </c>
      <c r="P339" s="343" t="s">
        <v>3490</v>
      </c>
      <c r="R339" s="863">
        <v>55000</v>
      </c>
      <c r="S339" s="863" t="s">
        <v>3491</v>
      </c>
      <c r="T339" s="343" t="s">
        <v>3492</v>
      </c>
      <c r="X339" s="863"/>
      <c r="Y339" s="863"/>
    </row>
    <row r="340" spans="1:25" s="343" customFormat="1" ht="0.65" hidden="1" customHeight="1">
      <c r="A340" s="343">
        <v>1090</v>
      </c>
      <c r="O340" s="343">
        <v>50</v>
      </c>
      <c r="P340" s="343" t="s">
        <v>3493</v>
      </c>
      <c r="R340" s="863">
        <v>55000</v>
      </c>
      <c r="S340" s="863" t="s">
        <v>3491</v>
      </c>
      <c r="T340" s="343" t="s">
        <v>3494</v>
      </c>
      <c r="X340" s="863"/>
      <c r="Y340" s="863"/>
    </row>
    <row r="341" spans="1:25" s="343" customFormat="1" ht="0.65" hidden="1" customHeight="1">
      <c r="A341" s="343">
        <v>1091</v>
      </c>
      <c r="O341" s="343">
        <v>51</v>
      </c>
      <c r="P341" s="343" t="s">
        <v>3495</v>
      </c>
      <c r="R341" s="863">
        <v>55000</v>
      </c>
      <c r="S341" s="863" t="s">
        <v>3491</v>
      </c>
      <c r="T341" s="343" t="s">
        <v>3496</v>
      </c>
      <c r="X341" s="863"/>
      <c r="Y341" s="863"/>
    </row>
    <row r="342" spans="1:25" s="343" customFormat="1" ht="0.65" hidden="1" customHeight="1">
      <c r="A342" s="343">
        <v>1092</v>
      </c>
      <c r="O342" s="343">
        <v>52</v>
      </c>
      <c r="P342" s="343" t="s">
        <v>3497</v>
      </c>
      <c r="R342" s="863">
        <v>55000</v>
      </c>
      <c r="S342" s="863" t="s">
        <v>3491</v>
      </c>
      <c r="T342" s="343" t="s">
        <v>3498</v>
      </c>
      <c r="X342" s="863"/>
      <c r="Y342" s="863"/>
    </row>
    <row r="343" spans="1:25" s="343" customFormat="1" ht="0.65" hidden="1" customHeight="1">
      <c r="A343" s="343">
        <v>1093</v>
      </c>
      <c r="O343" s="343">
        <v>53</v>
      </c>
      <c r="P343" s="343" t="s">
        <v>3499</v>
      </c>
      <c r="R343" s="863">
        <v>55000</v>
      </c>
      <c r="S343" s="863" t="s">
        <v>3491</v>
      </c>
      <c r="T343" s="343" t="s">
        <v>3500</v>
      </c>
      <c r="X343" s="863"/>
      <c r="Y343" s="863"/>
    </row>
    <row r="344" spans="1:25" s="343" customFormat="1" ht="0.65" hidden="1" customHeight="1">
      <c r="A344" s="343">
        <v>1094</v>
      </c>
      <c r="O344" s="343">
        <v>54</v>
      </c>
      <c r="P344" s="343" t="s">
        <v>3501</v>
      </c>
      <c r="R344" s="863">
        <v>55000</v>
      </c>
      <c r="S344" s="343" t="s">
        <v>3502</v>
      </c>
      <c r="T344" s="343" t="s">
        <v>3503</v>
      </c>
      <c r="X344" s="863"/>
      <c r="Y344" s="863"/>
    </row>
    <row r="345" spans="1:25" s="343" customFormat="1" ht="0.65" hidden="1" customHeight="1">
      <c r="A345" s="343">
        <v>1095</v>
      </c>
      <c r="O345" s="343">
        <v>55</v>
      </c>
      <c r="P345" s="343" t="s">
        <v>3504</v>
      </c>
      <c r="R345" s="863">
        <v>0</v>
      </c>
      <c r="S345" s="343" t="s">
        <v>3505</v>
      </c>
      <c r="T345" s="343" t="s">
        <v>3506</v>
      </c>
      <c r="X345" s="863"/>
      <c r="Y345" s="863"/>
    </row>
    <row r="346" spans="1:25" s="343" customFormat="1" ht="0.65" hidden="1" customHeight="1">
      <c r="A346" s="343">
        <v>1096</v>
      </c>
      <c r="O346" s="343">
        <v>56</v>
      </c>
      <c r="P346" s="343" t="s">
        <v>3507</v>
      </c>
      <c r="R346" s="863">
        <v>0</v>
      </c>
      <c r="S346" s="343" t="s">
        <v>3505</v>
      </c>
      <c r="T346" s="343" t="s">
        <v>3508</v>
      </c>
      <c r="X346" s="863"/>
      <c r="Y346" s="863"/>
    </row>
    <row r="347" spans="1:25" s="343" customFormat="1" ht="0.65" hidden="1" customHeight="1">
      <c r="A347" s="343">
        <v>1097</v>
      </c>
      <c r="O347" s="343">
        <v>57</v>
      </c>
      <c r="P347" s="343" t="s">
        <v>3509</v>
      </c>
      <c r="R347" s="863">
        <v>0</v>
      </c>
      <c r="S347" s="343" t="s">
        <v>3505</v>
      </c>
      <c r="T347" s="343" t="s">
        <v>3510</v>
      </c>
      <c r="X347" s="863"/>
      <c r="Y347" s="863"/>
    </row>
    <row r="348" spans="1:25" s="343" customFormat="1" ht="0.65" hidden="1" customHeight="1">
      <c r="A348" s="343">
        <v>1098</v>
      </c>
      <c r="O348" s="343">
        <v>58</v>
      </c>
      <c r="P348" s="343" t="s">
        <v>3511</v>
      </c>
      <c r="R348" s="863">
        <v>0</v>
      </c>
      <c r="S348" s="343" t="s">
        <v>3505</v>
      </c>
      <c r="T348" s="343" t="s">
        <v>3512</v>
      </c>
      <c r="X348" s="863"/>
      <c r="Y348" s="863"/>
    </row>
    <row r="349" spans="1:25" s="343" customFormat="1" ht="0.65" hidden="1" customHeight="1">
      <c r="A349" s="343">
        <v>1099</v>
      </c>
      <c r="O349" s="343">
        <v>59</v>
      </c>
      <c r="P349" s="343" t="s">
        <v>3513</v>
      </c>
      <c r="R349" s="863">
        <v>48000</v>
      </c>
      <c r="S349" s="863" t="s">
        <v>3514</v>
      </c>
      <c r="T349" s="343" t="s">
        <v>3515</v>
      </c>
      <c r="X349" s="863"/>
      <c r="Y349" s="863"/>
    </row>
    <row r="350" spans="1:25" s="343" customFormat="1" ht="0.65" hidden="1" customHeight="1">
      <c r="A350" s="343">
        <v>1100</v>
      </c>
      <c r="O350" s="343">
        <v>60</v>
      </c>
      <c r="P350" s="343" t="s">
        <v>3516</v>
      </c>
      <c r="R350" s="863">
        <v>48000</v>
      </c>
      <c r="S350" s="863" t="s">
        <v>3514</v>
      </c>
      <c r="T350" s="343" t="s">
        <v>3517</v>
      </c>
      <c r="X350" s="863"/>
      <c r="Y350" s="863"/>
    </row>
    <row r="351" spans="1:25" s="343" customFormat="1" ht="0.65" hidden="1" customHeight="1">
      <c r="A351" s="343">
        <v>1101</v>
      </c>
      <c r="O351" s="343">
        <v>61</v>
      </c>
      <c r="P351" s="343" t="s">
        <v>3518</v>
      </c>
      <c r="R351" s="863">
        <v>48000</v>
      </c>
      <c r="S351" s="863" t="s">
        <v>3514</v>
      </c>
      <c r="T351" s="343" t="s">
        <v>3519</v>
      </c>
      <c r="X351" s="863"/>
      <c r="Y351" s="863"/>
    </row>
    <row r="352" spans="1:25" s="343" customFormat="1" ht="0.65" hidden="1" customHeight="1">
      <c r="A352" s="343">
        <v>1102</v>
      </c>
      <c r="O352" s="343">
        <v>62</v>
      </c>
      <c r="P352" s="343" t="s">
        <v>3520</v>
      </c>
      <c r="R352" s="863">
        <v>48000</v>
      </c>
      <c r="S352" s="863" t="s">
        <v>3514</v>
      </c>
      <c r="T352" s="343" t="s">
        <v>3521</v>
      </c>
      <c r="X352" s="863"/>
      <c r="Y352" s="863"/>
    </row>
    <row r="353" spans="1:25" s="343" customFormat="1" ht="0.65" hidden="1" customHeight="1">
      <c r="A353" s="343">
        <v>1103</v>
      </c>
      <c r="O353" s="343">
        <v>63</v>
      </c>
      <c r="P353" s="343" t="s">
        <v>3389</v>
      </c>
      <c r="R353" s="863">
        <v>55000</v>
      </c>
      <c r="S353" s="343" t="s">
        <v>3502</v>
      </c>
      <c r="T353" s="343" t="s">
        <v>3522</v>
      </c>
      <c r="X353" s="863"/>
      <c r="Y353" s="863"/>
    </row>
    <row r="354" spans="1:25" s="343" customFormat="1" ht="0.65" hidden="1" customHeight="1">
      <c r="A354" s="343">
        <v>1104</v>
      </c>
      <c r="O354" s="343">
        <v>64</v>
      </c>
      <c r="P354" s="343" t="s">
        <v>3392</v>
      </c>
      <c r="R354" s="863">
        <v>43000</v>
      </c>
      <c r="S354" s="343" t="s">
        <v>3523</v>
      </c>
      <c r="T354" s="343" t="s">
        <v>3524</v>
      </c>
      <c r="X354" s="863"/>
      <c r="Y354" s="863"/>
    </row>
    <row r="355" spans="1:25" s="343" customFormat="1" ht="0.65" hidden="1" customHeight="1">
      <c r="A355" s="343">
        <v>1105</v>
      </c>
      <c r="O355" s="343">
        <v>65</v>
      </c>
      <c r="P355" s="343" t="s">
        <v>55</v>
      </c>
      <c r="R355" s="863" t="s">
        <v>55</v>
      </c>
      <c r="X355" s="863"/>
      <c r="Y355" s="863"/>
    </row>
    <row r="356" spans="1:25" s="343" customFormat="1" ht="0.65" hidden="1" customHeight="1">
      <c r="A356" s="343">
        <v>1106</v>
      </c>
      <c r="O356" s="343">
        <v>66</v>
      </c>
      <c r="P356" s="343" t="s">
        <v>55</v>
      </c>
      <c r="R356" s="863" t="s">
        <v>55</v>
      </c>
      <c r="X356" s="863"/>
      <c r="Y356" s="863"/>
    </row>
    <row r="357" spans="1:25" s="343" customFormat="1" ht="0.65" hidden="1" customHeight="1">
      <c r="A357" s="343">
        <v>1107</v>
      </c>
      <c r="O357" s="343">
        <v>67</v>
      </c>
      <c r="P357" s="343" t="s">
        <v>3394</v>
      </c>
      <c r="R357" s="863">
        <v>98000</v>
      </c>
      <c r="S357" s="343" t="s">
        <v>3525</v>
      </c>
      <c r="T357" s="343" t="s">
        <v>3526</v>
      </c>
      <c r="X357" s="863"/>
      <c r="Y357" s="863"/>
    </row>
    <row r="358" spans="1:25" s="343" customFormat="1" ht="0.65" hidden="1" customHeight="1">
      <c r="A358" s="343">
        <v>1108</v>
      </c>
      <c r="O358" s="343">
        <v>68</v>
      </c>
      <c r="P358" s="343" t="s">
        <v>3527</v>
      </c>
      <c r="R358" s="863">
        <v>-143000</v>
      </c>
      <c r="S358" s="343" t="s">
        <v>3528</v>
      </c>
      <c r="T358" s="343" t="s">
        <v>3529</v>
      </c>
      <c r="X358" s="863"/>
      <c r="Y358" s="863"/>
    </row>
    <row r="359" spans="1:25" s="343" customFormat="1" ht="0.65" hidden="1" customHeight="1">
      <c r="A359" s="343">
        <v>1109</v>
      </c>
      <c r="O359" s="343">
        <v>69</v>
      </c>
      <c r="P359" s="343" t="s">
        <v>3530</v>
      </c>
      <c r="R359" s="863">
        <v>48000</v>
      </c>
      <c r="S359" s="343" t="s">
        <v>3531</v>
      </c>
      <c r="T359" s="343" t="s">
        <v>3532</v>
      </c>
      <c r="X359" s="863"/>
      <c r="Y359" s="863"/>
    </row>
    <row r="360" spans="1:25" s="343" customFormat="1" ht="0.65" hidden="1" customHeight="1">
      <c r="A360" s="343">
        <v>1110</v>
      </c>
      <c r="O360" s="343">
        <v>70</v>
      </c>
      <c r="P360" s="343" t="s">
        <v>3533</v>
      </c>
      <c r="R360" s="863">
        <v>48000</v>
      </c>
      <c r="S360" s="343" t="s">
        <v>3531</v>
      </c>
      <c r="T360" s="343" t="s">
        <v>3534</v>
      </c>
      <c r="X360" s="863"/>
      <c r="Y360" s="863"/>
    </row>
    <row r="361" spans="1:25" s="343" customFormat="1" ht="0.65" hidden="1" customHeight="1">
      <c r="A361" s="343">
        <v>1111</v>
      </c>
      <c r="O361" s="343">
        <v>71</v>
      </c>
      <c r="P361" s="343" t="s">
        <v>3535</v>
      </c>
      <c r="R361" s="863">
        <v>48000</v>
      </c>
      <c r="S361" s="343" t="s">
        <v>3531</v>
      </c>
      <c r="T361" s="343" t="s">
        <v>3536</v>
      </c>
      <c r="X361" s="863"/>
      <c r="Y361" s="863"/>
    </row>
    <row r="362" spans="1:25" s="343" customFormat="1" ht="0.65" hidden="1" customHeight="1">
      <c r="A362" s="343">
        <v>1112</v>
      </c>
      <c r="O362" s="343">
        <v>72</v>
      </c>
      <c r="P362" s="343" t="s">
        <v>3537</v>
      </c>
      <c r="R362" s="863">
        <v>146000</v>
      </c>
      <c r="S362" s="343" t="s">
        <v>3538</v>
      </c>
      <c r="T362" s="343" t="s">
        <v>3539</v>
      </c>
      <c r="X362" s="863"/>
      <c r="Y362" s="863"/>
    </row>
    <row r="363" spans="1:25" s="343" customFormat="1" ht="0.65" hidden="1" customHeight="1">
      <c r="A363" s="343">
        <v>1113</v>
      </c>
      <c r="O363" s="343">
        <v>73</v>
      </c>
      <c r="P363" s="343" t="s">
        <v>3540</v>
      </c>
      <c r="R363" s="864">
        <v>0.1</v>
      </c>
      <c r="S363" s="343" t="s">
        <v>3541</v>
      </c>
      <c r="T363" s="343" t="s">
        <v>3542</v>
      </c>
      <c r="X363" s="863"/>
      <c r="Y363" s="863"/>
    </row>
    <row r="364" spans="1:25" s="343" customFormat="1" ht="0.65" hidden="1" customHeight="1">
      <c r="A364" s="343">
        <v>1114</v>
      </c>
      <c r="O364" s="343">
        <v>74</v>
      </c>
      <c r="P364" s="343" t="s">
        <v>13</v>
      </c>
      <c r="R364" s="863">
        <v>76088.860050542949</v>
      </c>
      <c r="S364" s="343" t="s">
        <v>3543</v>
      </c>
      <c r="T364" s="343" t="s">
        <v>3544</v>
      </c>
      <c r="X364" s="863"/>
      <c r="Y364" s="863"/>
    </row>
    <row r="365" spans="1:25" s="343" customFormat="1" ht="0.65" hidden="1" customHeight="1">
      <c r="A365" s="343">
        <v>1115</v>
      </c>
      <c r="O365" s="343">
        <v>75</v>
      </c>
      <c r="P365" s="343" t="s">
        <v>28</v>
      </c>
      <c r="R365" s="864">
        <v>0.2836182382173551</v>
      </c>
      <c r="S365" s="343" t="s">
        <v>3545</v>
      </c>
      <c r="T365" s="343" t="s">
        <v>3546</v>
      </c>
      <c r="X365" s="863"/>
      <c r="Y365" s="863"/>
    </row>
    <row r="366" spans="1:25" s="343" customFormat="1" ht="0.65" hidden="1" customHeight="1">
      <c r="A366" s="343">
        <v>1116</v>
      </c>
      <c r="X366" s="863"/>
      <c r="Y366" s="863"/>
    </row>
    <row r="367" spans="1:25" s="343" customFormat="1" ht="0.65" hidden="1" customHeight="1">
      <c r="A367" s="343">
        <v>1117</v>
      </c>
      <c r="O367" s="343">
        <v>1</v>
      </c>
      <c r="P367" s="343" t="s">
        <v>3547</v>
      </c>
      <c r="X367" s="863"/>
      <c r="Y367" s="863"/>
    </row>
    <row r="368" spans="1:25" s="343" customFormat="1" ht="0.65" hidden="1" customHeight="1">
      <c r="A368" s="343">
        <v>1118</v>
      </c>
      <c r="O368" s="343">
        <v>2</v>
      </c>
      <c r="P368" s="343" t="s">
        <v>3919</v>
      </c>
      <c r="X368" s="863"/>
      <c r="Y368" s="863"/>
    </row>
    <row r="369" spans="1:25" s="343" customFormat="1" ht="0.65" hidden="1" customHeight="1">
      <c r="A369" s="343">
        <v>1119</v>
      </c>
      <c r="O369" s="343">
        <v>3</v>
      </c>
      <c r="P369" s="343" t="s">
        <v>3920</v>
      </c>
      <c r="X369" s="863"/>
      <c r="Y369" s="863"/>
    </row>
    <row r="370" spans="1:25" s="343" customFormat="1" ht="0.65" hidden="1" customHeight="1">
      <c r="A370" s="343">
        <v>1120</v>
      </c>
      <c r="O370" s="343">
        <v>4</v>
      </c>
      <c r="P370" s="343" t="s">
        <v>3921</v>
      </c>
      <c r="X370" s="863"/>
      <c r="Y370" s="863"/>
    </row>
    <row r="371" spans="1:25" s="343" customFormat="1" ht="0.65" hidden="1" customHeight="1">
      <c r="A371" s="343">
        <v>1121</v>
      </c>
      <c r="O371" s="343">
        <v>5</v>
      </c>
      <c r="P371" s="343" t="s">
        <v>3922</v>
      </c>
      <c r="X371" s="863"/>
      <c r="Y371" s="863"/>
    </row>
    <row r="372" spans="1:25" s="343" customFormat="1" ht="0.65" hidden="1" customHeight="1">
      <c r="A372" s="343">
        <v>1122</v>
      </c>
      <c r="O372" s="343">
        <v>6</v>
      </c>
      <c r="P372" s="343" t="s">
        <v>3552</v>
      </c>
      <c r="X372" s="863"/>
      <c r="Y372" s="863"/>
    </row>
    <row r="373" spans="1:25" s="343" customFormat="1" ht="0.65" hidden="1" customHeight="1">
      <c r="A373" s="343">
        <v>1123</v>
      </c>
      <c r="O373" s="343">
        <v>7</v>
      </c>
      <c r="X373" s="863"/>
      <c r="Y373" s="863"/>
    </row>
    <row r="374" spans="1:25" s="343" customFormat="1" ht="0.65" hidden="1" customHeight="1">
      <c r="A374" s="343">
        <v>1124</v>
      </c>
      <c r="O374" s="343">
        <v>8</v>
      </c>
      <c r="X374" s="863"/>
      <c r="Y374" s="863"/>
    </row>
    <row r="375" spans="1:25" s="343" customFormat="1" ht="0.65" hidden="1" customHeight="1">
      <c r="A375" s="343">
        <v>1125</v>
      </c>
      <c r="O375" s="343">
        <v>9</v>
      </c>
      <c r="X375" s="863"/>
      <c r="Y375" s="863"/>
    </row>
    <row r="376" spans="1:25" s="343" customFormat="1" ht="0.65" hidden="1" customHeight="1">
      <c r="A376" s="343">
        <v>1126</v>
      </c>
      <c r="O376" s="343">
        <v>10</v>
      </c>
      <c r="X376" s="863"/>
      <c r="Y376" s="863"/>
    </row>
    <row r="377" spans="1:25" s="343" customFormat="1" ht="0.65" hidden="1" customHeight="1">
      <c r="A377" s="343">
        <v>1127</v>
      </c>
      <c r="X377" s="863"/>
      <c r="Y377" s="863"/>
    </row>
    <row r="378" spans="1:25" s="343" customFormat="1" ht="0.65" hidden="1" customHeight="1">
      <c r="A378" s="343">
        <v>1128</v>
      </c>
      <c r="X378" s="863"/>
      <c r="Y378" s="863"/>
    </row>
    <row r="379" spans="1:25" s="343" customFormat="1" ht="0.65" hidden="1" customHeight="1">
      <c r="A379" s="343">
        <v>1129</v>
      </c>
      <c r="X379" s="863"/>
      <c r="Y379" s="863"/>
    </row>
    <row r="380" spans="1:25" s="343" customFormat="1" ht="0.65" hidden="1" customHeight="1">
      <c r="A380" s="343">
        <v>1130</v>
      </c>
      <c r="X380" s="863"/>
      <c r="Y380" s="863"/>
    </row>
    <row r="381" spans="1:25" s="343" customFormat="1" ht="0.65" hidden="1" customHeight="1">
      <c r="A381" s="653">
        <v>1</v>
      </c>
      <c r="B381" s="653">
        <v>2</v>
      </c>
      <c r="C381" s="653">
        <v>3</v>
      </c>
      <c r="D381" s="653">
        <v>4</v>
      </c>
      <c r="E381" s="653">
        <v>5</v>
      </c>
      <c r="F381" s="653">
        <v>6</v>
      </c>
      <c r="G381" s="653">
        <v>7</v>
      </c>
      <c r="H381" s="653">
        <v>8</v>
      </c>
      <c r="I381" s="653">
        <v>9</v>
      </c>
      <c r="J381" s="653">
        <v>10</v>
      </c>
      <c r="K381" s="653">
        <v>11</v>
      </c>
      <c r="L381" s="653">
        <v>12</v>
      </c>
      <c r="M381" s="653">
        <v>13</v>
      </c>
      <c r="N381" s="653">
        <v>14</v>
      </c>
      <c r="O381" s="653">
        <v>15</v>
      </c>
      <c r="P381" s="653">
        <v>16</v>
      </c>
      <c r="Q381" s="653">
        <v>17</v>
      </c>
      <c r="R381" s="653">
        <v>18</v>
      </c>
      <c r="S381" s="653">
        <v>19</v>
      </c>
      <c r="T381" s="653">
        <v>20</v>
      </c>
      <c r="U381" s="653">
        <v>21</v>
      </c>
      <c r="V381" s="653">
        <v>22</v>
      </c>
      <c r="W381" s="653">
        <v>23</v>
      </c>
    </row>
    <row r="382" spans="1:25" s="343" customFormat="1" ht="0.65" hidden="1" customHeight="1">
      <c r="A382" s="343">
        <v>2</v>
      </c>
    </row>
    <row r="383" spans="1:25" s="343" customFormat="1" ht="0.65" hidden="1" customHeight="1">
      <c r="A383" s="343">
        <v>2001</v>
      </c>
      <c r="B383" s="343" t="s">
        <v>3553</v>
      </c>
      <c r="E383" s="343" t="s">
        <v>3554</v>
      </c>
      <c r="M383" s="863" t="s">
        <v>3554</v>
      </c>
      <c r="N383" s="863"/>
      <c r="O383" s="863"/>
      <c r="P383" s="863"/>
      <c r="Q383" s="863"/>
      <c r="R383" s="863"/>
      <c r="S383" s="863"/>
      <c r="T383" s="863"/>
      <c r="U383" s="863"/>
      <c r="V383" s="863"/>
    </row>
    <row r="384" spans="1:25" s="343" customFormat="1" ht="0.65" hidden="1" customHeight="1">
      <c r="A384" s="343">
        <v>2002</v>
      </c>
      <c r="M384" s="863"/>
      <c r="N384" s="865" t="s">
        <v>55</v>
      </c>
      <c r="O384" s="865" t="s">
        <v>55</v>
      </c>
      <c r="P384" s="865" t="s">
        <v>55</v>
      </c>
      <c r="Q384" s="865" t="s">
        <v>55</v>
      </c>
      <c r="R384" s="865" t="s">
        <v>55</v>
      </c>
      <c r="S384" s="865" t="s">
        <v>55</v>
      </c>
      <c r="T384" s="865" t="s">
        <v>55</v>
      </c>
      <c r="U384" s="865" t="s">
        <v>55</v>
      </c>
      <c r="V384" s="865" t="s">
        <v>55</v>
      </c>
    </row>
    <row r="385" spans="1:25" s="343" customFormat="1" ht="0.65" hidden="1" customHeight="1">
      <c r="A385" s="343">
        <v>2003</v>
      </c>
      <c r="B385" s="343" t="s">
        <v>3555</v>
      </c>
      <c r="E385" s="343" t="s">
        <v>3556</v>
      </c>
      <c r="F385" s="659">
        <v>50000</v>
      </c>
      <c r="H385" s="343" t="s">
        <v>3365</v>
      </c>
      <c r="I385" s="659">
        <v>300000</v>
      </c>
      <c r="M385" s="659"/>
      <c r="N385" s="866"/>
      <c r="O385" s="866"/>
      <c r="P385" s="866"/>
      <c r="Q385" s="866"/>
      <c r="R385" s="866"/>
      <c r="S385" s="866"/>
      <c r="T385" s="866"/>
      <c r="U385" s="866"/>
      <c r="V385" s="866"/>
    </row>
    <row r="386" spans="1:25" s="343" customFormat="1" ht="0.65" hidden="1" customHeight="1">
      <c r="A386" s="343">
        <v>2004</v>
      </c>
      <c r="B386" s="343" t="s">
        <v>3557</v>
      </c>
      <c r="E386" s="343" t="s">
        <v>3558</v>
      </c>
      <c r="F386" s="653" t="s">
        <v>396</v>
      </c>
      <c r="H386" s="343" t="s">
        <v>3368</v>
      </c>
      <c r="I386" s="659">
        <v>240000</v>
      </c>
      <c r="M386" s="663"/>
      <c r="N386" s="343">
        <v>0</v>
      </c>
      <c r="O386" s="343">
        <v>0</v>
      </c>
      <c r="P386" s="343">
        <v>0</v>
      </c>
      <c r="Q386" s="343">
        <v>0</v>
      </c>
      <c r="R386" s="343">
        <v>0</v>
      </c>
      <c r="S386" s="343">
        <v>0</v>
      </c>
      <c r="T386" s="343">
        <v>0</v>
      </c>
      <c r="U386" s="343">
        <v>0</v>
      </c>
      <c r="V386" s="863">
        <v>-193000</v>
      </c>
    </row>
    <row r="387" spans="1:25" s="343" customFormat="1" ht="0.65" hidden="1" customHeight="1">
      <c r="A387" s="343">
        <v>2005</v>
      </c>
      <c r="B387" s="343" t="s">
        <v>3559</v>
      </c>
      <c r="M387" s="663"/>
      <c r="N387" s="863">
        <v>300000</v>
      </c>
      <c r="O387" s="863">
        <v>240000</v>
      </c>
      <c r="P387" s="863">
        <v>25000</v>
      </c>
      <c r="Q387" s="863">
        <v>35000</v>
      </c>
      <c r="R387" s="863">
        <v>10500</v>
      </c>
      <c r="S387" s="863">
        <v>24500</v>
      </c>
      <c r="T387" s="863">
        <v>49500</v>
      </c>
      <c r="U387" s="863">
        <v>49500</v>
      </c>
      <c r="V387" s="863">
        <v>49500</v>
      </c>
    </row>
    <row r="388" spans="1:25" s="343" customFormat="1" ht="0.65" hidden="1" customHeight="1">
      <c r="A388" s="343">
        <v>2006</v>
      </c>
      <c r="B388" s="343" t="s">
        <v>3560</v>
      </c>
      <c r="E388" s="343" t="s">
        <v>3561</v>
      </c>
      <c r="F388" s="659">
        <v>200000</v>
      </c>
      <c r="H388" s="343" t="s">
        <v>3371</v>
      </c>
      <c r="I388" s="653">
        <v>90</v>
      </c>
      <c r="M388" s="663"/>
      <c r="N388" s="863">
        <v>300000</v>
      </c>
      <c r="O388" s="863">
        <v>240000</v>
      </c>
      <c r="P388" s="863">
        <v>25000</v>
      </c>
      <c r="Q388" s="863">
        <v>35000</v>
      </c>
      <c r="R388" s="863">
        <v>10500</v>
      </c>
      <c r="S388" s="863">
        <v>24500</v>
      </c>
      <c r="T388" s="863">
        <v>49500</v>
      </c>
      <c r="U388" s="863">
        <v>49500</v>
      </c>
      <c r="V388" s="863">
        <v>49500</v>
      </c>
    </row>
    <row r="389" spans="1:25" s="343" customFormat="1" ht="0.65" hidden="1" customHeight="1">
      <c r="A389" s="343">
        <v>2007</v>
      </c>
      <c r="B389" s="343" t="s">
        <v>3562</v>
      </c>
      <c r="E389" s="343" t="s">
        <v>3563</v>
      </c>
      <c r="F389" s="659">
        <v>40000</v>
      </c>
      <c r="H389" s="343" t="s">
        <v>3374</v>
      </c>
      <c r="I389" s="653">
        <v>60</v>
      </c>
      <c r="M389" s="663"/>
      <c r="N389" s="863">
        <v>300000</v>
      </c>
      <c r="O389" s="863">
        <v>240000</v>
      </c>
      <c r="P389" s="863">
        <v>25000</v>
      </c>
      <c r="Q389" s="863">
        <v>35000</v>
      </c>
      <c r="R389" s="863">
        <v>10500</v>
      </c>
      <c r="S389" s="863">
        <v>24500</v>
      </c>
      <c r="T389" s="863">
        <v>49500</v>
      </c>
      <c r="U389" s="863">
        <v>49500</v>
      </c>
      <c r="V389" s="863">
        <v>49500</v>
      </c>
    </row>
    <row r="390" spans="1:25" s="343" customFormat="1" ht="0.65" hidden="1" customHeight="1">
      <c r="A390" s="343">
        <v>2008</v>
      </c>
      <c r="E390" s="343" t="s">
        <v>3564</v>
      </c>
      <c r="F390" s="659">
        <v>20000</v>
      </c>
      <c r="H390" s="343" t="s">
        <v>3376</v>
      </c>
      <c r="I390" s="653">
        <v>30</v>
      </c>
      <c r="M390" s="663"/>
      <c r="N390" s="863">
        <v>300000</v>
      </c>
      <c r="O390" s="863">
        <v>240000</v>
      </c>
      <c r="P390" s="863">
        <v>25000</v>
      </c>
      <c r="Q390" s="863">
        <v>35000</v>
      </c>
      <c r="R390" s="863">
        <v>10500</v>
      </c>
      <c r="S390" s="863">
        <v>24500</v>
      </c>
      <c r="T390" s="863">
        <v>49500</v>
      </c>
      <c r="U390" s="863">
        <v>49500</v>
      </c>
      <c r="V390" s="863">
        <v>219500</v>
      </c>
    </row>
    <row r="391" spans="1:25" s="343" customFormat="1" ht="0.65" hidden="1" customHeight="1">
      <c r="A391" s="343">
        <v>2009</v>
      </c>
      <c r="B391" s="343" t="s">
        <v>3372</v>
      </c>
      <c r="E391" s="343" t="s">
        <v>3565</v>
      </c>
      <c r="F391" s="659">
        <v>100000</v>
      </c>
      <c r="N391" s="865" t="s">
        <v>55</v>
      </c>
      <c r="O391" s="865" t="s">
        <v>55</v>
      </c>
      <c r="P391" s="865" t="s">
        <v>55</v>
      </c>
      <c r="Q391" s="865" t="s">
        <v>55</v>
      </c>
      <c r="R391" s="865" t="s">
        <v>55</v>
      </c>
      <c r="T391" s="653"/>
      <c r="U391" s="653"/>
      <c r="V391" s="653"/>
      <c r="W391" s="659"/>
      <c r="X391" s="659"/>
      <c r="Y391" s="659"/>
    </row>
    <row r="392" spans="1:25" s="343" customFormat="1" ht="0.65" hidden="1" customHeight="1">
      <c r="A392" s="343">
        <v>2010</v>
      </c>
      <c r="B392" s="343" t="s">
        <v>3375</v>
      </c>
      <c r="H392" s="343" t="s">
        <v>3380</v>
      </c>
      <c r="I392" s="358">
        <v>0.1</v>
      </c>
      <c r="M392" s="659"/>
      <c r="N392" s="866"/>
      <c r="O392" s="866"/>
      <c r="P392" s="866"/>
      <c r="Q392" s="866"/>
      <c r="R392" s="866"/>
      <c r="U392" s="863"/>
      <c r="V392" s="863"/>
      <c r="W392" s="863"/>
      <c r="X392" s="863"/>
      <c r="Y392" s="863"/>
    </row>
    <row r="393" spans="1:25" s="343" customFormat="1" ht="0.65" hidden="1" customHeight="1">
      <c r="A393" s="343">
        <v>2011</v>
      </c>
      <c r="B393" s="343" t="s">
        <v>3377</v>
      </c>
      <c r="H393" s="343" t="s">
        <v>3381</v>
      </c>
      <c r="I393" s="358">
        <v>0.3</v>
      </c>
      <c r="M393" s="663"/>
      <c r="N393" s="863">
        <v>20000</v>
      </c>
      <c r="O393" s="863">
        <v>75000</v>
      </c>
      <c r="P393" s="863">
        <v>40000</v>
      </c>
      <c r="Q393" s="863">
        <v>55000</v>
      </c>
      <c r="R393" s="863">
        <v>55000</v>
      </c>
      <c r="U393" s="1064" t="s">
        <v>55</v>
      </c>
      <c r="V393" s="1064"/>
      <c r="W393" s="863"/>
      <c r="X393" s="863"/>
      <c r="Y393" s="863"/>
    </row>
    <row r="394" spans="1:25" s="343" customFormat="1" ht="0.65" hidden="1" customHeight="1">
      <c r="A394" s="343">
        <v>2012</v>
      </c>
      <c r="B394" s="343" t="s">
        <v>3379</v>
      </c>
      <c r="M394" s="663"/>
      <c r="N394" s="863">
        <v>20000</v>
      </c>
      <c r="O394" s="863">
        <v>75000</v>
      </c>
      <c r="P394" s="863">
        <v>40000</v>
      </c>
      <c r="Q394" s="863">
        <v>55000</v>
      </c>
      <c r="R394" s="863">
        <v>0</v>
      </c>
      <c r="U394" s="1064"/>
      <c r="V394" s="1064"/>
      <c r="W394" s="863"/>
      <c r="X394" s="863"/>
      <c r="Y394" s="863"/>
    </row>
    <row r="395" spans="1:25" s="343" customFormat="1" ht="0.65" hidden="1" customHeight="1">
      <c r="A395" s="343">
        <v>2013</v>
      </c>
      <c r="M395" s="663"/>
      <c r="N395" s="863">
        <v>20000</v>
      </c>
      <c r="O395" s="863">
        <v>75000</v>
      </c>
      <c r="P395" s="863">
        <v>40000</v>
      </c>
      <c r="Q395" s="863">
        <v>55000</v>
      </c>
      <c r="R395" s="863">
        <v>0</v>
      </c>
      <c r="U395" s="1064"/>
      <c r="V395" s="1064"/>
      <c r="W395" s="863"/>
      <c r="X395" s="863"/>
      <c r="Y395" s="863"/>
    </row>
    <row r="396" spans="1:25" s="343" customFormat="1" ht="0.65" hidden="1" customHeight="1">
      <c r="A396" s="343">
        <v>2014</v>
      </c>
      <c r="B396" s="343" t="s">
        <v>3566</v>
      </c>
      <c r="I396" s="1065"/>
      <c r="J396" s="1065"/>
      <c r="K396" s="1065"/>
      <c r="M396" s="663"/>
      <c r="N396" s="863">
        <v>20000</v>
      </c>
      <c r="O396" s="863">
        <v>75000</v>
      </c>
      <c r="P396" s="863">
        <v>40000</v>
      </c>
      <c r="Q396" s="863">
        <v>55000</v>
      </c>
      <c r="R396" s="863">
        <v>0</v>
      </c>
      <c r="U396" s="1064"/>
      <c r="V396" s="1064"/>
      <c r="W396" s="863"/>
      <c r="X396" s="863"/>
      <c r="Y396" s="863"/>
    </row>
    <row r="397" spans="1:25" s="343" customFormat="1" ht="0.65" hidden="1" customHeight="1">
      <c r="A397" s="343">
        <v>2015</v>
      </c>
      <c r="B397" s="343" t="s">
        <v>3567</v>
      </c>
      <c r="J397" s="872"/>
      <c r="M397" s="663"/>
      <c r="N397" s="863">
        <v>20000</v>
      </c>
      <c r="O397" s="863">
        <v>75000</v>
      </c>
      <c r="P397" s="863">
        <v>40000</v>
      </c>
      <c r="Q397" s="863">
        <v>55000</v>
      </c>
      <c r="R397" s="863">
        <v>0</v>
      </c>
      <c r="T397" s="863"/>
      <c r="U397" s="863"/>
      <c r="V397" s="863"/>
      <c r="W397" s="863"/>
      <c r="X397" s="863"/>
      <c r="Y397" s="863"/>
    </row>
    <row r="398" spans="1:25" s="343" customFormat="1" ht="0.65" hidden="1" customHeight="1">
      <c r="A398" s="343">
        <v>2016</v>
      </c>
      <c r="B398" s="343" t="s">
        <v>3568</v>
      </c>
      <c r="M398" s="863"/>
      <c r="N398" s="653"/>
      <c r="O398" s="653"/>
      <c r="P398" s="653"/>
      <c r="Q398" s="653"/>
      <c r="R398" s="653"/>
      <c r="S398" s="653"/>
      <c r="T398" s="863"/>
      <c r="V398" s="863"/>
      <c r="W398" s="863"/>
      <c r="X398" s="863"/>
    </row>
    <row r="399" spans="1:25" s="343" customFormat="1" ht="0.65" hidden="1" customHeight="1">
      <c r="A399" s="343">
        <v>2017</v>
      </c>
      <c r="B399" s="343" t="s">
        <v>3569</v>
      </c>
      <c r="M399" s="863"/>
      <c r="V399" s="863"/>
      <c r="W399" s="863"/>
      <c r="X399" s="863"/>
    </row>
    <row r="400" spans="1:25" s="343" customFormat="1" ht="0.65" hidden="1" customHeight="1">
      <c r="A400" s="343">
        <v>2018</v>
      </c>
      <c r="B400" s="343" t="s">
        <v>3570</v>
      </c>
      <c r="N400" s="863"/>
      <c r="O400" s="863"/>
      <c r="P400" s="865" t="s">
        <v>55</v>
      </c>
      <c r="T400" s="865" t="s">
        <v>55</v>
      </c>
      <c r="W400" s="865" t="s">
        <v>55</v>
      </c>
      <c r="X400" s="863"/>
    </row>
    <row r="401" spans="1:25" s="343" customFormat="1" ht="0.65" hidden="1" customHeight="1">
      <c r="A401" s="343">
        <v>2019</v>
      </c>
      <c r="N401" s="1061" t="s">
        <v>3571</v>
      </c>
      <c r="O401" s="1061"/>
      <c r="P401" s="863">
        <v>50000</v>
      </c>
      <c r="R401" s="1061" t="s">
        <v>3389</v>
      </c>
      <c r="S401" s="1061"/>
      <c r="T401" s="863">
        <v>55000</v>
      </c>
      <c r="X401" s="863"/>
    </row>
    <row r="402" spans="1:25" s="343" customFormat="1" ht="0.65" hidden="1" customHeight="1">
      <c r="A402" s="343">
        <v>2020</v>
      </c>
      <c r="B402" s="343" t="s">
        <v>3385</v>
      </c>
      <c r="M402" s="863"/>
      <c r="N402" s="1061" t="s">
        <v>3388</v>
      </c>
      <c r="O402" s="1061"/>
      <c r="P402" s="863">
        <v>88000</v>
      </c>
      <c r="R402" s="1061" t="s">
        <v>3392</v>
      </c>
      <c r="S402" s="1061"/>
      <c r="T402" s="863">
        <v>115000</v>
      </c>
      <c r="V402" s="662"/>
      <c r="W402" s="358">
        <v>0.1</v>
      </c>
      <c r="X402" s="863"/>
    </row>
    <row r="403" spans="1:25" s="343" customFormat="1" ht="0.65" hidden="1" customHeight="1">
      <c r="A403" s="343">
        <v>2021</v>
      </c>
      <c r="B403" s="343" t="s">
        <v>3386</v>
      </c>
      <c r="M403" s="863"/>
      <c r="N403" s="1061" t="s">
        <v>3391</v>
      </c>
      <c r="O403" s="1061"/>
      <c r="P403" s="863">
        <v>55000</v>
      </c>
      <c r="R403" s="1061"/>
      <c r="S403" s="1061"/>
      <c r="T403" s="863"/>
    </row>
    <row r="404" spans="1:25" s="343" customFormat="1" ht="0.65" hidden="1" customHeight="1">
      <c r="A404" s="343">
        <v>2022</v>
      </c>
      <c r="B404" s="343" t="s">
        <v>3387</v>
      </c>
      <c r="M404" s="863"/>
      <c r="N404" s="1061"/>
      <c r="O404" s="1061"/>
      <c r="P404" s="863"/>
      <c r="R404" s="1061"/>
      <c r="S404" s="1061"/>
      <c r="T404" s="863"/>
      <c r="X404" s="863"/>
      <c r="Y404" s="863"/>
    </row>
    <row r="405" spans="1:25" s="343" customFormat="1" ht="0.65" hidden="1" customHeight="1">
      <c r="A405" s="343">
        <v>2023</v>
      </c>
      <c r="M405" s="863"/>
      <c r="N405" s="867"/>
      <c r="Q405" s="863"/>
      <c r="R405" s="868"/>
      <c r="S405" s="863"/>
      <c r="T405" s="863"/>
      <c r="U405" s="863"/>
      <c r="V405" s="662"/>
      <c r="W405" s="659">
        <v>80020.627006351948</v>
      </c>
      <c r="X405" s="863"/>
      <c r="Y405" s="863"/>
    </row>
    <row r="406" spans="1:25" s="343" customFormat="1" ht="0.65" hidden="1" customHeight="1">
      <c r="A406" s="343">
        <v>2024</v>
      </c>
      <c r="B406" s="343" t="s">
        <v>3572</v>
      </c>
      <c r="M406" s="863"/>
      <c r="N406" s="1062" t="s">
        <v>129</v>
      </c>
      <c r="O406" s="1062"/>
      <c r="P406" s="863">
        <v>193000</v>
      </c>
      <c r="Q406" s="863"/>
      <c r="R406" s="1062" t="s">
        <v>3394</v>
      </c>
      <c r="S406" s="1062"/>
      <c r="T406" s="863">
        <v>170000</v>
      </c>
      <c r="V406" s="869"/>
      <c r="W406" s="358">
        <v>0.23537281324646608</v>
      </c>
      <c r="X406" s="863"/>
      <c r="Y406" s="863"/>
    </row>
    <row r="407" spans="1:25" s="343" customFormat="1" ht="0.65" hidden="1" customHeight="1">
      <c r="A407" s="343">
        <v>2025</v>
      </c>
      <c r="N407" s="863"/>
      <c r="P407" s="653"/>
      <c r="T407" s="653"/>
      <c r="W407" s="653"/>
      <c r="X407" s="863"/>
      <c r="Y407" s="863"/>
    </row>
    <row r="408" spans="1:25" s="343" customFormat="1" ht="0.65" hidden="1" customHeight="1">
      <c r="A408" s="343">
        <v>2026</v>
      </c>
      <c r="B408" s="343" t="s">
        <v>3573</v>
      </c>
      <c r="X408" s="863"/>
      <c r="Y408" s="863"/>
    </row>
    <row r="409" spans="1:25" s="343" customFormat="1" ht="0.65" hidden="1" customHeight="1">
      <c r="A409" s="343">
        <v>2027</v>
      </c>
      <c r="X409" s="863"/>
      <c r="Y409" s="863"/>
    </row>
    <row r="410" spans="1:25" s="343" customFormat="1" ht="0.65" hidden="1" customHeight="1">
      <c r="A410" s="343">
        <v>2028</v>
      </c>
      <c r="X410" s="863"/>
      <c r="Y410" s="863"/>
    </row>
    <row r="411" spans="1:25" s="343" customFormat="1" ht="0.65" hidden="1" customHeight="1">
      <c r="A411" s="343">
        <v>2029</v>
      </c>
      <c r="X411" s="863"/>
      <c r="Y411" s="863"/>
    </row>
    <row r="412" spans="1:25" s="343" customFormat="1" ht="0.65" hidden="1" customHeight="1">
      <c r="A412" s="343">
        <v>2030</v>
      </c>
      <c r="X412" s="863"/>
      <c r="Y412" s="863"/>
    </row>
    <row r="413" spans="1:25" s="343" customFormat="1" ht="0.65" hidden="1" customHeight="1">
      <c r="A413" s="343">
        <v>2031</v>
      </c>
      <c r="X413" s="863"/>
      <c r="Y413" s="863"/>
    </row>
    <row r="414" spans="1:25" s="343" customFormat="1" ht="0.65" hidden="1" customHeight="1">
      <c r="A414" s="343">
        <v>2032</v>
      </c>
      <c r="X414" s="863"/>
      <c r="Y414" s="863"/>
    </row>
    <row r="415" spans="1:25" s="343" customFormat="1" ht="0.65" hidden="1" customHeight="1">
      <c r="A415" s="343">
        <v>2033</v>
      </c>
      <c r="X415" s="863"/>
      <c r="Y415" s="863"/>
    </row>
    <row r="416" spans="1:25" s="343" customFormat="1" ht="0.65" hidden="1" customHeight="1">
      <c r="A416" s="343">
        <v>2034</v>
      </c>
      <c r="X416" s="863"/>
      <c r="Y416" s="863"/>
    </row>
    <row r="417" spans="1:25" s="343" customFormat="1" ht="0.65" hidden="1" customHeight="1">
      <c r="A417" s="343">
        <v>2035</v>
      </c>
      <c r="X417" s="863"/>
      <c r="Y417" s="863"/>
    </row>
    <row r="418" spans="1:25" s="343" customFormat="1" ht="0.65" hidden="1" customHeight="1">
      <c r="A418" s="343">
        <v>2036</v>
      </c>
      <c r="X418" s="863"/>
      <c r="Y418" s="863"/>
    </row>
    <row r="419" spans="1:25" s="343" customFormat="1" ht="0.65" hidden="1" customHeight="1">
      <c r="A419" s="343">
        <v>2037</v>
      </c>
      <c r="X419" s="863"/>
      <c r="Y419" s="863"/>
    </row>
    <row r="420" spans="1:25" s="343" customFormat="1" ht="0.65" hidden="1" customHeight="1">
      <c r="A420" s="343">
        <v>2038</v>
      </c>
      <c r="X420" s="863"/>
      <c r="Y420" s="863"/>
    </row>
    <row r="421" spans="1:25" s="343" customFormat="1" ht="0.65" hidden="1" customHeight="1">
      <c r="A421" s="343">
        <v>2039</v>
      </c>
    </row>
    <row r="422" spans="1:25" s="343" customFormat="1" ht="0.65" hidden="1" customHeight="1">
      <c r="A422" s="343">
        <v>2040</v>
      </c>
    </row>
    <row r="423" spans="1:25" s="343" customFormat="1" ht="0.65" hidden="1" customHeight="1">
      <c r="A423" s="343">
        <v>2041</v>
      </c>
      <c r="M423" s="343">
        <v>0</v>
      </c>
      <c r="O423" s="343">
        <v>1</v>
      </c>
      <c r="P423" s="343" t="s">
        <v>3571</v>
      </c>
      <c r="R423" s="863">
        <v>50000</v>
      </c>
      <c r="S423" s="343" t="s">
        <v>3574</v>
      </c>
      <c r="T423" s="343" t="s">
        <v>3575</v>
      </c>
    </row>
    <row r="424" spans="1:25" s="343" customFormat="1" ht="0.65" hidden="1" customHeight="1">
      <c r="A424" s="343">
        <v>2042</v>
      </c>
      <c r="O424" s="343">
        <v>2</v>
      </c>
      <c r="P424" s="343" t="s">
        <v>3388</v>
      </c>
      <c r="R424" s="863">
        <v>88000</v>
      </c>
      <c r="S424" s="343" t="s">
        <v>3398</v>
      </c>
      <c r="T424" s="343" t="s">
        <v>3576</v>
      </c>
    </row>
    <row r="425" spans="1:25" s="343" customFormat="1" ht="0.65" hidden="1" customHeight="1">
      <c r="A425" s="343">
        <v>2043</v>
      </c>
      <c r="O425" s="343">
        <v>3</v>
      </c>
      <c r="P425" s="343" t="s">
        <v>3391</v>
      </c>
      <c r="R425" s="863">
        <v>55000</v>
      </c>
      <c r="S425" s="343" t="s">
        <v>3577</v>
      </c>
      <c r="T425" s="343" t="s">
        <v>3401</v>
      </c>
    </row>
    <row r="426" spans="1:25" s="343" customFormat="1" ht="0.65" hidden="1" customHeight="1">
      <c r="A426" s="343">
        <v>2044</v>
      </c>
      <c r="O426" s="343">
        <v>4</v>
      </c>
      <c r="P426" s="343" t="s">
        <v>55</v>
      </c>
      <c r="R426" s="863" t="s">
        <v>55</v>
      </c>
    </row>
    <row r="427" spans="1:25" s="343" customFormat="1" ht="0.65" hidden="1" customHeight="1">
      <c r="A427" s="343">
        <v>2045</v>
      </c>
      <c r="O427" s="343">
        <v>5</v>
      </c>
      <c r="P427" s="343" t="s">
        <v>129</v>
      </c>
      <c r="R427" s="863">
        <v>193000</v>
      </c>
      <c r="S427" s="343" t="s">
        <v>3578</v>
      </c>
      <c r="T427" s="343" t="s">
        <v>3579</v>
      </c>
    </row>
    <row r="428" spans="1:25" s="343" customFormat="1" ht="0.65" hidden="1" customHeight="1">
      <c r="A428" s="343">
        <v>2046</v>
      </c>
      <c r="O428" s="343">
        <v>6</v>
      </c>
      <c r="P428" s="343" t="s">
        <v>3404</v>
      </c>
      <c r="R428" s="863">
        <v>300000</v>
      </c>
      <c r="S428" s="343" t="s">
        <v>3405</v>
      </c>
      <c r="T428" s="343" t="s">
        <v>3406</v>
      </c>
    </row>
    <row r="429" spans="1:25" s="343" customFormat="1" ht="0.65" hidden="1" customHeight="1">
      <c r="A429" s="343">
        <v>2047</v>
      </c>
      <c r="O429" s="343">
        <v>7</v>
      </c>
      <c r="P429" s="343" t="s">
        <v>3407</v>
      </c>
      <c r="R429" s="863">
        <v>300000</v>
      </c>
      <c r="S429" s="343" t="s">
        <v>3405</v>
      </c>
      <c r="T429" s="343" t="s">
        <v>3406</v>
      </c>
    </row>
    <row r="430" spans="1:25" s="343" customFormat="1" ht="0.65" hidden="1" customHeight="1">
      <c r="A430" s="343">
        <v>2048</v>
      </c>
      <c r="O430" s="343">
        <v>8</v>
      </c>
      <c r="P430" s="343" t="s">
        <v>3408</v>
      </c>
      <c r="R430" s="863">
        <v>300000</v>
      </c>
      <c r="S430" s="343" t="s">
        <v>3405</v>
      </c>
      <c r="T430" s="343" t="s">
        <v>3406</v>
      </c>
    </row>
    <row r="431" spans="1:25" s="343" customFormat="1" ht="0.65" hidden="1" customHeight="1">
      <c r="A431" s="343">
        <v>2049</v>
      </c>
      <c r="O431" s="343">
        <v>9</v>
      </c>
      <c r="P431" s="343" t="s">
        <v>3409</v>
      </c>
      <c r="R431" s="863">
        <v>300000</v>
      </c>
      <c r="S431" s="343" t="s">
        <v>3405</v>
      </c>
      <c r="T431" s="343" t="s">
        <v>3406</v>
      </c>
    </row>
    <row r="432" spans="1:25" s="343" customFormat="1" ht="0.65" hidden="1" customHeight="1">
      <c r="A432" s="343">
        <v>2050</v>
      </c>
      <c r="O432" s="343">
        <v>10</v>
      </c>
      <c r="P432" s="343" t="s">
        <v>3410</v>
      </c>
      <c r="R432" s="863">
        <v>240000</v>
      </c>
      <c r="S432" s="343" t="s">
        <v>3411</v>
      </c>
      <c r="T432" s="343" t="s">
        <v>3412</v>
      </c>
    </row>
    <row r="433" spans="1:20" s="343" customFormat="1" ht="0.65" hidden="1" customHeight="1">
      <c r="A433" s="343">
        <v>2051</v>
      </c>
      <c r="O433" s="343">
        <v>11</v>
      </c>
      <c r="P433" s="343" t="s">
        <v>3413</v>
      </c>
      <c r="R433" s="863">
        <v>240000</v>
      </c>
      <c r="S433" s="343" t="s">
        <v>3411</v>
      </c>
      <c r="T433" s="343" t="s">
        <v>3412</v>
      </c>
    </row>
    <row r="434" spans="1:20" s="343" customFormat="1" ht="0.65" hidden="1" customHeight="1">
      <c r="A434" s="343">
        <v>2052</v>
      </c>
      <c r="O434" s="343">
        <v>12</v>
      </c>
      <c r="P434" s="343" t="s">
        <v>3414</v>
      </c>
      <c r="R434" s="863">
        <v>240000</v>
      </c>
      <c r="S434" s="343" t="s">
        <v>3411</v>
      </c>
      <c r="T434" s="343" t="s">
        <v>3412</v>
      </c>
    </row>
    <row r="435" spans="1:20" s="343" customFormat="1" ht="0.65" hidden="1" customHeight="1">
      <c r="A435" s="343">
        <v>2053</v>
      </c>
      <c r="O435" s="343">
        <v>13</v>
      </c>
      <c r="P435" s="343" t="s">
        <v>3415</v>
      </c>
      <c r="R435" s="863">
        <v>240000</v>
      </c>
      <c r="S435" s="343" t="s">
        <v>3411</v>
      </c>
      <c r="T435" s="343" t="s">
        <v>3412</v>
      </c>
    </row>
    <row r="436" spans="1:20" s="343" customFormat="1" ht="0.65" hidden="1" customHeight="1">
      <c r="A436" s="343">
        <v>2054</v>
      </c>
      <c r="O436" s="343">
        <v>14</v>
      </c>
      <c r="P436" s="343" t="s">
        <v>3416</v>
      </c>
      <c r="R436" s="863">
        <v>25000</v>
      </c>
      <c r="S436" s="343" t="s">
        <v>3580</v>
      </c>
      <c r="T436" s="343" t="s">
        <v>3581</v>
      </c>
    </row>
    <row r="437" spans="1:20" s="343" customFormat="1" ht="0.65" hidden="1" customHeight="1">
      <c r="A437" s="343">
        <v>2055</v>
      </c>
      <c r="O437" s="343">
        <v>15</v>
      </c>
      <c r="P437" s="343" t="s">
        <v>3419</v>
      </c>
      <c r="R437" s="863">
        <v>25000</v>
      </c>
      <c r="S437" s="343" t="s">
        <v>3580</v>
      </c>
      <c r="T437" s="343" t="s">
        <v>3581</v>
      </c>
    </row>
    <row r="438" spans="1:20" s="343" customFormat="1" ht="0.65" hidden="1" customHeight="1">
      <c r="A438" s="343">
        <v>2056</v>
      </c>
      <c r="O438" s="343">
        <v>16</v>
      </c>
      <c r="P438" s="343" t="s">
        <v>3420</v>
      </c>
      <c r="R438" s="863">
        <v>25000</v>
      </c>
      <c r="S438" s="343" t="s">
        <v>3580</v>
      </c>
      <c r="T438" s="343" t="s">
        <v>3581</v>
      </c>
    </row>
    <row r="439" spans="1:20" s="343" customFormat="1" ht="0.65" hidden="1" customHeight="1">
      <c r="A439" s="343">
        <v>2057</v>
      </c>
      <c r="O439" s="343">
        <v>17</v>
      </c>
      <c r="P439" s="343" t="s">
        <v>3421</v>
      </c>
      <c r="R439" s="863">
        <v>25000</v>
      </c>
      <c r="S439" s="343" t="s">
        <v>3580</v>
      </c>
      <c r="T439" s="343" t="s">
        <v>3581</v>
      </c>
    </row>
    <row r="440" spans="1:20" s="343" customFormat="1" ht="0.65" hidden="1" customHeight="1">
      <c r="A440" s="343">
        <v>2058</v>
      </c>
      <c r="O440" s="343">
        <v>18</v>
      </c>
      <c r="P440" s="343" t="s">
        <v>3422</v>
      </c>
      <c r="R440" s="863">
        <v>35000</v>
      </c>
      <c r="S440" s="343" t="s">
        <v>3582</v>
      </c>
      <c r="T440" s="343" t="s">
        <v>3424</v>
      </c>
    </row>
    <row r="441" spans="1:20" s="343" customFormat="1" ht="0.65" hidden="1" customHeight="1">
      <c r="A441" s="343">
        <v>2059</v>
      </c>
      <c r="O441" s="343">
        <v>19</v>
      </c>
      <c r="P441" s="343" t="s">
        <v>3425</v>
      </c>
      <c r="R441" s="863">
        <v>35000</v>
      </c>
      <c r="S441" s="343" t="s">
        <v>3582</v>
      </c>
      <c r="T441" s="343" t="s">
        <v>3426</v>
      </c>
    </row>
    <row r="442" spans="1:20" s="343" customFormat="1" ht="0.65" hidden="1" customHeight="1">
      <c r="A442" s="343">
        <v>2060</v>
      </c>
      <c r="O442" s="343">
        <v>20</v>
      </c>
      <c r="P442" s="343" t="s">
        <v>3427</v>
      </c>
      <c r="R442" s="863">
        <v>35000</v>
      </c>
      <c r="S442" s="343" t="s">
        <v>3582</v>
      </c>
      <c r="T442" s="343" t="s">
        <v>3428</v>
      </c>
    </row>
    <row r="443" spans="1:20" s="343" customFormat="1" ht="0.65" hidden="1" customHeight="1">
      <c r="A443" s="343">
        <v>2061</v>
      </c>
      <c r="O443" s="343">
        <v>21</v>
      </c>
      <c r="P443" s="343" t="s">
        <v>3429</v>
      </c>
      <c r="R443" s="863">
        <v>35000</v>
      </c>
      <c r="S443" s="343" t="s">
        <v>3582</v>
      </c>
      <c r="T443" s="343" t="s">
        <v>3430</v>
      </c>
    </row>
    <row r="444" spans="1:20" s="343" customFormat="1" ht="0.65" hidden="1" customHeight="1">
      <c r="A444" s="343">
        <v>2062</v>
      </c>
      <c r="O444" s="343">
        <v>22</v>
      </c>
      <c r="P444" s="343" t="s">
        <v>3431</v>
      </c>
      <c r="R444" s="863">
        <v>10500</v>
      </c>
      <c r="S444" s="343" t="s">
        <v>3583</v>
      </c>
      <c r="T444" s="343" t="s">
        <v>3433</v>
      </c>
    </row>
    <row r="445" spans="1:20" s="343" customFormat="1" ht="0.65" hidden="1" customHeight="1">
      <c r="A445" s="343">
        <v>2063</v>
      </c>
      <c r="O445" s="343">
        <v>23</v>
      </c>
      <c r="P445" s="343" t="s">
        <v>3434</v>
      </c>
      <c r="R445" s="863">
        <v>10500</v>
      </c>
      <c r="S445" s="343" t="s">
        <v>3583</v>
      </c>
      <c r="T445" s="343" t="s">
        <v>3435</v>
      </c>
    </row>
    <row r="446" spans="1:20" s="343" customFormat="1" ht="0.65" hidden="1" customHeight="1">
      <c r="A446" s="343">
        <v>2064</v>
      </c>
      <c r="O446" s="343">
        <v>24</v>
      </c>
      <c r="P446" s="343" t="s">
        <v>3436</v>
      </c>
      <c r="R446" s="863">
        <v>10500</v>
      </c>
      <c r="S446" s="343" t="s">
        <v>3583</v>
      </c>
      <c r="T446" s="343" t="s">
        <v>3437</v>
      </c>
    </row>
    <row r="447" spans="1:20" s="343" customFormat="1" ht="0.65" hidden="1" customHeight="1">
      <c r="A447" s="343">
        <v>2065</v>
      </c>
      <c r="O447" s="343">
        <v>25</v>
      </c>
      <c r="P447" s="343" t="s">
        <v>3438</v>
      </c>
      <c r="R447" s="863">
        <v>10500</v>
      </c>
      <c r="S447" s="343" t="s">
        <v>3583</v>
      </c>
      <c r="T447" s="343" t="s">
        <v>3439</v>
      </c>
    </row>
    <row r="448" spans="1:20" s="343" customFormat="1" ht="0.65" hidden="1" customHeight="1">
      <c r="A448" s="343">
        <v>2066</v>
      </c>
      <c r="O448" s="343">
        <v>26</v>
      </c>
      <c r="P448" s="343" t="s">
        <v>3440</v>
      </c>
      <c r="R448" s="863">
        <v>24500</v>
      </c>
      <c r="S448" s="343" t="s">
        <v>3584</v>
      </c>
      <c r="T448" s="343" t="s">
        <v>3442</v>
      </c>
    </row>
    <row r="449" spans="1:20" s="343" customFormat="1" ht="0.65" hidden="1" customHeight="1">
      <c r="A449" s="343">
        <v>2067</v>
      </c>
      <c r="O449" s="343">
        <v>27</v>
      </c>
      <c r="P449" s="343" t="s">
        <v>3443</v>
      </c>
      <c r="R449" s="863">
        <v>24500</v>
      </c>
      <c r="S449" s="343" t="s">
        <v>3584</v>
      </c>
      <c r="T449" s="343" t="s">
        <v>3444</v>
      </c>
    </row>
    <row r="450" spans="1:20" s="343" customFormat="1" ht="0.65" hidden="1" customHeight="1">
      <c r="A450" s="343">
        <v>2068</v>
      </c>
      <c r="O450" s="343">
        <v>28</v>
      </c>
      <c r="P450" s="343" t="s">
        <v>3445</v>
      </c>
      <c r="R450" s="863">
        <v>24500</v>
      </c>
      <c r="S450" s="343" t="s">
        <v>3584</v>
      </c>
      <c r="T450" s="343" t="s">
        <v>3446</v>
      </c>
    </row>
    <row r="451" spans="1:20" s="343" customFormat="1" ht="0.65" hidden="1" customHeight="1">
      <c r="A451" s="343">
        <v>2069</v>
      </c>
      <c r="O451" s="343">
        <v>29</v>
      </c>
      <c r="P451" s="343" t="s">
        <v>3447</v>
      </c>
      <c r="R451" s="863">
        <v>24500</v>
      </c>
      <c r="S451" s="343" t="s">
        <v>3584</v>
      </c>
      <c r="T451" s="343" t="s">
        <v>3448</v>
      </c>
    </row>
    <row r="452" spans="1:20" s="343" customFormat="1" ht="0.65" hidden="1" customHeight="1">
      <c r="A452" s="343">
        <v>2070</v>
      </c>
      <c r="O452" s="343">
        <v>30</v>
      </c>
      <c r="P452" s="343" t="s">
        <v>3449</v>
      </c>
      <c r="R452" s="863">
        <v>49500</v>
      </c>
      <c r="S452" s="863" t="s">
        <v>3585</v>
      </c>
      <c r="T452" s="343" t="s">
        <v>3451</v>
      </c>
    </row>
    <row r="453" spans="1:20" s="343" customFormat="1" ht="0.65" hidden="1" customHeight="1">
      <c r="A453" s="343">
        <v>2071</v>
      </c>
      <c r="O453" s="343">
        <v>31</v>
      </c>
      <c r="P453" s="343" t="s">
        <v>3452</v>
      </c>
      <c r="R453" s="863">
        <v>49500</v>
      </c>
      <c r="S453" s="863" t="s">
        <v>3585</v>
      </c>
      <c r="T453" s="343" t="s">
        <v>3453</v>
      </c>
    </row>
    <row r="454" spans="1:20" s="343" customFormat="1" ht="0.65" hidden="1" customHeight="1">
      <c r="A454" s="343">
        <v>2072</v>
      </c>
      <c r="O454" s="343">
        <v>32</v>
      </c>
      <c r="P454" s="343" t="s">
        <v>3454</v>
      </c>
      <c r="R454" s="863">
        <v>49500</v>
      </c>
      <c r="S454" s="863" t="s">
        <v>3585</v>
      </c>
      <c r="T454" s="343" t="s">
        <v>3455</v>
      </c>
    </row>
    <row r="455" spans="1:20" s="343" customFormat="1" ht="0.65" hidden="1" customHeight="1">
      <c r="A455" s="343">
        <v>2073</v>
      </c>
      <c r="O455" s="343">
        <v>33</v>
      </c>
      <c r="P455" s="343" t="s">
        <v>3456</v>
      </c>
      <c r="R455" s="863">
        <v>49500</v>
      </c>
      <c r="S455" s="863" t="s">
        <v>3585</v>
      </c>
      <c r="T455" s="343" t="s">
        <v>3457</v>
      </c>
    </row>
    <row r="456" spans="1:20" s="343" customFormat="1" ht="0.65" hidden="1" customHeight="1">
      <c r="A456" s="343">
        <v>2074</v>
      </c>
      <c r="O456" s="343">
        <v>34</v>
      </c>
      <c r="P456" s="343" t="s">
        <v>3458</v>
      </c>
      <c r="R456" s="863">
        <v>20000</v>
      </c>
      <c r="S456" s="343" t="s">
        <v>3459</v>
      </c>
      <c r="T456" s="893" t="s">
        <v>3460</v>
      </c>
    </row>
    <row r="457" spans="1:20" s="343" customFormat="1" ht="0.65" hidden="1" customHeight="1">
      <c r="A457" s="343">
        <v>2075</v>
      </c>
      <c r="O457" s="343">
        <v>35</v>
      </c>
      <c r="P457" s="343" t="s">
        <v>3461</v>
      </c>
      <c r="R457" s="863">
        <v>20000</v>
      </c>
      <c r="S457" s="863" t="s">
        <v>3459</v>
      </c>
      <c r="T457" s="893" t="s">
        <v>3462</v>
      </c>
    </row>
    <row r="458" spans="1:20" s="343" customFormat="1" ht="0.65" hidden="1" customHeight="1">
      <c r="A458" s="343">
        <v>2076</v>
      </c>
      <c r="O458" s="343">
        <v>36</v>
      </c>
      <c r="P458" s="343" t="s">
        <v>3463</v>
      </c>
      <c r="R458" s="863">
        <v>20000</v>
      </c>
      <c r="S458" s="863" t="s">
        <v>3459</v>
      </c>
      <c r="T458" s="893" t="s">
        <v>3464</v>
      </c>
    </row>
    <row r="459" spans="1:20" s="343" customFormat="1" ht="0.65" hidden="1" customHeight="1">
      <c r="A459" s="343">
        <v>2077</v>
      </c>
      <c r="O459" s="343">
        <v>37</v>
      </c>
      <c r="P459" s="343" t="s">
        <v>3465</v>
      </c>
      <c r="R459" s="863">
        <v>20000</v>
      </c>
      <c r="S459" s="863" t="s">
        <v>3459</v>
      </c>
      <c r="T459" s="893" t="s">
        <v>3466</v>
      </c>
    </row>
    <row r="460" spans="1:20" s="343" customFormat="1" ht="0.65" hidden="1" customHeight="1">
      <c r="A460" s="343">
        <v>2078</v>
      </c>
      <c r="O460" s="343">
        <v>38</v>
      </c>
      <c r="P460" s="343" t="s">
        <v>3467</v>
      </c>
      <c r="R460" s="863">
        <v>20000</v>
      </c>
      <c r="S460" s="863" t="s">
        <v>3459</v>
      </c>
      <c r="T460" s="893" t="s">
        <v>3466</v>
      </c>
    </row>
    <row r="461" spans="1:20" s="343" customFormat="1" ht="0.65" hidden="1" customHeight="1">
      <c r="A461" s="343">
        <v>2079</v>
      </c>
      <c r="O461" s="343">
        <v>39</v>
      </c>
      <c r="P461" s="343" t="s">
        <v>3468</v>
      </c>
      <c r="R461" s="863">
        <v>75000</v>
      </c>
      <c r="S461" s="343" t="s">
        <v>3469</v>
      </c>
      <c r="T461" s="343" t="s">
        <v>3470</v>
      </c>
    </row>
    <row r="462" spans="1:20" s="343" customFormat="1" ht="0.65" hidden="1" customHeight="1">
      <c r="A462" s="343">
        <v>2080</v>
      </c>
      <c r="O462" s="343">
        <v>40</v>
      </c>
      <c r="P462" s="343" t="s">
        <v>3471</v>
      </c>
      <c r="R462" s="863">
        <v>75000</v>
      </c>
      <c r="S462" s="863" t="s">
        <v>3469</v>
      </c>
      <c r="T462" s="343" t="s">
        <v>3472</v>
      </c>
    </row>
    <row r="463" spans="1:20" s="343" customFormat="1" ht="0.65" hidden="1" customHeight="1">
      <c r="A463" s="343">
        <v>2081</v>
      </c>
      <c r="O463" s="343">
        <v>41</v>
      </c>
      <c r="P463" s="343" t="s">
        <v>3473</v>
      </c>
      <c r="R463" s="863">
        <v>75000</v>
      </c>
      <c r="S463" s="863" t="s">
        <v>3469</v>
      </c>
      <c r="T463" s="343" t="s">
        <v>3474</v>
      </c>
    </row>
    <row r="464" spans="1:20" s="343" customFormat="1" ht="0.65" hidden="1" customHeight="1">
      <c r="A464" s="343">
        <v>2082</v>
      </c>
      <c r="O464" s="343">
        <v>42</v>
      </c>
      <c r="P464" s="343" t="s">
        <v>3475</v>
      </c>
      <c r="R464" s="863">
        <v>75000</v>
      </c>
      <c r="S464" s="863" t="s">
        <v>3469</v>
      </c>
      <c r="T464" s="343" t="s">
        <v>3476</v>
      </c>
    </row>
    <row r="465" spans="1:20" s="343" customFormat="1" ht="0.65" hidden="1" customHeight="1">
      <c r="A465" s="343">
        <v>2083</v>
      </c>
      <c r="O465" s="343">
        <v>43</v>
      </c>
      <c r="P465" s="343" t="s">
        <v>3477</v>
      </c>
      <c r="R465" s="863">
        <v>75000</v>
      </c>
      <c r="S465" s="863" t="s">
        <v>3469</v>
      </c>
      <c r="T465" s="343" t="s">
        <v>3478</v>
      </c>
    </row>
    <row r="466" spans="1:20" s="343" customFormat="1" ht="0.65" hidden="1" customHeight="1">
      <c r="A466" s="343">
        <v>2084</v>
      </c>
      <c r="O466" s="343">
        <v>44</v>
      </c>
      <c r="P466" s="343" t="s">
        <v>3479</v>
      </c>
      <c r="R466" s="863">
        <v>40000</v>
      </c>
      <c r="S466" s="343" t="s">
        <v>3480</v>
      </c>
      <c r="T466" s="343" t="s">
        <v>3481</v>
      </c>
    </row>
    <row r="467" spans="1:20" s="343" customFormat="1" ht="0.65" hidden="1" customHeight="1">
      <c r="A467" s="343">
        <v>2085</v>
      </c>
      <c r="O467" s="343">
        <v>45</v>
      </c>
      <c r="P467" s="343" t="s">
        <v>3482</v>
      </c>
      <c r="R467" s="863">
        <v>40000</v>
      </c>
      <c r="S467" s="863" t="s">
        <v>3480</v>
      </c>
      <c r="T467" s="343" t="s">
        <v>3483</v>
      </c>
    </row>
    <row r="468" spans="1:20" s="343" customFormat="1" ht="0.65" hidden="1" customHeight="1">
      <c r="A468" s="343">
        <v>2086</v>
      </c>
      <c r="O468" s="343">
        <v>46</v>
      </c>
      <c r="P468" s="343" t="s">
        <v>3484</v>
      </c>
      <c r="R468" s="863">
        <v>40000</v>
      </c>
      <c r="S468" s="863" t="s">
        <v>3480</v>
      </c>
      <c r="T468" s="343" t="s">
        <v>3485</v>
      </c>
    </row>
    <row r="469" spans="1:20" s="343" customFormat="1" ht="0.65" hidden="1" customHeight="1">
      <c r="A469" s="343">
        <v>2087</v>
      </c>
      <c r="O469" s="343">
        <v>47</v>
      </c>
      <c r="P469" s="343" t="s">
        <v>3486</v>
      </c>
      <c r="R469" s="863">
        <v>40000</v>
      </c>
      <c r="S469" s="863" t="s">
        <v>3480</v>
      </c>
      <c r="T469" s="343" t="s">
        <v>3487</v>
      </c>
    </row>
    <row r="470" spans="1:20" s="343" customFormat="1" ht="0.65" hidden="1" customHeight="1">
      <c r="A470" s="343">
        <v>2088</v>
      </c>
      <c r="O470" s="343">
        <v>48</v>
      </c>
      <c r="P470" s="343" t="s">
        <v>3488</v>
      </c>
      <c r="R470" s="863">
        <v>40000</v>
      </c>
      <c r="S470" s="863" t="s">
        <v>3480</v>
      </c>
      <c r="T470" s="343" t="s">
        <v>3489</v>
      </c>
    </row>
    <row r="471" spans="1:20" s="343" customFormat="1" ht="0.65" hidden="1" customHeight="1">
      <c r="A471" s="343">
        <v>2089</v>
      </c>
      <c r="O471" s="343">
        <v>49</v>
      </c>
      <c r="P471" s="343" t="s">
        <v>3490</v>
      </c>
      <c r="R471" s="863">
        <v>55000</v>
      </c>
      <c r="S471" s="863" t="s">
        <v>3491</v>
      </c>
      <c r="T471" s="343" t="s">
        <v>3492</v>
      </c>
    </row>
    <row r="472" spans="1:20" s="343" customFormat="1" ht="0.65" hidden="1" customHeight="1">
      <c r="A472" s="343">
        <v>2090</v>
      </c>
      <c r="O472" s="343">
        <v>50</v>
      </c>
      <c r="P472" s="343" t="s">
        <v>3493</v>
      </c>
      <c r="R472" s="863">
        <v>55000</v>
      </c>
      <c r="S472" s="863" t="s">
        <v>3491</v>
      </c>
      <c r="T472" s="343" t="s">
        <v>3494</v>
      </c>
    </row>
    <row r="473" spans="1:20" s="343" customFormat="1" ht="0.65" hidden="1" customHeight="1">
      <c r="A473" s="343">
        <v>2091</v>
      </c>
      <c r="O473" s="343">
        <v>51</v>
      </c>
      <c r="P473" s="343" t="s">
        <v>3495</v>
      </c>
      <c r="R473" s="863">
        <v>55000</v>
      </c>
      <c r="S473" s="863" t="s">
        <v>3491</v>
      </c>
      <c r="T473" s="343" t="s">
        <v>3496</v>
      </c>
    </row>
    <row r="474" spans="1:20" s="343" customFormat="1" ht="0.65" hidden="1" customHeight="1">
      <c r="A474" s="343">
        <v>2092</v>
      </c>
      <c r="O474" s="343">
        <v>52</v>
      </c>
      <c r="P474" s="343" t="s">
        <v>3497</v>
      </c>
      <c r="R474" s="863">
        <v>55000</v>
      </c>
      <c r="S474" s="863" t="s">
        <v>3491</v>
      </c>
      <c r="T474" s="343" t="s">
        <v>3498</v>
      </c>
    </row>
    <row r="475" spans="1:20" s="343" customFormat="1" ht="0.65" hidden="1" customHeight="1">
      <c r="A475" s="343">
        <v>2093</v>
      </c>
      <c r="O475" s="343">
        <v>53</v>
      </c>
      <c r="P475" s="343" t="s">
        <v>3499</v>
      </c>
      <c r="R475" s="863">
        <v>55000</v>
      </c>
      <c r="S475" s="863" t="s">
        <v>3491</v>
      </c>
      <c r="T475" s="343" t="s">
        <v>3500</v>
      </c>
    </row>
    <row r="476" spans="1:20" s="343" customFormat="1" ht="0.65" hidden="1" customHeight="1">
      <c r="A476" s="343">
        <v>2094</v>
      </c>
      <c r="O476" s="343">
        <v>54</v>
      </c>
      <c r="P476" s="343" t="s">
        <v>3501</v>
      </c>
      <c r="R476" s="863">
        <v>55000</v>
      </c>
      <c r="S476" s="343" t="s">
        <v>3502</v>
      </c>
      <c r="T476" s="343" t="s">
        <v>3503</v>
      </c>
    </row>
    <row r="477" spans="1:20" s="343" customFormat="1" ht="0.65" hidden="1" customHeight="1">
      <c r="A477" s="343">
        <v>2095</v>
      </c>
      <c r="O477" s="343">
        <v>55</v>
      </c>
      <c r="P477" s="343" t="s">
        <v>3504</v>
      </c>
      <c r="R477" s="863">
        <v>0</v>
      </c>
      <c r="S477" s="343" t="s">
        <v>3505</v>
      </c>
      <c r="T477" s="343" t="s">
        <v>3506</v>
      </c>
    </row>
    <row r="478" spans="1:20" s="343" customFormat="1" ht="0.65" hidden="1" customHeight="1">
      <c r="A478" s="343">
        <v>2096</v>
      </c>
      <c r="O478" s="343">
        <v>56</v>
      </c>
      <c r="P478" s="343" t="s">
        <v>3507</v>
      </c>
      <c r="R478" s="863">
        <v>0</v>
      </c>
      <c r="S478" s="343" t="s">
        <v>3505</v>
      </c>
      <c r="T478" s="343" t="s">
        <v>3508</v>
      </c>
    </row>
    <row r="479" spans="1:20" s="343" customFormat="1" ht="0.65" hidden="1" customHeight="1">
      <c r="A479" s="343">
        <v>2097</v>
      </c>
      <c r="O479" s="343">
        <v>57</v>
      </c>
      <c r="P479" s="343" t="s">
        <v>3509</v>
      </c>
      <c r="R479" s="863">
        <v>0</v>
      </c>
      <c r="S479" s="343" t="s">
        <v>3505</v>
      </c>
      <c r="T479" s="343" t="s">
        <v>3510</v>
      </c>
    </row>
    <row r="480" spans="1:20" s="343" customFormat="1" ht="0.65" hidden="1" customHeight="1">
      <c r="A480" s="343">
        <v>2098</v>
      </c>
      <c r="O480" s="343">
        <v>58</v>
      </c>
      <c r="P480" s="343" t="s">
        <v>3511</v>
      </c>
      <c r="R480" s="863">
        <v>0</v>
      </c>
      <c r="S480" s="343" t="s">
        <v>3505</v>
      </c>
      <c r="T480" s="343" t="s">
        <v>3512</v>
      </c>
    </row>
    <row r="481" spans="1:20" s="343" customFormat="1" ht="0.65" hidden="1" customHeight="1">
      <c r="A481" s="343">
        <v>2099</v>
      </c>
      <c r="O481" s="343">
        <v>59</v>
      </c>
      <c r="P481" s="343" t="s">
        <v>3513</v>
      </c>
      <c r="R481" s="863">
        <v>49500</v>
      </c>
      <c r="S481" s="863" t="s">
        <v>3586</v>
      </c>
      <c r="T481" s="343" t="s">
        <v>3515</v>
      </c>
    </row>
    <row r="482" spans="1:20" s="343" customFormat="1" ht="0.65" hidden="1" customHeight="1">
      <c r="A482" s="343">
        <v>2100</v>
      </c>
      <c r="O482" s="343">
        <v>60</v>
      </c>
      <c r="P482" s="343" t="s">
        <v>3516</v>
      </c>
      <c r="R482" s="863">
        <v>49500</v>
      </c>
      <c r="S482" s="863" t="s">
        <v>3586</v>
      </c>
      <c r="T482" s="343" t="s">
        <v>3517</v>
      </c>
    </row>
    <row r="483" spans="1:20" s="343" customFormat="1" ht="0.65" hidden="1" customHeight="1">
      <c r="A483" s="343">
        <v>2101</v>
      </c>
      <c r="O483" s="343">
        <v>61</v>
      </c>
      <c r="P483" s="343" t="s">
        <v>3518</v>
      </c>
      <c r="R483" s="863">
        <v>49500</v>
      </c>
      <c r="S483" s="863" t="s">
        <v>3586</v>
      </c>
      <c r="T483" s="343" t="s">
        <v>3519</v>
      </c>
    </row>
    <row r="484" spans="1:20" s="343" customFormat="1" ht="0.65" hidden="1" customHeight="1">
      <c r="A484" s="343">
        <v>2102</v>
      </c>
      <c r="O484" s="343">
        <v>62</v>
      </c>
      <c r="P484" s="343" t="s">
        <v>3520</v>
      </c>
      <c r="R484" s="863">
        <v>49500</v>
      </c>
      <c r="S484" s="863" t="s">
        <v>3586</v>
      </c>
      <c r="T484" s="343" t="s">
        <v>3521</v>
      </c>
    </row>
    <row r="485" spans="1:20" s="343" customFormat="1" ht="0.65" hidden="1" customHeight="1">
      <c r="A485" s="343">
        <v>2103</v>
      </c>
      <c r="O485" s="343">
        <v>63</v>
      </c>
      <c r="P485" s="343" t="s">
        <v>3389</v>
      </c>
      <c r="R485" s="863">
        <v>55000</v>
      </c>
      <c r="S485" s="343" t="s">
        <v>3502</v>
      </c>
      <c r="T485" s="343" t="s">
        <v>3522</v>
      </c>
    </row>
    <row r="486" spans="1:20" s="343" customFormat="1" ht="0.65" hidden="1" customHeight="1">
      <c r="A486" s="343">
        <v>2104</v>
      </c>
      <c r="O486" s="343">
        <v>64</v>
      </c>
      <c r="P486" s="343" t="s">
        <v>3392</v>
      </c>
      <c r="R486" s="863">
        <v>115000</v>
      </c>
      <c r="S486" s="343" t="s">
        <v>3587</v>
      </c>
      <c r="T486" s="343" t="s">
        <v>3588</v>
      </c>
    </row>
    <row r="487" spans="1:20" s="343" customFormat="1" ht="0.65" hidden="1" customHeight="1">
      <c r="A487" s="343">
        <v>2105</v>
      </c>
      <c r="O487" s="343">
        <v>65</v>
      </c>
      <c r="P487" s="343" t="s">
        <v>55</v>
      </c>
      <c r="R487" s="863" t="s">
        <v>55</v>
      </c>
    </row>
    <row r="488" spans="1:20" s="343" customFormat="1" ht="0.65" hidden="1" customHeight="1">
      <c r="A488" s="343">
        <v>2106</v>
      </c>
      <c r="O488" s="343">
        <v>66</v>
      </c>
      <c r="P488" s="343" t="s">
        <v>55</v>
      </c>
      <c r="R488" s="863" t="s">
        <v>55</v>
      </c>
    </row>
    <row r="489" spans="1:20" s="343" customFormat="1" ht="0.65" hidden="1" customHeight="1">
      <c r="A489" s="343">
        <v>2107</v>
      </c>
      <c r="O489" s="343">
        <v>67</v>
      </c>
      <c r="P489" s="343" t="s">
        <v>3394</v>
      </c>
      <c r="R489" s="863">
        <v>170000</v>
      </c>
      <c r="S489" s="343" t="s">
        <v>3589</v>
      </c>
      <c r="T489" s="343" t="s">
        <v>3526</v>
      </c>
    </row>
    <row r="490" spans="1:20" s="343" customFormat="1" ht="0.65" hidden="1" customHeight="1">
      <c r="A490" s="343">
        <v>2108</v>
      </c>
      <c r="O490" s="343">
        <v>68</v>
      </c>
      <c r="P490" s="343" t="s">
        <v>3527</v>
      </c>
      <c r="R490" s="863">
        <v>-193000</v>
      </c>
      <c r="S490" s="343" t="s">
        <v>3590</v>
      </c>
      <c r="T490" s="343" t="s">
        <v>3529</v>
      </c>
    </row>
    <row r="491" spans="1:20" s="343" customFormat="1" ht="0.65" hidden="1" customHeight="1">
      <c r="A491" s="343">
        <v>2109</v>
      </c>
      <c r="O491" s="343">
        <v>69</v>
      </c>
      <c r="P491" s="343" t="s">
        <v>3530</v>
      </c>
      <c r="R491" s="863">
        <v>49500</v>
      </c>
      <c r="S491" s="343" t="s">
        <v>3591</v>
      </c>
      <c r="T491" s="343" t="s">
        <v>3532</v>
      </c>
    </row>
    <row r="492" spans="1:20" s="343" customFormat="1" ht="0.65" hidden="1" customHeight="1">
      <c r="A492" s="343">
        <v>2110</v>
      </c>
      <c r="O492" s="343">
        <v>70</v>
      </c>
      <c r="P492" s="343" t="s">
        <v>3533</v>
      </c>
      <c r="R492" s="863">
        <v>49500</v>
      </c>
      <c r="S492" s="343" t="s">
        <v>3591</v>
      </c>
      <c r="T492" s="343" t="s">
        <v>3534</v>
      </c>
    </row>
    <row r="493" spans="1:20" s="343" customFormat="1" ht="0.65" hidden="1" customHeight="1">
      <c r="A493" s="343">
        <v>2111</v>
      </c>
      <c r="O493" s="343">
        <v>71</v>
      </c>
      <c r="P493" s="343" t="s">
        <v>3535</v>
      </c>
      <c r="R493" s="863">
        <v>49500</v>
      </c>
      <c r="S493" s="343" t="s">
        <v>3591</v>
      </c>
      <c r="T493" s="343" t="s">
        <v>3536</v>
      </c>
    </row>
    <row r="494" spans="1:20" s="343" customFormat="1" ht="0.65" hidden="1" customHeight="1">
      <c r="A494" s="343">
        <v>2112</v>
      </c>
      <c r="O494" s="343">
        <v>72</v>
      </c>
      <c r="P494" s="343" t="s">
        <v>3537</v>
      </c>
      <c r="R494" s="863">
        <v>219500</v>
      </c>
      <c r="S494" s="343" t="s">
        <v>3592</v>
      </c>
      <c r="T494" s="343" t="s">
        <v>3539</v>
      </c>
    </row>
    <row r="495" spans="1:20" s="343" customFormat="1" ht="0.65" hidden="1" customHeight="1">
      <c r="A495" s="343">
        <v>2113</v>
      </c>
      <c r="O495" s="343">
        <v>73</v>
      </c>
      <c r="P495" s="343" t="s">
        <v>3540</v>
      </c>
      <c r="R495" s="864">
        <v>0.1</v>
      </c>
      <c r="S495" s="343" t="s">
        <v>3541</v>
      </c>
      <c r="T495" s="343" t="s">
        <v>3542</v>
      </c>
    </row>
    <row r="496" spans="1:20" s="343" customFormat="1" ht="0.65" hidden="1" customHeight="1">
      <c r="A496" s="343">
        <v>2114</v>
      </c>
      <c r="O496" s="343">
        <v>74</v>
      </c>
      <c r="P496" s="343" t="s">
        <v>13</v>
      </c>
      <c r="R496" s="863">
        <v>80020.627006351948</v>
      </c>
      <c r="S496" s="343" t="s">
        <v>3593</v>
      </c>
      <c r="T496" s="343" t="s">
        <v>3544</v>
      </c>
    </row>
    <row r="497" spans="1:20" s="343" customFormat="1" ht="0.65" hidden="1" customHeight="1">
      <c r="A497" s="343">
        <v>2115</v>
      </c>
      <c r="O497" s="343">
        <v>75</v>
      </c>
      <c r="P497" s="343" t="s">
        <v>28</v>
      </c>
      <c r="R497" s="864">
        <v>0.23537281324646608</v>
      </c>
      <c r="S497" s="343" t="s">
        <v>3594</v>
      </c>
      <c r="T497" s="343" t="s">
        <v>3546</v>
      </c>
    </row>
    <row r="498" spans="1:20" s="343" customFormat="1" ht="0.65" hidden="1" customHeight="1">
      <c r="A498" s="343">
        <v>2116</v>
      </c>
    </row>
    <row r="499" spans="1:20" s="343" customFormat="1" ht="0.65" hidden="1" customHeight="1">
      <c r="A499" s="343">
        <v>2117</v>
      </c>
      <c r="O499" s="343">
        <v>1</v>
      </c>
      <c r="P499" s="343" t="s">
        <v>3595</v>
      </c>
    </row>
    <row r="500" spans="1:20" s="343" customFormat="1" ht="0.65" hidden="1" customHeight="1">
      <c r="A500" s="343">
        <v>2118</v>
      </c>
      <c r="O500" s="343">
        <v>2</v>
      </c>
      <c r="P500" s="343" t="s">
        <v>3923</v>
      </c>
    </row>
    <row r="501" spans="1:20" s="343" customFormat="1" ht="0.65" hidden="1" customHeight="1">
      <c r="A501" s="343">
        <v>2119</v>
      </c>
      <c r="O501" s="343">
        <v>3</v>
      </c>
      <c r="P501" s="343" t="s">
        <v>3924</v>
      </c>
    </row>
    <row r="502" spans="1:20" s="343" customFormat="1" ht="0.65" hidden="1" customHeight="1">
      <c r="A502" s="343">
        <v>2120</v>
      </c>
      <c r="O502" s="343">
        <v>4</v>
      </c>
      <c r="P502" s="343" t="s">
        <v>3921</v>
      </c>
    </row>
    <row r="503" spans="1:20" s="343" customFormat="1" ht="0.65" hidden="1" customHeight="1">
      <c r="A503" s="343">
        <v>2121</v>
      </c>
      <c r="O503" s="343">
        <v>5</v>
      </c>
      <c r="P503" s="343" t="s">
        <v>3925</v>
      </c>
    </row>
    <row r="504" spans="1:20" s="343" customFormat="1" ht="0.65" hidden="1" customHeight="1">
      <c r="A504" s="343">
        <v>2122</v>
      </c>
      <c r="O504" s="343">
        <v>6</v>
      </c>
      <c r="P504" s="343" t="s">
        <v>3599</v>
      </c>
    </row>
    <row r="505" spans="1:20" s="343" customFormat="1" ht="0.65" hidden="1" customHeight="1">
      <c r="A505" s="343">
        <v>2123</v>
      </c>
      <c r="O505" s="343">
        <v>7</v>
      </c>
    </row>
    <row r="506" spans="1:20" s="343" customFormat="1" ht="0.65" hidden="1" customHeight="1">
      <c r="A506" s="343">
        <v>2124</v>
      </c>
      <c r="O506" s="343">
        <v>8</v>
      </c>
    </row>
    <row r="507" spans="1:20" s="343" customFormat="1" ht="0.65" hidden="1" customHeight="1">
      <c r="A507" s="343">
        <v>2125</v>
      </c>
      <c r="O507" s="343">
        <v>9</v>
      </c>
    </row>
    <row r="508" spans="1:20" s="343" customFormat="1" ht="0.65" hidden="1" customHeight="1">
      <c r="A508" s="343">
        <v>2126</v>
      </c>
      <c r="O508" s="343">
        <v>10</v>
      </c>
    </row>
    <row r="509" spans="1:20" s="343" customFormat="1" ht="0.65" hidden="1" customHeight="1">
      <c r="A509" s="343">
        <v>2127</v>
      </c>
    </row>
    <row r="510" spans="1:20" s="343" customFormat="1" ht="0.65" hidden="1" customHeight="1">
      <c r="A510" s="343">
        <v>2128</v>
      </c>
    </row>
    <row r="511" spans="1:20" s="343" customFormat="1" ht="0.65" hidden="1" customHeight="1">
      <c r="A511" s="343">
        <v>2129</v>
      </c>
    </row>
    <row r="512" spans="1:20" s="343" customFormat="1" ht="0.65" hidden="1" customHeight="1">
      <c r="A512" s="343">
        <v>2130</v>
      </c>
    </row>
    <row r="513" spans="1:25" s="343" customFormat="1" ht="0.65" hidden="1" customHeight="1">
      <c r="A513" s="653">
        <v>1</v>
      </c>
      <c r="B513" s="653">
        <v>2</v>
      </c>
      <c r="C513" s="653">
        <v>3</v>
      </c>
      <c r="D513" s="653">
        <v>4</v>
      </c>
      <c r="E513" s="653">
        <v>5</v>
      </c>
      <c r="F513" s="653">
        <v>6</v>
      </c>
      <c r="G513" s="653">
        <v>7</v>
      </c>
      <c r="H513" s="653">
        <v>8</v>
      </c>
      <c r="I513" s="653">
        <v>9</v>
      </c>
      <c r="J513" s="653">
        <v>10</v>
      </c>
      <c r="K513" s="653">
        <v>11</v>
      </c>
      <c r="L513" s="653">
        <v>12</v>
      </c>
      <c r="M513" s="653">
        <v>13</v>
      </c>
      <c r="N513" s="653">
        <v>14</v>
      </c>
      <c r="O513" s="653">
        <v>15</v>
      </c>
      <c r="P513" s="653">
        <v>16</v>
      </c>
      <c r="Q513" s="653">
        <v>17</v>
      </c>
      <c r="R513" s="653">
        <v>18</v>
      </c>
      <c r="S513" s="653">
        <v>19</v>
      </c>
      <c r="T513" s="653">
        <v>20</v>
      </c>
      <c r="U513" s="653">
        <v>21</v>
      </c>
      <c r="V513" s="653">
        <v>22</v>
      </c>
      <c r="W513" s="653">
        <v>23</v>
      </c>
    </row>
    <row r="514" spans="1:25" s="343" customFormat="1" ht="0.65" hidden="1" customHeight="1">
      <c r="A514" s="343">
        <v>3</v>
      </c>
    </row>
    <row r="515" spans="1:25" s="343" customFormat="1" ht="0.65" hidden="1" customHeight="1">
      <c r="A515" s="343">
        <v>3001</v>
      </c>
      <c r="B515" s="343" t="s">
        <v>3600</v>
      </c>
      <c r="E515" s="343" t="s">
        <v>3601</v>
      </c>
      <c r="M515" s="863" t="s">
        <v>3601</v>
      </c>
      <c r="N515" s="863"/>
      <c r="O515" s="863"/>
      <c r="P515" s="863"/>
      <c r="Q515" s="863"/>
      <c r="R515" s="863"/>
      <c r="S515" s="863"/>
      <c r="T515" s="863"/>
      <c r="U515" s="863"/>
      <c r="V515" s="863"/>
    </row>
    <row r="516" spans="1:25" s="343" customFormat="1" ht="0.65" hidden="1" customHeight="1">
      <c r="A516" s="343">
        <v>3002</v>
      </c>
      <c r="M516" s="863"/>
      <c r="N516" s="865" t="s">
        <v>55</v>
      </c>
      <c r="O516" s="865" t="s">
        <v>55</v>
      </c>
      <c r="P516" s="865" t="s">
        <v>55</v>
      </c>
      <c r="Q516" s="865" t="s">
        <v>55</v>
      </c>
      <c r="R516" s="865" t="s">
        <v>55</v>
      </c>
      <c r="S516" s="865" t="s">
        <v>55</v>
      </c>
      <c r="T516" s="865" t="s">
        <v>55</v>
      </c>
      <c r="U516" s="865" t="s">
        <v>55</v>
      </c>
      <c r="V516" s="865" t="s">
        <v>55</v>
      </c>
    </row>
    <row r="517" spans="1:25" s="343" customFormat="1" ht="0.65" hidden="1" customHeight="1">
      <c r="A517" s="343">
        <v>3003</v>
      </c>
      <c r="B517" s="343" t="s">
        <v>3602</v>
      </c>
      <c r="E517" s="343" t="s">
        <v>3603</v>
      </c>
      <c r="H517" s="343" t="s">
        <v>3604</v>
      </c>
      <c r="M517" s="659"/>
      <c r="N517" s="866"/>
      <c r="O517" s="866"/>
      <c r="P517" s="866"/>
      <c r="Q517" s="866"/>
      <c r="R517" s="866"/>
      <c r="S517" s="866"/>
      <c r="T517" s="866"/>
      <c r="U517" s="866"/>
      <c r="V517" s="866"/>
    </row>
    <row r="518" spans="1:25" s="343" customFormat="1" ht="0.65" hidden="1" customHeight="1">
      <c r="A518" s="343">
        <v>3004</v>
      </c>
      <c r="B518" s="343" t="s">
        <v>3605</v>
      </c>
      <c r="M518" s="663"/>
      <c r="N518" s="343">
        <v>0</v>
      </c>
      <c r="O518" s="343">
        <v>0</v>
      </c>
      <c r="P518" s="343">
        <v>0</v>
      </c>
      <c r="Q518" s="343">
        <v>0</v>
      </c>
      <c r="R518" s="343">
        <v>0</v>
      </c>
      <c r="S518" s="343">
        <v>0</v>
      </c>
      <c r="T518" s="343">
        <v>0</v>
      </c>
      <c r="U518" s="343">
        <v>0</v>
      </c>
      <c r="V518" s="863">
        <v>-30000</v>
      </c>
    </row>
    <row r="519" spans="1:25" s="343" customFormat="1" ht="0.65" hidden="1" customHeight="1">
      <c r="A519" s="343">
        <v>3005</v>
      </c>
      <c r="B519" s="343" t="s">
        <v>3606</v>
      </c>
      <c r="E519" s="343" t="s">
        <v>3607</v>
      </c>
      <c r="F519" s="659">
        <v>200000</v>
      </c>
      <c r="H519" s="343" t="s">
        <v>3365</v>
      </c>
      <c r="I519" s="659">
        <v>300000</v>
      </c>
      <c r="M519" s="663"/>
      <c r="N519" s="863">
        <v>0</v>
      </c>
      <c r="O519" s="863">
        <v>0</v>
      </c>
      <c r="P519" s="863">
        <v>5000</v>
      </c>
      <c r="Q519" s="863">
        <v>-5000</v>
      </c>
      <c r="R519" s="863">
        <v>-1500</v>
      </c>
      <c r="S519" s="863">
        <v>-3500</v>
      </c>
      <c r="T519" s="863">
        <v>1500</v>
      </c>
      <c r="U519" s="863">
        <v>1500</v>
      </c>
      <c r="V519" s="863">
        <v>1500</v>
      </c>
    </row>
    <row r="520" spans="1:25" s="343" customFormat="1" ht="0.65" hidden="1" customHeight="1">
      <c r="A520" s="343">
        <v>3006</v>
      </c>
      <c r="E520" s="343" t="s">
        <v>3608</v>
      </c>
      <c r="F520" s="659">
        <v>20000</v>
      </c>
      <c r="H520" s="343" t="s">
        <v>3368</v>
      </c>
      <c r="I520" s="659">
        <v>240000</v>
      </c>
      <c r="M520" s="663"/>
      <c r="N520" s="863">
        <v>0</v>
      </c>
      <c r="O520" s="863">
        <v>0</v>
      </c>
      <c r="P520" s="863">
        <v>5000</v>
      </c>
      <c r="Q520" s="863">
        <v>-5000</v>
      </c>
      <c r="R520" s="863">
        <v>-1500</v>
      </c>
      <c r="S520" s="863">
        <v>-3500</v>
      </c>
      <c r="T520" s="863">
        <v>1500</v>
      </c>
      <c r="U520" s="863">
        <v>1500</v>
      </c>
      <c r="V520" s="863">
        <v>1500</v>
      </c>
    </row>
    <row r="521" spans="1:25" s="343" customFormat="1" ht="0.65" hidden="1" customHeight="1">
      <c r="A521" s="343">
        <v>3007</v>
      </c>
      <c r="B521" s="343" t="s">
        <v>3609</v>
      </c>
      <c r="E521" s="343" t="s">
        <v>3610</v>
      </c>
      <c r="F521" s="659">
        <v>100000</v>
      </c>
      <c r="M521" s="663"/>
      <c r="N521" s="863">
        <v>0</v>
      </c>
      <c r="O521" s="863">
        <v>0</v>
      </c>
      <c r="P521" s="863">
        <v>5000</v>
      </c>
      <c r="Q521" s="863">
        <v>-5000</v>
      </c>
      <c r="R521" s="863">
        <v>-1500</v>
      </c>
      <c r="S521" s="863">
        <v>-3500</v>
      </c>
      <c r="T521" s="863">
        <v>1500</v>
      </c>
      <c r="U521" s="863">
        <v>1500</v>
      </c>
      <c r="V521" s="863">
        <v>1500</v>
      </c>
    </row>
    <row r="522" spans="1:25" s="343" customFormat="1" ht="0.65" hidden="1" customHeight="1">
      <c r="A522" s="343">
        <v>3008</v>
      </c>
      <c r="B522" s="343" t="s">
        <v>3611</v>
      </c>
      <c r="E522" s="343" t="s">
        <v>3612</v>
      </c>
      <c r="F522" s="653">
        <v>60</v>
      </c>
      <c r="H522" s="343" t="s">
        <v>3371</v>
      </c>
      <c r="I522" s="653">
        <v>90</v>
      </c>
      <c r="M522" s="663"/>
      <c r="N522" s="863">
        <v>0</v>
      </c>
      <c r="O522" s="863">
        <v>0</v>
      </c>
      <c r="P522" s="863">
        <v>5000</v>
      </c>
      <c r="Q522" s="863">
        <v>-5000</v>
      </c>
      <c r="R522" s="863">
        <v>-1500</v>
      </c>
      <c r="S522" s="863">
        <v>-3500</v>
      </c>
      <c r="T522" s="863">
        <v>1500</v>
      </c>
      <c r="U522" s="863">
        <v>1500</v>
      </c>
      <c r="V522" s="863">
        <v>39500</v>
      </c>
    </row>
    <row r="523" spans="1:25" s="343" customFormat="1" ht="0.65" hidden="1" customHeight="1">
      <c r="A523" s="343">
        <v>3009</v>
      </c>
      <c r="B523" s="343" t="s">
        <v>3613</v>
      </c>
      <c r="H523" s="343" t="s">
        <v>3374</v>
      </c>
      <c r="I523" s="653">
        <v>60</v>
      </c>
      <c r="N523" s="865" t="s">
        <v>55</v>
      </c>
      <c r="O523" s="865" t="s">
        <v>55</v>
      </c>
      <c r="P523" s="865" t="s">
        <v>55</v>
      </c>
      <c r="Q523" s="865" t="s">
        <v>55</v>
      </c>
      <c r="R523" s="865" t="s">
        <v>55</v>
      </c>
      <c r="T523" s="653"/>
      <c r="U523" s="653"/>
      <c r="V523" s="653"/>
      <c r="W523" s="659"/>
      <c r="X523" s="659"/>
      <c r="Y523" s="659"/>
    </row>
    <row r="524" spans="1:25" s="343" customFormat="1" ht="0.65" hidden="1" customHeight="1">
      <c r="A524" s="343">
        <v>3010</v>
      </c>
      <c r="B524" s="343" t="s">
        <v>3614</v>
      </c>
      <c r="M524" s="659"/>
      <c r="N524" s="866"/>
      <c r="O524" s="866"/>
      <c r="P524" s="866"/>
      <c r="Q524" s="866"/>
      <c r="R524" s="866"/>
      <c r="U524" s="863"/>
      <c r="V524" s="863"/>
      <c r="W524" s="863"/>
      <c r="X524" s="863"/>
      <c r="Y524" s="863"/>
    </row>
    <row r="525" spans="1:25" s="343" customFormat="1" ht="0.65" hidden="1" customHeight="1">
      <c r="A525" s="343">
        <v>3011</v>
      </c>
      <c r="E525" s="343" t="s">
        <v>3615</v>
      </c>
      <c r="H525" s="343" t="s">
        <v>3380</v>
      </c>
      <c r="I525" s="358">
        <v>0.1</v>
      </c>
      <c r="M525" s="663"/>
      <c r="N525" s="863">
        <v>-20000</v>
      </c>
      <c r="O525" s="863">
        <v>0</v>
      </c>
      <c r="P525" s="863">
        <v>0</v>
      </c>
      <c r="Q525" s="863">
        <v>-20000</v>
      </c>
      <c r="R525" s="863">
        <v>-20000</v>
      </c>
      <c r="U525" s="1064" t="s">
        <v>55</v>
      </c>
      <c r="V525" s="1064"/>
      <c r="W525" s="863"/>
      <c r="X525" s="863"/>
      <c r="Y525" s="863"/>
    </row>
    <row r="526" spans="1:25" s="343" customFormat="1" ht="0.65" hidden="1" customHeight="1">
      <c r="A526" s="343">
        <v>3012</v>
      </c>
      <c r="B526" s="343" t="s">
        <v>3616</v>
      </c>
      <c r="H526" s="343" t="s">
        <v>3381</v>
      </c>
      <c r="I526" s="358">
        <v>0.3</v>
      </c>
      <c r="M526" s="663"/>
      <c r="N526" s="863">
        <v>-20000</v>
      </c>
      <c r="O526" s="863">
        <v>0</v>
      </c>
      <c r="P526" s="863">
        <v>0</v>
      </c>
      <c r="Q526" s="863">
        <v>-20000</v>
      </c>
      <c r="R526" s="863">
        <v>0</v>
      </c>
      <c r="U526" s="1064"/>
      <c r="V526" s="1064"/>
      <c r="W526" s="863"/>
      <c r="X526" s="863"/>
      <c r="Y526" s="863"/>
    </row>
    <row r="527" spans="1:25" s="343" customFormat="1" ht="0.65" hidden="1" customHeight="1">
      <c r="A527" s="343">
        <v>3013</v>
      </c>
      <c r="B527" s="343" t="s">
        <v>3617</v>
      </c>
      <c r="E527" s="343" t="s">
        <v>3618</v>
      </c>
      <c r="F527" s="659">
        <v>250000</v>
      </c>
      <c r="M527" s="663"/>
      <c r="N527" s="863">
        <v>-20000</v>
      </c>
      <c r="O527" s="863">
        <v>0</v>
      </c>
      <c r="P527" s="863">
        <v>0</v>
      </c>
      <c r="Q527" s="863">
        <v>-20000</v>
      </c>
      <c r="R527" s="863">
        <v>0</v>
      </c>
      <c r="U527" s="1064"/>
      <c r="V527" s="1064"/>
      <c r="W527" s="863"/>
      <c r="X527" s="863"/>
      <c r="Y527" s="863"/>
    </row>
    <row r="528" spans="1:25" s="343" customFormat="1" ht="0.65" hidden="1" customHeight="1">
      <c r="A528" s="343">
        <v>3014</v>
      </c>
      <c r="B528" s="343" t="s">
        <v>3619</v>
      </c>
      <c r="E528" s="343" t="s">
        <v>3620</v>
      </c>
      <c r="F528" s="659">
        <v>25000</v>
      </c>
      <c r="M528" s="663"/>
      <c r="N528" s="863">
        <v>-20000</v>
      </c>
      <c r="O528" s="863">
        <v>0</v>
      </c>
      <c r="P528" s="863">
        <v>0</v>
      </c>
      <c r="Q528" s="863">
        <v>-20000</v>
      </c>
      <c r="R528" s="863">
        <v>0</v>
      </c>
      <c r="U528" s="1064"/>
      <c r="V528" s="1064"/>
      <c r="W528" s="863"/>
      <c r="X528" s="863"/>
      <c r="Y528" s="863"/>
    </row>
    <row r="529" spans="1:25" s="343" customFormat="1" ht="0.65" hidden="1" customHeight="1">
      <c r="A529" s="343">
        <v>3015</v>
      </c>
      <c r="E529" s="343" t="s">
        <v>3621</v>
      </c>
      <c r="F529" s="659">
        <v>170000</v>
      </c>
      <c r="M529" s="663"/>
      <c r="N529" s="863">
        <v>-20000</v>
      </c>
      <c r="O529" s="863">
        <v>0</v>
      </c>
      <c r="P529" s="863">
        <v>0</v>
      </c>
      <c r="Q529" s="863">
        <v>-20000</v>
      </c>
      <c r="R529" s="863">
        <v>0</v>
      </c>
      <c r="T529" s="863"/>
      <c r="U529" s="863"/>
      <c r="V529" s="863"/>
      <c r="W529" s="863"/>
      <c r="X529" s="863"/>
      <c r="Y529" s="863"/>
    </row>
    <row r="530" spans="1:25" s="343" customFormat="1" ht="0.65" hidden="1" customHeight="1">
      <c r="A530" s="343">
        <v>3016</v>
      </c>
      <c r="B530" s="343" t="s">
        <v>3622</v>
      </c>
      <c r="E530" s="343" t="s">
        <v>3623</v>
      </c>
      <c r="F530" s="653">
        <v>30</v>
      </c>
      <c r="M530" s="863"/>
      <c r="N530" s="653"/>
      <c r="O530" s="653"/>
      <c r="P530" s="653"/>
      <c r="Q530" s="653"/>
      <c r="R530" s="653"/>
      <c r="S530" s="653"/>
      <c r="T530" s="863"/>
      <c r="V530" s="863"/>
      <c r="W530" s="863"/>
      <c r="X530" s="863"/>
    </row>
    <row r="531" spans="1:25" s="343" customFormat="1" ht="0.65" hidden="1" customHeight="1">
      <c r="A531" s="343">
        <v>3017</v>
      </c>
      <c r="B531" s="343" t="s">
        <v>3624</v>
      </c>
      <c r="M531" s="863"/>
      <c r="V531" s="863"/>
      <c r="W531" s="863"/>
      <c r="X531" s="863"/>
    </row>
    <row r="532" spans="1:25" s="343" customFormat="1" ht="0.65" hidden="1" customHeight="1">
      <c r="A532" s="343">
        <v>3018</v>
      </c>
      <c r="N532" s="863"/>
      <c r="O532" s="863"/>
      <c r="P532" s="865" t="s">
        <v>55</v>
      </c>
      <c r="T532" s="865" t="s">
        <v>55</v>
      </c>
      <c r="W532" s="865" t="s">
        <v>55</v>
      </c>
      <c r="X532" s="863"/>
    </row>
    <row r="533" spans="1:25" s="343" customFormat="1" ht="0.65" hidden="1" customHeight="1">
      <c r="A533" s="343">
        <v>3019</v>
      </c>
      <c r="B533" s="343" t="s">
        <v>3625</v>
      </c>
      <c r="N533" s="1061" t="s">
        <v>3626</v>
      </c>
      <c r="O533" s="1061"/>
      <c r="P533" s="863">
        <v>-20000</v>
      </c>
      <c r="R533" s="1061" t="s">
        <v>3389</v>
      </c>
      <c r="S533" s="1061"/>
      <c r="T533" s="863">
        <v>-20000</v>
      </c>
      <c r="X533" s="863"/>
    </row>
    <row r="534" spans="1:25" s="343" customFormat="1" ht="0.65" hidden="1" customHeight="1">
      <c r="A534" s="343">
        <v>3020</v>
      </c>
      <c r="B534" s="343" t="s">
        <v>3627</v>
      </c>
      <c r="M534" s="863"/>
      <c r="N534" s="1061" t="s">
        <v>3628</v>
      </c>
      <c r="O534" s="1061"/>
      <c r="P534" s="863">
        <v>50000</v>
      </c>
      <c r="R534" s="1061" t="s">
        <v>3629</v>
      </c>
      <c r="S534" s="1061"/>
      <c r="T534" s="863">
        <v>106000</v>
      </c>
      <c r="V534" s="662"/>
      <c r="W534" s="358">
        <v>0.1</v>
      </c>
      <c r="X534" s="863"/>
    </row>
    <row r="535" spans="1:25" s="343" customFormat="1" ht="0.65" hidden="1" customHeight="1">
      <c r="A535" s="343">
        <v>3021</v>
      </c>
      <c r="M535" s="863"/>
      <c r="N535" s="1061"/>
      <c r="O535" s="1061"/>
      <c r="P535" s="863"/>
      <c r="R535" s="1061" t="s">
        <v>3630</v>
      </c>
      <c r="S535" s="1061"/>
      <c r="T535" s="863">
        <v>164000</v>
      </c>
    </row>
    <row r="536" spans="1:25" s="343" customFormat="1" ht="0.65" hidden="1" customHeight="1">
      <c r="A536" s="343">
        <v>3022</v>
      </c>
      <c r="B536" s="343" t="s">
        <v>3631</v>
      </c>
      <c r="M536" s="863"/>
      <c r="N536" s="1061"/>
      <c r="O536" s="1061"/>
      <c r="P536" s="863"/>
      <c r="R536" s="1061"/>
      <c r="S536" s="1061"/>
      <c r="T536" s="863"/>
      <c r="X536" s="863"/>
      <c r="Y536" s="863"/>
    </row>
    <row r="537" spans="1:25" s="343" customFormat="1" ht="0.65" hidden="1" customHeight="1">
      <c r="A537" s="343">
        <v>3023</v>
      </c>
      <c r="B537" s="343" t="s">
        <v>3632</v>
      </c>
      <c r="M537" s="863"/>
      <c r="N537" s="867"/>
      <c r="Q537" s="863"/>
      <c r="R537" s="868"/>
      <c r="S537" s="863"/>
      <c r="T537" s="863"/>
      <c r="U537" s="863"/>
      <c r="V537" s="662"/>
      <c r="W537" s="659">
        <v>709.30947339661361</v>
      </c>
      <c r="X537" s="863"/>
      <c r="Y537" s="863"/>
    </row>
    <row r="538" spans="1:25" s="343" customFormat="1" ht="0.65" hidden="1" customHeight="1">
      <c r="A538" s="343">
        <v>3024</v>
      </c>
      <c r="M538" s="863"/>
      <c r="N538" s="1062" t="s">
        <v>129</v>
      </c>
      <c r="O538" s="1062"/>
      <c r="P538" s="863">
        <v>30000</v>
      </c>
      <c r="Q538" s="863"/>
      <c r="R538" s="1062" t="s">
        <v>3394</v>
      </c>
      <c r="S538" s="1062"/>
      <c r="T538" s="863">
        <v>38000</v>
      </c>
      <c r="V538" s="869"/>
      <c r="W538" s="358">
        <v>0.10688042852912205</v>
      </c>
      <c r="X538" s="863"/>
      <c r="Y538" s="863"/>
    </row>
    <row r="539" spans="1:25" s="343" customFormat="1" ht="0.65" hidden="1" customHeight="1">
      <c r="A539" s="343">
        <v>3025</v>
      </c>
      <c r="N539" s="863"/>
      <c r="P539" s="653"/>
      <c r="T539" s="653"/>
      <c r="W539" s="653"/>
      <c r="X539" s="863"/>
      <c r="Y539" s="863"/>
    </row>
    <row r="540" spans="1:25" s="343" customFormat="1" ht="0.65" hidden="1" customHeight="1">
      <c r="A540" s="343">
        <v>3026</v>
      </c>
      <c r="X540" s="863"/>
      <c r="Y540" s="863"/>
    </row>
    <row r="541" spans="1:25" s="343" customFormat="1" ht="0.65" hidden="1" customHeight="1">
      <c r="A541" s="343">
        <v>3027</v>
      </c>
      <c r="X541" s="863"/>
      <c r="Y541" s="863"/>
    </row>
    <row r="542" spans="1:25" s="343" customFormat="1" ht="0.65" hidden="1" customHeight="1">
      <c r="A542" s="343">
        <v>3028</v>
      </c>
      <c r="X542" s="863"/>
      <c r="Y542" s="863"/>
    </row>
    <row r="543" spans="1:25" s="343" customFormat="1" ht="0.65" hidden="1" customHeight="1">
      <c r="A543" s="343">
        <v>3029</v>
      </c>
      <c r="X543" s="863"/>
      <c r="Y543" s="863"/>
    </row>
    <row r="544" spans="1:25" s="343" customFormat="1" ht="0.65" hidden="1" customHeight="1">
      <c r="A544" s="343">
        <v>3030</v>
      </c>
      <c r="X544" s="863"/>
      <c r="Y544" s="863"/>
    </row>
    <row r="545" spans="1:25" s="343" customFormat="1" ht="0.65" hidden="1" customHeight="1">
      <c r="A545" s="343">
        <v>3031</v>
      </c>
      <c r="X545" s="863"/>
      <c r="Y545" s="863"/>
    </row>
    <row r="546" spans="1:25" s="343" customFormat="1" ht="0.65" hidden="1" customHeight="1">
      <c r="A546" s="343">
        <v>3032</v>
      </c>
      <c r="X546" s="863"/>
      <c r="Y546" s="863"/>
    </row>
    <row r="547" spans="1:25" s="343" customFormat="1" ht="0.65" hidden="1" customHeight="1">
      <c r="A547" s="343">
        <v>3033</v>
      </c>
      <c r="X547" s="863"/>
      <c r="Y547" s="863"/>
    </row>
    <row r="548" spans="1:25" s="343" customFormat="1" ht="0.65" hidden="1" customHeight="1">
      <c r="A548" s="343">
        <v>3034</v>
      </c>
      <c r="X548" s="863"/>
      <c r="Y548" s="863"/>
    </row>
    <row r="549" spans="1:25" s="343" customFormat="1" ht="0.65" hidden="1" customHeight="1">
      <c r="A549" s="343">
        <v>3035</v>
      </c>
      <c r="X549" s="863"/>
      <c r="Y549" s="863"/>
    </row>
    <row r="550" spans="1:25" s="343" customFormat="1" ht="0.65" hidden="1" customHeight="1">
      <c r="A550" s="343">
        <v>3036</v>
      </c>
      <c r="X550" s="863"/>
      <c r="Y550" s="863"/>
    </row>
    <row r="551" spans="1:25" s="343" customFormat="1" ht="0.65" hidden="1" customHeight="1">
      <c r="A551" s="343">
        <v>3037</v>
      </c>
      <c r="X551" s="863"/>
      <c r="Y551" s="863"/>
    </row>
    <row r="552" spans="1:25" s="343" customFormat="1" ht="0.65" hidden="1" customHeight="1">
      <c r="A552" s="343">
        <v>3038</v>
      </c>
      <c r="X552" s="863"/>
      <c r="Y552" s="863"/>
    </row>
    <row r="553" spans="1:25" s="343" customFormat="1" ht="0.65" hidden="1" customHeight="1">
      <c r="A553" s="343">
        <v>3039</v>
      </c>
      <c r="X553" s="863"/>
      <c r="Y553" s="863"/>
    </row>
    <row r="554" spans="1:25" s="343" customFormat="1" ht="0.65" hidden="1" customHeight="1">
      <c r="A554" s="343">
        <v>3040</v>
      </c>
      <c r="X554" s="863"/>
      <c r="Y554" s="863"/>
    </row>
    <row r="555" spans="1:25" s="343" customFormat="1" ht="0.65" hidden="1" customHeight="1">
      <c r="A555" s="343">
        <v>3041</v>
      </c>
      <c r="M555" s="343">
        <v>0</v>
      </c>
      <c r="O555" s="343">
        <v>1</v>
      </c>
      <c r="P555" s="343" t="s">
        <v>3626</v>
      </c>
      <c r="R555" s="863">
        <v>-20000</v>
      </c>
      <c r="S555" s="343" t="s">
        <v>3633</v>
      </c>
      <c r="T555" s="343" t="s">
        <v>3634</v>
      </c>
      <c r="X555" s="863"/>
      <c r="Y555" s="863"/>
    </row>
    <row r="556" spans="1:25" s="343" customFormat="1" ht="0.65" hidden="1" customHeight="1">
      <c r="A556" s="343">
        <v>3042</v>
      </c>
      <c r="O556" s="343">
        <v>2</v>
      </c>
      <c r="P556" s="343" t="s">
        <v>3628</v>
      </c>
      <c r="R556" s="863">
        <v>50000</v>
      </c>
      <c r="S556" s="343" t="s">
        <v>3635</v>
      </c>
      <c r="T556" s="343" t="s">
        <v>3636</v>
      </c>
      <c r="X556" s="863"/>
      <c r="Y556" s="863"/>
    </row>
    <row r="557" spans="1:25" s="343" customFormat="1" ht="0.65" hidden="1" customHeight="1">
      <c r="A557" s="343">
        <v>3043</v>
      </c>
      <c r="O557" s="343">
        <v>3</v>
      </c>
      <c r="P557" s="343" t="s">
        <v>55</v>
      </c>
      <c r="R557" s="863"/>
      <c r="X557" s="863"/>
      <c r="Y557" s="863"/>
    </row>
    <row r="558" spans="1:25" s="343" customFormat="1" ht="0.65" hidden="1" customHeight="1">
      <c r="A558" s="343">
        <v>3044</v>
      </c>
      <c r="O558" s="343">
        <v>4</v>
      </c>
      <c r="P558" s="343" t="s">
        <v>55</v>
      </c>
      <c r="R558" s="863"/>
      <c r="X558" s="863"/>
      <c r="Y558" s="863"/>
    </row>
    <row r="559" spans="1:25" s="343" customFormat="1" ht="0.65" hidden="1" customHeight="1">
      <c r="A559" s="343">
        <v>3045</v>
      </c>
      <c r="O559" s="343">
        <v>5</v>
      </c>
      <c r="P559" s="343" t="s">
        <v>129</v>
      </c>
      <c r="R559" s="863">
        <v>30000</v>
      </c>
      <c r="S559" s="343" t="s">
        <v>3637</v>
      </c>
      <c r="T559" s="343" t="s">
        <v>3638</v>
      </c>
      <c r="X559" s="863"/>
      <c r="Y559" s="863"/>
    </row>
    <row r="560" spans="1:25" s="343" customFormat="1" ht="0.65" hidden="1" customHeight="1">
      <c r="A560" s="343">
        <v>3046</v>
      </c>
      <c r="O560" s="343">
        <v>6</v>
      </c>
      <c r="P560" s="343" t="s">
        <v>3404</v>
      </c>
      <c r="R560" s="863">
        <v>0</v>
      </c>
      <c r="S560" s="343" t="s">
        <v>3639</v>
      </c>
      <c r="T560" s="343" t="s">
        <v>3640</v>
      </c>
      <c r="X560" s="863"/>
      <c r="Y560" s="863"/>
    </row>
    <row r="561" spans="1:25" s="343" customFormat="1" ht="0.65" hidden="1" customHeight="1">
      <c r="A561" s="343">
        <v>3047</v>
      </c>
      <c r="O561" s="343">
        <v>7</v>
      </c>
      <c r="P561" s="343" t="s">
        <v>3407</v>
      </c>
      <c r="R561" s="863">
        <v>0</v>
      </c>
      <c r="S561" s="343" t="s">
        <v>3639</v>
      </c>
      <c r="T561" s="343" t="s">
        <v>3640</v>
      </c>
      <c r="X561" s="863"/>
      <c r="Y561" s="863"/>
    </row>
    <row r="562" spans="1:25" s="343" customFormat="1" ht="0.65" hidden="1" customHeight="1">
      <c r="A562" s="343">
        <v>3048</v>
      </c>
      <c r="O562" s="343">
        <v>8</v>
      </c>
      <c r="P562" s="343" t="s">
        <v>3408</v>
      </c>
      <c r="R562" s="863">
        <v>0</v>
      </c>
      <c r="S562" s="343" t="s">
        <v>3639</v>
      </c>
      <c r="T562" s="343" t="s">
        <v>3640</v>
      </c>
      <c r="X562" s="863"/>
      <c r="Y562" s="863"/>
    </row>
    <row r="563" spans="1:25" s="343" customFormat="1" ht="0.65" hidden="1" customHeight="1">
      <c r="A563" s="343">
        <v>3049</v>
      </c>
      <c r="O563" s="343">
        <v>9</v>
      </c>
      <c r="P563" s="343" t="s">
        <v>3409</v>
      </c>
      <c r="R563" s="863">
        <v>0</v>
      </c>
      <c r="S563" s="343" t="s">
        <v>3639</v>
      </c>
      <c r="T563" s="343" t="s">
        <v>3640</v>
      </c>
      <c r="X563" s="863"/>
      <c r="Y563" s="863"/>
    </row>
    <row r="564" spans="1:25" s="343" customFormat="1" ht="0.65" hidden="1" customHeight="1">
      <c r="A564" s="343">
        <v>3050</v>
      </c>
      <c r="O564" s="343">
        <v>10</v>
      </c>
      <c r="P564" s="343" t="s">
        <v>3410</v>
      </c>
      <c r="R564" s="863">
        <v>0</v>
      </c>
      <c r="S564" s="343" t="s">
        <v>3639</v>
      </c>
      <c r="T564" s="343" t="s">
        <v>3641</v>
      </c>
      <c r="X564" s="863"/>
      <c r="Y564" s="863"/>
    </row>
    <row r="565" spans="1:25" s="343" customFormat="1" ht="0.65" hidden="1" customHeight="1">
      <c r="A565" s="343">
        <v>3051</v>
      </c>
      <c r="O565" s="343">
        <v>11</v>
      </c>
      <c r="P565" s="343" t="s">
        <v>3413</v>
      </c>
      <c r="R565" s="863">
        <v>0</v>
      </c>
      <c r="S565" s="343" t="s">
        <v>3639</v>
      </c>
      <c r="T565" s="343" t="s">
        <v>3641</v>
      </c>
      <c r="X565" s="863"/>
      <c r="Y565" s="863"/>
    </row>
    <row r="566" spans="1:25" s="343" customFormat="1" ht="0.65" hidden="1" customHeight="1">
      <c r="A566" s="343">
        <v>3052</v>
      </c>
      <c r="O566" s="343">
        <v>12</v>
      </c>
      <c r="P566" s="343" t="s">
        <v>3414</v>
      </c>
      <c r="R566" s="863">
        <v>0</v>
      </c>
      <c r="S566" s="343" t="s">
        <v>3639</v>
      </c>
      <c r="T566" s="343" t="s">
        <v>3641</v>
      </c>
      <c r="X566" s="863"/>
      <c r="Y566" s="863"/>
    </row>
    <row r="567" spans="1:25" s="343" customFormat="1" ht="0.65" hidden="1" customHeight="1">
      <c r="A567" s="343">
        <v>3053</v>
      </c>
      <c r="O567" s="343">
        <v>13</v>
      </c>
      <c r="P567" s="343" t="s">
        <v>3415</v>
      </c>
      <c r="R567" s="863">
        <v>0</v>
      </c>
      <c r="S567" s="343" t="s">
        <v>3639</v>
      </c>
      <c r="T567" s="343" t="s">
        <v>3641</v>
      </c>
      <c r="X567" s="863"/>
      <c r="Y567" s="863"/>
    </row>
    <row r="568" spans="1:25" s="343" customFormat="1" ht="0.65" hidden="1" customHeight="1">
      <c r="A568" s="343">
        <v>3054</v>
      </c>
      <c r="O568" s="343">
        <v>14</v>
      </c>
      <c r="P568" s="343" t="s">
        <v>3416</v>
      </c>
      <c r="R568" s="863">
        <v>5000</v>
      </c>
      <c r="S568" s="343" t="s">
        <v>3642</v>
      </c>
      <c r="T568" s="343" t="s">
        <v>3643</v>
      </c>
      <c r="X568" s="863"/>
      <c r="Y568" s="863"/>
    </row>
    <row r="569" spans="1:25" s="343" customFormat="1" ht="0.65" hidden="1" customHeight="1">
      <c r="A569" s="343">
        <v>3055</v>
      </c>
      <c r="O569" s="343">
        <v>15</v>
      </c>
      <c r="P569" s="343" t="s">
        <v>3419</v>
      </c>
      <c r="R569" s="863">
        <v>5000</v>
      </c>
      <c r="S569" s="343" t="s">
        <v>3642</v>
      </c>
      <c r="T569" s="343" t="s">
        <v>3643</v>
      </c>
      <c r="X569" s="863"/>
      <c r="Y569" s="863"/>
    </row>
    <row r="570" spans="1:25" s="343" customFormat="1" ht="0.65" hidden="1" customHeight="1">
      <c r="A570" s="343">
        <v>3056</v>
      </c>
      <c r="O570" s="343">
        <v>16</v>
      </c>
      <c r="P570" s="343" t="s">
        <v>3420</v>
      </c>
      <c r="R570" s="863">
        <v>5000</v>
      </c>
      <c r="S570" s="343" t="s">
        <v>3642</v>
      </c>
      <c r="T570" s="343" t="s">
        <v>3643</v>
      </c>
      <c r="X570" s="863"/>
      <c r="Y570" s="863"/>
    </row>
    <row r="571" spans="1:25" s="343" customFormat="1" ht="0.65" hidden="1" customHeight="1">
      <c r="A571" s="343">
        <v>3057</v>
      </c>
      <c r="O571" s="343">
        <v>17</v>
      </c>
      <c r="P571" s="343" t="s">
        <v>3421</v>
      </c>
      <c r="R571" s="863">
        <v>5000</v>
      </c>
      <c r="S571" s="343" t="s">
        <v>3642</v>
      </c>
      <c r="T571" s="343" t="s">
        <v>3643</v>
      </c>
      <c r="X571" s="863"/>
      <c r="Y571" s="863"/>
    </row>
    <row r="572" spans="1:25" s="343" customFormat="1" ht="0.65" hidden="1" customHeight="1">
      <c r="A572" s="343">
        <v>3058</v>
      </c>
      <c r="O572" s="343">
        <v>18</v>
      </c>
      <c r="P572" s="343" t="s">
        <v>3422</v>
      </c>
      <c r="R572" s="863">
        <v>-5000</v>
      </c>
      <c r="S572" s="343" t="s">
        <v>3644</v>
      </c>
      <c r="T572" s="343" t="s">
        <v>3424</v>
      </c>
      <c r="X572" s="863"/>
      <c r="Y572" s="863"/>
    </row>
    <row r="573" spans="1:25" s="343" customFormat="1" ht="0.65" hidden="1" customHeight="1">
      <c r="A573" s="343">
        <v>3059</v>
      </c>
      <c r="O573" s="343">
        <v>19</v>
      </c>
      <c r="P573" s="343" t="s">
        <v>3425</v>
      </c>
      <c r="R573" s="863">
        <v>-5000</v>
      </c>
      <c r="S573" s="343" t="s">
        <v>3644</v>
      </c>
      <c r="T573" s="343" t="s">
        <v>3426</v>
      </c>
      <c r="X573" s="863"/>
      <c r="Y573" s="863"/>
    </row>
    <row r="574" spans="1:25" s="343" customFormat="1" ht="0.65" hidden="1" customHeight="1">
      <c r="A574" s="343">
        <v>3060</v>
      </c>
      <c r="O574" s="343">
        <v>20</v>
      </c>
      <c r="P574" s="343" t="s">
        <v>3427</v>
      </c>
      <c r="R574" s="863">
        <v>-5000</v>
      </c>
      <c r="S574" s="343" t="s">
        <v>3644</v>
      </c>
      <c r="T574" s="343" t="s">
        <v>3428</v>
      </c>
      <c r="X574" s="863"/>
      <c r="Y574" s="863"/>
    </row>
    <row r="575" spans="1:25" s="343" customFormat="1" ht="0.65" hidden="1" customHeight="1">
      <c r="A575" s="343">
        <v>3061</v>
      </c>
      <c r="O575" s="343">
        <v>21</v>
      </c>
      <c r="P575" s="343" t="s">
        <v>3429</v>
      </c>
      <c r="R575" s="863">
        <v>-5000</v>
      </c>
      <c r="S575" s="343" t="s">
        <v>3644</v>
      </c>
      <c r="T575" s="343" t="s">
        <v>3430</v>
      </c>
      <c r="X575" s="863"/>
      <c r="Y575" s="863"/>
    </row>
    <row r="576" spans="1:25" s="343" customFormat="1" ht="0.65" hidden="1" customHeight="1">
      <c r="A576" s="343">
        <v>3062</v>
      </c>
      <c r="O576" s="343">
        <v>22</v>
      </c>
      <c r="P576" s="343" t="s">
        <v>3431</v>
      </c>
      <c r="R576" s="863">
        <v>-1500</v>
      </c>
      <c r="S576" s="343" t="s">
        <v>3645</v>
      </c>
      <c r="T576" s="343" t="s">
        <v>3433</v>
      </c>
      <c r="X576" s="863"/>
      <c r="Y576" s="863"/>
    </row>
    <row r="577" spans="1:25" s="343" customFormat="1" ht="0.65" hidden="1" customHeight="1">
      <c r="A577" s="343">
        <v>3063</v>
      </c>
      <c r="O577" s="343">
        <v>23</v>
      </c>
      <c r="P577" s="343" t="s">
        <v>3434</v>
      </c>
      <c r="R577" s="863">
        <v>-1500</v>
      </c>
      <c r="S577" s="343" t="s">
        <v>3645</v>
      </c>
      <c r="T577" s="343" t="s">
        <v>3435</v>
      </c>
      <c r="X577" s="863"/>
      <c r="Y577" s="863"/>
    </row>
    <row r="578" spans="1:25" s="343" customFormat="1" ht="0.65" hidden="1" customHeight="1">
      <c r="A578" s="343">
        <v>3064</v>
      </c>
      <c r="O578" s="343">
        <v>24</v>
      </c>
      <c r="P578" s="343" t="s">
        <v>3436</v>
      </c>
      <c r="R578" s="863">
        <v>-1500</v>
      </c>
      <c r="S578" s="343" t="s">
        <v>3645</v>
      </c>
      <c r="T578" s="343" t="s">
        <v>3437</v>
      </c>
      <c r="X578" s="863"/>
      <c r="Y578" s="863"/>
    </row>
    <row r="579" spans="1:25" s="343" customFormat="1" ht="0.65" hidden="1" customHeight="1">
      <c r="A579" s="343">
        <v>3065</v>
      </c>
      <c r="O579" s="343">
        <v>25</v>
      </c>
      <c r="P579" s="343" t="s">
        <v>3438</v>
      </c>
      <c r="R579" s="863">
        <v>-1500</v>
      </c>
      <c r="S579" s="343" t="s">
        <v>3645</v>
      </c>
      <c r="T579" s="343" t="s">
        <v>3439</v>
      </c>
      <c r="X579" s="863"/>
      <c r="Y579" s="863"/>
    </row>
    <row r="580" spans="1:25" s="343" customFormat="1" ht="0.65" hidden="1" customHeight="1">
      <c r="A580" s="343">
        <v>3066</v>
      </c>
      <c r="O580" s="343">
        <v>26</v>
      </c>
      <c r="P580" s="343" t="s">
        <v>3440</v>
      </c>
      <c r="R580" s="863">
        <v>-3500</v>
      </c>
      <c r="S580" s="343" t="s">
        <v>3646</v>
      </c>
      <c r="T580" s="343" t="s">
        <v>3442</v>
      </c>
      <c r="X580" s="863"/>
      <c r="Y580" s="863"/>
    </row>
    <row r="581" spans="1:25" s="343" customFormat="1" ht="0.65" hidden="1" customHeight="1">
      <c r="A581" s="343">
        <v>3067</v>
      </c>
      <c r="O581" s="343">
        <v>27</v>
      </c>
      <c r="P581" s="343" t="s">
        <v>3443</v>
      </c>
      <c r="R581" s="863">
        <v>-3500</v>
      </c>
      <c r="S581" s="343" t="s">
        <v>3646</v>
      </c>
      <c r="T581" s="343" t="s">
        <v>3444</v>
      </c>
      <c r="X581" s="863"/>
      <c r="Y581" s="863"/>
    </row>
    <row r="582" spans="1:25" s="343" customFormat="1" ht="0.65" hidden="1" customHeight="1">
      <c r="A582" s="343">
        <v>3068</v>
      </c>
      <c r="O582" s="343">
        <v>28</v>
      </c>
      <c r="P582" s="343" t="s">
        <v>3445</v>
      </c>
      <c r="R582" s="863">
        <v>-3500</v>
      </c>
      <c r="S582" s="343" t="s">
        <v>3646</v>
      </c>
      <c r="T582" s="343" t="s">
        <v>3446</v>
      </c>
      <c r="X582" s="863"/>
      <c r="Y582" s="863"/>
    </row>
    <row r="583" spans="1:25" s="343" customFormat="1" ht="0.65" hidden="1" customHeight="1">
      <c r="A583" s="343">
        <v>3069</v>
      </c>
      <c r="O583" s="343">
        <v>29</v>
      </c>
      <c r="P583" s="343" t="s">
        <v>3447</v>
      </c>
      <c r="R583" s="863">
        <v>-3500</v>
      </c>
      <c r="S583" s="343" t="s">
        <v>3646</v>
      </c>
      <c r="T583" s="343" t="s">
        <v>3448</v>
      </c>
      <c r="X583" s="863"/>
      <c r="Y583" s="863"/>
    </row>
    <row r="584" spans="1:25" s="343" customFormat="1" ht="0.65" hidden="1" customHeight="1">
      <c r="A584" s="343">
        <v>3070</v>
      </c>
      <c r="O584" s="343">
        <v>30</v>
      </c>
      <c r="P584" s="343" t="s">
        <v>3449</v>
      </c>
      <c r="R584" s="863">
        <v>1500</v>
      </c>
      <c r="S584" s="863" t="s">
        <v>3647</v>
      </c>
      <c r="T584" s="343" t="s">
        <v>3451</v>
      </c>
      <c r="X584" s="863"/>
      <c r="Y584" s="863"/>
    </row>
    <row r="585" spans="1:25" s="343" customFormat="1" ht="0.65" hidden="1" customHeight="1">
      <c r="A585" s="343">
        <v>3071</v>
      </c>
      <c r="O585" s="343">
        <v>31</v>
      </c>
      <c r="P585" s="343" t="s">
        <v>3452</v>
      </c>
      <c r="R585" s="863">
        <v>1500</v>
      </c>
      <c r="S585" s="863" t="s">
        <v>3647</v>
      </c>
      <c r="T585" s="343" t="s">
        <v>3453</v>
      </c>
      <c r="X585" s="863"/>
      <c r="Y585" s="863"/>
    </row>
    <row r="586" spans="1:25" s="343" customFormat="1" ht="0.65" hidden="1" customHeight="1">
      <c r="A586" s="343">
        <v>3072</v>
      </c>
      <c r="O586" s="343">
        <v>32</v>
      </c>
      <c r="P586" s="343" t="s">
        <v>3454</v>
      </c>
      <c r="R586" s="863">
        <v>1500</v>
      </c>
      <c r="S586" s="863" t="s">
        <v>3647</v>
      </c>
      <c r="T586" s="343" t="s">
        <v>3455</v>
      </c>
      <c r="X586" s="863"/>
      <c r="Y586" s="863"/>
    </row>
    <row r="587" spans="1:25" s="343" customFormat="1" ht="0.65" hidden="1" customHeight="1">
      <c r="A587" s="343">
        <v>3073</v>
      </c>
      <c r="O587" s="343">
        <v>33</v>
      </c>
      <c r="P587" s="343" t="s">
        <v>3456</v>
      </c>
      <c r="R587" s="863">
        <v>1500</v>
      </c>
      <c r="S587" s="863" t="s">
        <v>3647</v>
      </c>
      <c r="T587" s="343" t="s">
        <v>3457</v>
      </c>
      <c r="X587" s="863"/>
      <c r="Y587" s="863"/>
    </row>
    <row r="588" spans="1:25" s="343" customFormat="1" ht="0.65" hidden="1" customHeight="1">
      <c r="A588" s="343">
        <v>3074</v>
      </c>
      <c r="O588" s="343">
        <v>34</v>
      </c>
      <c r="P588" s="343" t="s">
        <v>3458</v>
      </c>
      <c r="R588" s="863">
        <v>-20000</v>
      </c>
      <c r="S588" s="343" t="s">
        <v>3633</v>
      </c>
      <c r="T588" s="893" t="s">
        <v>3648</v>
      </c>
      <c r="X588" s="863"/>
      <c r="Y588" s="863"/>
    </row>
    <row r="589" spans="1:25" s="343" customFormat="1" ht="0.65" hidden="1" customHeight="1">
      <c r="A589" s="343">
        <v>3075</v>
      </c>
      <c r="O589" s="343">
        <v>35</v>
      </c>
      <c r="P589" s="343" t="s">
        <v>3461</v>
      </c>
      <c r="R589" s="863">
        <v>-20000</v>
      </c>
      <c r="S589" s="863" t="s">
        <v>3633</v>
      </c>
      <c r="T589" s="893" t="s">
        <v>3649</v>
      </c>
      <c r="X589" s="863"/>
      <c r="Y589" s="863"/>
    </row>
    <row r="590" spans="1:25" s="343" customFormat="1" ht="0.65" hidden="1" customHeight="1">
      <c r="A590" s="343">
        <v>3076</v>
      </c>
      <c r="O590" s="343">
        <v>36</v>
      </c>
      <c r="P590" s="343" t="s">
        <v>3463</v>
      </c>
      <c r="R590" s="863">
        <v>-20000</v>
      </c>
      <c r="S590" s="863" t="s">
        <v>3633</v>
      </c>
      <c r="T590" s="893" t="s">
        <v>3650</v>
      </c>
      <c r="X590" s="863"/>
      <c r="Y590" s="863"/>
    </row>
    <row r="591" spans="1:25" s="343" customFormat="1" ht="0.65" hidden="1" customHeight="1">
      <c r="A591" s="343">
        <v>3077</v>
      </c>
      <c r="O591" s="343">
        <v>37</v>
      </c>
      <c r="P591" s="343" t="s">
        <v>3465</v>
      </c>
      <c r="R591" s="863">
        <v>-20000</v>
      </c>
      <c r="S591" s="863" t="s">
        <v>3633</v>
      </c>
      <c r="T591" s="893" t="s">
        <v>3651</v>
      </c>
      <c r="X591" s="863"/>
      <c r="Y591" s="863"/>
    </row>
    <row r="592" spans="1:25" s="343" customFormat="1" ht="0.65" hidden="1" customHeight="1">
      <c r="A592" s="343">
        <v>3078</v>
      </c>
      <c r="O592" s="343">
        <v>38</v>
      </c>
      <c r="P592" s="343" t="s">
        <v>3467</v>
      </c>
      <c r="R592" s="863">
        <v>-20000</v>
      </c>
      <c r="S592" s="863" t="s">
        <v>3633</v>
      </c>
      <c r="T592" s="893" t="s">
        <v>3651</v>
      </c>
      <c r="X592" s="863"/>
      <c r="Y592" s="863"/>
    </row>
    <row r="593" spans="1:25" s="343" customFormat="1" ht="0.65" hidden="1" customHeight="1">
      <c r="A593" s="343">
        <v>3079</v>
      </c>
      <c r="O593" s="343">
        <v>39</v>
      </c>
      <c r="P593" s="343" t="s">
        <v>3468</v>
      </c>
      <c r="R593" s="863">
        <v>0</v>
      </c>
      <c r="S593" s="343" t="s">
        <v>3652</v>
      </c>
      <c r="T593" s="343" t="s">
        <v>3470</v>
      </c>
      <c r="X593" s="863"/>
      <c r="Y593" s="863"/>
    </row>
    <row r="594" spans="1:25" s="343" customFormat="1" ht="0.65" hidden="1" customHeight="1">
      <c r="A594" s="343">
        <v>3080</v>
      </c>
      <c r="O594" s="343">
        <v>40</v>
      </c>
      <c r="P594" s="343" t="s">
        <v>3471</v>
      </c>
      <c r="R594" s="863">
        <v>0</v>
      </c>
      <c r="S594" s="863" t="s">
        <v>3652</v>
      </c>
      <c r="T594" s="343" t="s">
        <v>3472</v>
      </c>
      <c r="X594" s="863"/>
      <c r="Y594" s="863"/>
    </row>
    <row r="595" spans="1:25" s="343" customFormat="1" ht="0.65" hidden="1" customHeight="1">
      <c r="A595" s="343">
        <v>3081</v>
      </c>
      <c r="O595" s="343">
        <v>41</v>
      </c>
      <c r="P595" s="343" t="s">
        <v>3473</v>
      </c>
      <c r="R595" s="863">
        <v>0</v>
      </c>
      <c r="S595" s="863" t="s">
        <v>3652</v>
      </c>
      <c r="T595" s="343" t="s">
        <v>3474</v>
      </c>
      <c r="X595" s="863"/>
      <c r="Y595" s="863"/>
    </row>
    <row r="596" spans="1:25" s="343" customFormat="1" ht="0.65" hidden="1" customHeight="1">
      <c r="A596" s="343">
        <v>3082</v>
      </c>
      <c r="O596" s="343">
        <v>42</v>
      </c>
      <c r="P596" s="343" t="s">
        <v>3475</v>
      </c>
      <c r="R596" s="863">
        <v>0</v>
      </c>
      <c r="S596" s="863" t="s">
        <v>3652</v>
      </c>
      <c r="T596" s="343" t="s">
        <v>3476</v>
      </c>
      <c r="X596" s="863"/>
      <c r="Y596" s="863"/>
    </row>
    <row r="597" spans="1:25" s="343" customFormat="1" ht="0.65" hidden="1" customHeight="1">
      <c r="A597" s="343">
        <v>3083</v>
      </c>
      <c r="O597" s="343">
        <v>43</v>
      </c>
      <c r="P597" s="343" t="s">
        <v>3477</v>
      </c>
      <c r="R597" s="863">
        <v>0</v>
      </c>
      <c r="S597" s="863" t="s">
        <v>3652</v>
      </c>
      <c r="T597" s="343" t="s">
        <v>3478</v>
      </c>
      <c r="X597" s="863"/>
      <c r="Y597" s="863"/>
    </row>
    <row r="598" spans="1:25" s="343" customFormat="1" ht="0.65" hidden="1" customHeight="1">
      <c r="A598" s="343">
        <v>3084</v>
      </c>
      <c r="O598" s="343">
        <v>44</v>
      </c>
      <c r="P598" s="343" t="s">
        <v>3479</v>
      </c>
      <c r="R598" s="863">
        <v>0</v>
      </c>
      <c r="S598" s="343" t="s">
        <v>3653</v>
      </c>
      <c r="T598" s="343" t="s">
        <v>3654</v>
      </c>
      <c r="X598" s="863"/>
      <c r="Y598" s="863"/>
    </row>
    <row r="599" spans="1:25" s="343" customFormat="1" ht="0.65" hidden="1" customHeight="1">
      <c r="A599" s="343">
        <v>3085</v>
      </c>
      <c r="O599" s="343">
        <v>45</v>
      </c>
      <c r="P599" s="343" t="s">
        <v>3482</v>
      </c>
      <c r="R599" s="863">
        <v>0</v>
      </c>
      <c r="S599" s="863" t="s">
        <v>3653</v>
      </c>
      <c r="T599" s="343" t="s">
        <v>3483</v>
      </c>
      <c r="X599" s="863"/>
      <c r="Y599" s="863"/>
    </row>
    <row r="600" spans="1:25" s="343" customFormat="1" ht="0.65" hidden="1" customHeight="1">
      <c r="A600" s="343">
        <v>3086</v>
      </c>
      <c r="O600" s="343">
        <v>46</v>
      </c>
      <c r="P600" s="343" t="s">
        <v>3484</v>
      </c>
      <c r="R600" s="863">
        <v>0</v>
      </c>
      <c r="S600" s="863" t="s">
        <v>3653</v>
      </c>
      <c r="T600" s="343" t="s">
        <v>3485</v>
      </c>
      <c r="X600" s="863"/>
      <c r="Y600" s="863"/>
    </row>
    <row r="601" spans="1:25" s="343" customFormat="1" ht="0.65" hidden="1" customHeight="1">
      <c r="A601" s="343">
        <v>3087</v>
      </c>
      <c r="O601" s="343">
        <v>47</v>
      </c>
      <c r="P601" s="343" t="s">
        <v>3486</v>
      </c>
      <c r="R601" s="863">
        <v>0</v>
      </c>
      <c r="S601" s="863" t="s">
        <v>3653</v>
      </c>
      <c r="T601" s="343" t="s">
        <v>3487</v>
      </c>
      <c r="X601" s="863"/>
      <c r="Y601" s="863"/>
    </row>
    <row r="602" spans="1:25" s="343" customFormat="1" ht="0.65" hidden="1" customHeight="1">
      <c r="A602" s="343">
        <v>3088</v>
      </c>
      <c r="O602" s="343">
        <v>48</v>
      </c>
      <c r="P602" s="343" t="s">
        <v>3488</v>
      </c>
      <c r="R602" s="863">
        <v>0</v>
      </c>
      <c r="S602" s="863" t="s">
        <v>3653</v>
      </c>
      <c r="T602" s="343" t="s">
        <v>3489</v>
      </c>
      <c r="X602" s="863"/>
      <c r="Y602" s="863"/>
    </row>
    <row r="603" spans="1:25" s="343" customFormat="1" ht="0.65" hidden="1" customHeight="1">
      <c r="A603" s="343">
        <v>3089</v>
      </c>
      <c r="O603" s="343">
        <v>49</v>
      </c>
      <c r="P603" s="343" t="s">
        <v>3490</v>
      </c>
      <c r="R603" s="863">
        <v>-20000</v>
      </c>
      <c r="S603" s="863" t="s">
        <v>3655</v>
      </c>
      <c r="T603" s="343" t="s">
        <v>3492</v>
      </c>
      <c r="X603" s="863"/>
      <c r="Y603" s="863"/>
    </row>
    <row r="604" spans="1:25" s="343" customFormat="1" ht="0.65" hidden="1" customHeight="1">
      <c r="A604" s="343">
        <v>3090</v>
      </c>
      <c r="O604" s="343">
        <v>50</v>
      </c>
      <c r="P604" s="343" t="s">
        <v>3493</v>
      </c>
      <c r="R604" s="863">
        <v>-20000</v>
      </c>
      <c r="S604" s="863" t="s">
        <v>3655</v>
      </c>
      <c r="T604" s="343" t="s">
        <v>3494</v>
      </c>
      <c r="X604" s="863"/>
      <c r="Y604" s="863"/>
    </row>
    <row r="605" spans="1:25" s="343" customFormat="1" ht="0.65" hidden="1" customHeight="1">
      <c r="A605" s="343">
        <v>3091</v>
      </c>
      <c r="O605" s="343">
        <v>51</v>
      </c>
      <c r="P605" s="343" t="s">
        <v>3495</v>
      </c>
      <c r="R605" s="863">
        <v>-20000</v>
      </c>
      <c r="S605" s="863" t="s">
        <v>3655</v>
      </c>
      <c r="T605" s="343" t="s">
        <v>3496</v>
      </c>
      <c r="X605" s="863"/>
      <c r="Y605" s="863"/>
    </row>
    <row r="606" spans="1:25" s="343" customFormat="1" ht="0.65" hidden="1" customHeight="1">
      <c r="A606" s="343">
        <v>3092</v>
      </c>
      <c r="O606" s="343">
        <v>52</v>
      </c>
      <c r="P606" s="343" t="s">
        <v>3497</v>
      </c>
      <c r="R606" s="863">
        <v>-20000</v>
      </c>
      <c r="S606" s="863" t="s">
        <v>3655</v>
      </c>
      <c r="T606" s="343" t="s">
        <v>3498</v>
      </c>
      <c r="X606" s="863"/>
      <c r="Y606" s="863"/>
    </row>
    <row r="607" spans="1:25" s="343" customFormat="1" ht="0.65" hidden="1" customHeight="1">
      <c r="A607" s="343">
        <v>3093</v>
      </c>
      <c r="O607" s="343">
        <v>53</v>
      </c>
      <c r="P607" s="343" t="s">
        <v>3499</v>
      </c>
      <c r="R607" s="863">
        <v>-20000</v>
      </c>
      <c r="S607" s="863" t="s">
        <v>3655</v>
      </c>
      <c r="T607" s="343" t="s">
        <v>3500</v>
      </c>
      <c r="X607" s="863"/>
      <c r="Y607" s="863"/>
    </row>
    <row r="608" spans="1:25" s="343" customFormat="1" ht="0.65" hidden="1" customHeight="1">
      <c r="A608" s="343">
        <v>3094</v>
      </c>
      <c r="O608" s="343">
        <v>54</v>
      </c>
      <c r="P608" s="343" t="s">
        <v>3501</v>
      </c>
      <c r="R608" s="863">
        <v>-20000</v>
      </c>
      <c r="S608" s="343" t="s">
        <v>3656</v>
      </c>
      <c r="T608" s="343" t="s">
        <v>3503</v>
      </c>
      <c r="X608" s="863"/>
      <c r="Y608" s="863"/>
    </row>
    <row r="609" spans="1:25" s="343" customFormat="1" ht="0.65" hidden="1" customHeight="1">
      <c r="A609" s="343">
        <v>3095</v>
      </c>
      <c r="O609" s="343">
        <v>55</v>
      </c>
      <c r="P609" s="343" t="s">
        <v>3504</v>
      </c>
      <c r="R609" s="863">
        <v>0</v>
      </c>
      <c r="S609" s="343" t="s">
        <v>3657</v>
      </c>
      <c r="T609" s="343" t="s">
        <v>3506</v>
      </c>
      <c r="X609" s="863"/>
      <c r="Y609" s="863"/>
    </row>
    <row r="610" spans="1:25" s="343" customFormat="1" ht="0.65" hidden="1" customHeight="1">
      <c r="A610" s="343">
        <v>3096</v>
      </c>
      <c r="O610" s="343">
        <v>56</v>
      </c>
      <c r="P610" s="343" t="s">
        <v>3507</v>
      </c>
      <c r="R610" s="863">
        <v>0</v>
      </c>
      <c r="S610" s="343" t="s">
        <v>3657</v>
      </c>
      <c r="T610" s="343" t="s">
        <v>3508</v>
      </c>
      <c r="X610" s="863"/>
      <c r="Y610" s="863"/>
    </row>
    <row r="611" spans="1:25" s="343" customFormat="1" ht="0.65" hidden="1" customHeight="1">
      <c r="A611" s="343">
        <v>3097</v>
      </c>
      <c r="O611" s="343">
        <v>57</v>
      </c>
      <c r="P611" s="343" t="s">
        <v>3509</v>
      </c>
      <c r="R611" s="863">
        <v>0</v>
      </c>
      <c r="S611" s="343" t="s">
        <v>3657</v>
      </c>
      <c r="T611" s="343" t="s">
        <v>3510</v>
      </c>
      <c r="X611" s="863"/>
      <c r="Y611" s="863"/>
    </row>
    <row r="612" spans="1:25" s="343" customFormat="1" ht="0.65" hidden="1" customHeight="1">
      <c r="A612" s="343">
        <v>3098</v>
      </c>
      <c r="O612" s="343">
        <v>58</v>
      </c>
      <c r="P612" s="343" t="s">
        <v>3511</v>
      </c>
      <c r="R612" s="863">
        <v>0</v>
      </c>
      <c r="S612" s="343" t="s">
        <v>3657</v>
      </c>
      <c r="T612" s="343" t="s">
        <v>3512</v>
      </c>
      <c r="X612" s="863"/>
      <c r="Y612" s="863"/>
    </row>
    <row r="613" spans="1:25" s="343" customFormat="1" ht="0.65" hidden="1" customHeight="1">
      <c r="A613" s="343">
        <v>3099</v>
      </c>
      <c r="O613" s="343">
        <v>59</v>
      </c>
      <c r="P613" s="343" t="s">
        <v>3513</v>
      </c>
      <c r="R613" s="863">
        <v>1500</v>
      </c>
      <c r="S613" s="863" t="s">
        <v>3658</v>
      </c>
      <c r="T613" s="343" t="s">
        <v>3515</v>
      </c>
      <c r="X613" s="863"/>
      <c r="Y613" s="863"/>
    </row>
    <row r="614" spans="1:25" s="343" customFormat="1" ht="0.65" hidden="1" customHeight="1">
      <c r="A614" s="343">
        <v>3100</v>
      </c>
      <c r="O614" s="343">
        <v>60</v>
      </c>
      <c r="P614" s="343" t="s">
        <v>3516</v>
      </c>
      <c r="R614" s="863">
        <v>1500</v>
      </c>
      <c r="S614" s="863" t="s">
        <v>3658</v>
      </c>
      <c r="T614" s="343" t="s">
        <v>3517</v>
      </c>
      <c r="X614" s="863"/>
      <c r="Y614" s="863"/>
    </row>
    <row r="615" spans="1:25" s="343" customFormat="1" ht="0.65" hidden="1" customHeight="1">
      <c r="A615" s="343">
        <v>3101</v>
      </c>
      <c r="O615" s="343">
        <v>61</v>
      </c>
      <c r="P615" s="343" t="s">
        <v>3518</v>
      </c>
      <c r="R615" s="863">
        <v>1500</v>
      </c>
      <c r="S615" s="863" t="s">
        <v>3658</v>
      </c>
      <c r="T615" s="343" t="s">
        <v>3519</v>
      </c>
      <c r="X615" s="863"/>
      <c r="Y615" s="863"/>
    </row>
    <row r="616" spans="1:25" s="343" customFormat="1" ht="0.65" hidden="1" customHeight="1">
      <c r="A616" s="343">
        <v>3102</v>
      </c>
      <c r="O616" s="343">
        <v>62</v>
      </c>
      <c r="P616" s="343" t="s">
        <v>3520</v>
      </c>
      <c r="R616" s="863">
        <v>1500</v>
      </c>
      <c r="S616" s="863" t="s">
        <v>3658</v>
      </c>
      <c r="T616" s="343" t="s">
        <v>3521</v>
      </c>
      <c r="X616" s="863"/>
      <c r="Y616" s="863"/>
    </row>
    <row r="617" spans="1:25" s="343" customFormat="1" ht="0.65" hidden="1" customHeight="1">
      <c r="A617" s="343">
        <v>3103</v>
      </c>
      <c r="O617" s="343">
        <v>63</v>
      </c>
      <c r="P617" s="343" t="s">
        <v>3389</v>
      </c>
      <c r="R617" s="863">
        <v>-20000</v>
      </c>
      <c r="S617" s="343" t="s">
        <v>3656</v>
      </c>
      <c r="T617" s="343" t="s">
        <v>3522</v>
      </c>
      <c r="X617" s="863"/>
      <c r="Y617" s="863"/>
    </row>
    <row r="618" spans="1:25" s="343" customFormat="1" ht="0.65" hidden="1" customHeight="1">
      <c r="A618" s="343">
        <v>3104</v>
      </c>
      <c r="O618" s="343">
        <v>64</v>
      </c>
      <c r="P618" s="343" t="s">
        <v>3629</v>
      </c>
      <c r="R618" s="863">
        <v>106000</v>
      </c>
      <c r="S618" s="343" t="s">
        <v>3659</v>
      </c>
      <c r="T618" s="343" t="s">
        <v>3660</v>
      </c>
      <c r="X618" s="863"/>
      <c r="Y618" s="863"/>
    </row>
    <row r="619" spans="1:25" s="343" customFormat="1" ht="0.65" hidden="1" customHeight="1">
      <c r="A619" s="343">
        <v>3105</v>
      </c>
      <c r="O619" s="343">
        <v>65</v>
      </c>
      <c r="P619" s="343" t="s">
        <v>3630</v>
      </c>
      <c r="R619" s="863">
        <v>164000</v>
      </c>
      <c r="S619" s="343" t="s">
        <v>3661</v>
      </c>
      <c r="T619" s="343" t="s">
        <v>3662</v>
      </c>
      <c r="X619" s="863"/>
      <c r="Y619" s="863"/>
    </row>
    <row r="620" spans="1:25" s="343" customFormat="1" ht="0.65" hidden="1" customHeight="1">
      <c r="A620" s="343">
        <v>3106</v>
      </c>
      <c r="O620" s="343">
        <v>66</v>
      </c>
      <c r="P620" s="343" t="s">
        <v>55</v>
      </c>
      <c r="R620" s="863"/>
      <c r="X620" s="863"/>
      <c r="Y620" s="863"/>
    </row>
    <row r="621" spans="1:25" s="343" customFormat="1" ht="0.65" hidden="1" customHeight="1">
      <c r="A621" s="343">
        <v>3107</v>
      </c>
      <c r="O621" s="343">
        <v>67</v>
      </c>
      <c r="P621" s="343" t="s">
        <v>3394</v>
      </c>
      <c r="R621" s="863">
        <v>38000</v>
      </c>
      <c r="S621" s="343" t="s">
        <v>3663</v>
      </c>
      <c r="T621" s="343" t="s">
        <v>3664</v>
      </c>
      <c r="X621" s="863"/>
      <c r="Y621" s="863"/>
    </row>
    <row r="622" spans="1:25" s="343" customFormat="1" ht="0.65" hidden="1" customHeight="1">
      <c r="A622" s="343">
        <v>3108</v>
      </c>
      <c r="O622" s="343">
        <v>68</v>
      </c>
      <c r="P622" s="343" t="s">
        <v>3527</v>
      </c>
      <c r="R622" s="863">
        <v>-30000</v>
      </c>
      <c r="S622" s="343" t="s">
        <v>3665</v>
      </c>
      <c r="T622" s="343" t="s">
        <v>3529</v>
      </c>
      <c r="X622" s="863"/>
      <c r="Y622" s="863"/>
    </row>
    <row r="623" spans="1:25" s="343" customFormat="1" ht="0.65" hidden="1" customHeight="1">
      <c r="A623" s="343">
        <v>3109</v>
      </c>
      <c r="O623" s="343">
        <v>69</v>
      </c>
      <c r="P623" s="343" t="s">
        <v>3530</v>
      </c>
      <c r="R623" s="863">
        <v>1500</v>
      </c>
      <c r="S623" s="343" t="s">
        <v>3666</v>
      </c>
      <c r="T623" s="343" t="s">
        <v>3532</v>
      </c>
      <c r="X623" s="863"/>
      <c r="Y623" s="863"/>
    </row>
    <row r="624" spans="1:25" s="343" customFormat="1" ht="0.65" hidden="1" customHeight="1">
      <c r="A624" s="343">
        <v>3110</v>
      </c>
      <c r="O624" s="343">
        <v>70</v>
      </c>
      <c r="P624" s="343" t="s">
        <v>3533</v>
      </c>
      <c r="R624" s="863">
        <v>1500</v>
      </c>
      <c r="S624" s="343" t="s">
        <v>3666</v>
      </c>
      <c r="T624" s="343" t="s">
        <v>3534</v>
      </c>
      <c r="X624" s="863"/>
      <c r="Y624" s="863"/>
    </row>
    <row r="625" spans="1:25" s="343" customFormat="1" ht="0.65" hidden="1" customHeight="1">
      <c r="A625" s="343">
        <v>3111</v>
      </c>
      <c r="O625" s="343">
        <v>71</v>
      </c>
      <c r="P625" s="343" t="s">
        <v>3535</v>
      </c>
      <c r="R625" s="863">
        <v>1500</v>
      </c>
      <c r="S625" s="343" t="s">
        <v>3666</v>
      </c>
      <c r="T625" s="343" t="s">
        <v>3536</v>
      </c>
      <c r="X625" s="863"/>
      <c r="Y625" s="863"/>
    </row>
    <row r="626" spans="1:25" s="343" customFormat="1" ht="0.65" hidden="1" customHeight="1">
      <c r="A626" s="343">
        <v>3112</v>
      </c>
      <c r="O626" s="343">
        <v>72</v>
      </c>
      <c r="P626" s="343" t="s">
        <v>3537</v>
      </c>
      <c r="R626" s="863">
        <v>39500</v>
      </c>
      <c r="S626" s="343" t="s">
        <v>3667</v>
      </c>
      <c r="T626" s="343" t="s">
        <v>3539</v>
      </c>
      <c r="X626" s="863"/>
      <c r="Y626" s="863"/>
    </row>
    <row r="627" spans="1:25" s="343" customFormat="1" ht="0.65" hidden="1" customHeight="1">
      <c r="A627" s="343">
        <v>3113</v>
      </c>
      <c r="O627" s="343">
        <v>73</v>
      </c>
      <c r="P627" s="343" t="s">
        <v>3540</v>
      </c>
      <c r="R627" s="864">
        <v>0.1</v>
      </c>
      <c r="S627" s="343" t="s">
        <v>3541</v>
      </c>
      <c r="T627" s="343" t="s">
        <v>3542</v>
      </c>
      <c r="X627" s="863"/>
      <c r="Y627" s="863"/>
    </row>
    <row r="628" spans="1:25" s="343" customFormat="1" ht="0.65" hidden="1" customHeight="1">
      <c r="A628" s="343">
        <v>3114</v>
      </c>
      <c r="O628" s="343">
        <v>74</v>
      </c>
      <c r="P628" s="343" t="s">
        <v>13</v>
      </c>
      <c r="R628" s="863">
        <v>709.30947339661361</v>
      </c>
      <c r="S628" s="343" t="s">
        <v>3668</v>
      </c>
      <c r="T628" s="343" t="s">
        <v>3544</v>
      </c>
      <c r="X628" s="863"/>
      <c r="Y628" s="863"/>
    </row>
    <row r="629" spans="1:25" s="343" customFormat="1" ht="0.65" hidden="1" customHeight="1">
      <c r="A629" s="343">
        <v>3115</v>
      </c>
      <c r="O629" s="343">
        <v>75</v>
      </c>
      <c r="P629" s="343" t="s">
        <v>28</v>
      </c>
      <c r="R629" s="864">
        <v>0.10688042852912205</v>
      </c>
      <c r="S629" s="343" t="s">
        <v>3669</v>
      </c>
      <c r="T629" s="343" t="s">
        <v>3546</v>
      </c>
      <c r="X629" s="863"/>
      <c r="Y629" s="863"/>
    </row>
    <row r="630" spans="1:25" s="343" customFormat="1" ht="0.65" hidden="1" customHeight="1">
      <c r="A630" s="343">
        <v>3116</v>
      </c>
      <c r="X630" s="863"/>
      <c r="Y630" s="863"/>
    </row>
    <row r="631" spans="1:25" s="343" customFormat="1" ht="0.65" hidden="1" customHeight="1">
      <c r="A631" s="343">
        <v>3117</v>
      </c>
      <c r="O631" s="343">
        <v>1</v>
      </c>
      <c r="P631" s="343" t="s">
        <v>4145</v>
      </c>
      <c r="X631" s="863"/>
      <c r="Y631" s="863"/>
    </row>
    <row r="632" spans="1:25" s="343" customFormat="1" ht="0.65" hidden="1" customHeight="1">
      <c r="A632" s="343">
        <v>3118</v>
      </c>
      <c r="O632" s="343">
        <v>2</v>
      </c>
      <c r="P632" s="343" t="s">
        <v>3926</v>
      </c>
      <c r="X632" s="863"/>
      <c r="Y632" s="863"/>
    </row>
    <row r="633" spans="1:25" s="343" customFormat="1" ht="0.65" hidden="1" customHeight="1">
      <c r="A633" s="343">
        <v>3119</v>
      </c>
      <c r="O633" s="343">
        <v>3</v>
      </c>
      <c r="P633" s="343" t="s">
        <v>3927</v>
      </c>
      <c r="X633" s="863"/>
      <c r="Y633" s="863"/>
    </row>
    <row r="634" spans="1:25" s="343" customFormat="1" ht="0.65" hidden="1" customHeight="1">
      <c r="A634" s="343">
        <v>3120</v>
      </c>
      <c r="O634" s="343">
        <v>4</v>
      </c>
      <c r="P634" s="343" t="s">
        <v>3921</v>
      </c>
      <c r="X634" s="863"/>
      <c r="Y634" s="863"/>
    </row>
    <row r="635" spans="1:25" s="343" customFormat="1" ht="0.65" hidden="1" customHeight="1">
      <c r="A635" s="343">
        <v>3121</v>
      </c>
      <c r="O635" s="343">
        <v>5</v>
      </c>
      <c r="P635" s="343" t="s">
        <v>3928</v>
      </c>
      <c r="X635" s="863"/>
      <c r="Y635" s="863"/>
    </row>
    <row r="636" spans="1:25" s="343" customFormat="1" ht="0.65" hidden="1" customHeight="1">
      <c r="A636" s="343">
        <v>3122</v>
      </c>
      <c r="O636" s="343">
        <v>6</v>
      </c>
      <c r="P636" s="343" t="s">
        <v>3673</v>
      </c>
      <c r="X636" s="863"/>
      <c r="Y636" s="863"/>
    </row>
    <row r="637" spans="1:25" s="343" customFormat="1" ht="0.65" hidden="1" customHeight="1">
      <c r="A637" s="343">
        <v>3123</v>
      </c>
      <c r="O637" s="343">
        <v>7</v>
      </c>
      <c r="X637" s="863"/>
      <c r="Y637" s="863"/>
    </row>
    <row r="638" spans="1:25" s="343" customFormat="1" ht="0.65" hidden="1" customHeight="1">
      <c r="A638" s="343">
        <v>3124</v>
      </c>
      <c r="O638" s="343">
        <v>8</v>
      </c>
      <c r="X638" s="863"/>
      <c r="Y638" s="863"/>
    </row>
    <row r="639" spans="1:25" s="343" customFormat="1" ht="0.65" hidden="1" customHeight="1">
      <c r="A639" s="343">
        <v>3125</v>
      </c>
      <c r="O639" s="343">
        <v>9</v>
      </c>
      <c r="X639" s="863"/>
      <c r="Y639" s="863"/>
    </row>
    <row r="640" spans="1:25" s="343" customFormat="1" ht="0.65" hidden="1" customHeight="1">
      <c r="A640" s="343">
        <v>3126</v>
      </c>
      <c r="O640" s="343">
        <v>10</v>
      </c>
      <c r="X640" s="863"/>
      <c r="Y640" s="863"/>
    </row>
    <row r="641" spans="1:25" s="343" customFormat="1" ht="0.65" hidden="1" customHeight="1">
      <c r="A641" s="343">
        <v>3127</v>
      </c>
      <c r="X641" s="863"/>
      <c r="Y641" s="863"/>
    </row>
    <row r="642" spans="1:25" s="343" customFormat="1" ht="0.65" hidden="1" customHeight="1">
      <c r="A642" s="343">
        <v>3128</v>
      </c>
      <c r="X642" s="863"/>
      <c r="Y642" s="863"/>
    </row>
    <row r="643" spans="1:25" s="343" customFormat="1" ht="0.65" hidden="1" customHeight="1">
      <c r="A643" s="343">
        <v>3129</v>
      </c>
      <c r="X643" s="863"/>
      <c r="Y643" s="863"/>
    </row>
    <row r="644" spans="1:25" s="343" customFormat="1" ht="0.65" hidden="1" customHeight="1">
      <c r="A644" s="343">
        <v>3130</v>
      </c>
    </row>
    <row r="645" spans="1:25" s="343" customFormat="1" ht="0.65" hidden="1" customHeight="1">
      <c r="A645" s="653">
        <v>1</v>
      </c>
      <c r="B645" s="653">
        <v>2</v>
      </c>
      <c r="C645" s="653">
        <v>3</v>
      </c>
      <c r="D645" s="653">
        <v>4</v>
      </c>
      <c r="E645" s="653">
        <v>5</v>
      </c>
      <c r="F645" s="653">
        <v>6</v>
      </c>
      <c r="G645" s="653">
        <v>7</v>
      </c>
      <c r="H645" s="653">
        <v>8</v>
      </c>
      <c r="I645" s="653">
        <v>9</v>
      </c>
      <c r="J645" s="653">
        <v>10</v>
      </c>
      <c r="K645" s="653">
        <v>11</v>
      </c>
      <c r="L645" s="653">
        <v>12</v>
      </c>
      <c r="M645" s="653">
        <v>13</v>
      </c>
      <c r="N645" s="653">
        <v>14</v>
      </c>
      <c r="O645" s="653">
        <v>15</v>
      </c>
      <c r="P645" s="653">
        <v>16</v>
      </c>
      <c r="Q645" s="653">
        <v>17</v>
      </c>
      <c r="R645" s="653">
        <v>18</v>
      </c>
      <c r="S645" s="653">
        <v>19</v>
      </c>
      <c r="T645" s="653">
        <v>20</v>
      </c>
      <c r="U645" s="653">
        <v>21</v>
      </c>
      <c r="V645" s="653">
        <v>22</v>
      </c>
      <c r="W645" s="653">
        <v>23</v>
      </c>
    </row>
    <row r="646" spans="1:25" s="343" customFormat="1" ht="0.65" hidden="1" customHeight="1">
      <c r="A646" s="343">
        <v>4</v>
      </c>
    </row>
    <row r="647" spans="1:25" s="343" customFormat="1" ht="0.65" hidden="1" customHeight="1">
      <c r="A647" s="343">
        <v>4001</v>
      </c>
      <c r="B647" s="343" t="s">
        <v>3674</v>
      </c>
      <c r="E647" s="343" t="s">
        <v>3675</v>
      </c>
      <c r="M647" s="863" t="s">
        <v>3675</v>
      </c>
      <c r="N647" s="863"/>
      <c r="O647" s="863"/>
      <c r="P647" s="863"/>
      <c r="Q647" s="863"/>
      <c r="R647" s="863"/>
      <c r="S647" s="863"/>
      <c r="T647" s="863"/>
      <c r="U647" s="863"/>
      <c r="V647" s="863"/>
    </row>
    <row r="648" spans="1:25" s="343" customFormat="1" ht="0.65" hidden="1" customHeight="1">
      <c r="A648" s="343">
        <v>4002</v>
      </c>
      <c r="M648" s="863"/>
      <c r="N648" s="865" t="s">
        <v>55</v>
      </c>
      <c r="O648" s="865" t="s">
        <v>55</v>
      </c>
      <c r="P648" s="865" t="s">
        <v>55</v>
      </c>
      <c r="Q648" s="865" t="s">
        <v>55</v>
      </c>
      <c r="R648" s="865" t="s">
        <v>55</v>
      </c>
      <c r="S648" s="865" t="s">
        <v>55</v>
      </c>
      <c r="T648" s="865" t="s">
        <v>55</v>
      </c>
      <c r="U648" s="865" t="s">
        <v>55</v>
      </c>
      <c r="V648" s="865" t="s">
        <v>55</v>
      </c>
    </row>
    <row r="649" spans="1:25" s="343" customFormat="1" ht="0.65" hidden="1" customHeight="1">
      <c r="A649" s="343">
        <v>4003</v>
      </c>
      <c r="B649" s="343" t="s">
        <v>3676</v>
      </c>
      <c r="E649" s="343" t="s">
        <v>3677</v>
      </c>
      <c r="H649" s="343" t="s">
        <v>3604</v>
      </c>
      <c r="M649" s="659"/>
      <c r="N649" s="866"/>
      <c r="O649" s="866"/>
      <c r="P649" s="866"/>
      <c r="Q649" s="866"/>
      <c r="R649" s="866"/>
      <c r="S649" s="866"/>
      <c r="T649" s="866"/>
      <c r="U649" s="866"/>
      <c r="V649" s="866"/>
    </row>
    <row r="650" spans="1:25" s="343" customFormat="1" ht="0.65" hidden="1" customHeight="1">
      <c r="A650" s="343">
        <v>4004</v>
      </c>
      <c r="B650" s="343" t="s">
        <v>3678</v>
      </c>
      <c r="M650" s="663"/>
      <c r="N650" s="343">
        <v>0</v>
      </c>
      <c r="O650" s="343">
        <v>0</v>
      </c>
      <c r="P650" s="343">
        <v>0</v>
      </c>
      <c r="Q650" s="343">
        <v>0</v>
      </c>
      <c r="R650" s="343">
        <v>0</v>
      </c>
      <c r="S650" s="343">
        <v>0</v>
      </c>
      <c r="T650" s="343">
        <v>0</v>
      </c>
      <c r="U650" s="343">
        <v>0</v>
      </c>
      <c r="V650" s="863">
        <v>-178000</v>
      </c>
    </row>
    <row r="651" spans="1:25" s="343" customFormat="1" ht="0.65" hidden="1" customHeight="1">
      <c r="A651" s="343">
        <v>4005</v>
      </c>
      <c r="B651" s="343" t="s">
        <v>3679</v>
      </c>
      <c r="E651" s="343" t="s">
        <v>3680</v>
      </c>
      <c r="F651" s="659">
        <v>200000</v>
      </c>
      <c r="H651" s="343" t="s">
        <v>3371</v>
      </c>
      <c r="I651" s="653">
        <v>90</v>
      </c>
      <c r="M651" s="663"/>
      <c r="N651" s="863">
        <v>150000</v>
      </c>
      <c r="O651" s="863">
        <v>120000</v>
      </c>
      <c r="P651" s="863">
        <v>7500</v>
      </c>
      <c r="Q651" s="863">
        <v>22500</v>
      </c>
      <c r="R651" s="863">
        <v>6750</v>
      </c>
      <c r="S651" s="863">
        <v>15750</v>
      </c>
      <c r="T651" s="863">
        <v>23250</v>
      </c>
      <c r="U651" s="863">
        <v>5750</v>
      </c>
      <c r="V651" s="863">
        <v>5750</v>
      </c>
    </row>
    <row r="652" spans="1:25" s="343" customFormat="1" ht="0.65" hidden="1" customHeight="1">
      <c r="A652" s="343">
        <v>4006</v>
      </c>
      <c r="E652" s="343" t="s">
        <v>3681</v>
      </c>
      <c r="F652" s="659">
        <v>20000</v>
      </c>
      <c r="H652" s="343" t="s">
        <v>3374</v>
      </c>
      <c r="I652" s="653">
        <v>60</v>
      </c>
      <c r="M652" s="663"/>
      <c r="N652" s="863">
        <v>150000</v>
      </c>
      <c r="O652" s="863">
        <v>120000</v>
      </c>
      <c r="P652" s="863">
        <v>7500</v>
      </c>
      <c r="Q652" s="863">
        <v>22500</v>
      </c>
      <c r="R652" s="863">
        <v>6750</v>
      </c>
      <c r="S652" s="863">
        <v>15750</v>
      </c>
      <c r="T652" s="863">
        <v>23250</v>
      </c>
      <c r="U652" s="863">
        <v>23250</v>
      </c>
      <c r="V652" s="863">
        <v>23250</v>
      </c>
    </row>
    <row r="653" spans="1:25" s="343" customFormat="1" ht="0.65" hidden="1" customHeight="1">
      <c r="A653" s="343">
        <v>4007</v>
      </c>
      <c r="B653" s="343" t="s">
        <v>3682</v>
      </c>
      <c r="E653" s="343" t="s">
        <v>3683</v>
      </c>
      <c r="F653" s="659">
        <v>100000</v>
      </c>
      <c r="M653" s="663"/>
      <c r="N653" s="863">
        <v>150000</v>
      </c>
      <c r="O653" s="863">
        <v>120000</v>
      </c>
      <c r="P653" s="863">
        <v>7500</v>
      </c>
      <c r="Q653" s="863">
        <v>22500</v>
      </c>
      <c r="R653" s="863">
        <v>6750</v>
      </c>
      <c r="S653" s="863">
        <v>15750</v>
      </c>
      <c r="T653" s="863">
        <v>23250</v>
      </c>
      <c r="U653" s="863">
        <v>23250</v>
      </c>
      <c r="V653" s="863">
        <v>23250</v>
      </c>
    </row>
    <row r="654" spans="1:25" s="343" customFormat="1" ht="0.65" hidden="1" customHeight="1">
      <c r="A654" s="343">
        <v>4008</v>
      </c>
      <c r="B654" s="343" t="s">
        <v>3684</v>
      </c>
      <c r="H654" s="343" t="s">
        <v>3380</v>
      </c>
      <c r="I654" s="358">
        <v>0.1</v>
      </c>
      <c r="M654" s="663"/>
      <c r="N654" s="863">
        <v>150000</v>
      </c>
      <c r="O654" s="863">
        <v>120000</v>
      </c>
      <c r="P654" s="863">
        <v>7500</v>
      </c>
      <c r="Q654" s="863">
        <v>22500</v>
      </c>
      <c r="R654" s="863">
        <v>6750</v>
      </c>
      <c r="S654" s="863">
        <v>15750</v>
      </c>
      <c r="T654" s="863">
        <v>23250</v>
      </c>
      <c r="U654" s="863">
        <v>23250</v>
      </c>
      <c r="V654" s="863">
        <v>146750</v>
      </c>
    </row>
    <row r="655" spans="1:25" s="343" customFormat="1" ht="0.65" hidden="1" customHeight="1">
      <c r="A655" s="343">
        <v>4009</v>
      </c>
      <c r="B655" s="343" t="s">
        <v>3685</v>
      </c>
      <c r="E655" s="343" t="s">
        <v>3686</v>
      </c>
      <c r="F655" s="659">
        <v>300000</v>
      </c>
      <c r="H655" s="343" t="s">
        <v>3381</v>
      </c>
      <c r="I655" s="358">
        <v>0.3</v>
      </c>
      <c r="N655" s="865" t="s">
        <v>55</v>
      </c>
      <c r="O655" s="865" t="s">
        <v>55</v>
      </c>
      <c r="P655" s="865" t="s">
        <v>55</v>
      </c>
      <c r="Q655" s="865" t="s">
        <v>55</v>
      </c>
      <c r="R655" s="865" t="s">
        <v>55</v>
      </c>
      <c r="T655" s="653"/>
      <c r="U655" s="653"/>
      <c r="V655" s="653"/>
      <c r="W655" s="659"/>
      <c r="X655" s="659"/>
      <c r="Y655" s="659"/>
    </row>
    <row r="656" spans="1:25" s="343" customFormat="1" ht="0.65" hidden="1" customHeight="1">
      <c r="A656" s="343">
        <v>4010</v>
      </c>
      <c r="B656" s="343" t="s">
        <v>3614</v>
      </c>
      <c r="E656" s="343" t="s">
        <v>3687</v>
      </c>
      <c r="F656" s="659">
        <v>240000</v>
      </c>
      <c r="M656" s="659"/>
      <c r="N656" s="866"/>
      <c r="O656" s="866"/>
      <c r="P656" s="866"/>
      <c r="Q656" s="866"/>
      <c r="R656" s="866"/>
      <c r="U656" s="863"/>
      <c r="V656" s="863"/>
      <c r="W656" s="863"/>
      <c r="X656" s="863"/>
      <c r="Y656" s="863"/>
    </row>
    <row r="657" spans="1:25" s="343" customFormat="1" ht="0.65" hidden="1" customHeight="1">
      <c r="A657" s="343">
        <v>4011</v>
      </c>
      <c r="E657" s="343" t="s">
        <v>3688</v>
      </c>
      <c r="F657" s="653">
        <v>15</v>
      </c>
      <c r="M657" s="663"/>
      <c r="N657" s="863">
        <v>0</v>
      </c>
      <c r="O657" s="863">
        <v>0</v>
      </c>
      <c r="P657" s="863">
        <v>0</v>
      </c>
      <c r="Q657" s="863">
        <v>0</v>
      </c>
      <c r="R657" s="863">
        <v>0</v>
      </c>
      <c r="U657" s="1064" t="s">
        <v>55</v>
      </c>
      <c r="V657" s="1064"/>
      <c r="W657" s="863"/>
      <c r="X657" s="863"/>
      <c r="Y657" s="863"/>
    </row>
    <row r="658" spans="1:25" s="343" customFormat="1" ht="0.65" hidden="1" customHeight="1">
      <c r="A658" s="343">
        <v>4012</v>
      </c>
      <c r="B658" s="343" t="s">
        <v>3689</v>
      </c>
      <c r="M658" s="663"/>
      <c r="N658" s="863">
        <v>0</v>
      </c>
      <c r="O658" s="863">
        <v>37500</v>
      </c>
      <c r="P658" s="863">
        <v>20000</v>
      </c>
      <c r="Q658" s="863">
        <v>17500</v>
      </c>
      <c r="R658" s="863">
        <v>17500</v>
      </c>
      <c r="U658" s="1064"/>
      <c r="V658" s="1064"/>
      <c r="W658" s="863"/>
      <c r="X658" s="863"/>
      <c r="Y658" s="863"/>
    </row>
    <row r="659" spans="1:25" s="343" customFormat="1" ht="0.65" hidden="1" customHeight="1">
      <c r="A659" s="343">
        <v>4013</v>
      </c>
      <c r="B659" s="343" t="s">
        <v>3690</v>
      </c>
      <c r="M659" s="663"/>
      <c r="N659" s="863">
        <v>0</v>
      </c>
      <c r="O659" s="863">
        <v>37500</v>
      </c>
      <c r="P659" s="863">
        <v>20000</v>
      </c>
      <c r="Q659" s="863">
        <v>17500</v>
      </c>
      <c r="R659" s="863">
        <v>0</v>
      </c>
      <c r="U659" s="1064"/>
      <c r="V659" s="1064"/>
      <c r="W659" s="863"/>
      <c r="X659" s="863"/>
      <c r="Y659" s="863"/>
    </row>
    <row r="660" spans="1:25" s="343" customFormat="1" ht="0.65" hidden="1" customHeight="1">
      <c r="A660" s="343">
        <v>4014</v>
      </c>
      <c r="B660" s="343" t="s">
        <v>3691</v>
      </c>
      <c r="E660" s="343" t="s">
        <v>3692</v>
      </c>
      <c r="M660" s="663"/>
      <c r="N660" s="863">
        <v>0</v>
      </c>
      <c r="O660" s="863">
        <v>37500</v>
      </c>
      <c r="P660" s="863">
        <v>20000</v>
      </c>
      <c r="Q660" s="863">
        <v>17500</v>
      </c>
      <c r="R660" s="863">
        <v>0</v>
      </c>
      <c r="U660" s="1064"/>
      <c r="V660" s="1064"/>
      <c r="W660" s="863"/>
      <c r="X660" s="863"/>
      <c r="Y660" s="863"/>
    </row>
    <row r="661" spans="1:25" s="343" customFormat="1" ht="0.65" hidden="1" customHeight="1">
      <c r="A661" s="343">
        <v>4015</v>
      </c>
      <c r="B661" s="343" t="s">
        <v>3693</v>
      </c>
      <c r="M661" s="663"/>
      <c r="N661" s="863">
        <v>0</v>
      </c>
      <c r="O661" s="863">
        <v>37500</v>
      </c>
      <c r="P661" s="863">
        <v>20000</v>
      </c>
      <c r="Q661" s="863">
        <v>17500</v>
      </c>
      <c r="R661" s="863">
        <v>0</v>
      </c>
      <c r="T661" s="863"/>
      <c r="U661" s="863"/>
      <c r="V661" s="863"/>
      <c r="W661" s="863"/>
      <c r="X661" s="863"/>
      <c r="Y661" s="863"/>
    </row>
    <row r="662" spans="1:25" s="343" customFormat="1" ht="0.65" hidden="1" customHeight="1">
      <c r="A662" s="343">
        <v>4016</v>
      </c>
      <c r="E662" s="343" t="s">
        <v>3694</v>
      </c>
      <c r="F662" s="659">
        <v>50000</v>
      </c>
      <c r="M662" s="863"/>
      <c r="N662" s="653"/>
      <c r="O662" s="653"/>
      <c r="P662" s="653"/>
      <c r="Q662" s="653"/>
      <c r="R662" s="653"/>
      <c r="S662" s="653"/>
      <c r="T662" s="863"/>
      <c r="V662" s="863"/>
      <c r="W662" s="863"/>
      <c r="X662" s="863"/>
    </row>
    <row r="663" spans="1:25" s="343" customFormat="1" ht="0.65" hidden="1" customHeight="1">
      <c r="A663" s="343">
        <v>4017</v>
      </c>
      <c r="B663" s="343" t="s">
        <v>3695</v>
      </c>
      <c r="E663" s="343" t="s">
        <v>3696</v>
      </c>
      <c r="F663" s="659">
        <v>10000</v>
      </c>
      <c r="M663" s="863"/>
      <c r="V663" s="863"/>
      <c r="W663" s="863"/>
      <c r="X663" s="863"/>
    </row>
    <row r="664" spans="1:25" s="343" customFormat="1" ht="0.65" hidden="1" customHeight="1">
      <c r="A664" s="343">
        <v>4018</v>
      </c>
      <c r="B664" s="343" t="s">
        <v>3697</v>
      </c>
      <c r="E664" s="343" t="s">
        <v>3698</v>
      </c>
      <c r="F664" s="659">
        <v>12500</v>
      </c>
      <c r="N664" s="863"/>
      <c r="O664" s="863"/>
      <c r="P664" s="865" t="s">
        <v>55</v>
      </c>
      <c r="T664" s="865" t="s">
        <v>55</v>
      </c>
      <c r="W664" s="865" t="s">
        <v>55</v>
      </c>
      <c r="X664" s="863"/>
    </row>
    <row r="665" spans="1:25" s="343" customFormat="1" ht="0.65" hidden="1" customHeight="1">
      <c r="A665" s="343">
        <v>4019</v>
      </c>
      <c r="B665" s="343" t="s">
        <v>3699</v>
      </c>
      <c r="E665" s="343" t="s">
        <v>3700</v>
      </c>
      <c r="F665" s="659">
        <v>0</v>
      </c>
      <c r="N665" s="1061" t="s">
        <v>3701</v>
      </c>
      <c r="O665" s="1061"/>
      <c r="P665" s="863">
        <v>10000</v>
      </c>
      <c r="R665" s="1061" t="s">
        <v>3389</v>
      </c>
      <c r="S665" s="1061"/>
      <c r="T665" s="863">
        <v>17500</v>
      </c>
      <c r="X665" s="863"/>
    </row>
    <row r="666" spans="1:25" s="343" customFormat="1" ht="0.65" hidden="1" customHeight="1">
      <c r="A666" s="343">
        <v>4020</v>
      </c>
      <c r="B666" s="343" t="s">
        <v>3702</v>
      </c>
      <c r="M666" s="863"/>
      <c r="N666" s="1061" t="s">
        <v>3703</v>
      </c>
      <c r="O666" s="1061"/>
      <c r="P666" s="863">
        <v>200000</v>
      </c>
      <c r="R666" s="1061" t="s">
        <v>3704</v>
      </c>
      <c r="S666" s="1061"/>
      <c r="T666" s="863">
        <v>106000</v>
      </c>
      <c r="V666" s="662"/>
      <c r="W666" s="358">
        <v>0.1</v>
      </c>
      <c r="X666" s="863"/>
    </row>
    <row r="667" spans="1:25" s="343" customFormat="1" ht="0.65" hidden="1" customHeight="1">
      <c r="A667" s="343">
        <v>4021</v>
      </c>
      <c r="E667" s="343" t="s">
        <v>3705</v>
      </c>
      <c r="F667" s="659">
        <v>150000</v>
      </c>
      <c r="M667" s="863"/>
      <c r="N667" s="1061" t="s">
        <v>3706</v>
      </c>
      <c r="O667" s="1061"/>
      <c r="P667" s="863">
        <v>10000</v>
      </c>
      <c r="R667" s="1061" t="s">
        <v>3707</v>
      </c>
      <c r="S667" s="1061"/>
      <c r="T667" s="863">
        <v>0</v>
      </c>
    </row>
    <row r="668" spans="1:25" s="343" customFormat="1" ht="0.65" hidden="1" customHeight="1">
      <c r="A668" s="343">
        <v>4022</v>
      </c>
      <c r="B668" s="343" t="s">
        <v>3708</v>
      </c>
      <c r="E668" s="343" t="s">
        <v>3709</v>
      </c>
      <c r="F668" s="659">
        <v>120000</v>
      </c>
      <c r="M668" s="863"/>
      <c r="N668" s="1061" t="s">
        <v>3710</v>
      </c>
      <c r="O668" s="1061"/>
      <c r="P668" s="863">
        <v>22000</v>
      </c>
      <c r="R668" s="1061"/>
      <c r="S668" s="1061"/>
      <c r="T668" s="863"/>
      <c r="X668" s="863"/>
      <c r="Y668" s="863"/>
    </row>
    <row r="669" spans="1:25" s="343" customFormat="1" ht="0.65" hidden="1" customHeight="1">
      <c r="A669" s="343">
        <v>4023</v>
      </c>
      <c r="E669" s="343" t="s">
        <v>3711</v>
      </c>
      <c r="F669" s="653">
        <v>30</v>
      </c>
      <c r="M669" s="863"/>
      <c r="N669" s="867"/>
      <c r="Q669" s="863"/>
      <c r="R669" s="868"/>
      <c r="S669" s="863"/>
      <c r="T669" s="863"/>
      <c r="U669" s="863"/>
      <c r="V669" s="662"/>
      <c r="W669" s="659">
        <v>-35857.557543883682</v>
      </c>
      <c r="X669" s="863"/>
      <c r="Y669" s="863"/>
    </row>
    <row r="670" spans="1:25" s="343" customFormat="1" ht="0.65" hidden="1" customHeight="1">
      <c r="A670" s="343">
        <v>4024</v>
      </c>
      <c r="M670" s="863"/>
      <c r="N670" s="1062" t="s">
        <v>129</v>
      </c>
      <c r="O670" s="1062"/>
      <c r="P670" s="863">
        <v>178000</v>
      </c>
      <c r="Q670" s="863"/>
      <c r="R670" s="1062" t="s">
        <v>3394</v>
      </c>
      <c r="S670" s="1062"/>
      <c r="T670" s="863">
        <v>123500</v>
      </c>
      <c r="V670" s="869"/>
      <c r="W670" s="358">
        <v>3.1891043015783049E-2</v>
      </c>
      <c r="X670" s="863"/>
      <c r="Y670" s="863"/>
    </row>
    <row r="671" spans="1:25" s="343" customFormat="1" ht="0.65" hidden="1" customHeight="1">
      <c r="A671" s="343">
        <v>4025</v>
      </c>
      <c r="N671" s="863"/>
      <c r="P671" s="653"/>
      <c r="T671" s="653"/>
      <c r="W671" s="653"/>
      <c r="X671" s="863"/>
      <c r="Y671" s="863"/>
    </row>
    <row r="672" spans="1:25" s="343" customFormat="1" ht="0.65" hidden="1" customHeight="1">
      <c r="A672" s="343">
        <v>4026</v>
      </c>
      <c r="X672" s="863"/>
      <c r="Y672" s="863"/>
    </row>
    <row r="673" spans="1:25" s="343" customFormat="1" ht="0.65" hidden="1" customHeight="1">
      <c r="A673" s="343">
        <v>4027</v>
      </c>
      <c r="X673" s="863"/>
      <c r="Y673" s="863"/>
    </row>
    <row r="674" spans="1:25" s="343" customFormat="1" ht="0.65" hidden="1" customHeight="1">
      <c r="A674" s="343">
        <v>4028</v>
      </c>
      <c r="X674" s="863"/>
      <c r="Y674" s="863"/>
    </row>
    <row r="675" spans="1:25" s="343" customFormat="1" ht="0.65" hidden="1" customHeight="1">
      <c r="A675" s="343">
        <v>4029</v>
      </c>
      <c r="X675" s="863"/>
      <c r="Y675" s="863"/>
    </row>
    <row r="676" spans="1:25" s="343" customFormat="1" ht="0.65" hidden="1" customHeight="1">
      <c r="A676" s="343">
        <v>4030</v>
      </c>
      <c r="X676" s="863"/>
      <c r="Y676" s="863"/>
    </row>
    <row r="677" spans="1:25" s="343" customFormat="1" ht="0.65" hidden="1" customHeight="1">
      <c r="A677" s="343">
        <v>4031</v>
      </c>
      <c r="X677" s="863"/>
      <c r="Y677" s="863"/>
    </row>
    <row r="678" spans="1:25" s="343" customFormat="1" ht="0.65" hidden="1" customHeight="1">
      <c r="A678" s="343">
        <v>4032</v>
      </c>
      <c r="X678" s="863"/>
      <c r="Y678" s="863"/>
    </row>
    <row r="679" spans="1:25" s="343" customFormat="1" ht="0.65" hidden="1" customHeight="1">
      <c r="A679" s="343">
        <v>4033</v>
      </c>
      <c r="X679" s="863"/>
      <c r="Y679" s="863"/>
    </row>
    <row r="680" spans="1:25" s="343" customFormat="1" ht="0.65" hidden="1" customHeight="1">
      <c r="A680" s="343">
        <v>4034</v>
      </c>
      <c r="X680" s="863"/>
      <c r="Y680" s="863"/>
    </row>
    <row r="681" spans="1:25" s="343" customFormat="1" ht="0.65" hidden="1" customHeight="1">
      <c r="A681" s="343">
        <v>4035</v>
      </c>
      <c r="X681" s="863"/>
      <c r="Y681" s="863"/>
    </row>
    <row r="682" spans="1:25" s="343" customFormat="1" ht="0.65" hidden="1" customHeight="1">
      <c r="A682" s="343">
        <v>4036</v>
      </c>
      <c r="X682" s="863"/>
      <c r="Y682" s="863"/>
    </row>
    <row r="683" spans="1:25" s="343" customFormat="1" ht="0.65" hidden="1" customHeight="1">
      <c r="A683" s="343">
        <v>4037</v>
      </c>
      <c r="X683" s="863"/>
      <c r="Y683" s="863"/>
    </row>
    <row r="684" spans="1:25" s="343" customFormat="1" ht="0.65" hidden="1" customHeight="1">
      <c r="A684" s="343">
        <v>4038</v>
      </c>
      <c r="X684" s="863"/>
      <c r="Y684" s="863"/>
    </row>
    <row r="685" spans="1:25" s="343" customFormat="1" ht="0.65" hidden="1" customHeight="1">
      <c r="A685" s="343">
        <v>4039</v>
      </c>
    </row>
    <row r="686" spans="1:25" s="343" customFormat="1" ht="0.65" hidden="1" customHeight="1">
      <c r="A686" s="343">
        <v>4040</v>
      </c>
      <c r="X686" s="863"/>
      <c r="Y686" s="863"/>
    </row>
    <row r="687" spans="1:25" s="343" customFormat="1" ht="0.65" hidden="1" customHeight="1">
      <c r="A687" s="343">
        <v>4041</v>
      </c>
      <c r="M687" s="343">
        <v>0</v>
      </c>
      <c r="O687" s="343">
        <v>1</v>
      </c>
      <c r="P687" s="343" t="s">
        <v>3701</v>
      </c>
      <c r="R687" s="863">
        <v>10000</v>
      </c>
      <c r="S687" s="343" t="s">
        <v>3712</v>
      </c>
      <c r="T687" s="343" t="s">
        <v>3713</v>
      </c>
      <c r="X687" s="863"/>
      <c r="Y687" s="863"/>
    </row>
    <row r="688" spans="1:25" s="343" customFormat="1" ht="0.65" hidden="1" customHeight="1">
      <c r="A688" s="343">
        <v>4042</v>
      </c>
      <c r="O688" s="343">
        <v>2</v>
      </c>
      <c r="P688" s="343" t="s">
        <v>3703</v>
      </c>
      <c r="R688" s="863">
        <v>200000</v>
      </c>
      <c r="S688" s="343" t="s">
        <v>3714</v>
      </c>
      <c r="T688" s="343" t="s">
        <v>3715</v>
      </c>
      <c r="X688" s="863"/>
      <c r="Y688" s="863"/>
    </row>
    <row r="689" spans="1:25" s="343" customFormat="1" ht="0.65" hidden="1" customHeight="1">
      <c r="A689" s="343">
        <v>4043</v>
      </c>
      <c r="O689" s="343">
        <v>3</v>
      </c>
      <c r="P689" s="343" t="s">
        <v>3706</v>
      </c>
      <c r="R689" s="863">
        <v>10000</v>
      </c>
      <c r="S689" s="343" t="s">
        <v>3716</v>
      </c>
      <c r="T689" s="343" t="s">
        <v>3717</v>
      </c>
      <c r="X689" s="863"/>
      <c r="Y689" s="863"/>
    </row>
    <row r="690" spans="1:25" s="343" customFormat="1" ht="0.65" hidden="1" customHeight="1">
      <c r="A690" s="343">
        <v>4044</v>
      </c>
      <c r="O690" s="343">
        <v>4</v>
      </c>
      <c r="P690" s="343" t="s">
        <v>3710</v>
      </c>
      <c r="R690" s="863">
        <v>22000</v>
      </c>
      <c r="S690" s="343" t="s">
        <v>3718</v>
      </c>
      <c r="T690" s="343" t="s">
        <v>3719</v>
      </c>
      <c r="X690" s="863"/>
      <c r="Y690" s="863"/>
    </row>
    <row r="691" spans="1:25" s="343" customFormat="1" ht="0.65" hidden="1" customHeight="1">
      <c r="A691" s="343">
        <v>4045</v>
      </c>
      <c r="O691" s="343">
        <v>5</v>
      </c>
      <c r="P691" s="343" t="s">
        <v>129</v>
      </c>
      <c r="R691" s="863">
        <v>178000</v>
      </c>
      <c r="S691" s="343" t="s">
        <v>3720</v>
      </c>
      <c r="T691" s="343" t="s">
        <v>3721</v>
      </c>
      <c r="X691" s="863"/>
      <c r="Y691" s="863"/>
    </row>
    <row r="692" spans="1:25" s="343" customFormat="1" ht="0.65" hidden="1" customHeight="1">
      <c r="A692" s="343">
        <v>4046</v>
      </c>
      <c r="O692" s="343">
        <v>6</v>
      </c>
      <c r="P692" s="343" t="s">
        <v>3404</v>
      </c>
      <c r="R692" s="863">
        <v>150000</v>
      </c>
      <c r="S692" s="343" t="s">
        <v>3722</v>
      </c>
      <c r="T692" s="343" t="s">
        <v>3723</v>
      </c>
      <c r="X692" s="863"/>
      <c r="Y692" s="863"/>
    </row>
    <row r="693" spans="1:25" s="343" customFormat="1" ht="0.65" hidden="1" customHeight="1">
      <c r="A693" s="343">
        <v>4047</v>
      </c>
      <c r="O693" s="343">
        <v>7</v>
      </c>
      <c r="P693" s="343" t="s">
        <v>3407</v>
      </c>
      <c r="R693" s="863">
        <v>150000</v>
      </c>
      <c r="S693" s="343" t="s">
        <v>3722</v>
      </c>
      <c r="T693" s="343" t="s">
        <v>3723</v>
      </c>
      <c r="X693" s="863"/>
      <c r="Y693" s="863"/>
    </row>
    <row r="694" spans="1:25" s="343" customFormat="1" ht="0.65" hidden="1" customHeight="1">
      <c r="A694" s="343">
        <v>4048</v>
      </c>
      <c r="O694" s="343">
        <v>8</v>
      </c>
      <c r="P694" s="343" t="s">
        <v>3408</v>
      </c>
      <c r="R694" s="863">
        <v>150000</v>
      </c>
      <c r="S694" s="343" t="s">
        <v>3722</v>
      </c>
      <c r="T694" s="343" t="s">
        <v>3723</v>
      </c>
      <c r="X694" s="863"/>
      <c r="Y694" s="863"/>
    </row>
    <row r="695" spans="1:25" s="343" customFormat="1" ht="0.65" hidden="1" customHeight="1">
      <c r="A695" s="343">
        <v>4049</v>
      </c>
      <c r="O695" s="343">
        <v>9</v>
      </c>
      <c r="P695" s="343" t="s">
        <v>3409</v>
      </c>
      <c r="R695" s="863">
        <v>150000</v>
      </c>
      <c r="S695" s="343" t="s">
        <v>3722</v>
      </c>
      <c r="T695" s="343" t="s">
        <v>3723</v>
      </c>
      <c r="X695" s="863"/>
      <c r="Y695" s="863"/>
    </row>
    <row r="696" spans="1:25" s="343" customFormat="1" ht="0.65" hidden="1" customHeight="1">
      <c r="A696" s="343">
        <v>4050</v>
      </c>
      <c r="O696" s="343">
        <v>10</v>
      </c>
      <c r="P696" s="343" t="s">
        <v>3410</v>
      </c>
      <c r="R696" s="863">
        <v>120000</v>
      </c>
      <c r="S696" s="343" t="s">
        <v>3724</v>
      </c>
      <c r="T696" s="343" t="s">
        <v>3725</v>
      </c>
      <c r="X696" s="863"/>
      <c r="Y696" s="863"/>
    </row>
    <row r="697" spans="1:25" s="343" customFormat="1" ht="0.65" hidden="1" customHeight="1">
      <c r="A697" s="343">
        <v>4051</v>
      </c>
      <c r="O697" s="343">
        <v>11</v>
      </c>
      <c r="P697" s="343" t="s">
        <v>3413</v>
      </c>
      <c r="R697" s="863">
        <v>120000</v>
      </c>
      <c r="S697" s="343" t="s">
        <v>3724</v>
      </c>
      <c r="T697" s="343" t="s">
        <v>3725</v>
      </c>
      <c r="X697" s="863"/>
      <c r="Y697" s="863"/>
    </row>
    <row r="698" spans="1:25" s="343" customFormat="1" ht="0.65" hidden="1" customHeight="1">
      <c r="A698" s="343">
        <v>4052</v>
      </c>
      <c r="O698" s="343">
        <v>12</v>
      </c>
      <c r="P698" s="343" t="s">
        <v>3414</v>
      </c>
      <c r="R698" s="863">
        <v>120000</v>
      </c>
      <c r="S698" s="343" t="s">
        <v>3724</v>
      </c>
      <c r="T698" s="343" t="s">
        <v>3725</v>
      </c>
      <c r="X698" s="863"/>
      <c r="Y698" s="863"/>
    </row>
    <row r="699" spans="1:25" s="343" customFormat="1" ht="0.65" hidden="1" customHeight="1">
      <c r="A699" s="343">
        <v>4053</v>
      </c>
      <c r="O699" s="343">
        <v>13</v>
      </c>
      <c r="P699" s="343" t="s">
        <v>3415</v>
      </c>
      <c r="R699" s="863">
        <v>120000</v>
      </c>
      <c r="S699" s="343" t="s">
        <v>3724</v>
      </c>
      <c r="T699" s="343" t="s">
        <v>3725</v>
      </c>
      <c r="X699" s="863"/>
      <c r="Y699" s="863"/>
    </row>
    <row r="700" spans="1:25" s="343" customFormat="1" ht="0.65" hidden="1" customHeight="1">
      <c r="A700" s="343">
        <v>4054</v>
      </c>
      <c r="O700" s="343">
        <v>14</v>
      </c>
      <c r="P700" s="343" t="s">
        <v>3416</v>
      </c>
      <c r="R700" s="863">
        <v>7500</v>
      </c>
      <c r="S700" s="343" t="s">
        <v>3726</v>
      </c>
      <c r="T700" s="343" t="s">
        <v>3727</v>
      </c>
      <c r="X700" s="863"/>
      <c r="Y700" s="863"/>
    </row>
    <row r="701" spans="1:25" s="343" customFormat="1" ht="0.65" hidden="1" customHeight="1">
      <c r="A701" s="343">
        <v>4055</v>
      </c>
      <c r="O701" s="343">
        <v>15</v>
      </c>
      <c r="P701" s="343" t="s">
        <v>3419</v>
      </c>
      <c r="R701" s="863">
        <v>7500</v>
      </c>
      <c r="S701" s="343" t="s">
        <v>3726</v>
      </c>
      <c r="T701" s="343" t="s">
        <v>3727</v>
      </c>
      <c r="X701" s="863"/>
      <c r="Y701" s="863"/>
    </row>
    <row r="702" spans="1:25" s="343" customFormat="1" ht="0.65" hidden="1" customHeight="1">
      <c r="A702" s="343">
        <v>4056</v>
      </c>
      <c r="O702" s="343">
        <v>16</v>
      </c>
      <c r="P702" s="343" t="s">
        <v>3420</v>
      </c>
      <c r="R702" s="863">
        <v>7500</v>
      </c>
      <c r="S702" s="343" t="s">
        <v>3726</v>
      </c>
      <c r="T702" s="343" t="s">
        <v>3727</v>
      </c>
      <c r="X702" s="863"/>
      <c r="Y702" s="863"/>
    </row>
    <row r="703" spans="1:25" s="343" customFormat="1" ht="0.65" hidden="1" customHeight="1">
      <c r="A703" s="343">
        <v>4057</v>
      </c>
      <c r="O703" s="343">
        <v>17</v>
      </c>
      <c r="P703" s="343" t="s">
        <v>3421</v>
      </c>
      <c r="R703" s="863">
        <v>7500</v>
      </c>
      <c r="S703" s="343" t="s">
        <v>3726</v>
      </c>
      <c r="T703" s="343" t="s">
        <v>3727</v>
      </c>
      <c r="X703" s="863"/>
      <c r="Y703" s="863"/>
    </row>
    <row r="704" spans="1:25" s="343" customFormat="1" ht="0.65" hidden="1" customHeight="1">
      <c r="A704" s="343">
        <v>4058</v>
      </c>
      <c r="O704" s="343">
        <v>18</v>
      </c>
      <c r="P704" s="343" t="s">
        <v>3422</v>
      </c>
      <c r="R704" s="863">
        <v>22500</v>
      </c>
      <c r="S704" s="343" t="s">
        <v>3728</v>
      </c>
      <c r="T704" s="343" t="s">
        <v>3424</v>
      </c>
      <c r="X704" s="863"/>
      <c r="Y704" s="863"/>
    </row>
    <row r="705" spans="1:25" s="343" customFormat="1" ht="0.65" hidden="1" customHeight="1">
      <c r="A705" s="343">
        <v>4059</v>
      </c>
      <c r="O705" s="343">
        <v>19</v>
      </c>
      <c r="P705" s="343" t="s">
        <v>3425</v>
      </c>
      <c r="R705" s="863">
        <v>22500</v>
      </c>
      <c r="S705" s="343" t="s">
        <v>3728</v>
      </c>
      <c r="T705" s="343" t="s">
        <v>3426</v>
      </c>
      <c r="X705" s="863"/>
      <c r="Y705" s="863"/>
    </row>
    <row r="706" spans="1:25" s="343" customFormat="1" ht="0.65" hidden="1" customHeight="1">
      <c r="A706" s="343">
        <v>4060</v>
      </c>
      <c r="O706" s="343">
        <v>20</v>
      </c>
      <c r="P706" s="343" t="s">
        <v>3427</v>
      </c>
      <c r="R706" s="863">
        <v>22500</v>
      </c>
      <c r="S706" s="343" t="s">
        <v>3728</v>
      </c>
      <c r="T706" s="343" t="s">
        <v>3428</v>
      </c>
      <c r="X706" s="863"/>
      <c r="Y706" s="863"/>
    </row>
    <row r="707" spans="1:25" s="343" customFormat="1" ht="0.65" hidden="1" customHeight="1">
      <c r="A707" s="343">
        <v>4061</v>
      </c>
      <c r="O707" s="343">
        <v>21</v>
      </c>
      <c r="P707" s="343" t="s">
        <v>3429</v>
      </c>
      <c r="R707" s="863">
        <v>22500</v>
      </c>
      <c r="S707" s="343" t="s">
        <v>3728</v>
      </c>
      <c r="T707" s="343" t="s">
        <v>3430</v>
      </c>
      <c r="X707" s="863"/>
      <c r="Y707" s="863"/>
    </row>
    <row r="708" spans="1:25" s="343" customFormat="1" ht="0.65" hidden="1" customHeight="1">
      <c r="A708" s="343">
        <v>4062</v>
      </c>
      <c r="O708" s="343">
        <v>22</v>
      </c>
      <c r="P708" s="343" t="s">
        <v>3431</v>
      </c>
      <c r="R708" s="863">
        <v>6750</v>
      </c>
      <c r="S708" s="343" t="s">
        <v>3729</v>
      </c>
      <c r="T708" s="343" t="s">
        <v>3433</v>
      </c>
      <c r="X708" s="863"/>
      <c r="Y708" s="863"/>
    </row>
    <row r="709" spans="1:25" s="343" customFormat="1" ht="0.65" hidden="1" customHeight="1">
      <c r="A709" s="343">
        <v>4063</v>
      </c>
      <c r="O709" s="343">
        <v>23</v>
      </c>
      <c r="P709" s="343" t="s">
        <v>3434</v>
      </c>
      <c r="R709" s="863">
        <v>6750</v>
      </c>
      <c r="S709" s="343" t="s">
        <v>3729</v>
      </c>
      <c r="T709" s="343" t="s">
        <v>3435</v>
      </c>
      <c r="X709" s="863"/>
      <c r="Y709" s="863"/>
    </row>
    <row r="710" spans="1:25" s="343" customFormat="1" ht="0.65" hidden="1" customHeight="1">
      <c r="A710" s="343">
        <v>4064</v>
      </c>
      <c r="O710" s="343">
        <v>24</v>
      </c>
      <c r="P710" s="343" t="s">
        <v>3436</v>
      </c>
      <c r="R710" s="863">
        <v>6750</v>
      </c>
      <c r="S710" s="343" t="s">
        <v>3729</v>
      </c>
      <c r="T710" s="343" t="s">
        <v>3437</v>
      </c>
      <c r="X710" s="863"/>
      <c r="Y710" s="863"/>
    </row>
    <row r="711" spans="1:25" s="343" customFormat="1" ht="0.65" hidden="1" customHeight="1">
      <c r="A711" s="343">
        <v>4065</v>
      </c>
      <c r="O711" s="343">
        <v>25</v>
      </c>
      <c r="P711" s="343" t="s">
        <v>3438</v>
      </c>
      <c r="R711" s="863">
        <v>6750</v>
      </c>
      <c r="S711" s="343" t="s">
        <v>3729</v>
      </c>
      <c r="T711" s="343" t="s">
        <v>3439</v>
      </c>
      <c r="X711" s="863"/>
      <c r="Y711" s="863"/>
    </row>
    <row r="712" spans="1:25" s="343" customFormat="1" ht="0.65" hidden="1" customHeight="1">
      <c r="A712" s="343">
        <v>4066</v>
      </c>
      <c r="O712" s="343">
        <v>26</v>
      </c>
      <c r="P712" s="343" t="s">
        <v>3440</v>
      </c>
      <c r="R712" s="863">
        <v>15750</v>
      </c>
      <c r="S712" s="343" t="s">
        <v>3730</v>
      </c>
      <c r="T712" s="343" t="s">
        <v>3442</v>
      </c>
      <c r="X712" s="863"/>
      <c r="Y712" s="863"/>
    </row>
    <row r="713" spans="1:25" s="343" customFormat="1" ht="0.65" hidden="1" customHeight="1">
      <c r="A713" s="343">
        <v>4067</v>
      </c>
      <c r="O713" s="343">
        <v>27</v>
      </c>
      <c r="P713" s="343" t="s">
        <v>3443</v>
      </c>
      <c r="R713" s="863">
        <v>15750</v>
      </c>
      <c r="S713" s="343" t="s">
        <v>3730</v>
      </c>
      <c r="T713" s="343" t="s">
        <v>3444</v>
      </c>
      <c r="X713" s="863"/>
      <c r="Y713" s="863"/>
    </row>
    <row r="714" spans="1:25" s="343" customFormat="1" ht="0.65" hidden="1" customHeight="1">
      <c r="A714" s="343">
        <v>4068</v>
      </c>
      <c r="O714" s="343">
        <v>28</v>
      </c>
      <c r="P714" s="343" t="s">
        <v>3445</v>
      </c>
      <c r="R714" s="863">
        <v>15750</v>
      </c>
      <c r="S714" s="343" t="s">
        <v>3730</v>
      </c>
      <c r="T714" s="343" t="s">
        <v>3446</v>
      </c>
      <c r="X714" s="863"/>
      <c r="Y714" s="863"/>
    </row>
    <row r="715" spans="1:25" s="343" customFormat="1" ht="0.65" hidden="1" customHeight="1">
      <c r="A715" s="343">
        <v>4069</v>
      </c>
      <c r="O715" s="343">
        <v>29</v>
      </c>
      <c r="P715" s="343" t="s">
        <v>3447</v>
      </c>
      <c r="R715" s="863">
        <v>15750</v>
      </c>
      <c r="S715" s="343" t="s">
        <v>3730</v>
      </c>
      <c r="T715" s="343" t="s">
        <v>3448</v>
      </c>
      <c r="X715" s="863"/>
      <c r="Y715" s="863"/>
    </row>
    <row r="716" spans="1:25" s="343" customFormat="1" ht="0.65" hidden="1" customHeight="1">
      <c r="A716" s="343">
        <v>4070</v>
      </c>
      <c r="O716" s="343">
        <v>30</v>
      </c>
      <c r="P716" s="343" t="s">
        <v>3449</v>
      </c>
      <c r="R716" s="863">
        <v>23250</v>
      </c>
      <c r="S716" s="863" t="s">
        <v>3731</v>
      </c>
      <c r="T716" s="343" t="s">
        <v>3451</v>
      </c>
      <c r="X716" s="863"/>
      <c r="Y716" s="863"/>
    </row>
    <row r="717" spans="1:25" s="343" customFormat="1" ht="0.65" hidden="1" customHeight="1">
      <c r="A717" s="343">
        <v>4071</v>
      </c>
      <c r="O717" s="343">
        <v>31</v>
      </c>
      <c r="P717" s="343" t="s">
        <v>3452</v>
      </c>
      <c r="R717" s="863">
        <v>23250</v>
      </c>
      <c r="S717" s="863" t="s">
        <v>3731</v>
      </c>
      <c r="T717" s="343" t="s">
        <v>3453</v>
      </c>
      <c r="X717" s="863"/>
      <c r="Y717" s="863"/>
    </row>
    <row r="718" spans="1:25" s="343" customFormat="1" ht="0.65" hidden="1" customHeight="1">
      <c r="A718" s="343">
        <v>4072</v>
      </c>
      <c r="O718" s="343">
        <v>32</v>
      </c>
      <c r="P718" s="343" t="s">
        <v>3454</v>
      </c>
      <c r="R718" s="863">
        <v>23250</v>
      </c>
      <c r="S718" s="863" t="s">
        <v>3731</v>
      </c>
      <c r="T718" s="343" t="s">
        <v>3455</v>
      </c>
      <c r="X718" s="863"/>
      <c r="Y718" s="863"/>
    </row>
    <row r="719" spans="1:25" s="343" customFormat="1" ht="0.65" hidden="1" customHeight="1">
      <c r="A719" s="343">
        <v>4073</v>
      </c>
      <c r="O719" s="343">
        <v>33</v>
      </c>
      <c r="P719" s="343" t="s">
        <v>3456</v>
      </c>
      <c r="R719" s="863">
        <v>23250</v>
      </c>
      <c r="S719" s="863" t="s">
        <v>3731</v>
      </c>
      <c r="T719" s="343" t="s">
        <v>3457</v>
      </c>
      <c r="X719" s="863"/>
      <c r="Y719" s="863"/>
    </row>
    <row r="720" spans="1:25" s="343" customFormat="1" ht="0.65" hidden="1" customHeight="1">
      <c r="A720" s="343">
        <v>4074</v>
      </c>
      <c r="O720" s="343">
        <v>34</v>
      </c>
      <c r="P720" s="343" t="s">
        <v>3458</v>
      </c>
      <c r="R720" s="863">
        <v>0</v>
      </c>
      <c r="S720" s="343" t="s">
        <v>3732</v>
      </c>
      <c r="T720" s="893" t="s">
        <v>3733</v>
      </c>
      <c r="X720" s="863"/>
      <c r="Y720" s="863"/>
    </row>
    <row r="721" spans="1:25" s="343" customFormat="1" ht="0.65" hidden="1" customHeight="1">
      <c r="A721" s="343">
        <v>4075</v>
      </c>
      <c r="O721" s="343">
        <v>35</v>
      </c>
      <c r="P721" s="343" t="s">
        <v>3461</v>
      </c>
      <c r="R721" s="863">
        <v>0</v>
      </c>
      <c r="S721" s="863" t="s">
        <v>3732</v>
      </c>
      <c r="T721" s="893" t="s">
        <v>3734</v>
      </c>
      <c r="X721" s="863"/>
      <c r="Y721" s="863"/>
    </row>
    <row r="722" spans="1:25" s="343" customFormat="1" ht="0.65" hidden="1" customHeight="1">
      <c r="A722" s="343">
        <v>4076</v>
      </c>
      <c r="O722" s="343">
        <v>36</v>
      </c>
      <c r="P722" s="343" t="s">
        <v>3463</v>
      </c>
      <c r="R722" s="863">
        <v>0</v>
      </c>
      <c r="S722" s="863" t="s">
        <v>3732</v>
      </c>
      <c r="T722" s="893" t="s">
        <v>3735</v>
      </c>
      <c r="X722" s="863"/>
      <c r="Y722" s="863"/>
    </row>
    <row r="723" spans="1:25" s="343" customFormat="1" ht="0.65" hidden="1" customHeight="1">
      <c r="A723" s="343">
        <v>4077</v>
      </c>
      <c r="O723" s="343">
        <v>37</v>
      </c>
      <c r="P723" s="343" t="s">
        <v>3465</v>
      </c>
      <c r="R723" s="863">
        <v>0</v>
      </c>
      <c r="S723" s="863" t="s">
        <v>3732</v>
      </c>
      <c r="T723" s="893" t="s">
        <v>3736</v>
      </c>
      <c r="X723" s="863"/>
      <c r="Y723" s="863"/>
    </row>
    <row r="724" spans="1:25" s="343" customFormat="1" ht="0.65" hidden="1" customHeight="1">
      <c r="A724" s="343">
        <v>4078</v>
      </c>
      <c r="O724" s="343">
        <v>38</v>
      </c>
      <c r="P724" s="343" t="s">
        <v>3467</v>
      </c>
      <c r="R724" s="863">
        <v>0</v>
      </c>
      <c r="S724" s="863" t="s">
        <v>3732</v>
      </c>
      <c r="T724" s="893" t="s">
        <v>3736</v>
      </c>
      <c r="X724" s="863"/>
      <c r="Y724" s="863"/>
    </row>
    <row r="725" spans="1:25" s="343" customFormat="1" ht="0.65" hidden="1" customHeight="1">
      <c r="A725" s="343">
        <v>4079</v>
      </c>
      <c r="O725" s="343">
        <v>39</v>
      </c>
      <c r="P725" s="343" t="s">
        <v>3468</v>
      </c>
      <c r="R725" s="863">
        <v>0</v>
      </c>
      <c r="S725" s="343" t="s">
        <v>3639</v>
      </c>
      <c r="T725" s="343" t="s">
        <v>3737</v>
      </c>
      <c r="X725" s="863"/>
      <c r="Y725" s="863"/>
    </row>
    <row r="726" spans="1:25" s="343" customFormat="1" ht="0.65" hidden="1" customHeight="1">
      <c r="A726" s="343">
        <v>4080</v>
      </c>
      <c r="O726" s="343">
        <v>40</v>
      </c>
      <c r="P726" s="343" t="s">
        <v>3471</v>
      </c>
      <c r="R726" s="863">
        <v>37500</v>
      </c>
      <c r="S726" s="863" t="s">
        <v>3738</v>
      </c>
      <c r="T726" s="343" t="s">
        <v>3472</v>
      </c>
      <c r="X726" s="863"/>
      <c r="Y726" s="863"/>
    </row>
    <row r="727" spans="1:25" s="343" customFormat="1" ht="0.65" hidden="1" customHeight="1">
      <c r="A727" s="343">
        <v>4081</v>
      </c>
      <c r="O727" s="343">
        <v>41</v>
      </c>
      <c r="P727" s="343" t="s">
        <v>3473</v>
      </c>
      <c r="R727" s="863">
        <v>37500</v>
      </c>
      <c r="S727" s="863" t="s">
        <v>3738</v>
      </c>
      <c r="T727" s="343" t="s">
        <v>3474</v>
      </c>
      <c r="X727" s="863"/>
      <c r="Y727" s="863"/>
    </row>
    <row r="728" spans="1:25" s="343" customFormat="1" ht="0.65" hidden="1" customHeight="1">
      <c r="A728" s="343">
        <v>4082</v>
      </c>
      <c r="O728" s="343">
        <v>42</v>
      </c>
      <c r="P728" s="343" t="s">
        <v>3475</v>
      </c>
      <c r="R728" s="863">
        <v>37500</v>
      </c>
      <c r="S728" s="863" t="s">
        <v>3738</v>
      </c>
      <c r="T728" s="343" t="s">
        <v>3476</v>
      </c>
      <c r="X728" s="863"/>
      <c r="Y728" s="863"/>
    </row>
    <row r="729" spans="1:25" s="343" customFormat="1" ht="0.65" hidden="1" customHeight="1">
      <c r="A729" s="343">
        <v>4083</v>
      </c>
      <c r="O729" s="343">
        <v>43</v>
      </c>
      <c r="P729" s="343" t="s">
        <v>3477</v>
      </c>
      <c r="R729" s="863">
        <v>37500</v>
      </c>
      <c r="S729" s="863" t="s">
        <v>3738</v>
      </c>
      <c r="T729" s="343" t="s">
        <v>3478</v>
      </c>
      <c r="X729" s="863"/>
      <c r="Y729" s="863"/>
    </row>
    <row r="730" spans="1:25" s="343" customFormat="1" ht="0.65" hidden="1" customHeight="1">
      <c r="A730" s="343">
        <v>4084</v>
      </c>
      <c r="O730" s="343">
        <v>44</v>
      </c>
      <c r="P730" s="343" t="s">
        <v>3479</v>
      </c>
      <c r="R730" s="863">
        <v>0</v>
      </c>
      <c r="S730" s="343" t="s">
        <v>3639</v>
      </c>
      <c r="T730" s="343" t="s">
        <v>3739</v>
      </c>
      <c r="X730" s="863"/>
      <c r="Y730" s="863"/>
    </row>
    <row r="731" spans="1:25" s="343" customFormat="1" ht="0.65" hidden="1" customHeight="1">
      <c r="A731" s="343">
        <v>4085</v>
      </c>
      <c r="O731" s="343">
        <v>45</v>
      </c>
      <c r="P731" s="343" t="s">
        <v>3482</v>
      </c>
      <c r="R731" s="863">
        <v>20000</v>
      </c>
      <c r="S731" s="863" t="s">
        <v>3740</v>
      </c>
      <c r="T731" s="343" t="s">
        <v>3483</v>
      </c>
      <c r="X731" s="863"/>
      <c r="Y731" s="863"/>
    </row>
    <row r="732" spans="1:25" s="343" customFormat="1" ht="0.65" hidden="1" customHeight="1">
      <c r="A732" s="343">
        <v>4086</v>
      </c>
      <c r="O732" s="343">
        <v>46</v>
      </c>
      <c r="P732" s="343" t="s">
        <v>3484</v>
      </c>
      <c r="R732" s="863">
        <v>20000</v>
      </c>
      <c r="S732" s="863" t="s">
        <v>3740</v>
      </c>
      <c r="T732" s="343" t="s">
        <v>3485</v>
      </c>
      <c r="X732" s="863"/>
      <c r="Y732" s="863"/>
    </row>
    <row r="733" spans="1:25" s="343" customFormat="1" ht="0.65" hidden="1" customHeight="1">
      <c r="A733" s="343">
        <v>4087</v>
      </c>
      <c r="O733" s="343">
        <v>47</v>
      </c>
      <c r="P733" s="343" t="s">
        <v>3486</v>
      </c>
      <c r="R733" s="863">
        <v>20000</v>
      </c>
      <c r="S733" s="863" t="s">
        <v>3740</v>
      </c>
      <c r="T733" s="343" t="s">
        <v>3487</v>
      </c>
      <c r="X733" s="863"/>
      <c r="Y733" s="863"/>
    </row>
    <row r="734" spans="1:25" s="343" customFormat="1" ht="0.65" hidden="1" customHeight="1">
      <c r="A734" s="343">
        <v>4088</v>
      </c>
      <c r="O734" s="343">
        <v>48</v>
      </c>
      <c r="P734" s="343" t="s">
        <v>3488</v>
      </c>
      <c r="R734" s="863">
        <v>20000</v>
      </c>
      <c r="S734" s="863" t="s">
        <v>3740</v>
      </c>
      <c r="T734" s="343" t="s">
        <v>3489</v>
      </c>
      <c r="X734" s="863"/>
      <c r="Y734" s="863"/>
    </row>
    <row r="735" spans="1:25" s="343" customFormat="1" ht="0.65" hidden="1" customHeight="1">
      <c r="A735" s="343">
        <v>4089</v>
      </c>
      <c r="O735" s="343">
        <v>49</v>
      </c>
      <c r="P735" s="343" t="s">
        <v>3490</v>
      </c>
      <c r="R735" s="863">
        <v>0</v>
      </c>
      <c r="S735" s="863" t="s">
        <v>3741</v>
      </c>
      <c r="T735" s="343" t="s">
        <v>3492</v>
      </c>
      <c r="X735" s="863"/>
      <c r="Y735" s="863"/>
    </row>
    <row r="736" spans="1:25" s="343" customFormat="1" ht="0.65" hidden="1" customHeight="1">
      <c r="A736" s="343">
        <v>4090</v>
      </c>
      <c r="O736" s="343">
        <v>50</v>
      </c>
      <c r="P736" s="343" t="s">
        <v>3493</v>
      </c>
      <c r="R736" s="863">
        <v>17500</v>
      </c>
      <c r="S736" s="863" t="s">
        <v>3742</v>
      </c>
      <c r="T736" s="343" t="s">
        <v>3494</v>
      </c>
      <c r="X736" s="863"/>
      <c r="Y736" s="863"/>
    </row>
    <row r="737" spans="1:25" s="343" customFormat="1" ht="0.65" hidden="1" customHeight="1">
      <c r="A737" s="343">
        <v>4091</v>
      </c>
      <c r="O737" s="343">
        <v>51</v>
      </c>
      <c r="P737" s="343" t="s">
        <v>3495</v>
      </c>
      <c r="R737" s="863">
        <v>17500</v>
      </c>
      <c r="S737" s="863" t="s">
        <v>3742</v>
      </c>
      <c r="T737" s="343" t="s">
        <v>3496</v>
      </c>
      <c r="X737" s="863"/>
      <c r="Y737" s="863"/>
    </row>
    <row r="738" spans="1:25" s="343" customFormat="1" ht="0.65" hidden="1" customHeight="1">
      <c r="A738" s="343">
        <v>4092</v>
      </c>
      <c r="O738" s="343">
        <v>52</v>
      </c>
      <c r="P738" s="343" t="s">
        <v>3497</v>
      </c>
      <c r="R738" s="863">
        <v>17500</v>
      </c>
      <c r="S738" s="863" t="s">
        <v>3742</v>
      </c>
      <c r="T738" s="343" t="s">
        <v>3498</v>
      </c>
      <c r="X738" s="863"/>
      <c r="Y738" s="863"/>
    </row>
    <row r="739" spans="1:25" s="343" customFormat="1" ht="0.65" hidden="1" customHeight="1">
      <c r="A739" s="343">
        <v>4093</v>
      </c>
      <c r="O739" s="343">
        <v>53</v>
      </c>
      <c r="P739" s="343" t="s">
        <v>3499</v>
      </c>
      <c r="R739" s="863">
        <v>17500</v>
      </c>
      <c r="S739" s="863" t="s">
        <v>3742</v>
      </c>
      <c r="T739" s="343" t="s">
        <v>3500</v>
      </c>
      <c r="X739" s="863"/>
      <c r="Y739" s="863"/>
    </row>
    <row r="740" spans="1:25" s="343" customFormat="1" ht="0.65" hidden="1" customHeight="1">
      <c r="A740" s="343">
        <v>4094</v>
      </c>
      <c r="O740" s="343">
        <v>54</v>
      </c>
      <c r="P740" s="343" t="s">
        <v>3501</v>
      </c>
      <c r="R740" s="863">
        <v>0</v>
      </c>
      <c r="S740" s="343" t="s">
        <v>3639</v>
      </c>
      <c r="T740" s="343" t="s">
        <v>3503</v>
      </c>
      <c r="X740" s="863"/>
      <c r="Y740" s="863"/>
    </row>
    <row r="741" spans="1:25" s="343" customFormat="1" ht="0.65" hidden="1" customHeight="1">
      <c r="A741" s="343">
        <v>4095</v>
      </c>
      <c r="O741" s="343">
        <v>55</v>
      </c>
      <c r="P741" s="343" t="s">
        <v>3504</v>
      </c>
      <c r="R741" s="863">
        <v>17500</v>
      </c>
      <c r="S741" s="343" t="s">
        <v>3743</v>
      </c>
      <c r="T741" s="343" t="s">
        <v>3506</v>
      </c>
      <c r="X741" s="863"/>
      <c r="Y741" s="863"/>
    </row>
    <row r="742" spans="1:25" s="343" customFormat="1" ht="0.65" hidden="1" customHeight="1">
      <c r="A742" s="343">
        <v>4096</v>
      </c>
      <c r="O742" s="343">
        <v>56</v>
      </c>
      <c r="P742" s="343" t="s">
        <v>3507</v>
      </c>
      <c r="R742" s="863">
        <v>0</v>
      </c>
      <c r="S742" s="343" t="s">
        <v>3744</v>
      </c>
      <c r="T742" s="343" t="s">
        <v>3508</v>
      </c>
      <c r="X742" s="863"/>
      <c r="Y742" s="863"/>
    </row>
    <row r="743" spans="1:25" s="343" customFormat="1" ht="0.65" hidden="1" customHeight="1">
      <c r="A743" s="343">
        <v>4097</v>
      </c>
      <c r="O743" s="343">
        <v>57</v>
      </c>
      <c r="P743" s="343" t="s">
        <v>3509</v>
      </c>
      <c r="R743" s="863">
        <v>0</v>
      </c>
      <c r="S743" s="343" t="s">
        <v>3744</v>
      </c>
      <c r="T743" s="343" t="s">
        <v>3510</v>
      </c>
      <c r="X743" s="863"/>
      <c r="Y743" s="863"/>
    </row>
    <row r="744" spans="1:25" s="343" customFormat="1" ht="0.65" hidden="1" customHeight="1">
      <c r="A744" s="343">
        <v>4098</v>
      </c>
      <c r="O744" s="343">
        <v>58</v>
      </c>
      <c r="P744" s="343" t="s">
        <v>3511</v>
      </c>
      <c r="R744" s="863">
        <v>0</v>
      </c>
      <c r="S744" s="343" t="s">
        <v>3744</v>
      </c>
      <c r="T744" s="343" t="s">
        <v>3512</v>
      </c>
      <c r="X744" s="863"/>
      <c r="Y744" s="863"/>
    </row>
    <row r="745" spans="1:25" s="343" customFormat="1" ht="0.65" hidden="1" customHeight="1">
      <c r="A745" s="343">
        <v>4099</v>
      </c>
      <c r="O745" s="343">
        <v>59</v>
      </c>
      <c r="P745" s="343" t="s">
        <v>3513</v>
      </c>
      <c r="R745" s="863">
        <v>5750</v>
      </c>
      <c r="S745" s="863" t="s">
        <v>3745</v>
      </c>
      <c r="T745" s="343" t="s">
        <v>3515</v>
      </c>
      <c r="X745" s="863"/>
      <c r="Y745" s="863"/>
    </row>
    <row r="746" spans="1:25" s="343" customFormat="1" ht="0.65" hidden="1" customHeight="1">
      <c r="A746" s="343">
        <v>4100</v>
      </c>
      <c r="O746" s="343">
        <v>60</v>
      </c>
      <c r="P746" s="343" t="s">
        <v>3516</v>
      </c>
      <c r="R746" s="863">
        <v>23250</v>
      </c>
      <c r="S746" s="863" t="s">
        <v>3746</v>
      </c>
      <c r="T746" s="343" t="s">
        <v>3517</v>
      </c>
      <c r="X746" s="863"/>
      <c r="Y746" s="863"/>
    </row>
    <row r="747" spans="1:25" s="343" customFormat="1" ht="0.65" hidden="1" customHeight="1">
      <c r="A747" s="343">
        <v>4101</v>
      </c>
      <c r="O747" s="343">
        <v>61</v>
      </c>
      <c r="P747" s="343" t="s">
        <v>3518</v>
      </c>
      <c r="R747" s="863">
        <v>23250</v>
      </c>
      <c r="S747" s="863" t="s">
        <v>3746</v>
      </c>
      <c r="T747" s="343" t="s">
        <v>3519</v>
      </c>
      <c r="X747" s="863"/>
      <c r="Y747" s="863"/>
    </row>
    <row r="748" spans="1:25" s="343" customFormat="1" ht="0.65" hidden="1" customHeight="1">
      <c r="A748" s="343">
        <v>4102</v>
      </c>
      <c r="O748" s="343">
        <v>62</v>
      </c>
      <c r="P748" s="343" t="s">
        <v>3520</v>
      </c>
      <c r="R748" s="863">
        <v>23250</v>
      </c>
      <c r="S748" s="863" t="s">
        <v>3746</v>
      </c>
      <c r="T748" s="343" t="s">
        <v>3521</v>
      </c>
      <c r="X748" s="863"/>
      <c r="Y748" s="863"/>
    </row>
    <row r="749" spans="1:25" s="343" customFormat="1" ht="0.65" hidden="1" customHeight="1">
      <c r="A749" s="343">
        <v>4103</v>
      </c>
      <c r="O749" s="343">
        <v>63</v>
      </c>
      <c r="P749" s="343" t="s">
        <v>3389</v>
      </c>
      <c r="R749" s="863">
        <v>17500</v>
      </c>
      <c r="S749" s="343" t="s">
        <v>3747</v>
      </c>
      <c r="T749" s="343" t="s">
        <v>3522</v>
      </c>
      <c r="X749" s="863"/>
      <c r="Y749" s="863"/>
    </row>
    <row r="750" spans="1:25" s="343" customFormat="1" ht="0.65" hidden="1" customHeight="1">
      <c r="A750" s="343">
        <v>4104</v>
      </c>
      <c r="O750" s="343">
        <v>64</v>
      </c>
      <c r="P750" s="343" t="s">
        <v>3704</v>
      </c>
      <c r="R750" s="863">
        <v>106000</v>
      </c>
      <c r="S750" s="343" t="s">
        <v>3659</v>
      </c>
      <c r="T750" s="343" t="s">
        <v>3748</v>
      </c>
      <c r="X750" s="863"/>
      <c r="Y750" s="863"/>
    </row>
    <row r="751" spans="1:25" s="343" customFormat="1" ht="0.65" hidden="1" customHeight="1">
      <c r="A751" s="343">
        <v>4105</v>
      </c>
      <c r="O751" s="343">
        <v>65</v>
      </c>
      <c r="P751" s="343" t="s">
        <v>3707</v>
      </c>
      <c r="R751" s="863">
        <v>0</v>
      </c>
      <c r="S751" s="343" t="s">
        <v>3749</v>
      </c>
      <c r="T751" s="343" t="s">
        <v>3750</v>
      </c>
      <c r="X751" s="863"/>
      <c r="Y751" s="863"/>
    </row>
    <row r="752" spans="1:25" s="343" customFormat="1" ht="0.65" hidden="1" customHeight="1">
      <c r="A752" s="343">
        <v>4106</v>
      </c>
      <c r="O752" s="343">
        <v>66</v>
      </c>
      <c r="P752" s="343" t="s">
        <v>55</v>
      </c>
      <c r="R752" s="863"/>
      <c r="X752" s="863"/>
      <c r="Y752" s="863"/>
    </row>
    <row r="753" spans="1:25" s="343" customFormat="1" ht="0.65" hidden="1" customHeight="1">
      <c r="A753" s="343">
        <v>4107</v>
      </c>
      <c r="O753" s="343">
        <v>67</v>
      </c>
      <c r="P753" s="343" t="s">
        <v>3394</v>
      </c>
      <c r="R753" s="863">
        <v>123500</v>
      </c>
      <c r="S753" s="343" t="s">
        <v>3751</v>
      </c>
      <c r="T753" s="343" t="s">
        <v>3752</v>
      </c>
      <c r="X753" s="863"/>
      <c r="Y753" s="863"/>
    </row>
    <row r="754" spans="1:25" s="343" customFormat="1" ht="0.65" hidden="1" customHeight="1">
      <c r="A754" s="343">
        <v>4108</v>
      </c>
      <c r="O754" s="343">
        <v>68</v>
      </c>
      <c r="P754" s="343" t="s">
        <v>3527</v>
      </c>
      <c r="R754" s="863">
        <v>-178000</v>
      </c>
      <c r="S754" s="343" t="s">
        <v>3753</v>
      </c>
      <c r="T754" s="343" t="s">
        <v>3529</v>
      </c>
      <c r="X754" s="863"/>
      <c r="Y754" s="863"/>
    </row>
    <row r="755" spans="1:25" s="343" customFormat="1" ht="0.65" hidden="1" customHeight="1">
      <c r="A755" s="343">
        <v>4109</v>
      </c>
      <c r="O755" s="343">
        <v>69</v>
      </c>
      <c r="P755" s="343" t="s">
        <v>3530</v>
      </c>
      <c r="R755" s="863">
        <v>5750</v>
      </c>
      <c r="S755" s="343" t="s">
        <v>3754</v>
      </c>
      <c r="T755" s="343" t="s">
        <v>3532</v>
      </c>
      <c r="X755" s="863"/>
      <c r="Y755" s="863"/>
    </row>
    <row r="756" spans="1:25" s="343" customFormat="1" ht="0.65" hidden="1" customHeight="1">
      <c r="A756" s="343">
        <v>4110</v>
      </c>
      <c r="O756" s="343">
        <v>70</v>
      </c>
      <c r="P756" s="343" t="s">
        <v>3533</v>
      </c>
      <c r="R756" s="863">
        <v>23250</v>
      </c>
      <c r="S756" s="343" t="s">
        <v>3755</v>
      </c>
      <c r="T756" s="343" t="s">
        <v>3534</v>
      </c>
      <c r="X756" s="863"/>
      <c r="Y756" s="863"/>
    </row>
    <row r="757" spans="1:25" s="343" customFormat="1" ht="0.65" hidden="1" customHeight="1">
      <c r="A757" s="343">
        <v>4111</v>
      </c>
      <c r="O757" s="343">
        <v>71</v>
      </c>
      <c r="P757" s="343" t="s">
        <v>3535</v>
      </c>
      <c r="R757" s="863">
        <v>23250</v>
      </c>
      <c r="S757" s="343" t="s">
        <v>3755</v>
      </c>
      <c r="T757" s="343" t="s">
        <v>3536</v>
      </c>
      <c r="X757" s="863"/>
      <c r="Y757" s="863"/>
    </row>
    <row r="758" spans="1:25" s="343" customFormat="1" ht="0.65" hidden="1" customHeight="1">
      <c r="A758" s="343">
        <v>4112</v>
      </c>
      <c r="O758" s="343">
        <v>72</v>
      </c>
      <c r="P758" s="343" t="s">
        <v>3537</v>
      </c>
      <c r="R758" s="863">
        <v>146750</v>
      </c>
      <c r="S758" s="343" t="s">
        <v>3756</v>
      </c>
      <c r="T758" s="343" t="s">
        <v>3539</v>
      </c>
      <c r="X758" s="863"/>
      <c r="Y758" s="863"/>
    </row>
    <row r="759" spans="1:25" s="343" customFormat="1" ht="0.65" hidden="1" customHeight="1">
      <c r="A759" s="343">
        <v>4113</v>
      </c>
      <c r="O759" s="343">
        <v>73</v>
      </c>
      <c r="P759" s="343" t="s">
        <v>3540</v>
      </c>
      <c r="R759" s="864">
        <v>0.1</v>
      </c>
      <c r="S759" s="343" t="s">
        <v>3541</v>
      </c>
      <c r="T759" s="343" t="s">
        <v>3542</v>
      </c>
      <c r="X759" s="863"/>
      <c r="Y759" s="863"/>
    </row>
    <row r="760" spans="1:25" s="343" customFormat="1" ht="0.65" hidden="1" customHeight="1">
      <c r="A760" s="343">
        <v>4114</v>
      </c>
      <c r="O760" s="343">
        <v>74</v>
      </c>
      <c r="P760" s="343" t="s">
        <v>13</v>
      </c>
      <c r="R760" s="863">
        <v>-35857.557543883682</v>
      </c>
      <c r="S760" s="343" t="s">
        <v>3757</v>
      </c>
      <c r="T760" s="343" t="s">
        <v>3544</v>
      </c>
      <c r="X760" s="863"/>
      <c r="Y760" s="863"/>
    </row>
    <row r="761" spans="1:25" s="343" customFormat="1" ht="0.65" hidden="1" customHeight="1">
      <c r="A761" s="343">
        <v>4115</v>
      </c>
      <c r="O761" s="343">
        <v>75</v>
      </c>
      <c r="P761" s="343" t="s">
        <v>28</v>
      </c>
      <c r="R761" s="864">
        <v>3.1891043015783049E-2</v>
      </c>
      <c r="S761" s="343" t="s">
        <v>3758</v>
      </c>
      <c r="T761" s="343" t="s">
        <v>3546</v>
      </c>
      <c r="X761" s="863"/>
      <c r="Y761" s="863"/>
    </row>
    <row r="762" spans="1:25" s="343" customFormat="1" ht="0.65" hidden="1" customHeight="1">
      <c r="A762" s="343">
        <v>4116</v>
      </c>
      <c r="X762" s="863"/>
      <c r="Y762" s="863"/>
    </row>
    <row r="763" spans="1:25" s="343" customFormat="1" ht="0.65" hidden="1" customHeight="1">
      <c r="A763" s="343">
        <v>4117</v>
      </c>
      <c r="O763" s="343">
        <v>1</v>
      </c>
      <c r="P763" s="343" t="s">
        <v>3759</v>
      </c>
      <c r="X763" s="863"/>
      <c r="Y763" s="863"/>
    </row>
    <row r="764" spans="1:25" s="343" customFormat="1" ht="0.65" hidden="1" customHeight="1">
      <c r="A764" s="343">
        <v>4118</v>
      </c>
      <c r="O764" s="343">
        <v>2</v>
      </c>
      <c r="P764" s="343" t="s">
        <v>3929</v>
      </c>
      <c r="X764" s="863"/>
      <c r="Y764" s="863"/>
    </row>
    <row r="765" spans="1:25" s="343" customFormat="1" ht="0.65" hidden="1" customHeight="1">
      <c r="A765" s="343">
        <v>4119</v>
      </c>
      <c r="O765" s="343">
        <v>3</v>
      </c>
      <c r="P765" s="343" t="s">
        <v>3927</v>
      </c>
      <c r="X765" s="863"/>
      <c r="Y765" s="863"/>
    </row>
    <row r="766" spans="1:25" s="343" customFormat="1" ht="0.65" hidden="1" customHeight="1">
      <c r="A766" s="343">
        <v>4120</v>
      </c>
      <c r="O766" s="343">
        <v>4</v>
      </c>
      <c r="P766" s="343" t="s">
        <v>3921</v>
      </c>
      <c r="X766" s="863"/>
      <c r="Y766" s="863"/>
    </row>
    <row r="767" spans="1:25" s="343" customFormat="1" ht="0.65" hidden="1" customHeight="1">
      <c r="A767" s="343">
        <v>4121</v>
      </c>
      <c r="O767" s="343">
        <v>5</v>
      </c>
      <c r="P767" s="343" t="s">
        <v>3930</v>
      </c>
      <c r="X767" s="863"/>
      <c r="Y767" s="863"/>
    </row>
    <row r="768" spans="1:25" s="343" customFormat="1" ht="0.65" hidden="1" customHeight="1">
      <c r="A768" s="343">
        <v>4122</v>
      </c>
      <c r="O768" s="343">
        <v>6</v>
      </c>
      <c r="P768" s="343" t="s">
        <v>3762</v>
      </c>
      <c r="X768" s="863"/>
      <c r="Y768" s="863"/>
    </row>
    <row r="769" spans="1:25" s="343" customFormat="1" ht="0.65" hidden="1" customHeight="1">
      <c r="A769" s="343">
        <v>4123</v>
      </c>
      <c r="O769" s="343">
        <v>7</v>
      </c>
      <c r="X769" s="863"/>
      <c r="Y769" s="863"/>
    </row>
    <row r="770" spans="1:25" s="343" customFormat="1" ht="0.65" hidden="1" customHeight="1">
      <c r="A770" s="343">
        <v>4124</v>
      </c>
      <c r="O770" s="343">
        <v>8</v>
      </c>
      <c r="X770" s="863"/>
      <c r="Y770" s="863"/>
    </row>
    <row r="771" spans="1:25" s="343" customFormat="1" ht="0.65" hidden="1" customHeight="1">
      <c r="A771" s="343">
        <v>4125</v>
      </c>
      <c r="O771" s="343">
        <v>9</v>
      </c>
      <c r="X771" s="863"/>
      <c r="Y771" s="863"/>
    </row>
    <row r="772" spans="1:25" s="343" customFormat="1" ht="0.65" hidden="1" customHeight="1">
      <c r="A772" s="343">
        <v>4126</v>
      </c>
      <c r="O772" s="343">
        <v>10</v>
      </c>
      <c r="X772" s="863"/>
      <c r="Y772" s="863"/>
    </row>
    <row r="773" spans="1:25" s="343" customFormat="1" ht="0.65" hidden="1" customHeight="1">
      <c r="A773" s="343">
        <v>4127</v>
      </c>
      <c r="X773" s="863"/>
      <c r="Y773" s="863"/>
    </row>
    <row r="774" spans="1:25" s="343" customFormat="1" ht="0.65" hidden="1" customHeight="1">
      <c r="A774" s="343">
        <v>4128</v>
      </c>
      <c r="X774" s="863"/>
      <c r="Y774" s="863"/>
    </row>
    <row r="775" spans="1:25" s="343" customFormat="1" ht="0.65" hidden="1" customHeight="1">
      <c r="A775" s="343">
        <v>4129</v>
      </c>
      <c r="X775" s="863"/>
      <c r="Y775" s="863"/>
    </row>
    <row r="776" spans="1:25" s="343" customFormat="1" ht="0.65" hidden="1" customHeight="1">
      <c r="A776" s="343">
        <v>4130</v>
      </c>
      <c r="X776" s="863"/>
      <c r="Y776" s="863"/>
    </row>
    <row r="777" spans="1:25" s="343" customFormat="1" ht="0.65" hidden="1" customHeight="1">
      <c r="A777" s="653">
        <v>1</v>
      </c>
      <c r="B777" s="653">
        <v>2</v>
      </c>
      <c r="C777" s="653">
        <v>3</v>
      </c>
      <c r="D777" s="653">
        <v>4</v>
      </c>
      <c r="E777" s="653">
        <v>5</v>
      </c>
      <c r="F777" s="653">
        <v>6</v>
      </c>
      <c r="G777" s="653">
        <v>7</v>
      </c>
      <c r="H777" s="653">
        <v>8</v>
      </c>
      <c r="I777" s="653">
        <v>9</v>
      </c>
      <c r="J777" s="653">
        <v>10</v>
      </c>
      <c r="K777" s="653">
        <v>11</v>
      </c>
      <c r="L777" s="653">
        <v>12</v>
      </c>
      <c r="M777" s="653">
        <v>13</v>
      </c>
      <c r="N777" s="653">
        <v>14</v>
      </c>
      <c r="O777" s="653">
        <v>15</v>
      </c>
      <c r="P777" s="653">
        <v>16</v>
      </c>
      <c r="Q777" s="653">
        <v>17</v>
      </c>
      <c r="R777" s="653">
        <v>18</v>
      </c>
      <c r="S777" s="653">
        <v>19</v>
      </c>
      <c r="T777" s="653">
        <v>20</v>
      </c>
      <c r="U777" s="653">
        <v>21</v>
      </c>
      <c r="V777" s="653">
        <v>22</v>
      </c>
      <c r="W777" s="653">
        <v>23</v>
      </c>
    </row>
    <row r="778" spans="1:25" s="343" customFormat="1" ht="0.65" hidden="1" customHeight="1">
      <c r="A778" s="343">
        <v>5</v>
      </c>
    </row>
    <row r="779" spans="1:25" s="343" customFormat="1" ht="0.65" hidden="1" customHeight="1">
      <c r="A779" s="343">
        <v>5001</v>
      </c>
      <c r="B779" s="343" t="s">
        <v>3763</v>
      </c>
      <c r="E779" s="343" t="s">
        <v>3764</v>
      </c>
      <c r="M779" s="863" t="s">
        <v>3764</v>
      </c>
      <c r="N779" s="863"/>
      <c r="O779" s="863"/>
      <c r="P779" s="863"/>
      <c r="Q779" s="863"/>
      <c r="R779" s="863"/>
      <c r="S779" s="863"/>
      <c r="T779" s="863"/>
      <c r="U779" s="863"/>
      <c r="V779" s="863"/>
    </row>
    <row r="780" spans="1:25" s="343" customFormat="1" ht="0.65" hidden="1" customHeight="1">
      <c r="A780" s="343">
        <v>5002</v>
      </c>
      <c r="M780" s="863"/>
      <c r="N780" s="865" t="s">
        <v>55</v>
      </c>
      <c r="O780" s="865" t="s">
        <v>55</v>
      </c>
      <c r="P780" s="865" t="s">
        <v>55</v>
      </c>
      <c r="Q780" s="865" t="s">
        <v>55</v>
      </c>
      <c r="R780" s="865" t="s">
        <v>55</v>
      </c>
      <c r="S780" s="865" t="s">
        <v>55</v>
      </c>
      <c r="T780" s="865" t="s">
        <v>55</v>
      </c>
      <c r="U780" s="865" t="s">
        <v>55</v>
      </c>
      <c r="V780" s="865" t="s">
        <v>55</v>
      </c>
    </row>
    <row r="781" spans="1:25" s="343" customFormat="1" ht="0.65" hidden="1" customHeight="1">
      <c r="A781" s="343">
        <v>5003</v>
      </c>
      <c r="B781" s="343" t="s">
        <v>3765</v>
      </c>
      <c r="E781" s="343" t="s">
        <v>3677</v>
      </c>
      <c r="H781" s="343" t="s">
        <v>3604</v>
      </c>
      <c r="M781" s="659"/>
      <c r="N781" s="866"/>
      <c r="O781" s="866"/>
      <c r="P781" s="866"/>
      <c r="Q781" s="866"/>
      <c r="R781" s="866"/>
      <c r="S781" s="866"/>
      <c r="T781" s="866"/>
      <c r="U781" s="866"/>
      <c r="V781" s="866"/>
    </row>
    <row r="782" spans="1:25" s="343" customFormat="1" ht="0.65" hidden="1" customHeight="1">
      <c r="A782" s="343">
        <v>5004</v>
      </c>
      <c r="B782" s="343" t="s">
        <v>3766</v>
      </c>
      <c r="M782" s="663"/>
      <c r="N782" s="343">
        <v>0</v>
      </c>
      <c r="O782" s="343">
        <v>0</v>
      </c>
      <c r="P782" s="343">
        <v>0</v>
      </c>
      <c r="Q782" s="343">
        <v>0</v>
      </c>
      <c r="R782" s="343">
        <v>0</v>
      </c>
      <c r="S782" s="343">
        <v>0</v>
      </c>
      <c r="T782" s="343">
        <v>0</v>
      </c>
      <c r="U782" s="343">
        <v>0</v>
      </c>
      <c r="V782" s="863">
        <v>-138000</v>
      </c>
    </row>
    <row r="783" spans="1:25" s="343" customFormat="1" ht="0.65" hidden="1" customHeight="1">
      <c r="A783" s="343">
        <v>5005</v>
      </c>
      <c r="B783" s="343" t="s">
        <v>3767</v>
      </c>
      <c r="E783" s="343" t="s">
        <v>3680</v>
      </c>
      <c r="F783" s="659">
        <v>200000</v>
      </c>
      <c r="H783" s="343" t="s">
        <v>3371</v>
      </c>
      <c r="I783" s="653">
        <v>90</v>
      </c>
      <c r="M783" s="663"/>
      <c r="N783" s="863">
        <v>150000</v>
      </c>
      <c r="O783" s="863">
        <v>120000</v>
      </c>
      <c r="P783" s="863">
        <v>-5000</v>
      </c>
      <c r="Q783" s="863">
        <v>35000</v>
      </c>
      <c r="R783" s="863">
        <v>10500</v>
      </c>
      <c r="S783" s="863">
        <v>24500</v>
      </c>
      <c r="T783" s="863">
        <v>19500</v>
      </c>
      <c r="U783" s="863">
        <v>2000</v>
      </c>
      <c r="V783" s="863">
        <v>2000</v>
      </c>
    </row>
    <row r="784" spans="1:25" s="343" customFormat="1" ht="0.65" hidden="1" customHeight="1">
      <c r="A784" s="343">
        <v>5006</v>
      </c>
      <c r="E784" s="343" t="s">
        <v>3681</v>
      </c>
      <c r="F784" s="659">
        <v>20000</v>
      </c>
      <c r="H784" s="343" t="s">
        <v>3374</v>
      </c>
      <c r="I784" s="653">
        <v>60</v>
      </c>
      <c r="M784" s="663"/>
      <c r="N784" s="863">
        <v>150000</v>
      </c>
      <c r="O784" s="863">
        <v>120000</v>
      </c>
      <c r="P784" s="863">
        <v>-5000</v>
      </c>
      <c r="Q784" s="863">
        <v>35000</v>
      </c>
      <c r="R784" s="863">
        <v>10500</v>
      </c>
      <c r="S784" s="863">
        <v>24500</v>
      </c>
      <c r="T784" s="863">
        <v>19500</v>
      </c>
      <c r="U784" s="863">
        <v>19500</v>
      </c>
      <c r="V784" s="863">
        <v>19500</v>
      </c>
    </row>
    <row r="785" spans="1:25" s="343" customFormat="1" ht="0.65" hidden="1" customHeight="1">
      <c r="A785" s="343">
        <v>5007</v>
      </c>
      <c r="B785" s="343" t="s">
        <v>3682</v>
      </c>
      <c r="E785" s="343" t="s">
        <v>3683</v>
      </c>
      <c r="F785" s="659">
        <v>100000</v>
      </c>
      <c r="H785" s="343" t="s">
        <v>3376</v>
      </c>
      <c r="I785" s="653">
        <v>30</v>
      </c>
      <c r="M785" s="663"/>
      <c r="N785" s="863">
        <v>150000</v>
      </c>
      <c r="O785" s="863">
        <v>120000</v>
      </c>
      <c r="P785" s="863">
        <v>-5000</v>
      </c>
      <c r="Q785" s="863">
        <v>35000</v>
      </c>
      <c r="R785" s="863">
        <v>10500</v>
      </c>
      <c r="S785" s="863">
        <v>24500</v>
      </c>
      <c r="T785" s="863">
        <v>19500</v>
      </c>
      <c r="U785" s="863">
        <v>19500</v>
      </c>
      <c r="V785" s="863">
        <v>19500</v>
      </c>
    </row>
    <row r="786" spans="1:25" s="343" customFormat="1" ht="0.65" hidden="1" customHeight="1">
      <c r="A786" s="343">
        <v>5008</v>
      </c>
      <c r="B786" s="343" t="s">
        <v>3768</v>
      </c>
      <c r="M786" s="663"/>
      <c r="N786" s="863">
        <v>150000</v>
      </c>
      <c r="O786" s="863">
        <v>120000</v>
      </c>
      <c r="P786" s="863">
        <v>-5000</v>
      </c>
      <c r="Q786" s="863">
        <v>35000</v>
      </c>
      <c r="R786" s="863">
        <v>10500</v>
      </c>
      <c r="S786" s="863">
        <v>24500</v>
      </c>
      <c r="T786" s="863">
        <v>19500</v>
      </c>
      <c r="U786" s="863">
        <v>19500</v>
      </c>
      <c r="V786" s="863">
        <v>153000</v>
      </c>
    </row>
    <row r="787" spans="1:25" s="343" customFormat="1" ht="0.65" hidden="1" customHeight="1">
      <c r="A787" s="343">
        <v>5009</v>
      </c>
      <c r="B787" s="343" t="s">
        <v>3769</v>
      </c>
      <c r="E787" s="343" t="s">
        <v>3686</v>
      </c>
      <c r="F787" s="659">
        <v>300000</v>
      </c>
      <c r="H787" s="343" t="s">
        <v>3380</v>
      </c>
      <c r="I787" s="358">
        <v>0.1</v>
      </c>
      <c r="N787" s="865" t="s">
        <v>55</v>
      </c>
      <c r="O787" s="865" t="s">
        <v>55</v>
      </c>
      <c r="P787" s="865" t="s">
        <v>55</v>
      </c>
      <c r="Q787" s="865" t="s">
        <v>55</v>
      </c>
      <c r="R787" s="865" t="s">
        <v>55</v>
      </c>
      <c r="T787" s="653"/>
      <c r="U787" s="653"/>
      <c r="V787" s="653"/>
      <c r="W787" s="659"/>
      <c r="X787" s="659"/>
      <c r="Y787" s="659"/>
    </row>
    <row r="788" spans="1:25" s="343" customFormat="1" ht="0.65" hidden="1" customHeight="1">
      <c r="A788" s="343">
        <v>5010</v>
      </c>
      <c r="B788" s="343" t="s">
        <v>3770</v>
      </c>
      <c r="E788" s="343" t="s">
        <v>3687</v>
      </c>
      <c r="F788" s="659">
        <v>240000</v>
      </c>
      <c r="H788" s="343" t="s">
        <v>3381</v>
      </c>
      <c r="I788" s="358">
        <v>0.3</v>
      </c>
      <c r="M788" s="659"/>
      <c r="N788" s="866"/>
      <c r="O788" s="866"/>
      <c r="P788" s="866"/>
      <c r="Q788" s="866"/>
      <c r="R788" s="866"/>
      <c r="U788" s="863"/>
      <c r="V788" s="863"/>
      <c r="W788" s="863"/>
      <c r="X788" s="863"/>
      <c r="Y788" s="863"/>
    </row>
    <row r="789" spans="1:25" s="343" customFormat="1" ht="0.65" hidden="1" customHeight="1">
      <c r="A789" s="343">
        <v>5011</v>
      </c>
      <c r="M789" s="663"/>
      <c r="N789" s="863">
        <v>10000</v>
      </c>
      <c r="O789" s="863">
        <v>0</v>
      </c>
      <c r="P789" s="863">
        <v>0</v>
      </c>
      <c r="Q789" s="863">
        <v>10000</v>
      </c>
      <c r="R789" s="863">
        <v>10000</v>
      </c>
      <c r="U789" s="1064" t="s">
        <v>55</v>
      </c>
      <c r="V789" s="1064"/>
      <c r="W789" s="863"/>
      <c r="X789" s="863"/>
      <c r="Y789" s="863"/>
    </row>
    <row r="790" spans="1:25" s="343" customFormat="1" ht="0.65" hidden="1" customHeight="1">
      <c r="A790" s="343">
        <v>5012</v>
      </c>
      <c r="B790" s="343" t="s">
        <v>3689</v>
      </c>
      <c r="M790" s="663"/>
      <c r="N790" s="863">
        <v>10000</v>
      </c>
      <c r="O790" s="863">
        <v>37500</v>
      </c>
      <c r="P790" s="863">
        <v>20000</v>
      </c>
      <c r="Q790" s="863">
        <v>27500</v>
      </c>
      <c r="R790" s="863">
        <v>17500</v>
      </c>
      <c r="U790" s="1064"/>
      <c r="V790" s="1064"/>
      <c r="W790" s="863"/>
      <c r="X790" s="863"/>
      <c r="Y790" s="863"/>
    </row>
    <row r="791" spans="1:25" s="343" customFormat="1" ht="0.65" hidden="1" customHeight="1">
      <c r="A791" s="343">
        <v>5013</v>
      </c>
      <c r="B791" s="343" t="s">
        <v>3771</v>
      </c>
      <c r="E791" s="343" t="s">
        <v>3692</v>
      </c>
      <c r="M791" s="663"/>
      <c r="N791" s="863">
        <v>10000</v>
      </c>
      <c r="O791" s="863">
        <v>37500</v>
      </c>
      <c r="P791" s="863">
        <v>20000</v>
      </c>
      <c r="Q791" s="863">
        <v>27500</v>
      </c>
      <c r="R791" s="863">
        <v>0</v>
      </c>
      <c r="U791" s="1064"/>
      <c r="V791" s="1064"/>
      <c r="W791" s="863"/>
      <c r="X791" s="863"/>
      <c r="Y791" s="863"/>
    </row>
    <row r="792" spans="1:25" s="343" customFormat="1" ht="0.65" hidden="1" customHeight="1">
      <c r="A792" s="343">
        <v>5014</v>
      </c>
      <c r="B792" s="343" t="s">
        <v>3772</v>
      </c>
      <c r="M792" s="663"/>
      <c r="N792" s="863">
        <v>10000</v>
      </c>
      <c r="O792" s="863">
        <v>37500</v>
      </c>
      <c r="P792" s="863">
        <v>20000</v>
      </c>
      <c r="Q792" s="863">
        <v>27500</v>
      </c>
      <c r="R792" s="863">
        <v>0</v>
      </c>
      <c r="U792" s="1064"/>
      <c r="V792" s="1064"/>
      <c r="W792" s="863"/>
      <c r="X792" s="863"/>
      <c r="Y792" s="863"/>
    </row>
    <row r="793" spans="1:25" s="343" customFormat="1" ht="0.65" hidden="1" customHeight="1">
      <c r="A793" s="343">
        <v>5015</v>
      </c>
      <c r="E793" s="343" t="s">
        <v>3556</v>
      </c>
      <c r="F793" s="659">
        <v>50000</v>
      </c>
      <c r="M793" s="663"/>
      <c r="N793" s="863">
        <v>10000</v>
      </c>
      <c r="O793" s="863">
        <v>37500</v>
      </c>
      <c r="P793" s="863">
        <v>20000</v>
      </c>
      <c r="Q793" s="863">
        <v>27500</v>
      </c>
      <c r="R793" s="863">
        <v>0</v>
      </c>
      <c r="T793" s="863"/>
      <c r="U793" s="863"/>
      <c r="V793" s="863"/>
      <c r="W793" s="863"/>
      <c r="X793" s="863"/>
      <c r="Y793" s="863"/>
    </row>
    <row r="794" spans="1:25" s="343" customFormat="1" ht="0.65" hidden="1" customHeight="1">
      <c r="A794" s="343">
        <v>5016</v>
      </c>
      <c r="B794" s="343" t="s">
        <v>3773</v>
      </c>
      <c r="E794" s="343" t="s">
        <v>3558</v>
      </c>
      <c r="F794" s="653" t="s">
        <v>396</v>
      </c>
      <c r="M794" s="863"/>
      <c r="N794" s="653"/>
      <c r="O794" s="653"/>
      <c r="P794" s="653"/>
      <c r="Q794" s="653"/>
      <c r="R794" s="653"/>
      <c r="S794" s="653"/>
      <c r="T794" s="863"/>
      <c r="V794" s="863"/>
      <c r="W794" s="863"/>
      <c r="X794" s="863"/>
    </row>
    <row r="795" spans="1:25" s="343" customFormat="1" ht="0.65" hidden="1" customHeight="1">
      <c r="A795" s="343">
        <v>5017</v>
      </c>
      <c r="B795" s="343" t="s">
        <v>3774</v>
      </c>
      <c r="E795" s="343" t="s">
        <v>3694</v>
      </c>
      <c r="F795" s="659">
        <v>50000</v>
      </c>
      <c r="M795" s="863"/>
      <c r="V795" s="863"/>
      <c r="W795" s="863"/>
      <c r="X795" s="863"/>
    </row>
    <row r="796" spans="1:25" s="343" customFormat="1" ht="0.65" hidden="1" customHeight="1">
      <c r="A796" s="343">
        <v>5018</v>
      </c>
      <c r="B796" s="343" t="s">
        <v>3775</v>
      </c>
      <c r="E796" s="343" t="s">
        <v>3696</v>
      </c>
      <c r="F796" s="659">
        <v>10000</v>
      </c>
      <c r="N796" s="863"/>
      <c r="O796" s="863"/>
      <c r="P796" s="865" t="s">
        <v>55</v>
      </c>
      <c r="T796" s="865" t="s">
        <v>55</v>
      </c>
      <c r="W796" s="865" t="s">
        <v>55</v>
      </c>
      <c r="X796" s="863"/>
    </row>
    <row r="797" spans="1:25" s="343" customFormat="1" ht="0.65" hidden="1" customHeight="1">
      <c r="A797" s="343">
        <v>5019</v>
      </c>
      <c r="B797" s="343" t="s">
        <v>3776</v>
      </c>
      <c r="E797" s="343" t="s">
        <v>3698</v>
      </c>
      <c r="F797" s="659">
        <v>12500</v>
      </c>
      <c r="N797" s="1061" t="s">
        <v>3777</v>
      </c>
      <c r="O797" s="1061"/>
      <c r="P797" s="863">
        <v>10000</v>
      </c>
      <c r="R797" s="1061" t="s">
        <v>3389</v>
      </c>
      <c r="S797" s="1061"/>
      <c r="T797" s="863">
        <v>27500</v>
      </c>
      <c r="X797" s="863"/>
    </row>
    <row r="798" spans="1:25" s="343" customFormat="1" ht="0.65" hidden="1" customHeight="1">
      <c r="A798" s="343">
        <v>5020</v>
      </c>
      <c r="B798" s="343" t="s">
        <v>3778</v>
      </c>
      <c r="E798" s="343" t="s">
        <v>3700</v>
      </c>
      <c r="F798" s="659">
        <v>0</v>
      </c>
      <c r="M798" s="863"/>
      <c r="N798" s="1061" t="s">
        <v>3703</v>
      </c>
      <c r="O798" s="1061"/>
      <c r="P798" s="863">
        <v>200000</v>
      </c>
      <c r="R798" s="1061" t="s">
        <v>3704</v>
      </c>
      <c r="S798" s="1061"/>
      <c r="T798" s="863">
        <v>106000</v>
      </c>
      <c r="V798" s="662"/>
      <c r="W798" s="358">
        <v>0.1</v>
      </c>
      <c r="X798" s="863"/>
    </row>
    <row r="799" spans="1:25" s="343" customFormat="1" ht="0.65" hidden="1" customHeight="1">
      <c r="A799" s="343">
        <v>5021</v>
      </c>
      <c r="M799" s="863"/>
      <c r="N799" s="1061" t="s">
        <v>3779</v>
      </c>
      <c r="O799" s="1061"/>
      <c r="P799" s="863">
        <v>22000</v>
      </c>
      <c r="R799" s="1061" t="s">
        <v>3707</v>
      </c>
      <c r="S799" s="1061"/>
      <c r="T799" s="863">
        <v>0</v>
      </c>
    </row>
    <row r="800" spans="1:25" s="343" customFormat="1" ht="0.65" hidden="1" customHeight="1">
      <c r="A800" s="343">
        <v>5022</v>
      </c>
      <c r="B800" s="343" t="s">
        <v>3780</v>
      </c>
      <c r="E800" s="343" t="s">
        <v>3705</v>
      </c>
      <c r="F800" s="659">
        <v>150000</v>
      </c>
      <c r="M800" s="863"/>
      <c r="N800" s="1061" t="s">
        <v>3781</v>
      </c>
      <c r="O800" s="1061"/>
      <c r="P800" s="863">
        <v>50000</v>
      </c>
      <c r="R800" s="1061"/>
      <c r="S800" s="1061"/>
      <c r="T800" s="863"/>
      <c r="X800" s="863"/>
      <c r="Y800" s="863"/>
    </row>
    <row r="801" spans="1:25" s="343" customFormat="1" ht="0.65" hidden="1" customHeight="1">
      <c r="A801" s="343">
        <v>5023</v>
      </c>
      <c r="E801" s="343" t="s">
        <v>3709</v>
      </c>
      <c r="F801" s="659">
        <v>120000</v>
      </c>
      <c r="M801" s="863"/>
      <c r="N801" s="867"/>
      <c r="Q801" s="863"/>
      <c r="R801" s="868"/>
      <c r="S801" s="863"/>
      <c r="T801" s="863"/>
      <c r="U801" s="863"/>
      <c r="V801" s="662"/>
      <c r="W801" s="659">
        <v>-914.41841404279694</v>
      </c>
      <c r="X801" s="863"/>
      <c r="Y801" s="863"/>
    </row>
    <row r="802" spans="1:25" s="343" customFormat="1" ht="0.65" hidden="1" customHeight="1">
      <c r="A802" s="343">
        <v>5024</v>
      </c>
      <c r="M802" s="863"/>
      <c r="N802" s="1062" t="s">
        <v>129</v>
      </c>
      <c r="O802" s="1062"/>
      <c r="P802" s="863">
        <v>138000</v>
      </c>
      <c r="Q802" s="863"/>
      <c r="R802" s="1062" t="s">
        <v>3394</v>
      </c>
      <c r="S802" s="1062"/>
      <c r="T802" s="863">
        <v>133500</v>
      </c>
      <c r="V802" s="869"/>
      <c r="W802" s="358">
        <v>9.7980950591464389E-2</v>
      </c>
      <c r="X802" s="863"/>
      <c r="Y802" s="863"/>
    </row>
    <row r="803" spans="1:25" s="343" customFormat="1" ht="0.65" hidden="1" customHeight="1">
      <c r="A803" s="343">
        <v>5025</v>
      </c>
      <c r="N803" s="863"/>
      <c r="P803" s="653"/>
      <c r="T803" s="653"/>
      <c r="W803" s="653"/>
      <c r="X803" s="863"/>
      <c r="Y803" s="863"/>
    </row>
    <row r="804" spans="1:25" s="343" customFormat="1" ht="0.65" hidden="1" customHeight="1">
      <c r="A804" s="343">
        <v>5026</v>
      </c>
      <c r="X804" s="863"/>
      <c r="Y804" s="863"/>
    </row>
    <row r="805" spans="1:25" s="343" customFormat="1" ht="0.65" hidden="1" customHeight="1">
      <c r="A805" s="343">
        <v>5027</v>
      </c>
      <c r="X805" s="863"/>
      <c r="Y805" s="863"/>
    </row>
    <row r="806" spans="1:25" s="343" customFormat="1" ht="0.65" hidden="1" customHeight="1">
      <c r="A806" s="343">
        <v>5028</v>
      </c>
      <c r="X806" s="863"/>
      <c r="Y806" s="863"/>
    </row>
    <row r="807" spans="1:25" s="343" customFormat="1" ht="0.65" hidden="1" customHeight="1">
      <c r="A807" s="343">
        <v>5029</v>
      </c>
      <c r="X807" s="863"/>
      <c r="Y807" s="863"/>
    </row>
    <row r="808" spans="1:25" s="343" customFormat="1" ht="0.65" hidden="1" customHeight="1">
      <c r="A808" s="343">
        <v>5030</v>
      </c>
      <c r="X808" s="863"/>
      <c r="Y808" s="863"/>
    </row>
    <row r="809" spans="1:25" s="343" customFormat="1" ht="0.65" hidden="1" customHeight="1">
      <c r="A809" s="343">
        <v>5031</v>
      </c>
      <c r="X809" s="863"/>
      <c r="Y809" s="863"/>
    </row>
    <row r="810" spans="1:25" s="343" customFormat="1" ht="0.65" hidden="1" customHeight="1">
      <c r="A810" s="343">
        <v>5032</v>
      </c>
      <c r="X810" s="863"/>
      <c r="Y810" s="863"/>
    </row>
    <row r="811" spans="1:25" s="343" customFormat="1" ht="0.65" hidden="1" customHeight="1">
      <c r="A811" s="343">
        <v>5033</v>
      </c>
      <c r="X811" s="863"/>
      <c r="Y811" s="863"/>
    </row>
    <row r="812" spans="1:25" s="343" customFormat="1" ht="0.65" hidden="1" customHeight="1">
      <c r="A812" s="343">
        <v>5034</v>
      </c>
      <c r="X812" s="863"/>
      <c r="Y812" s="863"/>
    </row>
    <row r="813" spans="1:25" s="343" customFormat="1" ht="0.65" hidden="1" customHeight="1">
      <c r="A813" s="343">
        <v>5035</v>
      </c>
      <c r="X813" s="863"/>
      <c r="Y813" s="863"/>
    </row>
    <row r="814" spans="1:25" s="343" customFormat="1" ht="0.65" hidden="1" customHeight="1">
      <c r="A814" s="343">
        <v>5036</v>
      </c>
      <c r="X814" s="863"/>
      <c r="Y814" s="863"/>
    </row>
    <row r="815" spans="1:25" s="343" customFormat="1" ht="0.65" hidden="1" customHeight="1">
      <c r="A815" s="343">
        <v>5037</v>
      </c>
      <c r="X815" s="863"/>
      <c r="Y815" s="863"/>
    </row>
    <row r="816" spans="1:25" s="343" customFormat="1" ht="0.65" hidden="1" customHeight="1">
      <c r="A816" s="343">
        <v>5038</v>
      </c>
      <c r="X816" s="863"/>
      <c r="Y816" s="863"/>
    </row>
    <row r="817" spans="1:25" s="343" customFormat="1" ht="0.65" hidden="1" customHeight="1">
      <c r="A817" s="343">
        <v>5039</v>
      </c>
    </row>
    <row r="818" spans="1:25" s="343" customFormat="1" ht="0.65" hidden="1" customHeight="1">
      <c r="A818" s="343">
        <v>5040</v>
      </c>
      <c r="X818" s="863"/>
      <c r="Y818" s="863"/>
    </row>
    <row r="819" spans="1:25" s="343" customFormat="1" ht="0.65" hidden="1" customHeight="1">
      <c r="A819" s="343">
        <v>5041</v>
      </c>
      <c r="M819" s="343">
        <v>0</v>
      </c>
      <c r="O819" s="343">
        <v>1</v>
      </c>
      <c r="P819" s="343" t="s">
        <v>3777</v>
      </c>
      <c r="R819" s="863">
        <v>10000</v>
      </c>
      <c r="S819" s="343" t="s">
        <v>3782</v>
      </c>
      <c r="T819" s="343" t="s">
        <v>3783</v>
      </c>
      <c r="X819" s="863"/>
      <c r="Y819" s="863"/>
    </row>
    <row r="820" spans="1:25" s="343" customFormat="1" ht="0.65" hidden="1" customHeight="1">
      <c r="A820" s="343">
        <v>5042</v>
      </c>
      <c r="O820" s="343">
        <v>2</v>
      </c>
      <c r="P820" s="343" t="s">
        <v>3703</v>
      </c>
      <c r="R820" s="863">
        <v>200000</v>
      </c>
      <c r="S820" s="343" t="s">
        <v>3714</v>
      </c>
      <c r="T820" s="343" t="s">
        <v>3715</v>
      </c>
      <c r="X820" s="863"/>
      <c r="Y820" s="863"/>
    </row>
    <row r="821" spans="1:25" s="343" customFormat="1" ht="0.65" hidden="1" customHeight="1">
      <c r="A821" s="343">
        <v>5043</v>
      </c>
      <c r="O821" s="343">
        <v>3</v>
      </c>
      <c r="P821" s="343" t="s">
        <v>3779</v>
      </c>
      <c r="R821" s="863">
        <v>22000</v>
      </c>
      <c r="S821" s="343" t="s">
        <v>3718</v>
      </c>
      <c r="T821" s="343" t="s">
        <v>3719</v>
      </c>
      <c r="X821" s="863"/>
      <c r="Y821" s="863"/>
    </row>
    <row r="822" spans="1:25" s="343" customFormat="1" ht="0.65" hidden="1" customHeight="1">
      <c r="A822" s="343">
        <v>5044</v>
      </c>
      <c r="O822" s="343">
        <v>4</v>
      </c>
      <c r="P822" s="343" t="s">
        <v>3781</v>
      </c>
      <c r="R822" s="863">
        <v>50000</v>
      </c>
      <c r="S822" s="343" t="s">
        <v>3574</v>
      </c>
      <c r="T822" s="343" t="s">
        <v>3575</v>
      </c>
      <c r="X822" s="863"/>
      <c r="Y822" s="863"/>
    </row>
    <row r="823" spans="1:25" s="343" customFormat="1" ht="0.65" hidden="1" customHeight="1">
      <c r="A823" s="343">
        <v>5045</v>
      </c>
      <c r="O823" s="343">
        <v>5</v>
      </c>
      <c r="P823" s="343" t="s">
        <v>129</v>
      </c>
      <c r="R823" s="863">
        <v>138000</v>
      </c>
      <c r="S823" s="343" t="s">
        <v>3784</v>
      </c>
      <c r="T823" s="343" t="s">
        <v>3785</v>
      </c>
      <c r="X823" s="863"/>
      <c r="Y823" s="863"/>
    </row>
    <row r="824" spans="1:25" s="343" customFormat="1" ht="0.65" hidden="1" customHeight="1">
      <c r="A824" s="343">
        <v>5046</v>
      </c>
      <c r="O824" s="343">
        <v>6</v>
      </c>
      <c r="P824" s="343" t="s">
        <v>3404</v>
      </c>
      <c r="R824" s="863">
        <v>150000</v>
      </c>
      <c r="S824" s="343" t="s">
        <v>3722</v>
      </c>
      <c r="T824" s="343" t="s">
        <v>3723</v>
      </c>
      <c r="X824" s="863"/>
      <c r="Y824" s="863"/>
    </row>
    <row r="825" spans="1:25" s="343" customFormat="1" ht="0.65" hidden="1" customHeight="1">
      <c r="A825" s="343">
        <v>5047</v>
      </c>
      <c r="O825" s="343">
        <v>7</v>
      </c>
      <c r="P825" s="343" t="s">
        <v>3407</v>
      </c>
      <c r="R825" s="863">
        <v>150000</v>
      </c>
      <c r="S825" s="343" t="s">
        <v>3722</v>
      </c>
      <c r="T825" s="343" t="s">
        <v>3723</v>
      </c>
      <c r="X825" s="863"/>
      <c r="Y825" s="863"/>
    </row>
    <row r="826" spans="1:25" s="343" customFormat="1" ht="0.65" hidden="1" customHeight="1">
      <c r="A826" s="343">
        <v>5048</v>
      </c>
      <c r="O826" s="343">
        <v>8</v>
      </c>
      <c r="P826" s="343" t="s">
        <v>3408</v>
      </c>
      <c r="R826" s="863">
        <v>150000</v>
      </c>
      <c r="S826" s="343" t="s">
        <v>3722</v>
      </c>
      <c r="T826" s="343" t="s">
        <v>3723</v>
      </c>
      <c r="X826" s="863"/>
      <c r="Y826" s="863"/>
    </row>
    <row r="827" spans="1:25" s="343" customFormat="1" ht="0.65" hidden="1" customHeight="1">
      <c r="A827" s="343">
        <v>5049</v>
      </c>
      <c r="O827" s="343">
        <v>9</v>
      </c>
      <c r="P827" s="343" t="s">
        <v>3409</v>
      </c>
      <c r="R827" s="863">
        <v>150000</v>
      </c>
      <c r="S827" s="343" t="s">
        <v>3722</v>
      </c>
      <c r="T827" s="343" t="s">
        <v>3723</v>
      </c>
      <c r="X827" s="863"/>
      <c r="Y827" s="863"/>
    </row>
    <row r="828" spans="1:25" s="343" customFormat="1" ht="0.65" hidden="1" customHeight="1">
      <c r="A828" s="343">
        <v>5050</v>
      </c>
      <c r="O828" s="343">
        <v>10</v>
      </c>
      <c r="P828" s="343" t="s">
        <v>3410</v>
      </c>
      <c r="R828" s="863">
        <v>120000</v>
      </c>
      <c r="S828" s="343" t="s">
        <v>3724</v>
      </c>
      <c r="T828" s="343" t="s">
        <v>3725</v>
      </c>
      <c r="X828" s="863"/>
      <c r="Y828" s="863"/>
    </row>
    <row r="829" spans="1:25" s="343" customFormat="1" ht="0.65" hidden="1" customHeight="1">
      <c r="A829" s="343">
        <v>5051</v>
      </c>
      <c r="O829" s="343">
        <v>11</v>
      </c>
      <c r="P829" s="343" t="s">
        <v>3413</v>
      </c>
      <c r="R829" s="863">
        <v>120000</v>
      </c>
      <c r="S829" s="343" t="s">
        <v>3724</v>
      </c>
      <c r="T829" s="343" t="s">
        <v>3725</v>
      </c>
      <c r="X829" s="863"/>
      <c r="Y829" s="863"/>
    </row>
    <row r="830" spans="1:25" s="343" customFormat="1" ht="0.65" hidden="1" customHeight="1">
      <c r="A830" s="343">
        <v>5052</v>
      </c>
      <c r="O830" s="343">
        <v>12</v>
      </c>
      <c r="P830" s="343" t="s">
        <v>3414</v>
      </c>
      <c r="R830" s="863">
        <v>120000</v>
      </c>
      <c r="S830" s="343" t="s">
        <v>3724</v>
      </c>
      <c r="T830" s="343" t="s">
        <v>3725</v>
      </c>
      <c r="X830" s="863"/>
      <c r="Y830" s="863"/>
    </row>
    <row r="831" spans="1:25" s="343" customFormat="1" ht="0.65" hidden="1" customHeight="1">
      <c r="A831" s="343">
        <v>5053</v>
      </c>
      <c r="O831" s="343">
        <v>13</v>
      </c>
      <c r="P831" s="343" t="s">
        <v>3415</v>
      </c>
      <c r="R831" s="863">
        <v>120000</v>
      </c>
      <c r="S831" s="343" t="s">
        <v>3724</v>
      </c>
      <c r="T831" s="343" t="s">
        <v>3725</v>
      </c>
      <c r="X831" s="863"/>
      <c r="Y831" s="863"/>
    </row>
    <row r="832" spans="1:25" s="343" customFormat="1" ht="0.65" hidden="1" customHeight="1">
      <c r="A832" s="343">
        <v>5054</v>
      </c>
      <c r="O832" s="343">
        <v>14</v>
      </c>
      <c r="P832" s="343" t="s">
        <v>3416</v>
      </c>
      <c r="R832" s="863">
        <v>-5000</v>
      </c>
      <c r="S832" s="343" t="s">
        <v>3786</v>
      </c>
      <c r="T832" s="343" t="s">
        <v>3787</v>
      </c>
      <c r="X832" s="863"/>
      <c r="Y832" s="863"/>
    </row>
    <row r="833" spans="1:25" s="343" customFormat="1" ht="0.65" hidden="1" customHeight="1">
      <c r="A833" s="343">
        <v>5055</v>
      </c>
      <c r="O833" s="343">
        <v>15</v>
      </c>
      <c r="P833" s="343" t="s">
        <v>3419</v>
      </c>
      <c r="R833" s="863">
        <v>-5000</v>
      </c>
      <c r="S833" s="343" t="s">
        <v>3786</v>
      </c>
      <c r="T833" s="343" t="s">
        <v>3787</v>
      </c>
      <c r="X833" s="863"/>
      <c r="Y833" s="863"/>
    </row>
    <row r="834" spans="1:25" s="343" customFormat="1" ht="0.65" hidden="1" customHeight="1">
      <c r="A834" s="343">
        <v>5056</v>
      </c>
      <c r="O834" s="343">
        <v>16</v>
      </c>
      <c r="P834" s="343" t="s">
        <v>3420</v>
      </c>
      <c r="R834" s="863">
        <v>-5000</v>
      </c>
      <c r="S834" s="343" t="s">
        <v>3786</v>
      </c>
      <c r="T834" s="343" t="s">
        <v>3787</v>
      </c>
      <c r="X834" s="863"/>
      <c r="Y834" s="863"/>
    </row>
    <row r="835" spans="1:25" s="343" customFormat="1" ht="0.65" hidden="1" customHeight="1">
      <c r="A835" s="343">
        <v>5057</v>
      </c>
      <c r="O835" s="343">
        <v>17</v>
      </c>
      <c r="P835" s="343" t="s">
        <v>3421</v>
      </c>
      <c r="R835" s="863">
        <v>-5000</v>
      </c>
      <c r="S835" s="343" t="s">
        <v>3786</v>
      </c>
      <c r="T835" s="343" t="s">
        <v>3787</v>
      </c>
      <c r="X835" s="863"/>
      <c r="Y835" s="863"/>
    </row>
    <row r="836" spans="1:25" s="343" customFormat="1" ht="0.65" hidden="1" customHeight="1">
      <c r="A836" s="343">
        <v>5058</v>
      </c>
      <c r="O836" s="343">
        <v>18</v>
      </c>
      <c r="P836" s="343" t="s">
        <v>3422</v>
      </c>
      <c r="R836" s="863">
        <v>35000</v>
      </c>
      <c r="S836" s="343" t="s">
        <v>3788</v>
      </c>
      <c r="T836" s="343" t="s">
        <v>3424</v>
      </c>
      <c r="X836" s="863"/>
      <c r="Y836" s="863"/>
    </row>
    <row r="837" spans="1:25" s="343" customFormat="1" ht="0.65" hidden="1" customHeight="1">
      <c r="A837" s="343">
        <v>5059</v>
      </c>
      <c r="O837" s="343">
        <v>19</v>
      </c>
      <c r="P837" s="343" t="s">
        <v>3425</v>
      </c>
      <c r="R837" s="863">
        <v>35000</v>
      </c>
      <c r="S837" s="343" t="s">
        <v>3788</v>
      </c>
      <c r="T837" s="343" t="s">
        <v>3426</v>
      </c>
      <c r="X837" s="863"/>
      <c r="Y837" s="863"/>
    </row>
    <row r="838" spans="1:25" s="343" customFormat="1" ht="0.65" hidden="1" customHeight="1">
      <c r="A838" s="343">
        <v>5060</v>
      </c>
      <c r="O838" s="343">
        <v>20</v>
      </c>
      <c r="P838" s="343" t="s">
        <v>3427</v>
      </c>
      <c r="R838" s="863">
        <v>35000</v>
      </c>
      <c r="S838" s="343" t="s">
        <v>3788</v>
      </c>
      <c r="T838" s="343" t="s">
        <v>3428</v>
      </c>
      <c r="X838" s="863"/>
      <c r="Y838" s="863"/>
    </row>
    <row r="839" spans="1:25" s="343" customFormat="1" ht="0.65" hidden="1" customHeight="1">
      <c r="A839" s="343">
        <v>5061</v>
      </c>
      <c r="O839" s="343">
        <v>21</v>
      </c>
      <c r="P839" s="343" t="s">
        <v>3429</v>
      </c>
      <c r="R839" s="863">
        <v>35000</v>
      </c>
      <c r="S839" s="343" t="s">
        <v>3788</v>
      </c>
      <c r="T839" s="343" t="s">
        <v>3430</v>
      </c>
      <c r="X839" s="863"/>
      <c r="Y839" s="863"/>
    </row>
    <row r="840" spans="1:25" s="343" customFormat="1" ht="0.65" hidden="1" customHeight="1">
      <c r="A840" s="343">
        <v>5062</v>
      </c>
      <c r="O840" s="343">
        <v>22</v>
      </c>
      <c r="P840" s="343" t="s">
        <v>3431</v>
      </c>
      <c r="R840" s="863">
        <v>10500</v>
      </c>
      <c r="S840" s="343" t="s">
        <v>3583</v>
      </c>
      <c r="T840" s="343" t="s">
        <v>3433</v>
      </c>
      <c r="X840" s="863"/>
      <c r="Y840" s="863"/>
    </row>
    <row r="841" spans="1:25" s="343" customFormat="1" ht="0.65" hidden="1" customHeight="1">
      <c r="A841" s="343">
        <v>5063</v>
      </c>
      <c r="O841" s="343">
        <v>23</v>
      </c>
      <c r="P841" s="343" t="s">
        <v>3434</v>
      </c>
      <c r="R841" s="863">
        <v>10500</v>
      </c>
      <c r="S841" s="343" t="s">
        <v>3583</v>
      </c>
      <c r="T841" s="343" t="s">
        <v>3435</v>
      </c>
      <c r="X841" s="863"/>
      <c r="Y841" s="863"/>
    </row>
    <row r="842" spans="1:25" s="343" customFormat="1" ht="0.65" hidden="1" customHeight="1">
      <c r="A842" s="343">
        <v>5064</v>
      </c>
      <c r="O842" s="343">
        <v>24</v>
      </c>
      <c r="P842" s="343" t="s">
        <v>3436</v>
      </c>
      <c r="R842" s="863">
        <v>10500</v>
      </c>
      <c r="S842" s="343" t="s">
        <v>3583</v>
      </c>
      <c r="T842" s="343" t="s">
        <v>3437</v>
      </c>
      <c r="X842" s="863"/>
      <c r="Y842" s="863"/>
    </row>
    <row r="843" spans="1:25" s="343" customFormat="1" ht="0.65" hidden="1" customHeight="1">
      <c r="A843" s="343">
        <v>5065</v>
      </c>
      <c r="O843" s="343">
        <v>25</v>
      </c>
      <c r="P843" s="343" t="s">
        <v>3438</v>
      </c>
      <c r="R843" s="863">
        <v>10500</v>
      </c>
      <c r="S843" s="343" t="s">
        <v>3583</v>
      </c>
      <c r="T843" s="343" t="s">
        <v>3439</v>
      </c>
      <c r="X843" s="863"/>
      <c r="Y843" s="863"/>
    </row>
    <row r="844" spans="1:25" s="343" customFormat="1" ht="0.65" hidden="1" customHeight="1">
      <c r="A844" s="343">
        <v>5066</v>
      </c>
      <c r="O844" s="343">
        <v>26</v>
      </c>
      <c r="P844" s="343" t="s">
        <v>3440</v>
      </c>
      <c r="R844" s="863">
        <v>24500</v>
      </c>
      <c r="S844" s="343" t="s">
        <v>3584</v>
      </c>
      <c r="T844" s="343" t="s">
        <v>3442</v>
      </c>
      <c r="X844" s="863"/>
      <c r="Y844" s="863"/>
    </row>
    <row r="845" spans="1:25" s="343" customFormat="1" ht="0.65" hidden="1" customHeight="1">
      <c r="A845" s="343">
        <v>5067</v>
      </c>
      <c r="O845" s="343">
        <v>27</v>
      </c>
      <c r="P845" s="343" t="s">
        <v>3443</v>
      </c>
      <c r="R845" s="863">
        <v>24500</v>
      </c>
      <c r="S845" s="343" t="s">
        <v>3584</v>
      </c>
      <c r="T845" s="343" t="s">
        <v>3444</v>
      </c>
      <c r="X845" s="863"/>
      <c r="Y845" s="863"/>
    </row>
    <row r="846" spans="1:25" s="343" customFormat="1" ht="0.65" hidden="1" customHeight="1">
      <c r="A846" s="343">
        <v>5068</v>
      </c>
      <c r="O846" s="343">
        <v>28</v>
      </c>
      <c r="P846" s="343" t="s">
        <v>3445</v>
      </c>
      <c r="R846" s="863">
        <v>24500</v>
      </c>
      <c r="S846" s="343" t="s">
        <v>3584</v>
      </c>
      <c r="T846" s="343" t="s">
        <v>3446</v>
      </c>
      <c r="X846" s="863"/>
      <c r="Y846" s="863"/>
    </row>
    <row r="847" spans="1:25" s="343" customFormat="1" ht="0.65" hidden="1" customHeight="1">
      <c r="A847" s="343">
        <v>5069</v>
      </c>
      <c r="O847" s="343">
        <v>29</v>
      </c>
      <c r="P847" s="343" t="s">
        <v>3447</v>
      </c>
      <c r="R847" s="863">
        <v>24500</v>
      </c>
      <c r="S847" s="343" t="s">
        <v>3584</v>
      </c>
      <c r="T847" s="343" t="s">
        <v>3448</v>
      </c>
      <c r="X847" s="863"/>
      <c r="Y847" s="863"/>
    </row>
    <row r="848" spans="1:25" s="343" customFormat="1" ht="0.65" hidden="1" customHeight="1">
      <c r="A848" s="343">
        <v>5070</v>
      </c>
      <c r="O848" s="343">
        <v>30</v>
      </c>
      <c r="P848" s="343" t="s">
        <v>3449</v>
      </c>
      <c r="R848" s="863">
        <v>19500</v>
      </c>
      <c r="S848" s="863" t="s">
        <v>3789</v>
      </c>
      <c r="T848" s="343" t="s">
        <v>3451</v>
      </c>
      <c r="X848" s="863"/>
      <c r="Y848" s="863"/>
    </row>
    <row r="849" spans="1:25" s="343" customFormat="1" ht="0.65" hidden="1" customHeight="1">
      <c r="A849" s="343">
        <v>5071</v>
      </c>
      <c r="O849" s="343">
        <v>31</v>
      </c>
      <c r="P849" s="343" t="s">
        <v>3452</v>
      </c>
      <c r="R849" s="863">
        <v>19500</v>
      </c>
      <c r="S849" s="863" t="s">
        <v>3789</v>
      </c>
      <c r="T849" s="343" t="s">
        <v>3453</v>
      </c>
      <c r="X849" s="863"/>
      <c r="Y849" s="863"/>
    </row>
    <row r="850" spans="1:25" s="343" customFormat="1" ht="0.65" hidden="1" customHeight="1">
      <c r="A850" s="343">
        <v>5072</v>
      </c>
      <c r="O850" s="343">
        <v>32</v>
      </c>
      <c r="P850" s="343" t="s">
        <v>3454</v>
      </c>
      <c r="R850" s="863">
        <v>19500</v>
      </c>
      <c r="S850" s="863" t="s">
        <v>3789</v>
      </c>
      <c r="T850" s="343" t="s">
        <v>3455</v>
      </c>
      <c r="X850" s="863"/>
      <c r="Y850" s="863"/>
    </row>
    <row r="851" spans="1:25" s="343" customFormat="1" ht="0.65" hidden="1" customHeight="1">
      <c r="A851" s="343">
        <v>5073</v>
      </c>
      <c r="O851" s="343">
        <v>33</v>
      </c>
      <c r="P851" s="343" t="s">
        <v>3456</v>
      </c>
      <c r="R851" s="863">
        <v>19500</v>
      </c>
      <c r="S851" s="863" t="s">
        <v>3789</v>
      </c>
      <c r="T851" s="343" t="s">
        <v>3457</v>
      </c>
      <c r="X851" s="863"/>
      <c r="Y851" s="863"/>
    </row>
    <row r="852" spans="1:25" s="343" customFormat="1" ht="0.65" hidden="1" customHeight="1">
      <c r="A852" s="343">
        <v>5074</v>
      </c>
      <c r="O852" s="343">
        <v>34</v>
      </c>
      <c r="P852" s="343" t="s">
        <v>3458</v>
      </c>
      <c r="R852" s="863">
        <v>10000</v>
      </c>
      <c r="S852" s="343" t="s">
        <v>3782</v>
      </c>
      <c r="T852" s="893" t="s">
        <v>3790</v>
      </c>
      <c r="X852" s="863"/>
      <c r="Y852" s="863"/>
    </row>
    <row r="853" spans="1:25" s="343" customFormat="1" ht="0.65" hidden="1" customHeight="1">
      <c r="A853" s="343">
        <v>5075</v>
      </c>
      <c r="O853" s="343">
        <v>35</v>
      </c>
      <c r="P853" s="343" t="s">
        <v>3461</v>
      </c>
      <c r="R853" s="863">
        <v>10000</v>
      </c>
      <c r="S853" s="863" t="s">
        <v>3782</v>
      </c>
      <c r="T853" s="893" t="s">
        <v>3791</v>
      </c>
      <c r="X853" s="863"/>
      <c r="Y853" s="863"/>
    </row>
    <row r="854" spans="1:25" s="343" customFormat="1" ht="0.65" hidden="1" customHeight="1">
      <c r="A854" s="343">
        <v>5076</v>
      </c>
      <c r="O854" s="343">
        <v>36</v>
      </c>
      <c r="P854" s="343" t="s">
        <v>3463</v>
      </c>
      <c r="R854" s="863">
        <v>10000</v>
      </c>
      <c r="S854" s="863" t="s">
        <v>3782</v>
      </c>
      <c r="T854" s="893" t="s">
        <v>3792</v>
      </c>
      <c r="X854" s="863"/>
      <c r="Y854" s="863"/>
    </row>
    <row r="855" spans="1:25" s="343" customFormat="1" ht="0.65" hidden="1" customHeight="1">
      <c r="A855" s="343">
        <v>5077</v>
      </c>
      <c r="O855" s="343">
        <v>37</v>
      </c>
      <c r="P855" s="343" t="s">
        <v>3465</v>
      </c>
      <c r="R855" s="863">
        <v>10000</v>
      </c>
      <c r="S855" s="863" t="s">
        <v>3782</v>
      </c>
      <c r="T855" s="893" t="s">
        <v>3793</v>
      </c>
      <c r="X855" s="863"/>
      <c r="Y855" s="863"/>
    </row>
    <row r="856" spans="1:25" s="343" customFormat="1" ht="0.65" hidden="1" customHeight="1">
      <c r="A856" s="343">
        <v>5078</v>
      </c>
      <c r="O856" s="343">
        <v>38</v>
      </c>
      <c r="P856" s="343" t="s">
        <v>3467</v>
      </c>
      <c r="R856" s="863">
        <v>10000</v>
      </c>
      <c r="S856" s="863" t="s">
        <v>3782</v>
      </c>
      <c r="T856" s="893" t="s">
        <v>3793</v>
      </c>
      <c r="X856" s="863"/>
      <c r="Y856" s="863"/>
    </row>
    <row r="857" spans="1:25" s="343" customFormat="1" ht="0.65" hidden="1" customHeight="1">
      <c r="A857" s="343">
        <v>5079</v>
      </c>
      <c r="O857" s="343">
        <v>39</v>
      </c>
      <c r="P857" s="343" t="s">
        <v>3468</v>
      </c>
      <c r="R857" s="863">
        <v>0</v>
      </c>
      <c r="S857" s="343" t="s">
        <v>3639</v>
      </c>
      <c r="T857" s="343" t="s">
        <v>3794</v>
      </c>
      <c r="X857" s="863"/>
      <c r="Y857" s="863"/>
    </row>
    <row r="858" spans="1:25" s="343" customFormat="1" ht="0.65" hidden="1" customHeight="1">
      <c r="A858" s="343">
        <v>5080</v>
      </c>
      <c r="O858" s="343">
        <v>40</v>
      </c>
      <c r="P858" s="343" t="s">
        <v>3471</v>
      </c>
      <c r="R858" s="863">
        <v>37500</v>
      </c>
      <c r="S858" s="863" t="s">
        <v>3738</v>
      </c>
      <c r="T858" s="343" t="s">
        <v>3472</v>
      </c>
      <c r="X858" s="863"/>
      <c r="Y858" s="863"/>
    </row>
    <row r="859" spans="1:25" s="343" customFormat="1" ht="0.65" hidden="1" customHeight="1">
      <c r="A859" s="343">
        <v>5081</v>
      </c>
      <c r="O859" s="343">
        <v>41</v>
      </c>
      <c r="P859" s="343" t="s">
        <v>3473</v>
      </c>
      <c r="R859" s="863">
        <v>37500</v>
      </c>
      <c r="S859" s="863" t="s">
        <v>3738</v>
      </c>
      <c r="T859" s="343" t="s">
        <v>3474</v>
      </c>
      <c r="X859" s="863"/>
      <c r="Y859" s="863"/>
    </row>
    <row r="860" spans="1:25" s="343" customFormat="1" ht="0.65" hidden="1" customHeight="1">
      <c r="A860" s="343">
        <v>5082</v>
      </c>
      <c r="O860" s="343">
        <v>42</v>
      </c>
      <c r="P860" s="343" t="s">
        <v>3475</v>
      </c>
      <c r="R860" s="863">
        <v>37500</v>
      </c>
      <c r="S860" s="863" t="s">
        <v>3738</v>
      </c>
      <c r="T860" s="343" t="s">
        <v>3476</v>
      </c>
      <c r="X860" s="863"/>
      <c r="Y860" s="863"/>
    </row>
    <row r="861" spans="1:25" s="343" customFormat="1" ht="0.65" hidden="1" customHeight="1">
      <c r="A861" s="343">
        <v>5083</v>
      </c>
      <c r="O861" s="343">
        <v>43</v>
      </c>
      <c r="P861" s="343" t="s">
        <v>3477</v>
      </c>
      <c r="R861" s="863">
        <v>37500</v>
      </c>
      <c r="S861" s="863" t="s">
        <v>3738</v>
      </c>
      <c r="T861" s="343" t="s">
        <v>3478</v>
      </c>
      <c r="X861" s="863"/>
      <c r="Y861" s="863"/>
    </row>
    <row r="862" spans="1:25" s="343" customFormat="1" ht="0.65" hidden="1" customHeight="1">
      <c r="A862" s="343">
        <v>5084</v>
      </c>
      <c r="O862" s="343">
        <v>44</v>
      </c>
      <c r="P862" s="343" t="s">
        <v>3479</v>
      </c>
      <c r="R862" s="863">
        <v>0</v>
      </c>
      <c r="S862" s="343" t="s">
        <v>3639</v>
      </c>
      <c r="T862" s="343" t="s">
        <v>3795</v>
      </c>
      <c r="X862" s="863"/>
      <c r="Y862" s="863"/>
    </row>
    <row r="863" spans="1:25" s="343" customFormat="1" ht="0.65" hidden="1" customHeight="1">
      <c r="A863" s="343">
        <v>5085</v>
      </c>
      <c r="O863" s="343">
        <v>45</v>
      </c>
      <c r="P863" s="343" t="s">
        <v>3482</v>
      </c>
      <c r="R863" s="863">
        <v>20000</v>
      </c>
      <c r="S863" s="863" t="s">
        <v>3740</v>
      </c>
      <c r="T863" s="343" t="s">
        <v>3483</v>
      </c>
      <c r="X863" s="863"/>
      <c r="Y863" s="863"/>
    </row>
    <row r="864" spans="1:25" s="343" customFormat="1" ht="0.65" hidden="1" customHeight="1">
      <c r="A864" s="343">
        <v>5086</v>
      </c>
      <c r="O864" s="343">
        <v>46</v>
      </c>
      <c r="P864" s="343" t="s">
        <v>3484</v>
      </c>
      <c r="R864" s="863">
        <v>20000</v>
      </c>
      <c r="S864" s="863" t="s">
        <v>3740</v>
      </c>
      <c r="T864" s="343" t="s">
        <v>3485</v>
      </c>
      <c r="X864" s="863"/>
      <c r="Y864" s="863"/>
    </row>
    <row r="865" spans="1:25" s="343" customFormat="1" ht="0.65" hidden="1" customHeight="1">
      <c r="A865" s="343">
        <v>5087</v>
      </c>
      <c r="O865" s="343">
        <v>47</v>
      </c>
      <c r="P865" s="343" t="s">
        <v>3486</v>
      </c>
      <c r="R865" s="863">
        <v>20000</v>
      </c>
      <c r="S865" s="863" t="s">
        <v>3740</v>
      </c>
      <c r="T865" s="343" t="s">
        <v>3487</v>
      </c>
      <c r="X865" s="863"/>
      <c r="Y865" s="863"/>
    </row>
    <row r="866" spans="1:25" s="343" customFormat="1" ht="0.65" hidden="1" customHeight="1">
      <c r="A866" s="343">
        <v>5088</v>
      </c>
      <c r="O866" s="343">
        <v>48</v>
      </c>
      <c r="P866" s="343" t="s">
        <v>3488</v>
      </c>
      <c r="R866" s="863">
        <v>20000</v>
      </c>
      <c r="S866" s="863" t="s">
        <v>3740</v>
      </c>
      <c r="T866" s="343" t="s">
        <v>3489</v>
      </c>
      <c r="X866" s="863"/>
      <c r="Y866" s="863"/>
    </row>
    <row r="867" spans="1:25" s="343" customFormat="1" ht="0.65" hidden="1" customHeight="1">
      <c r="A867" s="343">
        <v>5089</v>
      </c>
      <c r="O867" s="343">
        <v>49</v>
      </c>
      <c r="P867" s="343" t="s">
        <v>3490</v>
      </c>
      <c r="R867" s="863">
        <v>10000</v>
      </c>
      <c r="S867" s="863" t="s">
        <v>3796</v>
      </c>
      <c r="T867" s="343" t="s">
        <v>3492</v>
      </c>
      <c r="X867" s="863"/>
      <c r="Y867" s="863"/>
    </row>
    <row r="868" spans="1:25" s="343" customFormat="1" ht="0.65" hidden="1" customHeight="1">
      <c r="A868" s="343">
        <v>5090</v>
      </c>
      <c r="O868" s="343">
        <v>50</v>
      </c>
      <c r="P868" s="343" t="s">
        <v>3493</v>
      </c>
      <c r="R868" s="863">
        <v>27500</v>
      </c>
      <c r="S868" s="863" t="s">
        <v>3797</v>
      </c>
      <c r="T868" s="343" t="s">
        <v>3494</v>
      </c>
      <c r="X868" s="863"/>
      <c r="Y868" s="863"/>
    </row>
    <row r="869" spans="1:25" s="343" customFormat="1" ht="0.65" hidden="1" customHeight="1">
      <c r="A869" s="343">
        <v>5091</v>
      </c>
      <c r="O869" s="343">
        <v>51</v>
      </c>
      <c r="P869" s="343" t="s">
        <v>3495</v>
      </c>
      <c r="R869" s="863">
        <v>27500</v>
      </c>
      <c r="S869" s="863" t="s">
        <v>3797</v>
      </c>
      <c r="T869" s="343" t="s">
        <v>3496</v>
      </c>
      <c r="X869" s="863"/>
      <c r="Y869" s="863"/>
    </row>
    <row r="870" spans="1:25" s="343" customFormat="1" ht="0.65" hidden="1" customHeight="1">
      <c r="A870" s="343">
        <v>5092</v>
      </c>
      <c r="O870" s="343">
        <v>52</v>
      </c>
      <c r="P870" s="343" t="s">
        <v>3497</v>
      </c>
      <c r="R870" s="863">
        <v>27500</v>
      </c>
      <c r="S870" s="863" t="s">
        <v>3797</v>
      </c>
      <c r="T870" s="343" t="s">
        <v>3498</v>
      </c>
      <c r="X870" s="863"/>
      <c r="Y870" s="863"/>
    </row>
    <row r="871" spans="1:25" s="343" customFormat="1" ht="0.65" hidden="1" customHeight="1">
      <c r="A871" s="343">
        <v>5093</v>
      </c>
      <c r="O871" s="343">
        <v>53</v>
      </c>
      <c r="P871" s="343" t="s">
        <v>3499</v>
      </c>
      <c r="R871" s="863">
        <v>27500</v>
      </c>
      <c r="S871" s="863" t="s">
        <v>3797</v>
      </c>
      <c r="T871" s="343" t="s">
        <v>3500</v>
      </c>
      <c r="X871" s="863"/>
      <c r="Y871" s="863"/>
    </row>
    <row r="872" spans="1:25" s="343" customFormat="1" ht="0.65" hidden="1" customHeight="1">
      <c r="A872" s="343">
        <v>5094</v>
      </c>
      <c r="O872" s="343">
        <v>54</v>
      </c>
      <c r="P872" s="343" t="s">
        <v>3501</v>
      </c>
      <c r="R872" s="863">
        <v>10000</v>
      </c>
      <c r="S872" s="343" t="s">
        <v>3798</v>
      </c>
      <c r="T872" s="343" t="s">
        <v>3503</v>
      </c>
      <c r="X872" s="863"/>
      <c r="Y872" s="863"/>
    </row>
    <row r="873" spans="1:25" s="343" customFormat="1" ht="0.65" hidden="1" customHeight="1">
      <c r="A873" s="343">
        <v>5095</v>
      </c>
      <c r="O873" s="343">
        <v>55</v>
      </c>
      <c r="P873" s="343" t="s">
        <v>3504</v>
      </c>
      <c r="R873" s="863">
        <v>17500</v>
      </c>
      <c r="S873" s="343" t="s">
        <v>3799</v>
      </c>
      <c r="T873" s="343" t="s">
        <v>3506</v>
      </c>
      <c r="X873" s="863"/>
      <c r="Y873" s="863"/>
    </row>
    <row r="874" spans="1:25" s="343" customFormat="1" ht="0.65" hidden="1" customHeight="1">
      <c r="A874" s="343">
        <v>5096</v>
      </c>
      <c r="O874" s="343">
        <v>56</v>
      </c>
      <c r="P874" s="343" t="s">
        <v>3507</v>
      </c>
      <c r="R874" s="863">
        <v>0</v>
      </c>
      <c r="S874" s="343" t="s">
        <v>3800</v>
      </c>
      <c r="T874" s="343" t="s">
        <v>3508</v>
      </c>
      <c r="X874" s="863"/>
      <c r="Y874" s="863"/>
    </row>
    <row r="875" spans="1:25" s="343" customFormat="1" ht="0.65" hidden="1" customHeight="1">
      <c r="A875" s="343">
        <v>5097</v>
      </c>
      <c r="O875" s="343">
        <v>57</v>
      </c>
      <c r="P875" s="343" t="s">
        <v>3509</v>
      </c>
      <c r="R875" s="863">
        <v>0</v>
      </c>
      <c r="S875" s="343" t="s">
        <v>3800</v>
      </c>
      <c r="T875" s="343" t="s">
        <v>3510</v>
      </c>
      <c r="X875" s="863"/>
      <c r="Y875" s="863"/>
    </row>
    <row r="876" spans="1:25" s="343" customFormat="1" ht="0.65" hidden="1" customHeight="1">
      <c r="A876" s="343">
        <v>5098</v>
      </c>
      <c r="O876" s="343">
        <v>58</v>
      </c>
      <c r="P876" s="343" t="s">
        <v>3511</v>
      </c>
      <c r="R876" s="863">
        <v>0</v>
      </c>
      <c r="S876" s="343" t="s">
        <v>3800</v>
      </c>
      <c r="T876" s="343" t="s">
        <v>3512</v>
      </c>
      <c r="X876" s="863"/>
      <c r="Y876" s="863"/>
    </row>
    <row r="877" spans="1:25" s="343" customFormat="1" ht="0.65" hidden="1" customHeight="1">
      <c r="A877" s="343">
        <v>5099</v>
      </c>
      <c r="O877" s="343">
        <v>59</v>
      </c>
      <c r="P877" s="343" t="s">
        <v>3513</v>
      </c>
      <c r="R877" s="863">
        <v>2000</v>
      </c>
      <c r="S877" s="863" t="s">
        <v>3801</v>
      </c>
      <c r="T877" s="343" t="s">
        <v>3515</v>
      </c>
      <c r="X877" s="863"/>
      <c r="Y877" s="863"/>
    </row>
    <row r="878" spans="1:25" s="343" customFormat="1" ht="0.65" hidden="1" customHeight="1">
      <c r="A878" s="343">
        <v>5100</v>
      </c>
      <c r="O878" s="343">
        <v>60</v>
      </c>
      <c r="P878" s="343" t="s">
        <v>3516</v>
      </c>
      <c r="R878" s="863">
        <v>19500</v>
      </c>
      <c r="S878" s="863" t="s">
        <v>3802</v>
      </c>
      <c r="T878" s="343" t="s">
        <v>3517</v>
      </c>
      <c r="X878" s="863"/>
      <c r="Y878" s="863"/>
    </row>
    <row r="879" spans="1:25" s="343" customFormat="1" ht="0.65" hidden="1" customHeight="1">
      <c r="A879" s="343">
        <v>5101</v>
      </c>
      <c r="O879" s="343">
        <v>61</v>
      </c>
      <c r="P879" s="343" t="s">
        <v>3518</v>
      </c>
      <c r="R879" s="863">
        <v>19500</v>
      </c>
      <c r="S879" s="863" t="s">
        <v>3802</v>
      </c>
      <c r="T879" s="343" t="s">
        <v>3519</v>
      </c>
      <c r="X879" s="863"/>
      <c r="Y879" s="863"/>
    </row>
    <row r="880" spans="1:25" s="343" customFormat="1" ht="0.65" hidden="1" customHeight="1">
      <c r="A880" s="343">
        <v>5102</v>
      </c>
      <c r="O880" s="343">
        <v>62</v>
      </c>
      <c r="P880" s="343" t="s">
        <v>3520</v>
      </c>
      <c r="R880" s="863">
        <v>19500</v>
      </c>
      <c r="S880" s="863" t="s">
        <v>3802</v>
      </c>
      <c r="T880" s="343" t="s">
        <v>3521</v>
      </c>
      <c r="X880" s="863"/>
      <c r="Y880" s="863"/>
    </row>
    <row r="881" spans="1:25" s="343" customFormat="1" ht="0.65" hidden="1" customHeight="1">
      <c r="A881" s="343">
        <v>5103</v>
      </c>
      <c r="O881" s="343">
        <v>63</v>
      </c>
      <c r="P881" s="343" t="s">
        <v>3389</v>
      </c>
      <c r="R881" s="863">
        <v>27500</v>
      </c>
      <c r="S881" s="343" t="s">
        <v>3803</v>
      </c>
      <c r="T881" s="343" t="s">
        <v>3522</v>
      </c>
      <c r="X881" s="863"/>
      <c r="Y881" s="863"/>
    </row>
    <row r="882" spans="1:25" s="343" customFormat="1" ht="0.65" hidden="1" customHeight="1">
      <c r="A882" s="343">
        <v>5104</v>
      </c>
      <c r="O882" s="343">
        <v>64</v>
      </c>
      <c r="P882" s="343" t="s">
        <v>3704</v>
      </c>
      <c r="R882" s="863">
        <v>106000</v>
      </c>
      <c r="S882" s="343" t="s">
        <v>3804</v>
      </c>
      <c r="T882" s="343" t="s">
        <v>3748</v>
      </c>
      <c r="X882" s="863"/>
      <c r="Y882" s="863"/>
    </row>
    <row r="883" spans="1:25" s="343" customFormat="1" ht="0.65" hidden="1" customHeight="1">
      <c r="A883" s="343">
        <v>5105</v>
      </c>
      <c r="O883" s="343">
        <v>65</v>
      </c>
      <c r="P883" s="343" t="s">
        <v>3707</v>
      </c>
      <c r="R883" s="863">
        <v>0</v>
      </c>
      <c r="S883" s="343" t="s">
        <v>3805</v>
      </c>
      <c r="T883" s="343" t="s">
        <v>3806</v>
      </c>
      <c r="X883" s="863"/>
      <c r="Y883" s="863"/>
    </row>
    <row r="884" spans="1:25" s="343" customFormat="1" ht="0.65" hidden="1" customHeight="1">
      <c r="A884" s="343">
        <v>5106</v>
      </c>
      <c r="O884" s="343">
        <v>66</v>
      </c>
      <c r="P884" s="343" t="s">
        <v>55</v>
      </c>
      <c r="R884" s="863"/>
      <c r="X884" s="863"/>
      <c r="Y884" s="863"/>
    </row>
    <row r="885" spans="1:25" s="343" customFormat="1" ht="0.65" hidden="1" customHeight="1">
      <c r="A885" s="343">
        <v>5107</v>
      </c>
      <c r="O885" s="343">
        <v>67</v>
      </c>
      <c r="P885" s="343" t="s">
        <v>3394</v>
      </c>
      <c r="R885" s="863">
        <v>133500</v>
      </c>
      <c r="S885" s="343" t="s">
        <v>3807</v>
      </c>
      <c r="T885" s="343" t="s">
        <v>3752</v>
      </c>
      <c r="X885" s="863"/>
      <c r="Y885" s="863"/>
    </row>
    <row r="886" spans="1:25" s="343" customFormat="1" ht="0.65" hidden="1" customHeight="1">
      <c r="A886" s="343">
        <v>5108</v>
      </c>
      <c r="O886" s="343">
        <v>68</v>
      </c>
      <c r="P886" s="343" t="s">
        <v>3527</v>
      </c>
      <c r="R886" s="863">
        <v>-138000</v>
      </c>
      <c r="S886" s="343" t="s">
        <v>3808</v>
      </c>
      <c r="T886" s="343" t="s">
        <v>3529</v>
      </c>
      <c r="X886" s="863"/>
      <c r="Y886" s="863"/>
    </row>
    <row r="887" spans="1:25" s="343" customFormat="1" ht="0.65" hidden="1" customHeight="1">
      <c r="A887" s="343">
        <v>5109</v>
      </c>
      <c r="O887" s="343">
        <v>69</v>
      </c>
      <c r="P887" s="343" t="s">
        <v>3530</v>
      </c>
      <c r="R887" s="863">
        <v>2000</v>
      </c>
      <c r="S887" s="343" t="s">
        <v>3809</v>
      </c>
      <c r="T887" s="343" t="s">
        <v>3532</v>
      </c>
      <c r="X887" s="863"/>
      <c r="Y887" s="863"/>
    </row>
    <row r="888" spans="1:25" s="343" customFormat="1" ht="0.65" hidden="1" customHeight="1">
      <c r="A888" s="343">
        <v>5110</v>
      </c>
      <c r="O888" s="343">
        <v>70</v>
      </c>
      <c r="P888" s="343" t="s">
        <v>3533</v>
      </c>
      <c r="R888" s="863">
        <v>19500</v>
      </c>
      <c r="S888" s="343" t="s">
        <v>3810</v>
      </c>
      <c r="T888" s="343" t="s">
        <v>3534</v>
      </c>
      <c r="X888" s="863"/>
      <c r="Y888" s="863"/>
    </row>
    <row r="889" spans="1:25" s="343" customFormat="1" ht="0.65" hidden="1" customHeight="1">
      <c r="A889" s="343">
        <v>5111</v>
      </c>
      <c r="O889" s="343">
        <v>71</v>
      </c>
      <c r="P889" s="343" t="s">
        <v>3535</v>
      </c>
      <c r="R889" s="863">
        <v>19500</v>
      </c>
      <c r="S889" s="343" t="s">
        <v>3810</v>
      </c>
      <c r="T889" s="343" t="s">
        <v>3536</v>
      </c>
      <c r="X889" s="863"/>
      <c r="Y889" s="863"/>
    </row>
    <row r="890" spans="1:25" s="343" customFormat="1" ht="0.65" hidden="1" customHeight="1">
      <c r="A890" s="343">
        <v>5112</v>
      </c>
      <c r="O890" s="343">
        <v>72</v>
      </c>
      <c r="P890" s="343" t="s">
        <v>3537</v>
      </c>
      <c r="R890" s="863">
        <v>153000</v>
      </c>
      <c r="S890" s="343" t="s">
        <v>3811</v>
      </c>
      <c r="T890" s="343" t="s">
        <v>3539</v>
      </c>
      <c r="X890" s="863"/>
      <c r="Y890" s="863"/>
    </row>
    <row r="891" spans="1:25" s="343" customFormat="1" ht="0.65" hidden="1" customHeight="1">
      <c r="A891" s="343">
        <v>5113</v>
      </c>
      <c r="O891" s="343">
        <v>73</v>
      </c>
      <c r="P891" s="343" t="s">
        <v>3540</v>
      </c>
      <c r="R891" s="864">
        <v>0.1</v>
      </c>
      <c r="S891" s="343" t="s">
        <v>3541</v>
      </c>
      <c r="T891" s="343" t="s">
        <v>3542</v>
      </c>
      <c r="X891" s="863"/>
      <c r="Y891" s="863"/>
    </row>
    <row r="892" spans="1:25" s="343" customFormat="1" ht="0.65" hidden="1" customHeight="1">
      <c r="A892" s="343">
        <v>5114</v>
      </c>
      <c r="O892" s="343">
        <v>74</v>
      </c>
      <c r="P892" s="343" t="s">
        <v>13</v>
      </c>
      <c r="R892" s="863">
        <v>-914.41841404279694</v>
      </c>
      <c r="S892" s="343" t="s">
        <v>3812</v>
      </c>
      <c r="T892" s="343" t="s">
        <v>3544</v>
      </c>
      <c r="X892" s="863"/>
      <c r="Y892" s="863"/>
    </row>
    <row r="893" spans="1:25" s="343" customFormat="1" ht="0.65" hidden="1" customHeight="1">
      <c r="A893" s="343">
        <v>5115</v>
      </c>
      <c r="O893" s="343">
        <v>75</v>
      </c>
      <c r="P893" s="343" t="s">
        <v>28</v>
      </c>
      <c r="R893" s="864">
        <v>9.7980950591464389E-2</v>
      </c>
      <c r="S893" s="343" t="s">
        <v>3813</v>
      </c>
      <c r="T893" s="343" t="s">
        <v>3546</v>
      </c>
      <c r="X893" s="863"/>
      <c r="Y893" s="863"/>
    </row>
    <row r="894" spans="1:25" s="343" customFormat="1" ht="0.65" hidden="1" customHeight="1">
      <c r="A894" s="343">
        <v>5116</v>
      </c>
      <c r="X894" s="863"/>
      <c r="Y894" s="863"/>
    </row>
    <row r="895" spans="1:25" s="343" customFormat="1" ht="0.65" hidden="1" customHeight="1">
      <c r="A895" s="343">
        <v>5117</v>
      </c>
      <c r="O895" s="343">
        <v>1</v>
      </c>
      <c r="P895" s="343" t="s">
        <v>3814</v>
      </c>
      <c r="X895" s="863"/>
      <c r="Y895" s="863"/>
    </row>
    <row r="896" spans="1:25" s="343" customFormat="1" ht="0.65" hidden="1" customHeight="1">
      <c r="A896" s="343">
        <v>5118</v>
      </c>
      <c r="O896" s="343">
        <v>2</v>
      </c>
      <c r="P896" s="343" t="s">
        <v>3931</v>
      </c>
      <c r="X896" s="863"/>
      <c r="Y896" s="863"/>
    </row>
    <row r="897" spans="1:25" s="343" customFormat="1" ht="0.65" hidden="1" customHeight="1">
      <c r="A897" s="343">
        <v>5119</v>
      </c>
      <c r="O897" s="343">
        <v>3</v>
      </c>
      <c r="P897" s="343" t="s">
        <v>3932</v>
      </c>
      <c r="X897" s="863"/>
      <c r="Y897" s="863"/>
    </row>
    <row r="898" spans="1:25" s="343" customFormat="1" ht="0.65" hidden="1" customHeight="1">
      <c r="A898" s="343">
        <v>5120</v>
      </c>
      <c r="O898" s="343">
        <v>4</v>
      </c>
      <c r="P898" s="343" t="s">
        <v>3921</v>
      </c>
      <c r="X898" s="863"/>
      <c r="Y898" s="863"/>
    </row>
    <row r="899" spans="1:25" s="343" customFormat="1" ht="0.65" hidden="1" customHeight="1">
      <c r="A899" s="343">
        <v>5121</v>
      </c>
      <c r="O899" s="343">
        <v>5</v>
      </c>
      <c r="P899" s="343" t="s">
        <v>3933</v>
      </c>
      <c r="X899" s="863"/>
      <c r="Y899" s="863"/>
    </row>
    <row r="900" spans="1:25" s="343" customFormat="1" ht="0.65" hidden="1" customHeight="1">
      <c r="A900" s="343">
        <v>5122</v>
      </c>
      <c r="O900" s="343">
        <v>6</v>
      </c>
      <c r="P900" s="343" t="s">
        <v>3818</v>
      </c>
      <c r="X900" s="863"/>
      <c r="Y900" s="863"/>
    </row>
    <row r="901" spans="1:25" s="343" customFormat="1" ht="0.65" hidden="1" customHeight="1">
      <c r="A901" s="343">
        <v>5123</v>
      </c>
      <c r="O901" s="343">
        <v>7</v>
      </c>
      <c r="X901" s="863"/>
      <c r="Y901" s="863"/>
    </row>
    <row r="902" spans="1:25" s="343" customFormat="1" ht="0.65" hidden="1" customHeight="1">
      <c r="A902" s="343">
        <v>5124</v>
      </c>
      <c r="O902" s="343">
        <v>8</v>
      </c>
      <c r="X902" s="863"/>
      <c r="Y902" s="863"/>
    </row>
    <row r="903" spans="1:25" s="343" customFormat="1" ht="0.65" hidden="1" customHeight="1">
      <c r="A903" s="343">
        <v>5125</v>
      </c>
      <c r="O903" s="343">
        <v>9</v>
      </c>
      <c r="X903" s="863"/>
      <c r="Y903" s="863"/>
    </row>
    <row r="904" spans="1:25" s="343" customFormat="1" ht="0.65" hidden="1" customHeight="1">
      <c r="A904" s="343">
        <v>5126</v>
      </c>
      <c r="O904" s="343">
        <v>10</v>
      </c>
      <c r="X904" s="863"/>
      <c r="Y904" s="863"/>
    </row>
    <row r="905" spans="1:25" s="343" customFormat="1" ht="0.65" hidden="1" customHeight="1">
      <c r="A905" s="343">
        <v>5127</v>
      </c>
      <c r="X905" s="863"/>
      <c r="Y905" s="863"/>
    </row>
    <row r="906" spans="1:25" s="343" customFormat="1" ht="0.65" hidden="1" customHeight="1">
      <c r="A906" s="343">
        <v>5128</v>
      </c>
      <c r="X906" s="863"/>
      <c r="Y906" s="863"/>
    </row>
    <row r="907" spans="1:25" s="343" customFormat="1" ht="0.65" hidden="1" customHeight="1">
      <c r="A907" s="343">
        <v>5129</v>
      </c>
      <c r="X907" s="863"/>
      <c r="Y907" s="863"/>
    </row>
    <row r="908" spans="1:25" s="343" customFormat="1" ht="0.65" hidden="1" customHeight="1">
      <c r="A908" s="343">
        <v>5130</v>
      </c>
      <c r="X908" s="863"/>
      <c r="Y908" s="863"/>
    </row>
    <row r="909" spans="1:25" s="343" customFormat="1" ht="0.65" hidden="1" customHeight="1">
      <c r="A909" s="653">
        <v>1</v>
      </c>
      <c r="B909" s="653">
        <v>2</v>
      </c>
      <c r="C909" s="653">
        <v>3</v>
      </c>
      <c r="D909" s="653">
        <v>4</v>
      </c>
      <c r="E909" s="653">
        <v>5</v>
      </c>
      <c r="F909" s="653">
        <v>6</v>
      </c>
      <c r="G909" s="653">
        <v>7</v>
      </c>
      <c r="H909" s="653">
        <v>8</v>
      </c>
      <c r="I909" s="653">
        <v>9</v>
      </c>
      <c r="J909" s="653">
        <v>10</v>
      </c>
      <c r="K909" s="653">
        <v>11</v>
      </c>
      <c r="L909" s="653">
        <v>12</v>
      </c>
      <c r="M909" s="653">
        <v>13</v>
      </c>
      <c r="N909" s="653">
        <v>14</v>
      </c>
      <c r="O909" s="653">
        <v>15</v>
      </c>
      <c r="P909" s="653">
        <v>16</v>
      </c>
      <c r="Q909" s="653">
        <v>17</v>
      </c>
      <c r="R909" s="653">
        <v>18</v>
      </c>
      <c r="S909" s="653">
        <v>19</v>
      </c>
      <c r="T909" s="653">
        <v>20</v>
      </c>
      <c r="U909" s="653">
        <v>21</v>
      </c>
      <c r="V909" s="653">
        <v>22</v>
      </c>
      <c r="W909" s="653">
        <v>23</v>
      </c>
    </row>
    <row r="910" spans="1:25" s="343" customFormat="1" ht="0.65" hidden="1" customHeight="1">
      <c r="A910" s="343">
        <v>6</v>
      </c>
    </row>
    <row r="911" spans="1:25" s="343" customFormat="1" ht="0.65" hidden="1" customHeight="1">
      <c r="A911" s="343">
        <v>6001</v>
      </c>
      <c r="B911" s="343" t="s">
        <v>3819</v>
      </c>
      <c r="E911" s="343" t="s">
        <v>3820</v>
      </c>
      <c r="M911" s="863" t="s">
        <v>3820</v>
      </c>
      <c r="N911" s="863"/>
      <c r="O911" s="863"/>
      <c r="P911" s="863"/>
      <c r="Q911" s="863"/>
      <c r="R911" s="863"/>
      <c r="S911" s="863"/>
      <c r="T911" s="863"/>
      <c r="U911" s="863"/>
      <c r="V911" s="863"/>
    </row>
    <row r="912" spans="1:25" s="343" customFormat="1" ht="0.65" hidden="1" customHeight="1">
      <c r="A912" s="343">
        <v>6002</v>
      </c>
      <c r="M912" s="863"/>
      <c r="N912" s="865" t="s">
        <v>55</v>
      </c>
      <c r="O912" s="865" t="s">
        <v>55</v>
      </c>
      <c r="P912" s="865" t="s">
        <v>55</v>
      </c>
      <c r="Q912" s="865" t="s">
        <v>55</v>
      </c>
      <c r="R912" s="865" t="s">
        <v>55</v>
      </c>
      <c r="S912" s="865" t="s">
        <v>55</v>
      </c>
      <c r="T912" s="865" t="s">
        <v>55</v>
      </c>
      <c r="U912" s="865" t="s">
        <v>55</v>
      </c>
      <c r="V912" s="865" t="s">
        <v>55</v>
      </c>
    </row>
    <row r="913" spans="1:25" s="343" customFormat="1" ht="0.65" hidden="1" customHeight="1">
      <c r="A913" s="343">
        <v>6003</v>
      </c>
      <c r="B913" s="343" t="s">
        <v>3602</v>
      </c>
      <c r="E913" s="343" t="s">
        <v>3677</v>
      </c>
      <c r="M913" s="659"/>
      <c r="N913" s="866"/>
      <c r="O913" s="866"/>
      <c r="P913" s="866"/>
      <c r="Q913" s="866"/>
      <c r="R913" s="866"/>
      <c r="S913" s="866"/>
      <c r="T913" s="866"/>
      <c r="U913" s="866"/>
      <c r="V913" s="866"/>
    </row>
    <row r="914" spans="1:25" s="343" customFormat="1" ht="0.65" hidden="1" customHeight="1">
      <c r="A914" s="343">
        <v>6004</v>
      </c>
      <c r="B914" s="343" t="s">
        <v>3605</v>
      </c>
      <c r="M914" s="663"/>
      <c r="N914" s="343">
        <v>0</v>
      </c>
      <c r="O914" s="343">
        <v>0</v>
      </c>
      <c r="P914" s="343">
        <v>0</v>
      </c>
      <c r="Q914" s="343">
        <v>0</v>
      </c>
      <c r="R914" s="343">
        <v>0</v>
      </c>
      <c r="S914" s="343">
        <v>0</v>
      </c>
      <c r="T914" s="343">
        <v>0</v>
      </c>
      <c r="U914" s="343">
        <v>0</v>
      </c>
      <c r="V914" s="863">
        <v>-242000</v>
      </c>
    </row>
    <row r="915" spans="1:25" s="343" customFormat="1" ht="0.65" hidden="1" customHeight="1">
      <c r="A915" s="343">
        <v>6005</v>
      </c>
      <c r="B915" s="343" t="s">
        <v>3821</v>
      </c>
      <c r="E915" s="343" t="s">
        <v>3680</v>
      </c>
      <c r="F915" s="659">
        <v>200000</v>
      </c>
      <c r="H915" s="343" t="s">
        <v>3822</v>
      </c>
      <c r="I915" s="659">
        <v>300000</v>
      </c>
      <c r="M915" s="663"/>
      <c r="N915" s="863">
        <v>300000</v>
      </c>
      <c r="O915" s="863">
        <v>240000</v>
      </c>
      <c r="P915" s="863">
        <v>32500</v>
      </c>
      <c r="Q915" s="863">
        <v>27500</v>
      </c>
      <c r="R915" s="863">
        <v>8250</v>
      </c>
      <c r="S915" s="863">
        <v>19250</v>
      </c>
      <c r="T915" s="863">
        <v>51750</v>
      </c>
      <c r="U915" s="863">
        <v>16750</v>
      </c>
      <c r="V915" s="863">
        <v>16750</v>
      </c>
    </row>
    <row r="916" spans="1:25" s="343" customFormat="1" ht="0.65" hidden="1" customHeight="1">
      <c r="A916" s="343">
        <v>6006</v>
      </c>
      <c r="B916" s="343" t="s">
        <v>3823</v>
      </c>
      <c r="E916" s="343" t="s">
        <v>3681</v>
      </c>
      <c r="F916" s="659">
        <v>20000</v>
      </c>
      <c r="H916" s="343" t="s">
        <v>3824</v>
      </c>
      <c r="I916" s="659">
        <v>240000</v>
      </c>
      <c r="M916" s="663"/>
      <c r="N916" s="863">
        <v>300000</v>
      </c>
      <c r="O916" s="863">
        <v>240000</v>
      </c>
      <c r="P916" s="863">
        <v>32500</v>
      </c>
      <c r="Q916" s="863">
        <v>27500</v>
      </c>
      <c r="R916" s="863">
        <v>8250</v>
      </c>
      <c r="S916" s="863">
        <v>19250</v>
      </c>
      <c r="T916" s="863">
        <v>51750</v>
      </c>
      <c r="U916" s="863">
        <v>51750</v>
      </c>
      <c r="V916" s="863">
        <v>51750</v>
      </c>
    </row>
    <row r="917" spans="1:25" s="343" customFormat="1" ht="0.65" hidden="1" customHeight="1">
      <c r="A917" s="343">
        <v>6007</v>
      </c>
      <c r="B917" s="343" t="s">
        <v>3825</v>
      </c>
      <c r="E917" s="343" t="s">
        <v>3683</v>
      </c>
      <c r="F917" s="659">
        <v>100000</v>
      </c>
      <c r="M917" s="663"/>
      <c r="N917" s="863">
        <v>300000</v>
      </c>
      <c r="O917" s="863">
        <v>240000</v>
      </c>
      <c r="P917" s="863">
        <v>32500</v>
      </c>
      <c r="Q917" s="863">
        <v>27500</v>
      </c>
      <c r="R917" s="863">
        <v>8250</v>
      </c>
      <c r="S917" s="863">
        <v>19250</v>
      </c>
      <c r="T917" s="863">
        <v>51750</v>
      </c>
      <c r="U917" s="863">
        <v>51750</v>
      </c>
      <c r="V917" s="863">
        <v>51750</v>
      </c>
    </row>
    <row r="918" spans="1:25" s="343" customFormat="1" ht="0.65" hidden="1" customHeight="1">
      <c r="A918" s="343">
        <v>6008</v>
      </c>
      <c r="B918" s="343" t="s">
        <v>3826</v>
      </c>
      <c r="H918" s="343" t="s">
        <v>3371</v>
      </c>
      <c r="I918" s="653">
        <v>90</v>
      </c>
      <c r="M918" s="663"/>
      <c r="N918" s="863">
        <v>300000</v>
      </c>
      <c r="O918" s="863">
        <v>240000</v>
      </c>
      <c r="P918" s="863">
        <v>32500</v>
      </c>
      <c r="Q918" s="863">
        <v>27500</v>
      </c>
      <c r="R918" s="863">
        <v>8250</v>
      </c>
      <c r="S918" s="863">
        <v>19250</v>
      </c>
      <c r="T918" s="863">
        <v>51750</v>
      </c>
      <c r="U918" s="863">
        <v>51750</v>
      </c>
      <c r="V918" s="863">
        <v>212750</v>
      </c>
    </row>
    <row r="919" spans="1:25" s="343" customFormat="1" ht="0.65" hidden="1" customHeight="1">
      <c r="A919" s="343">
        <v>6009</v>
      </c>
      <c r="E919" s="343" t="s">
        <v>3692</v>
      </c>
      <c r="H919" s="343" t="s">
        <v>3374</v>
      </c>
      <c r="I919" s="653">
        <v>60</v>
      </c>
      <c r="N919" s="865" t="s">
        <v>55</v>
      </c>
      <c r="O919" s="865" t="s">
        <v>55</v>
      </c>
      <c r="P919" s="865" t="s">
        <v>55</v>
      </c>
      <c r="Q919" s="865" t="s">
        <v>55</v>
      </c>
      <c r="R919" s="865" t="s">
        <v>55</v>
      </c>
      <c r="T919" s="653"/>
      <c r="U919" s="653"/>
      <c r="V919" s="653"/>
      <c r="W919" s="659"/>
      <c r="X919" s="659"/>
      <c r="Y919" s="659"/>
    </row>
    <row r="920" spans="1:25" s="343" customFormat="1" ht="0.65" hidden="1" customHeight="1">
      <c r="A920" s="343">
        <v>6010</v>
      </c>
      <c r="B920" s="343" t="s">
        <v>3827</v>
      </c>
      <c r="H920" s="343" t="s">
        <v>3376</v>
      </c>
      <c r="I920" s="653">
        <v>30</v>
      </c>
      <c r="M920" s="659"/>
      <c r="N920" s="866"/>
      <c r="O920" s="866"/>
      <c r="P920" s="866"/>
      <c r="Q920" s="866"/>
      <c r="R920" s="866"/>
      <c r="U920" s="863"/>
      <c r="V920" s="863"/>
      <c r="W920" s="863"/>
      <c r="X920" s="863"/>
      <c r="Y920" s="863"/>
    </row>
    <row r="921" spans="1:25" s="343" customFormat="1" ht="0.65" hidden="1" customHeight="1">
      <c r="A921" s="343">
        <v>6011</v>
      </c>
      <c r="B921" s="343" t="s">
        <v>3828</v>
      </c>
      <c r="E921" s="343" t="s">
        <v>3694</v>
      </c>
      <c r="F921" s="659">
        <v>50000</v>
      </c>
      <c r="M921" s="663"/>
      <c r="N921" s="863">
        <v>20000</v>
      </c>
      <c r="O921" s="863">
        <v>0</v>
      </c>
      <c r="P921" s="863">
        <v>0</v>
      </c>
      <c r="Q921" s="863">
        <v>20000</v>
      </c>
      <c r="R921" s="863">
        <v>20000</v>
      </c>
      <c r="U921" s="1064" t="s">
        <v>55</v>
      </c>
      <c r="V921" s="1064"/>
      <c r="W921" s="863"/>
      <c r="X921" s="863"/>
      <c r="Y921" s="863"/>
    </row>
    <row r="922" spans="1:25" s="343" customFormat="1" ht="0.65" hidden="1" customHeight="1">
      <c r="A922" s="343">
        <v>6012</v>
      </c>
      <c r="B922" s="343" t="s">
        <v>3829</v>
      </c>
      <c r="E922" s="343" t="s">
        <v>3696</v>
      </c>
      <c r="F922" s="659">
        <v>10000</v>
      </c>
      <c r="H922" s="343" t="s">
        <v>3380</v>
      </c>
      <c r="I922" s="358">
        <v>0.1</v>
      </c>
      <c r="M922" s="663"/>
      <c r="N922" s="863">
        <v>20000</v>
      </c>
      <c r="O922" s="863">
        <v>75000</v>
      </c>
      <c r="P922" s="863">
        <v>40000</v>
      </c>
      <c r="Q922" s="863">
        <v>55000</v>
      </c>
      <c r="R922" s="863">
        <v>35000</v>
      </c>
      <c r="U922" s="1064"/>
      <c r="V922" s="1064"/>
      <c r="W922" s="863"/>
      <c r="X922" s="863"/>
      <c r="Y922" s="863"/>
    </row>
    <row r="923" spans="1:25" s="343" customFormat="1" ht="0.65" hidden="1" customHeight="1">
      <c r="A923" s="343">
        <v>6013</v>
      </c>
      <c r="B923" s="343" t="s">
        <v>3830</v>
      </c>
      <c r="E923" s="343" t="s">
        <v>3698</v>
      </c>
      <c r="F923" s="659">
        <v>12500</v>
      </c>
      <c r="H923" s="343" t="s">
        <v>3381</v>
      </c>
      <c r="I923" s="358">
        <v>0.3</v>
      </c>
      <c r="M923" s="663"/>
      <c r="N923" s="863">
        <v>20000</v>
      </c>
      <c r="O923" s="863">
        <v>75000</v>
      </c>
      <c r="P923" s="863">
        <v>40000</v>
      </c>
      <c r="Q923" s="863">
        <v>55000</v>
      </c>
      <c r="R923" s="863">
        <v>0</v>
      </c>
      <c r="U923" s="1064"/>
      <c r="V923" s="1064"/>
      <c r="W923" s="863"/>
      <c r="X923" s="863"/>
      <c r="Y923" s="863"/>
    </row>
    <row r="924" spans="1:25" s="343" customFormat="1" ht="0.65" hidden="1" customHeight="1">
      <c r="A924" s="343">
        <v>6014</v>
      </c>
      <c r="B924" s="343" t="s">
        <v>3831</v>
      </c>
      <c r="E924" s="343" t="s">
        <v>3700</v>
      </c>
      <c r="F924" s="659">
        <v>0</v>
      </c>
      <c r="M924" s="663"/>
      <c r="N924" s="863">
        <v>20000</v>
      </c>
      <c r="O924" s="863">
        <v>75000</v>
      </c>
      <c r="P924" s="863">
        <v>40000</v>
      </c>
      <c r="Q924" s="863">
        <v>55000</v>
      </c>
      <c r="R924" s="863">
        <v>0</v>
      </c>
      <c r="U924" s="1064"/>
      <c r="V924" s="1064"/>
      <c r="W924" s="863"/>
      <c r="X924" s="863"/>
      <c r="Y924" s="863"/>
    </row>
    <row r="925" spans="1:25" s="343" customFormat="1" ht="0.65" hidden="1" customHeight="1">
      <c r="A925" s="343">
        <v>6015</v>
      </c>
      <c r="M925" s="663"/>
      <c r="N925" s="863">
        <v>20000</v>
      </c>
      <c r="O925" s="863">
        <v>75000</v>
      </c>
      <c r="P925" s="863">
        <v>40000</v>
      </c>
      <c r="Q925" s="863">
        <v>55000</v>
      </c>
      <c r="R925" s="863">
        <v>0</v>
      </c>
      <c r="T925" s="863"/>
      <c r="U925" s="863"/>
      <c r="V925" s="863"/>
      <c r="W925" s="863"/>
      <c r="X925" s="863"/>
      <c r="Y925" s="863"/>
    </row>
    <row r="926" spans="1:25" s="343" customFormat="1" ht="0.65" hidden="1" customHeight="1">
      <c r="A926" s="343">
        <v>6016</v>
      </c>
      <c r="B926" s="343" t="s">
        <v>3832</v>
      </c>
      <c r="M926" s="863"/>
      <c r="N926" s="653"/>
      <c r="O926" s="653"/>
      <c r="P926" s="653"/>
      <c r="Q926" s="653"/>
      <c r="R926" s="653"/>
      <c r="S926" s="653"/>
      <c r="T926" s="863"/>
      <c r="V926" s="863"/>
      <c r="W926" s="863"/>
      <c r="X926" s="863"/>
    </row>
    <row r="927" spans="1:25" s="343" customFormat="1" ht="0.65" hidden="1" customHeight="1">
      <c r="A927" s="343">
        <v>6017</v>
      </c>
      <c r="B927" s="343" t="s">
        <v>3833</v>
      </c>
      <c r="M927" s="863"/>
      <c r="V927" s="863"/>
      <c r="W927" s="863"/>
      <c r="X927" s="863"/>
    </row>
    <row r="928" spans="1:25" s="343" customFormat="1" ht="0.65" hidden="1" customHeight="1">
      <c r="A928" s="343">
        <v>6018</v>
      </c>
      <c r="N928" s="863"/>
      <c r="O928" s="863"/>
      <c r="P928" s="865" t="s">
        <v>55</v>
      </c>
      <c r="T928" s="865" t="s">
        <v>55</v>
      </c>
      <c r="W928" s="865" t="s">
        <v>55</v>
      </c>
      <c r="X928" s="863"/>
    </row>
    <row r="929" spans="1:25" s="343" customFormat="1" ht="0.65" hidden="1" customHeight="1">
      <c r="A929" s="343">
        <v>6019</v>
      </c>
      <c r="B929" s="343" t="s">
        <v>3834</v>
      </c>
      <c r="N929" s="1061" t="s">
        <v>3835</v>
      </c>
      <c r="O929" s="1061"/>
      <c r="P929" s="863">
        <v>20000</v>
      </c>
      <c r="R929" s="1061" t="s">
        <v>3389</v>
      </c>
      <c r="S929" s="1061"/>
      <c r="T929" s="863">
        <v>55000</v>
      </c>
      <c r="X929" s="863"/>
    </row>
    <row r="930" spans="1:25" s="343" customFormat="1" ht="0.65" hidden="1" customHeight="1">
      <c r="A930" s="343">
        <v>6020</v>
      </c>
      <c r="M930" s="863"/>
      <c r="N930" s="1061" t="s">
        <v>3703</v>
      </c>
      <c r="O930" s="1061"/>
      <c r="P930" s="863">
        <v>200000</v>
      </c>
      <c r="R930" s="1061" t="s">
        <v>3704</v>
      </c>
      <c r="S930" s="1061"/>
      <c r="T930" s="863">
        <v>106000</v>
      </c>
      <c r="V930" s="662"/>
      <c r="W930" s="358">
        <v>0.1</v>
      </c>
      <c r="X930" s="863"/>
    </row>
    <row r="931" spans="1:25" s="343" customFormat="1" ht="0.65" hidden="1" customHeight="1">
      <c r="A931" s="343">
        <v>6021</v>
      </c>
      <c r="M931" s="863"/>
      <c r="N931" s="1061" t="s">
        <v>3779</v>
      </c>
      <c r="O931" s="1061"/>
      <c r="P931" s="863">
        <v>22000</v>
      </c>
      <c r="R931" s="1061" t="s">
        <v>3707</v>
      </c>
      <c r="S931" s="1061"/>
      <c r="T931" s="863">
        <v>0</v>
      </c>
    </row>
    <row r="932" spans="1:25" s="343" customFormat="1" ht="0.65" hidden="1" customHeight="1">
      <c r="A932" s="343">
        <v>6022</v>
      </c>
      <c r="M932" s="863"/>
      <c r="N932" s="1061"/>
      <c r="O932" s="1061"/>
      <c r="P932" s="863"/>
      <c r="R932" s="1061"/>
      <c r="S932" s="1061"/>
      <c r="T932" s="863"/>
      <c r="X932" s="863"/>
      <c r="Y932" s="863"/>
    </row>
    <row r="933" spans="1:25" s="343" customFormat="1" ht="0.65" hidden="1" customHeight="1">
      <c r="A933" s="343">
        <v>6023</v>
      </c>
      <c r="M933" s="863"/>
      <c r="N933" s="867"/>
      <c r="Q933" s="863"/>
      <c r="R933" s="868"/>
      <c r="S933" s="863"/>
      <c r="T933" s="863"/>
      <c r="U933" s="863"/>
      <c r="V933" s="662"/>
      <c r="W933" s="659">
        <v>187.52134417043999</v>
      </c>
      <c r="X933" s="863"/>
      <c r="Y933" s="863"/>
    </row>
    <row r="934" spans="1:25" s="343" customFormat="1" ht="0.65" hidden="1" customHeight="1">
      <c r="A934" s="343">
        <v>6024</v>
      </c>
      <c r="M934" s="863"/>
      <c r="N934" s="1062" t="s">
        <v>129</v>
      </c>
      <c r="O934" s="1062"/>
      <c r="P934" s="863">
        <v>242000</v>
      </c>
      <c r="Q934" s="863"/>
      <c r="R934" s="1062" t="s">
        <v>3394</v>
      </c>
      <c r="S934" s="1062"/>
      <c r="T934" s="863">
        <v>161000</v>
      </c>
      <c r="V934" s="869"/>
      <c r="W934" s="358">
        <v>0.10025841655564194</v>
      </c>
      <c r="X934" s="863"/>
      <c r="Y934" s="863"/>
    </row>
    <row r="935" spans="1:25" s="343" customFormat="1" ht="0.65" hidden="1" customHeight="1">
      <c r="A935" s="343">
        <v>6025</v>
      </c>
      <c r="N935" s="863"/>
      <c r="P935" s="653"/>
      <c r="T935" s="653"/>
      <c r="W935" s="653"/>
      <c r="X935" s="863"/>
      <c r="Y935" s="863"/>
    </row>
    <row r="936" spans="1:25" s="343" customFormat="1" ht="0.65" hidden="1" customHeight="1">
      <c r="A936" s="343">
        <v>6026</v>
      </c>
      <c r="X936" s="863"/>
      <c r="Y936" s="863"/>
    </row>
    <row r="937" spans="1:25" s="343" customFormat="1" ht="0.65" hidden="1" customHeight="1">
      <c r="A937" s="343">
        <v>6027</v>
      </c>
      <c r="X937" s="863"/>
      <c r="Y937" s="863"/>
    </row>
    <row r="938" spans="1:25" s="343" customFormat="1" ht="0.65" hidden="1" customHeight="1">
      <c r="A938" s="343">
        <v>6028</v>
      </c>
      <c r="X938" s="863"/>
      <c r="Y938" s="863"/>
    </row>
    <row r="939" spans="1:25" s="343" customFormat="1" ht="0.65" hidden="1" customHeight="1">
      <c r="A939" s="343">
        <v>6029</v>
      </c>
      <c r="X939" s="863"/>
      <c r="Y939" s="863"/>
    </row>
    <row r="940" spans="1:25" s="343" customFormat="1" ht="0.65" hidden="1" customHeight="1">
      <c r="A940" s="343">
        <v>6030</v>
      </c>
      <c r="X940" s="863"/>
      <c r="Y940" s="863"/>
    </row>
    <row r="941" spans="1:25" s="343" customFormat="1" ht="0.65" hidden="1" customHeight="1">
      <c r="A941" s="343">
        <v>6031</v>
      </c>
      <c r="X941" s="863"/>
      <c r="Y941" s="863"/>
    </row>
    <row r="942" spans="1:25" s="343" customFormat="1" ht="0.65" hidden="1" customHeight="1">
      <c r="A942" s="343">
        <v>6032</v>
      </c>
      <c r="X942" s="863"/>
      <c r="Y942" s="863"/>
    </row>
    <row r="943" spans="1:25" s="343" customFormat="1" ht="0.65" hidden="1" customHeight="1">
      <c r="A943" s="343">
        <v>6033</v>
      </c>
      <c r="X943" s="863"/>
      <c r="Y943" s="863"/>
    </row>
    <row r="944" spans="1:25" s="343" customFormat="1" ht="0.65" hidden="1" customHeight="1">
      <c r="A944" s="343">
        <v>6034</v>
      </c>
      <c r="X944" s="863"/>
      <c r="Y944" s="863"/>
    </row>
    <row r="945" spans="1:25" s="343" customFormat="1" ht="0.65" hidden="1" customHeight="1">
      <c r="A945" s="343">
        <v>6035</v>
      </c>
      <c r="X945" s="863"/>
      <c r="Y945" s="863"/>
    </row>
    <row r="946" spans="1:25" s="343" customFormat="1" ht="0.65" hidden="1" customHeight="1">
      <c r="A946" s="343">
        <v>6036</v>
      </c>
      <c r="X946" s="863"/>
      <c r="Y946" s="863"/>
    </row>
    <row r="947" spans="1:25" s="343" customFormat="1" ht="0.65" hidden="1" customHeight="1">
      <c r="A947" s="343">
        <v>6037</v>
      </c>
      <c r="X947" s="863"/>
      <c r="Y947" s="863"/>
    </row>
    <row r="948" spans="1:25" s="343" customFormat="1" ht="0.65" hidden="1" customHeight="1">
      <c r="A948" s="343">
        <v>6038</v>
      </c>
      <c r="X948" s="863"/>
      <c r="Y948" s="863"/>
    </row>
    <row r="949" spans="1:25" s="343" customFormat="1" ht="0.65" hidden="1" customHeight="1">
      <c r="A949" s="343">
        <v>6039</v>
      </c>
    </row>
    <row r="950" spans="1:25" s="343" customFormat="1" ht="0.65" hidden="1" customHeight="1">
      <c r="A950" s="343">
        <v>6040</v>
      </c>
      <c r="X950" s="863"/>
      <c r="Y950" s="863"/>
    </row>
    <row r="951" spans="1:25" s="343" customFormat="1" ht="0.65" hidden="1" customHeight="1">
      <c r="A951" s="343">
        <v>6041</v>
      </c>
      <c r="M951" s="343">
        <v>0</v>
      </c>
      <c r="O951" s="343">
        <v>1</v>
      </c>
      <c r="P951" s="343" t="s">
        <v>3701</v>
      </c>
      <c r="R951" s="863">
        <v>20000</v>
      </c>
      <c r="S951" s="343" t="s">
        <v>3459</v>
      </c>
      <c r="T951" s="343" t="s">
        <v>3836</v>
      </c>
      <c r="X951" s="863"/>
      <c r="Y951" s="863"/>
    </row>
    <row r="952" spans="1:25" s="343" customFormat="1" ht="0.65" hidden="1" customHeight="1">
      <c r="A952" s="343">
        <v>6042</v>
      </c>
      <c r="O952" s="343">
        <v>2</v>
      </c>
      <c r="P952" s="343" t="s">
        <v>3703</v>
      </c>
      <c r="R952" s="863">
        <v>200000</v>
      </c>
      <c r="S952" s="343" t="s">
        <v>3714</v>
      </c>
      <c r="T952" s="343" t="s">
        <v>3715</v>
      </c>
      <c r="X952" s="863"/>
      <c r="Y952" s="863"/>
    </row>
    <row r="953" spans="1:25" s="343" customFormat="1" ht="0.65" hidden="1" customHeight="1">
      <c r="A953" s="343">
        <v>6043</v>
      </c>
      <c r="O953" s="343">
        <v>3</v>
      </c>
      <c r="P953" s="343" t="s">
        <v>3779</v>
      </c>
      <c r="R953" s="863">
        <v>22000</v>
      </c>
      <c r="S953" s="343" t="s">
        <v>3718</v>
      </c>
      <c r="T953" s="343" t="s">
        <v>3719</v>
      </c>
      <c r="X953" s="863"/>
      <c r="Y953" s="863"/>
    </row>
    <row r="954" spans="1:25" s="343" customFormat="1" ht="0.65" hidden="1" customHeight="1">
      <c r="A954" s="343">
        <v>6044</v>
      </c>
      <c r="O954" s="343">
        <v>4</v>
      </c>
      <c r="P954" s="343" t="s">
        <v>55</v>
      </c>
      <c r="R954" s="863"/>
      <c r="X954" s="863"/>
      <c r="Y954" s="863"/>
    </row>
    <row r="955" spans="1:25" s="343" customFormat="1" ht="0.65" hidden="1" customHeight="1">
      <c r="A955" s="343">
        <v>6045</v>
      </c>
      <c r="O955" s="343">
        <v>5</v>
      </c>
      <c r="P955" s="343" t="s">
        <v>129</v>
      </c>
      <c r="R955" s="863">
        <v>242000</v>
      </c>
      <c r="S955" s="343" t="s">
        <v>3837</v>
      </c>
      <c r="T955" s="343" t="s">
        <v>3838</v>
      </c>
      <c r="X955" s="863"/>
      <c r="Y955" s="863"/>
    </row>
    <row r="956" spans="1:25" s="343" customFormat="1" ht="0.65" hidden="1" customHeight="1">
      <c r="A956" s="343">
        <v>6046</v>
      </c>
      <c r="O956" s="343">
        <v>6</v>
      </c>
      <c r="P956" s="343" t="s">
        <v>3404</v>
      </c>
      <c r="R956" s="863">
        <v>300000</v>
      </c>
      <c r="S956" s="343" t="s">
        <v>3405</v>
      </c>
      <c r="T956" s="343" t="s">
        <v>3839</v>
      </c>
      <c r="X956" s="863"/>
      <c r="Y956" s="863"/>
    </row>
    <row r="957" spans="1:25" s="343" customFormat="1" ht="0.65" hidden="1" customHeight="1">
      <c r="A957" s="343">
        <v>6047</v>
      </c>
      <c r="O957" s="343">
        <v>7</v>
      </c>
      <c r="P957" s="343" t="s">
        <v>3407</v>
      </c>
      <c r="R957" s="863">
        <v>300000</v>
      </c>
      <c r="S957" s="343" t="s">
        <v>3405</v>
      </c>
      <c r="T957" s="343" t="s">
        <v>3839</v>
      </c>
      <c r="X957" s="863"/>
      <c r="Y957" s="863"/>
    </row>
    <row r="958" spans="1:25" s="343" customFormat="1" ht="0.65" hidden="1" customHeight="1">
      <c r="A958" s="343">
        <v>6048</v>
      </c>
      <c r="O958" s="343">
        <v>8</v>
      </c>
      <c r="P958" s="343" t="s">
        <v>3408</v>
      </c>
      <c r="R958" s="863">
        <v>300000</v>
      </c>
      <c r="S958" s="343" t="s">
        <v>3405</v>
      </c>
      <c r="T958" s="343" t="s">
        <v>3839</v>
      </c>
      <c r="X958" s="863"/>
      <c r="Y958" s="863"/>
    </row>
    <row r="959" spans="1:25" s="343" customFormat="1" ht="0.65" hidden="1" customHeight="1">
      <c r="A959" s="343">
        <v>6049</v>
      </c>
      <c r="O959" s="343">
        <v>9</v>
      </c>
      <c r="P959" s="343" t="s">
        <v>3409</v>
      </c>
      <c r="R959" s="863">
        <v>300000</v>
      </c>
      <c r="S959" s="343" t="s">
        <v>3405</v>
      </c>
      <c r="T959" s="343" t="s">
        <v>3839</v>
      </c>
      <c r="X959" s="863"/>
      <c r="Y959" s="863"/>
    </row>
    <row r="960" spans="1:25" s="343" customFormat="1" ht="0.65" hidden="1" customHeight="1">
      <c r="A960" s="343">
        <v>6050</v>
      </c>
      <c r="O960" s="343">
        <v>10</v>
      </c>
      <c r="P960" s="343" t="s">
        <v>3410</v>
      </c>
      <c r="R960" s="863">
        <v>240000</v>
      </c>
      <c r="S960" s="343" t="s">
        <v>3411</v>
      </c>
      <c r="T960" s="343" t="s">
        <v>3840</v>
      </c>
      <c r="X960" s="863"/>
      <c r="Y960" s="863"/>
    </row>
    <row r="961" spans="1:25" s="343" customFormat="1" ht="0.65" hidden="1" customHeight="1">
      <c r="A961" s="343">
        <v>6051</v>
      </c>
      <c r="O961" s="343">
        <v>11</v>
      </c>
      <c r="P961" s="343" t="s">
        <v>3413</v>
      </c>
      <c r="R961" s="863">
        <v>240000</v>
      </c>
      <c r="S961" s="343" t="s">
        <v>3411</v>
      </c>
      <c r="T961" s="343" t="s">
        <v>3840</v>
      </c>
      <c r="X961" s="863"/>
      <c r="Y961" s="863"/>
    </row>
    <row r="962" spans="1:25" s="343" customFormat="1" ht="0.65" hidden="1" customHeight="1">
      <c r="A962" s="343">
        <v>6052</v>
      </c>
      <c r="O962" s="343">
        <v>12</v>
      </c>
      <c r="P962" s="343" t="s">
        <v>3414</v>
      </c>
      <c r="R962" s="863">
        <v>240000</v>
      </c>
      <c r="S962" s="343" t="s">
        <v>3411</v>
      </c>
      <c r="T962" s="343" t="s">
        <v>3840</v>
      </c>
      <c r="X962" s="863"/>
      <c r="Y962" s="863"/>
    </row>
    <row r="963" spans="1:25" s="343" customFormat="1" ht="0.65" hidden="1" customHeight="1">
      <c r="A963" s="343">
        <v>6053</v>
      </c>
      <c r="O963" s="343">
        <v>13</v>
      </c>
      <c r="P963" s="343" t="s">
        <v>3415</v>
      </c>
      <c r="R963" s="863">
        <v>240000</v>
      </c>
      <c r="S963" s="343" t="s">
        <v>3411</v>
      </c>
      <c r="T963" s="343" t="s">
        <v>3840</v>
      </c>
      <c r="X963" s="863"/>
      <c r="Y963" s="863"/>
    </row>
    <row r="964" spans="1:25" s="343" customFormat="1" ht="0.65" hidden="1" customHeight="1">
      <c r="A964" s="343">
        <v>6054</v>
      </c>
      <c r="O964" s="343">
        <v>14</v>
      </c>
      <c r="P964" s="343" t="s">
        <v>3416</v>
      </c>
      <c r="R964" s="863">
        <v>32500</v>
      </c>
      <c r="S964" s="343" t="s">
        <v>3841</v>
      </c>
      <c r="T964" s="343" t="s">
        <v>3842</v>
      </c>
      <c r="X964" s="863"/>
      <c r="Y964" s="863"/>
    </row>
    <row r="965" spans="1:25" s="343" customFormat="1" ht="0.65" hidden="1" customHeight="1">
      <c r="A965" s="343">
        <v>6055</v>
      </c>
      <c r="O965" s="343">
        <v>15</v>
      </c>
      <c r="P965" s="343" t="s">
        <v>3419</v>
      </c>
      <c r="R965" s="863">
        <v>32500</v>
      </c>
      <c r="S965" s="343" t="s">
        <v>3841</v>
      </c>
      <c r="T965" s="343" t="s">
        <v>3842</v>
      </c>
      <c r="X965" s="863"/>
      <c r="Y965" s="863"/>
    </row>
    <row r="966" spans="1:25" s="343" customFormat="1" ht="0.65" hidden="1" customHeight="1">
      <c r="A966" s="343">
        <v>6056</v>
      </c>
      <c r="O966" s="343">
        <v>16</v>
      </c>
      <c r="P966" s="343" t="s">
        <v>3420</v>
      </c>
      <c r="R966" s="863">
        <v>32500</v>
      </c>
      <c r="S966" s="343" t="s">
        <v>3841</v>
      </c>
      <c r="T966" s="343" t="s">
        <v>3842</v>
      </c>
      <c r="X966" s="863"/>
      <c r="Y966" s="863"/>
    </row>
    <row r="967" spans="1:25" s="343" customFormat="1" ht="0.65" hidden="1" customHeight="1">
      <c r="A967" s="343">
        <v>6057</v>
      </c>
      <c r="O967" s="343">
        <v>17</v>
      </c>
      <c r="P967" s="343" t="s">
        <v>3421</v>
      </c>
      <c r="R967" s="863">
        <v>32500</v>
      </c>
      <c r="S967" s="343" t="s">
        <v>3841</v>
      </c>
      <c r="T967" s="343" t="s">
        <v>3842</v>
      </c>
      <c r="X967" s="863"/>
      <c r="Y967" s="863"/>
    </row>
    <row r="968" spans="1:25" s="343" customFormat="1" ht="0.65" hidden="1" customHeight="1">
      <c r="A968" s="343">
        <v>6058</v>
      </c>
      <c r="O968" s="343">
        <v>18</v>
      </c>
      <c r="P968" s="343" t="s">
        <v>3422</v>
      </c>
      <c r="R968" s="863">
        <v>27500</v>
      </c>
      <c r="S968" s="343" t="s">
        <v>3843</v>
      </c>
      <c r="T968" s="343" t="s">
        <v>3424</v>
      </c>
      <c r="X968" s="863"/>
      <c r="Y968" s="863"/>
    </row>
    <row r="969" spans="1:25" s="343" customFormat="1" ht="0.65" hidden="1" customHeight="1">
      <c r="A969" s="343">
        <v>6059</v>
      </c>
      <c r="O969" s="343">
        <v>19</v>
      </c>
      <c r="P969" s="343" t="s">
        <v>3425</v>
      </c>
      <c r="R969" s="863">
        <v>27500</v>
      </c>
      <c r="S969" s="343" t="s">
        <v>3843</v>
      </c>
      <c r="T969" s="343" t="s">
        <v>3426</v>
      </c>
      <c r="X969" s="863"/>
      <c r="Y969" s="863"/>
    </row>
    <row r="970" spans="1:25" s="343" customFormat="1" ht="0.65" hidden="1" customHeight="1">
      <c r="A970" s="343">
        <v>6060</v>
      </c>
      <c r="O970" s="343">
        <v>20</v>
      </c>
      <c r="P970" s="343" t="s">
        <v>3427</v>
      </c>
      <c r="R970" s="863">
        <v>27500</v>
      </c>
      <c r="S970" s="343" t="s">
        <v>3843</v>
      </c>
      <c r="T970" s="343" t="s">
        <v>3428</v>
      </c>
      <c r="X970" s="863"/>
      <c r="Y970" s="863"/>
    </row>
    <row r="971" spans="1:25" s="343" customFormat="1" ht="0.65" hidden="1" customHeight="1">
      <c r="A971" s="343">
        <v>6061</v>
      </c>
      <c r="O971" s="343">
        <v>21</v>
      </c>
      <c r="P971" s="343" t="s">
        <v>3429</v>
      </c>
      <c r="R971" s="863">
        <v>27500</v>
      </c>
      <c r="S971" s="343" t="s">
        <v>3843</v>
      </c>
      <c r="T971" s="343" t="s">
        <v>3430</v>
      </c>
      <c r="X971" s="863"/>
      <c r="Y971" s="863"/>
    </row>
    <row r="972" spans="1:25" s="343" customFormat="1" ht="0.65" hidden="1" customHeight="1">
      <c r="A972" s="343">
        <v>6062</v>
      </c>
      <c r="O972" s="343">
        <v>22</v>
      </c>
      <c r="P972" s="343" t="s">
        <v>3431</v>
      </c>
      <c r="R972" s="863">
        <v>8250</v>
      </c>
      <c r="S972" s="343" t="s">
        <v>3844</v>
      </c>
      <c r="T972" s="343" t="s">
        <v>3433</v>
      </c>
      <c r="X972" s="863"/>
      <c r="Y972" s="863"/>
    </row>
    <row r="973" spans="1:25" s="343" customFormat="1" ht="0.65" hidden="1" customHeight="1">
      <c r="A973" s="343">
        <v>6063</v>
      </c>
      <c r="O973" s="343">
        <v>23</v>
      </c>
      <c r="P973" s="343" t="s">
        <v>3434</v>
      </c>
      <c r="R973" s="863">
        <v>8250</v>
      </c>
      <c r="S973" s="343" t="s">
        <v>3844</v>
      </c>
      <c r="T973" s="343" t="s">
        <v>3435</v>
      </c>
      <c r="X973" s="863"/>
      <c r="Y973" s="863"/>
    </row>
    <row r="974" spans="1:25" s="343" customFormat="1" ht="0.65" hidden="1" customHeight="1">
      <c r="A974" s="343">
        <v>6064</v>
      </c>
      <c r="O974" s="343">
        <v>24</v>
      </c>
      <c r="P974" s="343" t="s">
        <v>3436</v>
      </c>
      <c r="R974" s="863">
        <v>8250</v>
      </c>
      <c r="S974" s="343" t="s">
        <v>3844</v>
      </c>
      <c r="T974" s="343" t="s">
        <v>3437</v>
      </c>
      <c r="X974" s="863"/>
      <c r="Y974" s="863"/>
    </row>
    <row r="975" spans="1:25" s="343" customFormat="1" ht="0.65" hidden="1" customHeight="1">
      <c r="A975" s="343">
        <v>6065</v>
      </c>
      <c r="O975" s="343">
        <v>25</v>
      </c>
      <c r="P975" s="343" t="s">
        <v>3438</v>
      </c>
      <c r="R975" s="863">
        <v>8250</v>
      </c>
      <c r="S975" s="343" t="s">
        <v>3844</v>
      </c>
      <c r="T975" s="343" t="s">
        <v>3439</v>
      </c>
      <c r="X975" s="863"/>
      <c r="Y975" s="863"/>
    </row>
    <row r="976" spans="1:25" s="343" customFormat="1" ht="0.65" hidden="1" customHeight="1">
      <c r="A976" s="343">
        <v>6066</v>
      </c>
      <c r="O976" s="343">
        <v>26</v>
      </c>
      <c r="P976" s="343" t="s">
        <v>3440</v>
      </c>
      <c r="R976" s="863">
        <v>19250</v>
      </c>
      <c r="S976" s="343" t="s">
        <v>3845</v>
      </c>
      <c r="T976" s="343" t="s">
        <v>3442</v>
      </c>
      <c r="X976" s="863"/>
      <c r="Y976" s="863"/>
    </row>
    <row r="977" spans="1:25" s="343" customFormat="1" ht="0.65" hidden="1" customHeight="1">
      <c r="A977" s="343">
        <v>6067</v>
      </c>
      <c r="O977" s="343">
        <v>27</v>
      </c>
      <c r="P977" s="343" t="s">
        <v>3443</v>
      </c>
      <c r="R977" s="863">
        <v>19250</v>
      </c>
      <c r="S977" s="343" t="s">
        <v>3845</v>
      </c>
      <c r="T977" s="343" t="s">
        <v>3444</v>
      </c>
      <c r="X977" s="863"/>
      <c r="Y977" s="863"/>
    </row>
    <row r="978" spans="1:25" s="343" customFormat="1" ht="0.65" hidden="1" customHeight="1">
      <c r="A978" s="343">
        <v>6068</v>
      </c>
      <c r="O978" s="343">
        <v>28</v>
      </c>
      <c r="P978" s="343" t="s">
        <v>3445</v>
      </c>
      <c r="R978" s="863">
        <v>19250</v>
      </c>
      <c r="S978" s="343" t="s">
        <v>3845</v>
      </c>
      <c r="T978" s="343" t="s">
        <v>3446</v>
      </c>
      <c r="X978" s="863"/>
      <c r="Y978" s="863"/>
    </row>
    <row r="979" spans="1:25" s="343" customFormat="1" ht="0.65" hidden="1" customHeight="1">
      <c r="A979" s="343">
        <v>6069</v>
      </c>
      <c r="O979" s="343">
        <v>29</v>
      </c>
      <c r="P979" s="343" t="s">
        <v>3447</v>
      </c>
      <c r="R979" s="863">
        <v>19250</v>
      </c>
      <c r="S979" s="343" t="s">
        <v>3845</v>
      </c>
      <c r="T979" s="343" t="s">
        <v>3448</v>
      </c>
      <c r="X979" s="863"/>
      <c r="Y979" s="863"/>
    </row>
    <row r="980" spans="1:25" s="343" customFormat="1" ht="0.65" hidden="1" customHeight="1">
      <c r="A980" s="343">
        <v>6070</v>
      </c>
      <c r="O980" s="343">
        <v>30</v>
      </c>
      <c r="P980" s="343" t="s">
        <v>3449</v>
      </c>
      <c r="R980" s="863">
        <v>51750</v>
      </c>
      <c r="S980" s="863" t="s">
        <v>3846</v>
      </c>
      <c r="T980" s="343" t="s">
        <v>3451</v>
      </c>
      <c r="X980" s="863"/>
      <c r="Y980" s="863"/>
    </row>
    <row r="981" spans="1:25" s="343" customFormat="1" ht="0.65" hidden="1" customHeight="1">
      <c r="A981" s="343">
        <v>6071</v>
      </c>
      <c r="O981" s="343">
        <v>31</v>
      </c>
      <c r="P981" s="343" t="s">
        <v>3452</v>
      </c>
      <c r="R981" s="863">
        <v>51750</v>
      </c>
      <c r="S981" s="863" t="s">
        <v>3846</v>
      </c>
      <c r="T981" s="343" t="s">
        <v>3453</v>
      </c>
      <c r="X981" s="863"/>
      <c r="Y981" s="863"/>
    </row>
    <row r="982" spans="1:25" s="343" customFormat="1" ht="0.65" hidden="1" customHeight="1">
      <c r="A982" s="343">
        <v>6072</v>
      </c>
      <c r="O982" s="343">
        <v>32</v>
      </c>
      <c r="P982" s="343" t="s">
        <v>3454</v>
      </c>
      <c r="R982" s="863">
        <v>51750</v>
      </c>
      <c r="S982" s="863" t="s">
        <v>3846</v>
      </c>
      <c r="T982" s="343" t="s">
        <v>3455</v>
      </c>
      <c r="X982" s="863"/>
      <c r="Y982" s="863"/>
    </row>
    <row r="983" spans="1:25" s="343" customFormat="1" ht="0.65" hidden="1" customHeight="1">
      <c r="A983" s="343">
        <v>6073</v>
      </c>
      <c r="O983" s="343">
        <v>33</v>
      </c>
      <c r="P983" s="343" t="s">
        <v>3456</v>
      </c>
      <c r="R983" s="863">
        <v>51750</v>
      </c>
      <c r="S983" s="863" t="s">
        <v>3846</v>
      </c>
      <c r="T983" s="343" t="s">
        <v>3457</v>
      </c>
      <c r="X983" s="863"/>
      <c r="Y983" s="863"/>
    </row>
    <row r="984" spans="1:25" s="343" customFormat="1" ht="0.65" hidden="1" customHeight="1">
      <c r="A984" s="343">
        <v>6074</v>
      </c>
      <c r="O984" s="343">
        <v>34</v>
      </c>
      <c r="P984" s="343" t="s">
        <v>3458</v>
      </c>
      <c r="R984" s="863">
        <v>20000</v>
      </c>
      <c r="S984" s="343" t="s">
        <v>3459</v>
      </c>
      <c r="T984" s="893" t="s">
        <v>3847</v>
      </c>
      <c r="X984" s="863"/>
      <c r="Y984" s="863"/>
    </row>
    <row r="985" spans="1:25" s="343" customFormat="1" ht="0.65" hidden="1" customHeight="1">
      <c r="A985" s="343">
        <v>6075</v>
      </c>
      <c r="O985" s="343">
        <v>35</v>
      </c>
      <c r="P985" s="343" t="s">
        <v>3461</v>
      </c>
      <c r="R985" s="863">
        <v>20000</v>
      </c>
      <c r="S985" s="863" t="s">
        <v>3459</v>
      </c>
      <c r="T985" s="893" t="s">
        <v>3462</v>
      </c>
      <c r="X985" s="863"/>
      <c r="Y985" s="863"/>
    </row>
    <row r="986" spans="1:25" s="343" customFormat="1" ht="0.65" hidden="1" customHeight="1">
      <c r="A986" s="343">
        <v>6076</v>
      </c>
      <c r="O986" s="343">
        <v>36</v>
      </c>
      <c r="P986" s="343" t="s">
        <v>3463</v>
      </c>
      <c r="R986" s="863">
        <v>20000</v>
      </c>
      <c r="S986" s="863" t="s">
        <v>3459</v>
      </c>
      <c r="T986" s="893" t="s">
        <v>3464</v>
      </c>
      <c r="X986" s="863"/>
      <c r="Y986" s="863"/>
    </row>
    <row r="987" spans="1:25" s="343" customFormat="1" ht="0.65" hidden="1" customHeight="1">
      <c r="A987" s="343">
        <v>6077</v>
      </c>
      <c r="O987" s="343">
        <v>37</v>
      </c>
      <c r="P987" s="343" t="s">
        <v>3465</v>
      </c>
      <c r="R987" s="863">
        <v>20000</v>
      </c>
      <c r="S987" s="863" t="s">
        <v>3459</v>
      </c>
      <c r="T987" s="893" t="s">
        <v>3466</v>
      </c>
      <c r="X987" s="863"/>
      <c r="Y987" s="863"/>
    </row>
    <row r="988" spans="1:25" s="343" customFormat="1" ht="0.65" hidden="1" customHeight="1">
      <c r="A988" s="343">
        <v>6078</v>
      </c>
      <c r="O988" s="343">
        <v>38</v>
      </c>
      <c r="P988" s="343" t="s">
        <v>3467</v>
      </c>
      <c r="R988" s="863">
        <v>20000</v>
      </c>
      <c r="S988" s="863" t="s">
        <v>3459</v>
      </c>
      <c r="T988" s="893" t="s">
        <v>3466</v>
      </c>
      <c r="X988" s="863"/>
      <c r="Y988" s="863"/>
    </row>
    <row r="989" spans="1:25" s="343" customFormat="1" ht="0.65" hidden="1" customHeight="1">
      <c r="A989" s="343">
        <v>6079</v>
      </c>
      <c r="O989" s="343">
        <v>39</v>
      </c>
      <c r="P989" s="343" t="s">
        <v>3468</v>
      </c>
      <c r="R989" s="863">
        <v>0</v>
      </c>
      <c r="S989" s="343" t="s">
        <v>3639</v>
      </c>
      <c r="T989" s="343" t="s">
        <v>3848</v>
      </c>
      <c r="X989" s="863"/>
      <c r="Y989" s="863"/>
    </row>
    <row r="990" spans="1:25" s="343" customFormat="1" ht="0.65" hidden="1" customHeight="1">
      <c r="A990" s="343">
        <v>6080</v>
      </c>
      <c r="O990" s="343">
        <v>40</v>
      </c>
      <c r="P990" s="343" t="s">
        <v>3471</v>
      </c>
      <c r="R990" s="863">
        <v>75000</v>
      </c>
      <c r="S990" s="863" t="s">
        <v>3469</v>
      </c>
      <c r="T990" s="343" t="s">
        <v>3472</v>
      </c>
      <c r="X990" s="863"/>
      <c r="Y990" s="863"/>
    </row>
    <row r="991" spans="1:25" s="343" customFormat="1" ht="0.65" hidden="1" customHeight="1">
      <c r="A991" s="343">
        <v>6081</v>
      </c>
      <c r="O991" s="343">
        <v>41</v>
      </c>
      <c r="P991" s="343" t="s">
        <v>3473</v>
      </c>
      <c r="R991" s="863">
        <v>75000</v>
      </c>
      <c r="S991" s="863" t="s">
        <v>3469</v>
      </c>
      <c r="T991" s="343" t="s">
        <v>3474</v>
      </c>
      <c r="X991" s="863"/>
      <c r="Y991" s="863"/>
    </row>
    <row r="992" spans="1:25" s="343" customFormat="1" ht="0.65" hidden="1" customHeight="1">
      <c r="A992" s="343">
        <v>6082</v>
      </c>
      <c r="O992" s="343">
        <v>42</v>
      </c>
      <c r="P992" s="343" t="s">
        <v>3475</v>
      </c>
      <c r="R992" s="863">
        <v>75000</v>
      </c>
      <c r="S992" s="863" t="s">
        <v>3469</v>
      </c>
      <c r="T992" s="343" t="s">
        <v>3476</v>
      </c>
      <c r="X992" s="863"/>
      <c r="Y992" s="863"/>
    </row>
    <row r="993" spans="1:25" s="343" customFormat="1" ht="0.65" hidden="1" customHeight="1">
      <c r="A993" s="343">
        <v>6083</v>
      </c>
      <c r="O993" s="343">
        <v>43</v>
      </c>
      <c r="P993" s="343" t="s">
        <v>3477</v>
      </c>
      <c r="R993" s="863">
        <v>75000</v>
      </c>
      <c r="S993" s="863" t="s">
        <v>3469</v>
      </c>
      <c r="T993" s="343" t="s">
        <v>3478</v>
      </c>
      <c r="X993" s="863"/>
      <c r="Y993" s="863"/>
    </row>
    <row r="994" spans="1:25" s="343" customFormat="1" ht="0.65" hidden="1" customHeight="1">
      <c r="A994" s="343">
        <v>6084</v>
      </c>
      <c r="O994" s="343">
        <v>44</v>
      </c>
      <c r="P994" s="343" t="s">
        <v>3479</v>
      </c>
      <c r="R994" s="863">
        <v>0</v>
      </c>
      <c r="S994" s="343" t="s">
        <v>3639</v>
      </c>
      <c r="T994" s="343" t="s">
        <v>3849</v>
      </c>
      <c r="X994" s="863"/>
      <c r="Y994" s="863"/>
    </row>
    <row r="995" spans="1:25" s="343" customFormat="1" ht="0.65" hidden="1" customHeight="1">
      <c r="A995" s="343">
        <v>6085</v>
      </c>
      <c r="O995" s="343">
        <v>45</v>
      </c>
      <c r="P995" s="343" t="s">
        <v>3482</v>
      </c>
      <c r="R995" s="863">
        <v>40000</v>
      </c>
      <c r="S995" s="863" t="s">
        <v>3480</v>
      </c>
      <c r="T995" s="343" t="s">
        <v>3483</v>
      </c>
      <c r="X995" s="863"/>
      <c r="Y995" s="863"/>
    </row>
    <row r="996" spans="1:25" s="343" customFormat="1" ht="0.65" hidden="1" customHeight="1">
      <c r="A996" s="343">
        <v>6086</v>
      </c>
      <c r="O996" s="343">
        <v>46</v>
      </c>
      <c r="P996" s="343" t="s">
        <v>3484</v>
      </c>
      <c r="R996" s="863">
        <v>40000</v>
      </c>
      <c r="S996" s="863" t="s">
        <v>3480</v>
      </c>
      <c r="T996" s="343" t="s">
        <v>3485</v>
      </c>
      <c r="X996" s="863"/>
      <c r="Y996" s="863"/>
    </row>
    <row r="997" spans="1:25" s="343" customFormat="1" ht="0.65" hidden="1" customHeight="1">
      <c r="A997" s="343">
        <v>6087</v>
      </c>
      <c r="O997" s="343">
        <v>47</v>
      </c>
      <c r="P997" s="343" t="s">
        <v>3486</v>
      </c>
      <c r="R997" s="863">
        <v>40000</v>
      </c>
      <c r="S997" s="863" t="s">
        <v>3480</v>
      </c>
      <c r="T997" s="343" t="s">
        <v>3487</v>
      </c>
      <c r="X997" s="863"/>
      <c r="Y997" s="863"/>
    </row>
    <row r="998" spans="1:25" s="343" customFormat="1" ht="0.65" hidden="1" customHeight="1">
      <c r="A998" s="343">
        <v>6088</v>
      </c>
      <c r="O998" s="343">
        <v>48</v>
      </c>
      <c r="P998" s="343" t="s">
        <v>3488</v>
      </c>
      <c r="R998" s="863">
        <v>40000</v>
      </c>
      <c r="S998" s="863" t="s">
        <v>3480</v>
      </c>
      <c r="T998" s="343" t="s">
        <v>3489</v>
      </c>
      <c r="X998" s="863"/>
      <c r="Y998" s="863"/>
    </row>
    <row r="999" spans="1:25" s="343" customFormat="1" ht="0.65" hidden="1" customHeight="1">
      <c r="A999" s="343">
        <v>6089</v>
      </c>
      <c r="O999" s="343">
        <v>49</v>
      </c>
      <c r="P999" s="343" t="s">
        <v>3490</v>
      </c>
      <c r="R999" s="863">
        <v>20000</v>
      </c>
      <c r="S999" s="863" t="s">
        <v>3850</v>
      </c>
      <c r="T999" s="343" t="s">
        <v>3492</v>
      </c>
      <c r="X999" s="863"/>
      <c r="Y999" s="863"/>
    </row>
    <row r="1000" spans="1:25" s="343" customFormat="1" ht="0.65" hidden="1" customHeight="1">
      <c r="A1000" s="343">
        <v>6090</v>
      </c>
      <c r="O1000" s="343">
        <v>50</v>
      </c>
      <c r="P1000" s="343" t="s">
        <v>3493</v>
      </c>
      <c r="R1000" s="863">
        <v>55000</v>
      </c>
      <c r="S1000" s="863" t="s">
        <v>3491</v>
      </c>
      <c r="T1000" s="343" t="s">
        <v>3494</v>
      </c>
      <c r="X1000" s="863"/>
      <c r="Y1000" s="863"/>
    </row>
    <row r="1001" spans="1:25" s="343" customFormat="1" ht="0.65" hidden="1" customHeight="1">
      <c r="A1001" s="343">
        <v>6091</v>
      </c>
      <c r="O1001" s="343">
        <v>51</v>
      </c>
      <c r="P1001" s="343" t="s">
        <v>3495</v>
      </c>
      <c r="R1001" s="863">
        <v>55000</v>
      </c>
      <c r="S1001" s="863" t="s">
        <v>3491</v>
      </c>
      <c r="T1001" s="343" t="s">
        <v>3496</v>
      </c>
      <c r="X1001" s="863"/>
      <c r="Y1001" s="863"/>
    </row>
    <row r="1002" spans="1:25" s="343" customFormat="1" ht="0.65" hidden="1" customHeight="1">
      <c r="A1002" s="343">
        <v>6092</v>
      </c>
      <c r="O1002" s="343">
        <v>52</v>
      </c>
      <c r="P1002" s="343" t="s">
        <v>3497</v>
      </c>
      <c r="R1002" s="863">
        <v>55000</v>
      </c>
      <c r="S1002" s="863" t="s">
        <v>3491</v>
      </c>
      <c r="T1002" s="343" t="s">
        <v>3498</v>
      </c>
      <c r="X1002" s="863"/>
      <c r="Y1002" s="863"/>
    </row>
    <row r="1003" spans="1:25" s="343" customFormat="1" ht="0.65" hidden="1" customHeight="1">
      <c r="A1003" s="343">
        <v>6093</v>
      </c>
      <c r="O1003" s="343">
        <v>53</v>
      </c>
      <c r="P1003" s="343" t="s">
        <v>3499</v>
      </c>
      <c r="R1003" s="863">
        <v>55000</v>
      </c>
      <c r="S1003" s="863" t="s">
        <v>3491</v>
      </c>
      <c r="T1003" s="343" t="s">
        <v>3500</v>
      </c>
      <c r="X1003" s="863"/>
      <c r="Y1003" s="863"/>
    </row>
    <row r="1004" spans="1:25" s="343" customFormat="1" ht="0.65" hidden="1" customHeight="1">
      <c r="A1004" s="343">
        <v>6094</v>
      </c>
      <c r="O1004" s="343">
        <v>54</v>
      </c>
      <c r="P1004" s="343" t="s">
        <v>3501</v>
      </c>
      <c r="R1004" s="863">
        <v>20000</v>
      </c>
      <c r="S1004" s="343" t="s">
        <v>3417</v>
      </c>
      <c r="T1004" s="343" t="s">
        <v>3503</v>
      </c>
      <c r="X1004" s="863"/>
      <c r="Y1004" s="863"/>
    </row>
    <row r="1005" spans="1:25" s="343" customFormat="1" ht="0.65" hidden="1" customHeight="1">
      <c r="A1005" s="343">
        <v>6095</v>
      </c>
      <c r="O1005" s="343">
        <v>55</v>
      </c>
      <c r="P1005" s="343" t="s">
        <v>3504</v>
      </c>
      <c r="R1005" s="863">
        <v>35000</v>
      </c>
      <c r="S1005" s="343" t="s">
        <v>3851</v>
      </c>
      <c r="T1005" s="343" t="s">
        <v>3506</v>
      </c>
      <c r="X1005" s="863"/>
      <c r="Y1005" s="863"/>
    </row>
    <row r="1006" spans="1:25" s="343" customFormat="1" ht="0.65" hidden="1" customHeight="1">
      <c r="A1006" s="343">
        <v>6096</v>
      </c>
      <c r="O1006" s="343">
        <v>56</v>
      </c>
      <c r="P1006" s="343" t="s">
        <v>3507</v>
      </c>
      <c r="R1006" s="863">
        <v>0</v>
      </c>
      <c r="S1006" s="343" t="s">
        <v>3505</v>
      </c>
      <c r="T1006" s="343" t="s">
        <v>3508</v>
      </c>
      <c r="X1006" s="863"/>
      <c r="Y1006" s="863"/>
    </row>
    <row r="1007" spans="1:25" s="343" customFormat="1" ht="0.65" hidden="1" customHeight="1">
      <c r="A1007" s="343">
        <v>6097</v>
      </c>
      <c r="O1007" s="343">
        <v>57</v>
      </c>
      <c r="P1007" s="343" t="s">
        <v>3509</v>
      </c>
      <c r="R1007" s="863">
        <v>0</v>
      </c>
      <c r="S1007" s="343" t="s">
        <v>3505</v>
      </c>
      <c r="T1007" s="343" t="s">
        <v>3510</v>
      </c>
      <c r="X1007" s="863"/>
      <c r="Y1007" s="863"/>
    </row>
    <row r="1008" spans="1:25" s="343" customFormat="1" ht="0.65" hidden="1" customHeight="1">
      <c r="A1008" s="343">
        <v>6098</v>
      </c>
      <c r="O1008" s="343">
        <v>58</v>
      </c>
      <c r="P1008" s="343" t="s">
        <v>3511</v>
      </c>
      <c r="R1008" s="863">
        <v>0</v>
      </c>
      <c r="S1008" s="343" t="s">
        <v>3505</v>
      </c>
      <c r="T1008" s="343" t="s">
        <v>3512</v>
      </c>
      <c r="X1008" s="863"/>
      <c r="Y1008" s="863"/>
    </row>
    <row r="1009" spans="1:25" s="343" customFormat="1" ht="0.65" hidden="1" customHeight="1">
      <c r="A1009" s="343">
        <v>6099</v>
      </c>
      <c r="O1009" s="343">
        <v>59</v>
      </c>
      <c r="P1009" s="343" t="s">
        <v>3513</v>
      </c>
      <c r="R1009" s="863">
        <v>16750</v>
      </c>
      <c r="S1009" s="863" t="s">
        <v>3852</v>
      </c>
      <c r="T1009" s="343" t="s">
        <v>3515</v>
      </c>
      <c r="X1009" s="863"/>
      <c r="Y1009" s="863"/>
    </row>
    <row r="1010" spans="1:25" s="343" customFormat="1" ht="0.65" hidden="1" customHeight="1">
      <c r="A1010" s="343">
        <v>6100</v>
      </c>
      <c r="O1010" s="343">
        <v>60</v>
      </c>
      <c r="P1010" s="343" t="s">
        <v>3516</v>
      </c>
      <c r="R1010" s="863">
        <v>51750</v>
      </c>
      <c r="S1010" s="863" t="s">
        <v>3853</v>
      </c>
      <c r="T1010" s="343" t="s">
        <v>3517</v>
      </c>
      <c r="X1010" s="863"/>
      <c r="Y1010" s="863"/>
    </row>
    <row r="1011" spans="1:25" s="343" customFormat="1" ht="0.65" hidden="1" customHeight="1">
      <c r="A1011" s="343">
        <v>6101</v>
      </c>
      <c r="O1011" s="343">
        <v>61</v>
      </c>
      <c r="P1011" s="343" t="s">
        <v>3518</v>
      </c>
      <c r="R1011" s="863">
        <v>51750</v>
      </c>
      <c r="S1011" s="863" t="s">
        <v>3853</v>
      </c>
      <c r="T1011" s="343" t="s">
        <v>3519</v>
      </c>
      <c r="X1011" s="863"/>
      <c r="Y1011" s="863"/>
    </row>
    <row r="1012" spans="1:25" s="343" customFormat="1" ht="0.65" hidden="1" customHeight="1">
      <c r="A1012" s="343">
        <v>6102</v>
      </c>
      <c r="O1012" s="343">
        <v>62</v>
      </c>
      <c r="P1012" s="343" t="s">
        <v>3520</v>
      </c>
      <c r="R1012" s="863">
        <v>51750</v>
      </c>
      <c r="S1012" s="863" t="s">
        <v>3853</v>
      </c>
      <c r="T1012" s="343" t="s">
        <v>3521</v>
      </c>
      <c r="X1012" s="863"/>
      <c r="Y1012" s="863"/>
    </row>
    <row r="1013" spans="1:25" s="343" customFormat="1" ht="0.65" hidden="1" customHeight="1">
      <c r="A1013" s="343">
        <v>6103</v>
      </c>
      <c r="O1013" s="343">
        <v>63</v>
      </c>
      <c r="P1013" s="343" t="s">
        <v>3389</v>
      </c>
      <c r="R1013" s="863">
        <v>55000</v>
      </c>
      <c r="S1013" s="343" t="s">
        <v>3502</v>
      </c>
      <c r="T1013" s="343" t="s">
        <v>3522</v>
      </c>
      <c r="X1013" s="863"/>
      <c r="Y1013" s="863"/>
    </row>
    <row r="1014" spans="1:25" s="343" customFormat="1" ht="0.65" hidden="1" customHeight="1">
      <c r="A1014" s="343">
        <v>6104</v>
      </c>
      <c r="O1014" s="343">
        <v>64</v>
      </c>
      <c r="P1014" s="343" t="s">
        <v>3704</v>
      </c>
      <c r="R1014" s="863">
        <v>106000</v>
      </c>
      <c r="S1014" s="343" t="s">
        <v>3659</v>
      </c>
      <c r="T1014" s="343" t="s">
        <v>3748</v>
      </c>
      <c r="X1014" s="863"/>
      <c r="Y1014" s="863"/>
    </row>
    <row r="1015" spans="1:25" s="343" customFormat="1" ht="0.65" hidden="1" customHeight="1">
      <c r="A1015" s="343">
        <v>6105</v>
      </c>
      <c r="O1015" s="343">
        <v>65</v>
      </c>
      <c r="P1015" s="343" t="s">
        <v>3707</v>
      </c>
      <c r="R1015" s="863">
        <v>0</v>
      </c>
      <c r="S1015" s="343" t="s">
        <v>3749</v>
      </c>
      <c r="T1015" s="343" t="s">
        <v>3750</v>
      </c>
      <c r="X1015" s="863"/>
      <c r="Y1015" s="863"/>
    </row>
    <row r="1016" spans="1:25" s="343" customFormat="1" ht="0.65" hidden="1" customHeight="1">
      <c r="A1016" s="343">
        <v>6106</v>
      </c>
      <c r="O1016" s="343">
        <v>66</v>
      </c>
      <c r="P1016" s="343" t="s">
        <v>55</v>
      </c>
      <c r="R1016" s="863"/>
      <c r="X1016" s="863"/>
      <c r="Y1016" s="863"/>
    </row>
    <row r="1017" spans="1:25" s="343" customFormat="1" ht="0.65" hidden="1" customHeight="1">
      <c r="A1017" s="343">
        <v>6107</v>
      </c>
      <c r="O1017" s="343">
        <v>67</v>
      </c>
      <c r="P1017" s="343" t="s">
        <v>3394</v>
      </c>
      <c r="R1017" s="863">
        <v>161000</v>
      </c>
      <c r="S1017" s="343" t="s">
        <v>3854</v>
      </c>
      <c r="T1017" s="343" t="s">
        <v>3855</v>
      </c>
      <c r="X1017" s="863"/>
      <c r="Y1017" s="863"/>
    </row>
    <row r="1018" spans="1:25" s="343" customFormat="1" ht="0.65" hidden="1" customHeight="1">
      <c r="A1018" s="343">
        <v>6108</v>
      </c>
      <c r="O1018" s="343">
        <v>68</v>
      </c>
      <c r="P1018" s="343" t="s">
        <v>3527</v>
      </c>
      <c r="R1018" s="863">
        <v>-242000</v>
      </c>
      <c r="S1018" s="343" t="s">
        <v>3856</v>
      </c>
      <c r="T1018" s="343" t="s">
        <v>3529</v>
      </c>
      <c r="X1018" s="863"/>
      <c r="Y1018" s="863"/>
    </row>
    <row r="1019" spans="1:25" s="343" customFormat="1" ht="0.65" hidden="1" customHeight="1">
      <c r="A1019" s="343">
        <v>6109</v>
      </c>
      <c r="O1019" s="343">
        <v>69</v>
      </c>
      <c r="P1019" s="343" t="s">
        <v>3530</v>
      </c>
      <c r="R1019" s="863">
        <v>16750</v>
      </c>
      <c r="S1019" s="343" t="s">
        <v>3857</v>
      </c>
      <c r="T1019" s="343" t="s">
        <v>3532</v>
      </c>
      <c r="X1019" s="863"/>
      <c r="Y1019" s="863"/>
    </row>
    <row r="1020" spans="1:25" s="343" customFormat="1" ht="0.65" hidden="1" customHeight="1">
      <c r="A1020" s="343">
        <v>6110</v>
      </c>
      <c r="O1020" s="343">
        <v>70</v>
      </c>
      <c r="P1020" s="343" t="s">
        <v>3533</v>
      </c>
      <c r="R1020" s="863">
        <v>51750</v>
      </c>
      <c r="S1020" s="343" t="s">
        <v>3858</v>
      </c>
      <c r="T1020" s="343" t="s">
        <v>3534</v>
      </c>
      <c r="X1020" s="863"/>
      <c r="Y1020" s="863"/>
    </row>
    <row r="1021" spans="1:25" s="343" customFormat="1" ht="0.65" hidden="1" customHeight="1">
      <c r="A1021" s="343">
        <v>6111</v>
      </c>
      <c r="O1021" s="343">
        <v>71</v>
      </c>
      <c r="P1021" s="343" t="s">
        <v>3535</v>
      </c>
      <c r="R1021" s="863">
        <v>51750</v>
      </c>
      <c r="S1021" s="343" t="s">
        <v>3858</v>
      </c>
      <c r="T1021" s="343" t="s">
        <v>3536</v>
      </c>
      <c r="X1021" s="863"/>
      <c r="Y1021" s="863"/>
    </row>
    <row r="1022" spans="1:25" s="343" customFormat="1" ht="0.65" hidden="1" customHeight="1">
      <c r="A1022" s="343">
        <v>6112</v>
      </c>
      <c r="O1022" s="343">
        <v>72</v>
      </c>
      <c r="P1022" s="343" t="s">
        <v>3537</v>
      </c>
      <c r="R1022" s="863">
        <v>212750</v>
      </c>
      <c r="S1022" s="343" t="s">
        <v>3859</v>
      </c>
      <c r="T1022" s="343" t="s">
        <v>3539</v>
      </c>
      <c r="X1022" s="863"/>
      <c r="Y1022" s="863"/>
    </row>
    <row r="1023" spans="1:25" s="343" customFormat="1" ht="0.65" hidden="1" customHeight="1">
      <c r="A1023" s="343">
        <v>6113</v>
      </c>
      <c r="O1023" s="343">
        <v>73</v>
      </c>
      <c r="P1023" s="343" t="s">
        <v>3540</v>
      </c>
      <c r="R1023" s="864">
        <v>0.1</v>
      </c>
      <c r="S1023" s="343" t="s">
        <v>3541</v>
      </c>
      <c r="T1023" s="343" t="s">
        <v>3542</v>
      </c>
      <c r="X1023" s="863"/>
      <c r="Y1023" s="863"/>
    </row>
    <row r="1024" spans="1:25" s="343" customFormat="1" ht="0.65" hidden="1" customHeight="1">
      <c r="A1024" s="343">
        <v>6114</v>
      </c>
      <c r="O1024" s="343">
        <v>74</v>
      </c>
      <c r="P1024" s="343" t="s">
        <v>13</v>
      </c>
      <c r="R1024" s="863">
        <v>187.52134417043999</v>
      </c>
      <c r="S1024" s="343" t="s">
        <v>3860</v>
      </c>
      <c r="T1024" s="343" t="s">
        <v>3544</v>
      </c>
      <c r="X1024" s="863"/>
      <c r="Y1024" s="863"/>
    </row>
    <row r="1025" spans="1:25" s="343" customFormat="1" ht="0.65" hidden="1" customHeight="1">
      <c r="A1025" s="343">
        <v>6115</v>
      </c>
      <c r="O1025" s="343">
        <v>75</v>
      </c>
      <c r="P1025" s="343" t="s">
        <v>28</v>
      </c>
      <c r="R1025" s="864">
        <v>0.10025841655564194</v>
      </c>
      <c r="S1025" s="343" t="s">
        <v>3861</v>
      </c>
      <c r="T1025" s="343" t="s">
        <v>3546</v>
      </c>
      <c r="X1025" s="863"/>
      <c r="Y1025" s="863"/>
    </row>
    <row r="1026" spans="1:25" s="343" customFormat="1" ht="0.65" hidden="1" customHeight="1">
      <c r="A1026" s="343">
        <v>6116</v>
      </c>
      <c r="X1026" s="863"/>
      <c r="Y1026" s="863"/>
    </row>
    <row r="1027" spans="1:25" s="343" customFormat="1" ht="0.65" hidden="1" customHeight="1">
      <c r="A1027" s="343">
        <v>6117</v>
      </c>
      <c r="O1027" s="343">
        <v>1</v>
      </c>
      <c r="P1027" s="343" t="s">
        <v>3862</v>
      </c>
      <c r="X1027" s="863"/>
      <c r="Y1027" s="863"/>
    </row>
    <row r="1028" spans="1:25" s="343" customFormat="1" ht="0.65" hidden="1" customHeight="1">
      <c r="A1028" s="343">
        <v>6118</v>
      </c>
      <c r="O1028" s="343">
        <v>2</v>
      </c>
      <c r="P1028" s="343" t="s">
        <v>3934</v>
      </c>
      <c r="X1028" s="863"/>
      <c r="Y1028" s="863"/>
    </row>
    <row r="1029" spans="1:25" s="343" customFormat="1" ht="0.65" hidden="1" customHeight="1">
      <c r="A1029" s="343">
        <v>6119</v>
      </c>
      <c r="O1029" s="343">
        <v>3</v>
      </c>
      <c r="P1029" s="343" t="s">
        <v>3935</v>
      </c>
      <c r="X1029" s="863"/>
      <c r="Y1029" s="863"/>
    </row>
    <row r="1030" spans="1:25" s="343" customFormat="1" ht="0.65" hidden="1" customHeight="1">
      <c r="A1030" s="343">
        <v>6120</v>
      </c>
      <c r="O1030" s="343">
        <v>4</v>
      </c>
      <c r="P1030" s="343" t="s">
        <v>3921</v>
      </c>
      <c r="X1030" s="863"/>
      <c r="Y1030" s="863"/>
    </row>
    <row r="1031" spans="1:25" s="343" customFormat="1" ht="0.65" hidden="1" customHeight="1">
      <c r="A1031" s="343">
        <v>6121</v>
      </c>
      <c r="O1031" s="343">
        <v>5</v>
      </c>
      <c r="P1031" s="343" t="s">
        <v>3936</v>
      </c>
      <c r="X1031" s="863"/>
      <c r="Y1031" s="863"/>
    </row>
    <row r="1032" spans="1:25" s="343" customFormat="1" ht="0.65" hidden="1" customHeight="1">
      <c r="A1032" s="343">
        <v>6122</v>
      </c>
      <c r="O1032" s="343">
        <v>6</v>
      </c>
      <c r="P1032" s="343" t="s">
        <v>3866</v>
      </c>
      <c r="X1032" s="863"/>
      <c r="Y1032" s="863"/>
    </row>
    <row r="1033" spans="1:25" s="343" customFormat="1" ht="0.65" hidden="1" customHeight="1">
      <c r="A1033" s="343">
        <v>6123</v>
      </c>
      <c r="O1033" s="343">
        <v>7</v>
      </c>
      <c r="X1033" s="863"/>
      <c r="Y1033" s="863"/>
    </row>
    <row r="1034" spans="1:25" s="343" customFormat="1" ht="0.65" hidden="1" customHeight="1">
      <c r="A1034" s="343">
        <v>6124</v>
      </c>
      <c r="O1034" s="343">
        <v>8</v>
      </c>
      <c r="X1034" s="863"/>
      <c r="Y1034" s="863"/>
    </row>
    <row r="1035" spans="1:25" s="343" customFormat="1" ht="0.65" hidden="1" customHeight="1">
      <c r="A1035" s="343">
        <v>6125</v>
      </c>
      <c r="O1035" s="343">
        <v>9</v>
      </c>
      <c r="X1035" s="863"/>
      <c r="Y1035" s="863"/>
    </row>
    <row r="1036" spans="1:25" s="343" customFormat="1" ht="0.65" hidden="1" customHeight="1">
      <c r="A1036" s="343">
        <v>6126</v>
      </c>
      <c r="O1036" s="343">
        <v>10</v>
      </c>
      <c r="X1036" s="863"/>
      <c r="Y1036" s="863"/>
    </row>
    <row r="1037" spans="1:25" s="343" customFormat="1" ht="0.65" hidden="1" customHeight="1">
      <c r="A1037" s="343">
        <v>6127</v>
      </c>
      <c r="X1037" s="863"/>
      <c r="Y1037" s="863"/>
    </row>
    <row r="1038" spans="1:25" s="343" customFormat="1" ht="0.65" hidden="1" customHeight="1">
      <c r="A1038" s="343">
        <v>6128</v>
      </c>
      <c r="X1038" s="863"/>
      <c r="Y1038" s="863"/>
    </row>
    <row r="1039" spans="1:25" s="343" customFormat="1" ht="0.65" hidden="1" customHeight="1">
      <c r="A1039" s="343">
        <v>6129</v>
      </c>
      <c r="X1039" s="863"/>
      <c r="Y1039" s="863"/>
    </row>
    <row r="1040" spans="1:25" s="343" customFormat="1" ht="0.65" hidden="1" customHeight="1">
      <c r="A1040" s="343">
        <v>6130</v>
      </c>
      <c r="X1040" s="863"/>
      <c r="Y1040" s="863"/>
    </row>
    <row r="1041" spans="1:25" s="343" customFormat="1" ht="0.65" hidden="1" customHeight="1">
      <c r="A1041" s="653">
        <v>1</v>
      </c>
      <c r="B1041" s="653">
        <v>2</v>
      </c>
      <c r="C1041" s="653">
        <v>3</v>
      </c>
      <c r="D1041" s="653">
        <v>4</v>
      </c>
      <c r="E1041" s="653">
        <v>5</v>
      </c>
      <c r="F1041" s="653">
        <v>6</v>
      </c>
      <c r="G1041" s="653">
        <v>7</v>
      </c>
      <c r="H1041" s="653">
        <v>8</v>
      </c>
      <c r="I1041" s="653">
        <v>9</v>
      </c>
      <c r="J1041" s="653">
        <v>10</v>
      </c>
      <c r="K1041" s="653">
        <v>11</v>
      </c>
      <c r="L1041" s="653">
        <v>12</v>
      </c>
      <c r="M1041" s="653">
        <v>13</v>
      </c>
      <c r="N1041" s="653">
        <v>14</v>
      </c>
      <c r="O1041" s="653">
        <v>15</v>
      </c>
      <c r="P1041" s="653">
        <v>16</v>
      </c>
      <c r="Q1041" s="653">
        <v>17</v>
      </c>
      <c r="R1041" s="653">
        <v>18</v>
      </c>
      <c r="S1041" s="653">
        <v>19</v>
      </c>
      <c r="T1041" s="653">
        <v>20</v>
      </c>
      <c r="U1041" s="653">
        <v>21</v>
      </c>
      <c r="V1041" s="653">
        <v>22</v>
      </c>
      <c r="W1041" s="653">
        <v>23</v>
      </c>
    </row>
    <row r="1042" spans="1:25" s="343" customFormat="1" ht="0.65" hidden="1" customHeight="1">
      <c r="A1042" s="343">
        <v>7</v>
      </c>
    </row>
    <row r="1043" spans="1:25" s="343" customFormat="1" ht="0.65" hidden="1" customHeight="1">
      <c r="A1043" s="343">
        <v>7001</v>
      </c>
      <c r="B1043" s="343" t="s">
        <v>3867</v>
      </c>
      <c r="E1043" s="343" t="s">
        <v>3868</v>
      </c>
      <c r="M1043" s="863" t="s">
        <v>3868</v>
      </c>
      <c r="N1043" s="863"/>
      <c r="O1043" s="863"/>
      <c r="P1043" s="863"/>
      <c r="Q1043" s="863"/>
      <c r="R1043" s="863"/>
      <c r="S1043" s="863"/>
      <c r="T1043" s="863"/>
      <c r="U1043" s="863"/>
      <c r="V1043" s="863"/>
    </row>
    <row r="1044" spans="1:25" s="343" customFormat="1" ht="0.65" hidden="1" customHeight="1">
      <c r="A1044" s="343">
        <v>7002</v>
      </c>
      <c r="M1044" s="863"/>
      <c r="N1044" s="865" t="s">
        <v>55</v>
      </c>
      <c r="O1044" s="865" t="s">
        <v>55</v>
      </c>
      <c r="P1044" s="865" t="s">
        <v>55</v>
      </c>
      <c r="Q1044" s="865" t="s">
        <v>55</v>
      </c>
      <c r="R1044" s="865" t="s">
        <v>55</v>
      </c>
      <c r="S1044" s="865" t="s">
        <v>55</v>
      </c>
      <c r="T1044" s="865" t="s">
        <v>55</v>
      </c>
      <c r="U1044" s="865" t="s">
        <v>55</v>
      </c>
      <c r="V1044" s="865" t="s">
        <v>55</v>
      </c>
    </row>
    <row r="1045" spans="1:25" s="343" customFormat="1" ht="0.65" hidden="1" customHeight="1">
      <c r="A1045" s="343">
        <v>7003</v>
      </c>
      <c r="B1045" s="343" t="s">
        <v>3869</v>
      </c>
      <c r="E1045" s="343" t="s">
        <v>3870</v>
      </c>
      <c r="H1045" s="343" t="s">
        <v>3604</v>
      </c>
      <c r="M1045" s="659"/>
      <c r="N1045" s="866"/>
      <c r="O1045" s="866"/>
      <c r="P1045" s="866"/>
      <c r="Q1045" s="866"/>
      <c r="R1045" s="866"/>
      <c r="S1045" s="866"/>
      <c r="T1045" s="866"/>
      <c r="U1045" s="866"/>
      <c r="V1045" s="866"/>
    </row>
    <row r="1046" spans="1:25" s="343" customFormat="1" ht="0.65" hidden="1" customHeight="1">
      <c r="A1046" s="343">
        <v>7004</v>
      </c>
      <c r="B1046" s="343" t="s">
        <v>3871</v>
      </c>
      <c r="M1046" s="663"/>
      <c r="N1046" s="343">
        <v>0</v>
      </c>
      <c r="O1046" s="343">
        <v>0</v>
      </c>
      <c r="P1046" s="343">
        <v>0</v>
      </c>
      <c r="Q1046" s="343">
        <v>0</v>
      </c>
      <c r="R1046" s="343">
        <v>0</v>
      </c>
      <c r="S1046" s="343">
        <v>0</v>
      </c>
      <c r="T1046" s="343">
        <v>0</v>
      </c>
      <c r="U1046" s="343">
        <v>0</v>
      </c>
      <c r="V1046" s="863">
        <v>90000</v>
      </c>
    </row>
    <row r="1047" spans="1:25" s="343" customFormat="1" ht="0.65" hidden="1" customHeight="1">
      <c r="A1047" s="343">
        <v>7005</v>
      </c>
      <c r="E1047" s="343" t="s">
        <v>3872</v>
      </c>
      <c r="F1047" s="659">
        <v>30000</v>
      </c>
      <c r="H1047" s="343" t="s">
        <v>3365</v>
      </c>
      <c r="I1047" s="659">
        <v>1800000</v>
      </c>
      <c r="M1047" s="663"/>
      <c r="N1047" s="863">
        <v>0</v>
      </c>
      <c r="O1047" s="863">
        <v>0</v>
      </c>
      <c r="P1047" s="863">
        <v>6000</v>
      </c>
      <c r="Q1047" s="863">
        <v>-6000</v>
      </c>
      <c r="R1047" s="863">
        <v>-1800</v>
      </c>
      <c r="S1047" s="863">
        <v>-4200</v>
      </c>
      <c r="T1047" s="863">
        <v>1800</v>
      </c>
      <c r="U1047" s="863">
        <v>1800</v>
      </c>
      <c r="V1047" s="863">
        <v>1800</v>
      </c>
    </row>
    <row r="1048" spans="1:25" s="343" customFormat="1" ht="0.65" hidden="1" customHeight="1">
      <c r="A1048" s="343">
        <v>7006</v>
      </c>
      <c r="B1048" s="343" t="s">
        <v>3873</v>
      </c>
      <c r="E1048" s="343" t="s">
        <v>2886</v>
      </c>
      <c r="F1048" s="659">
        <v>6000</v>
      </c>
      <c r="H1048" s="343" t="s">
        <v>3368</v>
      </c>
      <c r="I1048" s="659">
        <v>1440000</v>
      </c>
      <c r="M1048" s="663"/>
      <c r="N1048" s="863">
        <v>0</v>
      </c>
      <c r="O1048" s="863">
        <v>0</v>
      </c>
      <c r="P1048" s="863">
        <v>6000</v>
      </c>
      <c r="Q1048" s="863">
        <v>-6000</v>
      </c>
      <c r="R1048" s="863">
        <v>-1800</v>
      </c>
      <c r="S1048" s="863">
        <v>-4200</v>
      </c>
      <c r="T1048" s="863">
        <v>1800</v>
      </c>
      <c r="U1048" s="863">
        <v>1800</v>
      </c>
      <c r="V1048" s="863">
        <v>1800</v>
      </c>
    </row>
    <row r="1049" spans="1:25" s="343" customFormat="1" ht="0.65" hidden="1" customHeight="1">
      <c r="A1049" s="343">
        <v>7007</v>
      </c>
      <c r="B1049" s="343" t="s">
        <v>3874</v>
      </c>
      <c r="E1049" s="343" t="s">
        <v>3378</v>
      </c>
      <c r="F1049" s="659">
        <v>0</v>
      </c>
      <c r="M1049" s="663"/>
      <c r="N1049" s="863">
        <v>0</v>
      </c>
      <c r="O1049" s="863">
        <v>0</v>
      </c>
      <c r="P1049" s="863">
        <v>6000</v>
      </c>
      <c r="Q1049" s="863">
        <v>-6000</v>
      </c>
      <c r="R1049" s="863">
        <v>-1800</v>
      </c>
      <c r="S1049" s="863">
        <v>-4200</v>
      </c>
      <c r="T1049" s="863">
        <v>1800</v>
      </c>
      <c r="U1049" s="863">
        <v>1800</v>
      </c>
      <c r="V1049" s="863">
        <v>1800</v>
      </c>
    </row>
    <row r="1050" spans="1:25" s="343" customFormat="1" ht="0.65" hidden="1" customHeight="1">
      <c r="A1050" s="343">
        <v>7008</v>
      </c>
      <c r="B1050" s="343" t="s">
        <v>3875</v>
      </c>
      <c r="H1050" s="343" t="s">
        <v>3371</v>
      </c>
      <c r="I1050" s="653">
        <v>90</v>
      </c>
      <c r="M1050" s="663"/>
      <c r="N1050" s="863">
        <v>0</v>
      </c>
      <c r="O1050" s="863">
        <v>0</v>
      </c>
      <c r="P1050" s="863">
        <v>6000</v>
      </c>
      <c r="Q1050" s="863">
        <v>-6000</v>
      </c>
      <c r="R1050" s="863">
        <v>-1800</v>
      </c>
      <c r="S1050" s="863">
        <v>-4200</v>
      </c>
      <c r="T1050" s="863">
        <v>1800</v>
      </c>
      <c r="U1050" s="863">
        <v>1800</v>
      </c>
      <c r="V1050" s="863">
        <v>-116400</v>
      </c>
    </row>
    <row r="1051" spans="1:25" s="343" customFormat="1" ht="0.65" hidden="1" customHeight="1">
      <c r="A1051" s="343">
        <v>7009</v>
      </c>
      <c r="E1051" s="343" t="s">
        <v>3876</v>
      </c>
      <c r="F1051" s="653">
        <v>30</v>
      </c>
      <c r="H1051" s="343" t="s">
        <v>3374</v>
      </c>
      <c r="I1051" s="653">
        <v>60</v>
      </c>
      <c r="N1051" s="865" t="s">
        <v>55</v>
      </c>
      <c r="O1051" s="865" t="s">
        <v>55</v>
      </c>
      <c r="P1051" s="865" t="s">
        <v>55</v>
      </c>
      <c r="Q1051" s="865" t="s">
        <v>55</v>
      </c>
      <c r="R1051" s="865" t="s">
        <v>55</v>
      </c>
      <c r="T1051" s="653"/>
      <c r="U1051" s="653"/>
      <c r="V1051" s="653"/>
      <c r="W1051" s="659"/>
      <c r="X1051" s="659"/>
      <c r="Y1051" s="659"/>
    </row>
    <row r="1052" spans="1:25" s="343" customFormat="1" ht="0.65" hidden="1" customHeight="1">
      <c r="A1052" s="343">
        <v>7010</v>
      </c>
      <c r="B1052" s="343" t="s">
        <v>3877</v>
      </c>
      <c r="M1052" s="659"/>
      <c r="N1052" s="866"/>
      <c r="O1052" s="866"/>
      <c r="P1052" s="866"/>
      <c r="Q1052" s="866"/>
      <c r="R1052" s="866"/>
      <c r="U1052" s="863"/>
      <c r="V1052" s="863"/>
      <c r="W1052" s="863"/>
      <c r="X1052" s="863"/>
      <c r="Y1052" s="863"/>
    </row>
    <row r="1053" spans="1:25" s="343" customFormat="1" ht="0.65" hidden="1" customHeight="1">
      <c r="A1053" s="343">
        <v>7011</v>
      </c>
      <c r="B1053" s="343" t="s">
        <v>3878</v>
      </c>
      <c r="E1053" s="343" t="s">
        <v>3879</v>
      </c>
      <c r="H1053" s="343" t="s">
        <v>3380</v>
      </c>
      <c r="I1053" s="358">
        <v>0.1</v>
      </c>
      <c r="M1053" s="663"/>
      <c r="N1053" s="863">
        <v>-120000</v>
      </c>
      <c r="O1053" s="863">
        <v>0</v>
      </c>
      <c r="P1053" s="863">
        <v>0</v>
      </c>
      <c r="Q1053" s="863">
        <v>-120000</v>
      </c>
      <c r="R1053" s="863">
        <v>-120000</v>
      </c>
      <c r="U1053" s="1064" t="s">
        <v>55</v>
      </c>
      <c r="V1053" s="1064"/>
      <c r="W1053" s="863"/>
      <c r="X1053" s="863"/>
      <c r="Y1053" s="863"/>
    </row>
    <row r="1054" spans="1:25" s="343" customFormat="1" ht="0.65" hidden="1" customHeight="1">
      <c r="A1054" s="343">
        <v>7012</v>
      </c>
      <c r="B1054" s="343" t="s">
        <v>3880</v>
      </c>
      <c r="H1054" s="343" t="s">
        <v>3381</v>
      </c>
      <c r="I1054" s="358">
        <v>0.3</v>
      </c>
      <c r="M1054" s="663"/>
      <c r="N1054" s="863">
        <v>-120000</v>
      </c>
      <c r="O1054" s="863">
        <v>0</v>
      </c>
      <c r="P1054" s="863">
        <v>0</v>
      </c>
      <c r="Q1054" s="863">
        <v>-120000</v>
      </c>
      <c r="R1054" s="863">
        <v>0</v>
      </c>
      <c r="U1054" s="1064"/>
      <c r="V1054" s="1064"/>
      <c r="W1054" s="863"/>
      <c r="X1054" s="863"/>
      <c r="Y1054" s="863"/>
    </row>
    <row r="1055" spans="1:25" s="343" customFormat="1" ht="0.65" hidden="1" customHeight="1">
      <c r="A1055" s="343">
        <v>7013</v>
      </c>
      <c r="E1055" s="343" t="s">
        <v>3881</v>
      </c>
      <c r="F1055" s="653">
        <v>60</v>
      </c>
      <c r="M1055" s="663"/>
      <c r="N1055" s="863">
        <v>-120000</v>
      </c>
      <c r="O1055" s="863">
        <v>0</v>
      </c>
      <c r="P1055" s="863">
        <v>0</v>
      </c>
      <c r="Q1055" s="863">
        <v>-120000</v>
      </c>
      <c r="R1055" s="863">
        <v>0</v>
      </c>
      <c r="U1055" s="1064"/>
      <c r="V1055" s="1064"/>
      <c r="W1055" s="863"/>
      <c r="X1055" s="863"/>
      <c r="Y1055" s="863"/>
    </row>
    <row r="1056" spans="1:25" s="343" customFormat="1" ht="0.65" hidden="1" customHeight="1">
      <c r="A1056" s="343">
        <v>7014</v>
      </c>
      <c r="B1056" s="343" t="s">
        <v>3882</v>
      </c>
      <c r="M1056" s="663"/>
      <c r="N1056" s="863">
        <v>-120000</v>
      </c>
      <c r="O1056" s="863">
        <v>0</v>
      </c>
      <c r="P1056" s="863">
        <v>0</v>
      </c>
      <c r="Q1056" s="863">
        <v>-120000</v>
      </c>
      <c r="R1056" s="863">
        <v>0</v>
      </c>
      <c r="U1056" s="1064"/>
      <c r="V1056" s="1064"/>
      <c r="W1056" s="863"/>
      <c r="X1056" s="863"/>
      <c r="Y1056" s="863"/>
    </row>
    <row r="1057" spans="1:25" s="343" customFormat="1" ht="0.65" hidden="1" customHeight="1">
      <c r="A1057" s="343">
        <v>7015</v>
      </c>
      <c r="B1057" s="343" t="s">
        <v>3883</v>
      </c>
      <c r="M1057" s="663"/>
      <c r="N1057" s="863">
        <v>-120000</v>
      </c>
      <c r="O1057" s="863">
        <v>0</v>
      </c>
      <c r="P1057" s="863">
        <v>0</v>
      </c>
      <c r="Q1057" s="863">
        <v>-120000</v>
      </c>
      <c r="R1057" s="863">
        <v>0</v>
      </c>
      <c r="T1057" s="863"/>
      <c r="U1057" s="863"/>
      <c r="V1057" s="863"/>
      <c r="W1057" s="863"/>
      <c r="X1057" s="863"/>
      <c r="Y1057" s="863"/>
    </row>
    <row r="1058" spans="1:25" s="343" customFormat="1" ht="0.65" hidden="1" customHeight="1">
      <c r="A1058" s="343">
        <v>7016</v>
      </c>
      <c r="M1058" s="863"/>
      <c r="N1058" s="653"/>
      <c r="O1058" s="653"/>
      <c r="P1058" s="653"/>
      <c r="Q1058" s="653"/>
      <c r="R1058" s="653"/>
      <c r="S1058" s="653"/>
      <c r="T1058" s="863"/>
      <c r="V1058" s="863"/>
      <c r="W1058" s="863"/>
      <c r="X1058" s="863"/>
    </row>
    <row r="1059" spans="1:25" s="343" customFormat="1" ht="0.65" hidden="1" customHeight="1">
      <c r="A1059" s="343">
        <v>7017</v>
      </c>
      <c r="B1059" s="343" t="s">
        <v>3884</v>
      </c>
      <c r="M1059" s="863"/>
      <c r="V1059" s="863"/>
      <c r="W1059" s="863"/>
      <c r="X1059" s="863"/>
    </row>
    <row r="1060" spans="1:25" s="343" customFormat="1" ht="0.65" hidden="1" customHeight="1">
      <c r="A1060" s="343">
        <v>7018</v>
      </c>
      <c r="N1060" s="863"/>
      <c r="O1060" s="863"/>
      <c r="P1060" s="865"/>
      <c r="T1060" s="865"/>
      <c r="W1060" s="865" t="s">
        <v>55</v>
      </c>
      <c r="X1060" s="863"/>
    </row>
    <row r="1061" spans="1:25" s="343" customFormat="1" ht="0.65" hidden="1" customHeight="1">
      <c r="A1061" s="343">
        <v>7019</v>
      </c>
      <c r="N1061" s="1061" t="s">
        <v>3626</v>
      </c>
      <c r="O1061" s="1061"/>
      <c r="P1061" s="863">
        <v>-120000</v>
      </c>
      <c r="R1061" s="1061" t="s">
        <v>3389</v>
      </c>
      <c r="S1061" s="1061"/>
      <c r="T1061" s="863">
        <v>-120000</v>
      </c>
      <c r="X1061" s="863"/>
    </row>
    <row r="1062" spans="1:25" s="343" customFormat="1" ht="0.65" hidden="1" customHeight="1">
      <c r="A1062" s="343">
        <v>7020</v>
      </c>
      <c r="M1062" s="863"/>
      <c r="N1062" s="1061" t="s">
        <v>3628</v>
      </c>
      <c r="O1062" s="1061"/>
      <c r="P1062" s="863">
        <v>30000</v>
      </c>
      <c r="R1062" s="1061" t="s">
        <v>3885</v>
      </c>
      <c r="S1062" s="1061"/>
      <c r="T1062" s="863">
        <v>1800</v>
      </c>
      <c r="V1062" s="662"/>
      <c r="W1062" s="358">
        <v>0.1</v>
      </c>
      <c r="X1062" s="863"/>
    </row>
    <row r="1063" spans="1:25" s="343" customFormat="1" ht="0.65" hidden="1" customHeight="1">
      <c r="A1063" s="343">
        <v>7021</v>
      </c>
      <c r="M1063" s="863"/>
      <c r="N1063" s="1061"/>
      <c r="O1063" s="1061"/>
      <c r="P1063" s="863"/>
      <c r="R1063" s="1061"/>
      <c r="S1063" s="1061"/>
      <c r="T1063" s="863"/>
    </row>
    <row r="1064" spans="1:25" s="343" customFormat="1" ht="0.65" hidden="1" customHeight="1">
      <c r="A1064" s="343">
        <v>7022</v>
      </c>
      <c r="M1064" s="863"/>
      <c r="N1064" s="1061"/>
      <c r="O1064" s="1061"/>
      <c r="P1064" s="863"/>
      <c r="R1064" s="1061"/>
      <c r="S1064" s="1061"/>
      <c r="T1064" s="863"/>
      <c r="X1064" s="863"/>
      <c r="Y1064" s="863"/>
    </row>
    <row r="1065" spans="1:25" s="343" customFormat="1" ht="0.65" hidden="1" customHeight="1">
      <c r="A1065" s="343">
        <v>7023</v>
      </c>
      <c r="M1065" s="863"/>
      <c r="N1065" s="867"/>
      <c r="Q1065" s="863"/>
      <c r="R1065" s="868"/>
      <c r="S1065" s="863"/>
      <c r="T1065" s="863"/>
      <c r="U1065" s="863"/>
      <c r="V1065" s="662"/>
      <c r="W1065" s="659">
        <v>14973.567379277403</v>
      </c>
      <c r="X1065" s="863"/>
      <c r="Y1065" s="863"/>
    </row>
    <row r="1066" spans="1:25" s="343" customFormat="1" ht="0.65" hidden="1" customHeight="1">
      <c r="A1066" s="343">
        <v>7024</v>
      </c>
      <c r="M1066" s="863"/>
      <c r="N1066" s="1062" t="s">
        <v>129</v>
      </c>
      <c r="O1066" s="1062"/>
      <c r="P1066" s="863">
        <v>-90000</v>
      </c>
      <c r="Q1066" s="863"/>
      <c r="R1066" s="1062" t="s">
        <v>3394</v>
      </c>
      <c r="S1066" s="1062"/>
      <c r="T1066" s="863">
        <v>-118200</v>
      </c>
      <c r="V1066" s="869"/>
      <c r="W1066" s="358">
        <v>5.2434477322136352E-2</v>
      </c>
      <c r="X1066" s="863"/>
      <c r="Y1066" s="863"/>
    </row>
    <row r="1067" spans="1:25" s="343" customFormat="1" ht="0.65" hidden="1" customHeight="1">
      <c r="A1067" s="343">
        <v>7025</v>
      </c>
      <c r="N1067" s="863"/>
      <c r="P1067" s="653"/>
      <c r="T1067" s="653"/>
    </row>
    <row r="1068" spans="1:25" s="343" customFormat="1" ht="0.65" hidden="1" customHeight="1">
      <c r="A1068" s="343">
        <v>7026</v>
      </c>
    </row>
    <row r="1069" spans="1:25" s="343" customFormat="1" ht="0.65" hidden="1" customHeight="1">
      <c r="A1069" s="343">
        <v>7027</v>
      </c>
    </row>
    <row r="1070" spans="1:25" s="343" customFormat="1" ht="0.65" hidden="1" customHeight="1">
      <c r="A1070" s="343">
        <v>7028</v>
      </c>
    </row>
    <row r="1071" spans="1:25" s="343" customFormat="1" ht="0.65" hidden="1" customHeight="1">
      <c r="A1071" s="343">
        <v>7029</v>
      </c>
    </row>
    <row r="1072" spans="1:25" s="343" customFormat="1" ht="0.65" hidden="1" customHeight="1">
      <c r="A1072" s="343">
        <v>7030</v>
      </c>
    </row>
    <row r="1073" spans="1:20" s="343" customFormat="1" ht="0.65" hidden="1" customHeight="1">
      <c r="A1073" s="343">
        <v>7031</v>
      </c>
    </row>
    <row r="1074" spans="1:20" s="343" customFormat="1" ht="0.65" hidden="1" customHeight="1">
      <c r="A1074" s="343">
        <v>7032</v>
      </c>
    </row>
    <row r="1075" spans="1:20" s="343" customFormat="1" ht="0.65" hidden="1" customHeight="1">
      <c r="A1075" s="343">
        <v>7033</v>
      </c>
    </row>
    <row r="1076" spans="1:20" s="343" customFormat="1" ht="0.65" hidden="1" customHeight="1">
      <c r="A1076" s="343">
        <v>7034</v>
      </c>
    </row>
    <row r="1077" spans="1:20" s="343" customFormat="1" ht="0.65" hidden="1" customHeight="1">
      <c r="A1077" s="343">
        <v>7035</v>
      </c>
    </row>
    <row r="1078" spans="1:20" s="343" customFormat="1" ht="0.65" hidden="1" customHeight="1">
      <c r="A1078" s="343">
        <v>7036</v>
      </c>
    </row>
    <row r="1079" spans="1:20" s="343" customFormat="1" ht="0.65" hidden="1" customHeight="1">
      <c r="A1079" s="343">
        <v>7037</v>
      </c>
    </row>
    <row r="1080" spans="1:20" s="343" customFormat="1" ht="0.65" hidden="1" customHeight="1">
      <c r="A1080" s="343">
        <v>7038</v>
      </c>
    </row>
    <row r="1081" spans="1:20" s="343" customFormat="1" ht="0.65" hidden="1" customHeight="1">
      <c r="A1081" s="343">
        <v>7039</v>
      </c>
    </row>
    <row r="1082" spans="1:20" s="343" customFormat="1" ht="0.65" hidden="1" customHeight="1">
      <c r="A1082" s="343">
        <v>7040</v>
      </c>
    </row>
    <row r="1083" spans="1:20" s="343" customFormat="1" ht="0.65" hidden="1" customHeight="1">
      <c r="A1083" s="343">
        <v>7041</v>
      </c>
      <c r="M1083" s="343">
        <v>0</v>
      </c>
      <c r="O1083" s="343">
        <v>1</v>
      </c>
      <c r="P1083" s="343" t="s">
        <v>3626</v>
      </c>
      <c r="R1083" s="863">
        <v>-120000</v>
      </c>
      <c r="S1083" s="343" t="s">
        <v>3886</v>
      </c>
      <c r="T1083" s="343" t="s">
        <v>3887</v>
      </c>
    </row>
    <row r="1084" spans="1:20" s="343" customFormat="1" ht="0.65" hidden="1" customHeight="1">
      <c r="A1084" s="343">
        <v>7042</v>
      </c>
      <c r="O1084" s="343">
        <v>2</v>
      </c>
      <c r="P1084" s="343" t="s">
        <v>3628</v>
      </c>
      <c r="R1084" s="863">
        <v>30000</v>
      </c>
      <c r="S1084" s="343" t="s">
        <v>3888</v>
      </c>
      <c r="T1084" s="343" t="s">
        <v>3889</v>
      </c>
    </row>
    <row r="1085" spans="1:20" s="343" customFormat="1" ht="0.65" hidden="1" customHeight="1">
      <c r="A1085" s="343">
        <v>7043</v>
      </c>
      <c r="O1085" s="343">
        <v>3</v>
      </c>
      <c r="P1085" s="343" t="s">
        <v>55</v>
      </c>
      <c r="R1085" s="863"/>
    </row>
    <row r="1086" spans="1:20" s="343" customFormat="1" ht="0.65" hidden="1" customHeight="1">
      <c r="A1086" s="343">
        <v>7044</v>
      </c>
      <c r="O1086" s="343">
        <v>4</v>
      </c>
      <c r="P1086" s="343" t="s">
        <v>55</v>
      </c>
      <c r="R1086" s="863"/>
    </row>
    <row r="1087" spans="1:20" s="343" customFormat="1" ht="0.65" hidden="1" customHeight="1">
      <c r="A1087" s="343">
        <v>7045</v>
      </c>
      <c r="O1087" s="343">
        <v>5</v>
      </c>
      <c r="P1087" s="343" t="s">
        <v>129</v>
      </c>
      <c r="R1087" s="863">
        <v>-90000</v>
      </c>
      <c r="S1087" s="343" t="s">
        <v>3890</v>
      </c>
      <c r="T1087" s="343" t="s">
        <v>3638</v>
      </c>
    </row>
    <row r="1088" spans="1:20" s="343" customFormat="1" ht="0.65" hidden="1" customHeight="1">
      <c r="A1088" s="343">
        <v>7046</v>
      </c>
      <c r="O1088" s="343">
        <v>6</v>
      </c>
      <c r="P1088" s="343" t="s">
        <v>3404</v>
      </c>
      <c r="R1088" s="863">
        <v>0</v>
      </c>
      <c r="S1088" s="343" t="s">
        <v>3639</v>
      </c>
      <c r="T1088" s="343" t="s">
        <v>3891</v>
      </c>
    </row>
    <row r="1089" spans="1:20" s="343" customFormat="1" ht="0.65" hidden="1" customHeight="1">
      <c r="A1089" s="343">
        <v>7047</v>
      </c>
      <c r="O1089" s="343">
        <v>7</v>
      </c>
      <c r="P1089" s="343" t="s">
        <v>3407</v>
      </c>
      <c r="R1089" s="863">
        <v>0</v>
      </c>
      <c r="S1089" s="343" t="s">
        <v>3639</v>
      </c>
      <c r="T1089" s="343" t="s">
        <v>3891</v>
      </c>
    </row>
    <row r="1090" spans="1:20" s="343" customFormat="1" ht="0.65" hidden="1" customHeight="1">
      <c r="A1090" s="343">
        <v>7048</v>
      </c>
      <c r="O1090" s="343">
        <v>8</v>
      </c>
      <c r="P1090" s="343" t="s">
        <v>3408</v>
      </c>
      <c r="R1090" s="863">
        <v>0</v>
      </c>
      <c r="S1090" s="343" t="s">
        <v>3639</v>
      </c>
      <c r="T1090" s="343" t="s">
        <v>3891</v>
      </c>
    </row>
    <row r="1091" spans="1:20" s="343" customFormat="1" ht="0.65" hidden="1" customHeight="1">
      <c r="A1091" s="343">
        <v>7049</v>
      </c>
      <c r="O1091" s="343">
        <v>9</v>
      </c>
      <c r="P1091" s="343" t="s">
        <v>3409</v>
      </c>
      <c r="R1091" s="863">
        <v>0</v>
      </c>
      <c r="S1091" s="343" t="s">
        <v>3639</v>
      </c>
      <c r="T1091" s="343" t="s">
        <v>3891</v>
      </c>
    </row>
    <row r="1092" spans="1:20" s="343" customFormat="1" ht="0.65" hidden="1" customHeight="1">
      <c r="A1092" s="343">
        <v>7050</v>
      </c>
      <c r="O1092" s="343">
        <v>10</v>
      </c>
      <c r="P1092" s="343" t="s">
        <v>3410</v>
      </c>
      <c r="R1092" s="863">
        <v>0</v>
      </c>
      <c r="S1092" s="343" t="s">
        <v>3639</v>
      </c>
      <c r="T1092" s="343" t="s">
        <v>3892</v>
      </c>
    </row>
    <row r="1093" spans="1:20" s="343" customFormat="1" ht="0.65" hidden="1" customHeight="1">
      <c r="A1093" s="343">
        <v>7051</v>
      </c>
      <c r="O1093" s="343">
        <v>11</v>
      </c>
      <c r="P1093" s="343" t="s">
        <v>3413</v>
      </c>
      <c r="R1093" s="863">
        <v>0</v>
      </c>
      <c r="S1093" s="343" t="s">
        <v>3639</v>
      </c>
      <c r="T1093" s="343" t="s">
        <v>3892</v>
      </c>
    </row>
    <row r="1094" spans="1:20" s="343" customFormat="1" ht="0.65" hidden="1" customHeight="1">
      <c r="A1094" s="343">
        <v>7052</v>
      </c>
      <c r="O1094" s="343">
        <v>12</v>
      </c>
      <c r="P1094" s="343" t="s">
        <v>3414</v>
      </c>
      <c r="R1094" s="863">
        <v>0</v>
      </c>
      <c r="S1094" s="343" t="s">
        <v>3639</v>
      </c>
      <c r="T1094" s="343" t="s">
        <v>3892</v>
      </c>
    </row>
    <row r="1095" spans="1:20" s="343" customFormat="1" ht="0.65" hidden="1" customHeight="1">
      <c r="A1095" s="343">
        <v>7053</v>
      </c>
      <c r="O1095" s="343">
        <v>13</v>
      </c>
      <c r="P1095" s="343" t="s">
        <v>3415</v>
      </c>
      <c r="R1095" s="863">
        <v>0</v>
      </c>
      <c r="S1095" s="343" t="s">
        <v>3639</v>
      </c>
      <c r="T1095" s="343" t="s">
        <v>3892</v>
      </c>
    </row>
    <row r="1096" spans="1:20" s="343" customFormat="1" ht="0.65" hidden="1" customHeight="1">
      <c r="A1096" s="343">
        <v>7054</v>
      </c>
      <c r="O1096" s="343">
        <v>14</v>
      </c>
      <c r="P1096" s="343" t="s">
        <v>3416</v>
      </c>
      <c r="R1096" s="863">
        <v>6000</v>
      </c>
      <c r="S1096" s="343" t="s">
        <v>3893</v>
      </c>
      <c r="T1096" s="343" t="s">
        <v>3418</v>
      </c>
    </row>
    <row r="1097" spans="1:20" s="343" customFormat="1" ht="0.65" hidden="1" customHeight="1">
      <c r="A1097" s="343">
        <v>7055</v>
      </c>
      <c r="O1097" s="343">
        <v>15</v>
      </c>
      <c r="P1097" s="343" t="s">
        <v>3419</v>
      </c>
      <c r="R1097" s="863">
        <v>6000</v>
      </c>
      <c r="S1097" s="343" t="s">
        <v>3893</v>
      </c>
      <c r="T1097" s="343" t="s">
        <v>3418</v>
      </c>
    </row>
    <row r="1098" spans="1:20" s="343" customFormat="1" ht="0.65" hidden="1" customHeight="1">
      <c r="A1098" s="343">
        <v>7056</v>
      </c>
      <c r="O1098" s="343">
        <v>16</v>
      </c>
      <c r="P1098" s="343" t="s">
        <v>3420</v>
      </c>
      <c r="R1098" s="863">
        <v>6000</v>
      </c>
      <c r="S1098" s="343" t="s">
        <v>3893</v>
      </c>
      <c r="T1098" s="343" t="s">
        <v>3418</v>
      </c>
    </row>
    <row r="1099" spans="1:20" s="343" customFormat="1" ht="0.65" hidden="1" customHeight="1">
      <c r="A1099" s="343">
        <v>7057</v>
      </c>
      <c r="O1099" s="343">
        <v>17</v>
      </c>
      <c r="P1099" s="343" t="s">
        <v>3421</v>
      </c>
      <c r="R1099" s="863">
        <v>6000</v>
      </c>
      <c r="S1099" s="343" t="s">
        <v>3893</v>
      </c>
      <c r="T1099" s="343" t="s">
        <v>3418</v>
      </c>
    </row>
    <row r="1100" spans="1:20" s="343" customFormat="1" ht="0.65" hidden="1" customHeight="1">
      <c r="A1100" s="343">
        <v>7058</v>
      </c>
      <c r="O1100" s="343">
        <v>18</v>
      </c>
      <c r="P1100" s="343" t="s">
        <v>3422</v>
      </c>
      <c r="R1100" s="863">
        <v>-6000</v>
      </c>
      <c r="S1100" s="343" t="s">
        <v>3894</v>
      </c>
      <c r="T1100" s="343" t="s">
        <v>3424</v>
      </c>
    </row>
    <row r="1101" spans="1:20" s="343" customFormat="1" ht="0.65" hidden="1" customHeight="1">
      <c r="A1101" s="343">
        <v>7059</v>
      </c>
      <c r="O1101" s="343">
        <v>19</v>
      </c>
      <c r="P1101" s="343" t="s">
        <v>3425</v>
      </c>
      <c r="R1101" s="863">
        <v>-6000</v>
      </c>
      <c r="S1101" s="343" t="s">
        <v>3894</v>
      </c>
      <c r="T1101" s="343" t="s">
        <v>3426</v>
      </c>
    </row>
    <row r="1102" spans="1:20" s="343" customFormat="1" ht="0.65" hidden="1" customHeight="1">
      <c r="A1102" s="343">
        <v>7060</v>
      </c>
      <c r="O1102" s="343">
        <v>20</v>
      </c>
      <c r="P1102" s="343" t="s">
        <v>3427</v>
      </c>
      <c r="R1102" s="863">
        <v>-6000</v>
      </c>
      <c r="S1102" s="343" t="s">
        <v>3894</v>
      </c>
      <c r="T1102" s="343" t="s">
        <v>3428</v>
      </c>
    </row>
    <row r="1103" spans="1:20" s="343" customFormat="1" ht="0.65" hidden="1" customHeight="1">
      <c r="A1103" s="343">
        <v>7061</v>
      </c>
      <c r="O1103" s="343">
        <v>21</v>
      </c>
      <c r="P1103" s="343" t="s">
        <v>3429</v>
      </c>
      <c r="R1103" s="863">
        <v>-6000</v>
      </c>
      <c r="S1103" s="343" t="s">
        <v>3894</v>
      </c>
      <c r="T1103" s="343" t="s">
        <v>3430</v>
      </c>
    </row>
    <row r="1104" spans="1:20" s="343" customFormat="1" ht="0.65" hidden="1" customHeight="1">
      <c r="A1104" s="343">
        <v>7062</v>
      </c>
      <c r="O1104" s="343">
        <v>22</v>
      </c>
      <c r="P1104" s="343" t="s">
        <v>3431</v>
      </c>
      <c r="R1104" s="863">
        <v>-1800</v>
      </c>
      <c r="S1104" s="343" t="s">
        <v>3895</v>
      </c>
      <c r="T1104" s="343" t="s">
        <v>3433</v>
      </c>
    </row>
    <row r="1105" spans="1:20" s="343" customFormat="1" ht="0.65" hidden="1" customHeight="1">
      <c r="A1105" s="343">
        <v>7063</v>
      </c>
      <c r="O1105" s="343">
        <v>23</v>
      </c>
      <c r="P1105" s="343" t="s">
        <v>3434</v>
      </c>
      <c r="R1105" s="863">
        <v>-1800</v>
      </c>
      <c r="S1105" s="343" t="s">
        <v>3895</v>
      </c>
      <c r="T1105" s="343" t="s">
        <v>3435</v>
      </c>
    </row>
    <row r="1106" spans="1:20" s="343" customFormat="1" ht="0.65" hidden="1" customHeight="1">
      <c r="A1106" s="343">
        <v>7064</v>
      </c>
      <c r="O1106" s="343">
        <v>24</v>
      </c>
      <c r="P1106" s="343" t="s">
        <v>3436</v>
      </c>
      <c r="R1106" s="863">
        <v>-1800</v>
      </c>
      <c r="S1106" s="343" t="s">
        <v>3895</v>
      </c>
      <c r="T1106" s="343" t="s">
        <v>3437</v>
      </c>
    </row>
    <row r="1107" spans="1:20" s="343" customFormat="1" ht="0.65" hidden="1" customHeight="1">
      <c r="A1107" s="343">
        <v>7065</v>
      </c>
      <c r="O1107" s="343">
        <v>25</v>
      </c>
      <c r="P1107" s="343" t="s">
        <v>3438</v>
      </c>
      <c r="R1107" s="863">
        <v>-1800</v>
      </c>
      <c r="S1107" s="343" t="s">
        <v>3895</v>
      </c>
      <c r="T1107" s="343" t="s">
        <v>3439</v>
      </c>
    </row>
    <row r="1108" spans="1:20" s="343" customFormat="1" ht="0.65" hidden="1" customHeight="1">
      <c r="A1108" s="343">
        <v>7066</v>
      </c>
      <c r="O1108" s="343">
        <v>26</v>
      </c>
      <c r="P1108" s="343" t="s">
        <v>3440</v>
      </c>
      <c r="R1108" s="863">
        <v>-4200</v>
      </c>
      <c r="S1108" s="343" t="s">
        <v>3896</v>
      </c>
      <c r="T1108" s="343" t="s">
        <v>3442</v>
      </c>
    </row>
    <row r="1109" spans="1:20" s="343" customFormat="1" ht="0.65" hidden="1" customHeight="1">
      <c r="A1109" s="343">
        <v>7067</v>
      </c>
      <c r="O1109" s="343">
        <v>27</v>
      </c>
      <c r="P1109" s="343" t="s">
        <v>3443</v>
      </c>
      <c r="R1109" s="863">
        <v>-4200</v>
      </c>
      <c r="S1109" s="343" t="s">
        <v>3896</v>
      </c>
      <c r="T1109" s="343" t="s">
        <v>3444</v>
      </c>
    </row>
    <row r="1110" spans="1:20" s="343" customFormat="1" ht="0.65" hidden="1" customHeight="1">
      <c r="A1110" s="343">
        <v>7068</v>
      </c>
      <c r="O1110" s="343">
        <v>28</v>
      </c>
      <c r="P1110" s="343" t="s">
        <v>3445</v>
      </c>
      <c r="R1110" s="863">
        <v>-4200</v>
      </c>
      <c r="S1110" s="343" t="s">
        <v>3896</v>
      </c>
      <c r="T1110" s="343" t="s">
        <v>3446</v>
      </c>
    </row>
    <row r="1111" spans="1:20" s="343" customFormat="1" ht="0.65" hidden="1" customHeight="1">
      <c r="A1111" s="343">
        <v>7069</v>
      </c>
      <c r="O1111" s="343">
        <v>29</v>
      </c>
      <c r="P1111" s="343" t="s">
        <v>3447</v>
      </c>
      <c r="R1111" s="863">
        <v>-4200</v>
      </c>
      <c r="S1111" s="343" t="s">
        <v>3896</v>
      </c>
      <c r="T1111" s="343" t="s">
        <v>3448</v>
      </c>
    </row>
    <row r="1112" spans="1:20" s="343" customFormat="1" ht="0.65" hidden="1" customHeight="1">
      <c r="A1112" s="343">
        <v>7070</v>
      </c>
      <c r="O1112" s="343">
        <v>30</v>
      </c>
      <c r="P1112" s="343" t="s">
        <v>3449</v>
      </c>
      <c r="R1112" s="863">
        <v>1800</v>
      </c>
      <c r="S1112" s="863" t="s">
        <v>3897</v>
      </c>
      <c r="T1112" s="343" t="s">
        <v>3451</v>
      </c>
    </row>
    <row r="1113" spans="1:20" s="343" customFormat="1" ht="0.65" hidden="1" customHeight="1">
      <c r="A1113" s="343">
        <v>7071</v>
      </c>
      <c r="O1113" s="343">
        <v>31</v>
      </c>
      <c r="P1113" s="343" t="s">
        <v>3452</v>
      </c>
      <c r="R1113" s="863">
        <v>1800</v>
      </c>
      <c r="S1113" s="863" t="s">
        <v>3897</v>
      </c>
      <c r="T1113" s="343" t="s">
        <v>3453</v>
      </c>
    </row>
    <row r="1114" spans="1:20" s="343" customFormat="1" ht="0.65" hidden="1" customHeight="1">
      <c r="A1114" s="343">
        <v>7072</v>
      </c>
      <c r="O1114" s="343">
        <v>32</v>
      </c>
      <c r="P1114" s="343" t="s">
        <v>3454</v>
      </c>
      <c r="R1114" s="863">
        <v>1800</v>
      </c>
      <c r="S1114" s="863" t="s">
        <v>3897</v>
      </c>
      <c r="T1114" s="343" t="s">
        <v>3455</v>
      </c>
    </row>
    <row r="1115" spans="1:20" s="343" customFormat="1" ht="0.65" hidden="1" customHeight="1">
      <c r="A1115" s="343">
        <v>7073</v>
      </c>
      <c r="O1115" s="343">
        <v>33</v>
      </c>
      <c r="P1115" s="343" t="s">
        <v>3456</v>
      </c>
      <c r="R1115" s="863">
        <v>1800</v>
      </c>
      <c r="S1115" s="863" t="s">
        <v>3897</v>
      </c>
      <c r="T1115" s="343" t="s">
        <v>3457</v>
      </c>
    </row>
    <row r="1116" spans="1:20" s="343" customFormat="1" ht="0.65" hidden="1" customHeight="1">
      <c r="A1116" s="343">
        <v>7074</v>
      </c>
      <c r="O1116" s="343">
        <v>34</v>
      </c>
      <c r="P1116" s="343" t="s">
        <v>3458</v>
      </c>
      <c r="R1116" s="863">
        <v>-120000</v>
      </c>
      <c r="S1116" s="343" t="s">
        <v>3886</v>
      </c>
      <c r="T1116" s="893" t="s">
        <v>3898</v>
      </c>
    </row>
    <row r="1117" spans="1:20" s="343" customFormat="1" ht="0.65" hidden="1" customHeight="1">
      <c r="A1117" s="343">
        <v>7075</v>
      </c>
      <c r="O1117" s="343">
        <v>35</v>
      </c>
      <c r="P1117" s="343" t="s">
        <v>3461</v>
      </c>
      <c r="R1117" s="863">
        <v>-120000</v>
      </c>
      <c r="S1117" s="863" t="s">
        <v>3886</v>
      </c>
      <c r="T1117" s="893" t="s">
        <v>3899</v>
      </c>
    </row>
    <row r="1118" spans="1:20" s="343" customFormat="1" ht="0.65" hidden="1" customHeight="1">
      <c r="A1118" s="343">
        <v>7076</v>
      </c>
      <c r="O1118" s="343">
        <v>36</v>
      </c>
      <c r="P1118" s="343" t="s">
        <v>3463</v>
      </c>
      <c r="R1118" s="863">
        <v>-120000</v>
      </c>
      <c r="S1118" s="863" t="s">
        <v>3886</v>
      </c>
      <c r="T1118" s="893" t="s">
        <v>3900</v>
      </c>
    </row>
    <row r="1119" spans="1:20" s="343" customFormat="1" ht="0.65" hidden="1" customHeight="1">
      <c r="A1119" s="343">
        <v>7077</v>
      </c>
      <c r="O1119" s="343">
        <v>37</v>
      </c>
      <c r="P1119" s="343" t="s">
        <v>3465</v>
      </c>
      <c r="R1119" s="863">
        <v>-120000</v>
      </c>
      <c r="S1119" s="863" t="s">
        <v>3886</v>
      </c>
      <c r="T1119" s="893" t="s">
        <v>3901</v>
      </c>
    </row>
    <row r="1120" spans="1:20" s="343" customFormat="1" ht="0.65" hidden="1" customHeight="1">
      <c r="A1120" s="343">
        <v>7078</v>
      </c>
      <c r="O1120" s="343">
        <v>38</v>
      </c>
      <c r="P1120" s="343" t="s">
        <v>3467</v>
      </c>
      <c r="R1120" s="863">
        <v>-120000</v>
      </c>
      <c r="S1120" s="863" t="s">
        <v>3886</v>
      </c>
      <c r="T1120" s="893" t="s">
        <v>3901</v>
      </c>
    </row>
    <row r="1121" spans="1:20" s="343" customFormat="1" ht="0.65" hidden="1" customHeight="1">
      <c r="A1121" s="343">
        <v>7079</v>
      </c>
      <c r="O1121" s="343">
        <v>39</v>
      </c>
      <c r="P1121" s="343" t="s">
        <v>3468</v>
      </c>
      <c r="R1121" s="863">
        <v>0</v>
      </c>
      <c r="S1121" s="343" t="s">
        <v>3652</v>
      </c>
      <c r="T1121" s="343" t="s">
        <v>3470</v>
      </c>
    </row>
    <row r="1122" spans="1:20" s="343" customFormat="1" ht="0.65" hidden="1" customHeight="1">
      <c r="A1122" s="343">
        <v>7080</v>
      </c>
      <c r="O1122" s="343">
        <v>40</v>
      </c>
      <c r="P1122" s="343" t="s">
        <v>3471</v>
      </c>
      <c r="R1122" s="863">
        <v>0</v>
      </c>
      <c r="S1122" s="863" t="s">
        <v>3652</v>
      </c>
      <c r="T1122" s="343" t="s">
        <v>3472</v>
      </c>
    </row>
    <row r="1123" spans="1:20" s="343" customFormat="1" ht="0.65" hidden="1" customHeight="1">
      <c r="A1123" s="343">
        <v>7081</v>
      </c>
      <c r="O1123" s="343">
        <v>41</v>
      </c>
      <c r="P1123" s="343" t="s">
        <v>3473</v>
      </c>
      <c r="R1123" s="863">
        <v>0</v>
      </c>
      <c r="S1123" s="863" t="s">
        <v>3652</v>
      </c>
      <c r="T1123" s="343" t="s">
        <v>3474</v>
      </c>
    </row>
    <row r="1124" spans="1:20" s="343" customFormat="1" ht="0.65" hidden="1" customHeight="1">
      <c r="A1124" s="343">
        <v>7082</v>
      </c>
      <c r="O1124" s="343">
        <v>42</v>
      </c>
      <c r="P1124" s="343" t="s">
        <v>3475</v>
      </c>
      <c r="R1124" s="863">
        <v>0</v>
      </c>
      <c r="S1124" s="863" t="s">
        <v>3652</v>
      </c>
      <c r="T1124" s="343" t="s">
        <v>3476</v>
      </c>
    </row>
    <row r="1125" spans="1:20" s="343" customFormat="1" ht="0.65" hidden="1" customHeight="1">
      <c r="A1125" s="343">
        <v>7083</v>
      </c>
      <c r="O1125" s="343">
        <v>43</v>
      </c>
      <c r="P1125" s="343" t="s">
        <v>3477</v>
      </c>
      <c r="R1125" s="863">
        <v>0</v>
      </c>
      <c r="S1125" s="863" t="s">
        <v>3652</v>
      </c>
      <c r="T1125" s="343" t="s">
        <v>3478</v>
      </c>
    </row>
    <row r="1126" spans="1:20" s="343" customFormat="1" ht="0.65" hidden="1" customHeight="1">
      <c r="A1126" s="343">
        <v>7084</v>
      </c>
      <c r="O1126" s="343">
        <v>44</v>
      </c>
      <c r="P1126" s="343" t="s">
        <v>3479</v>
      </c>
      <c r="R1126" s="863">
        <v>0</v>
      </c>
      <c r="S1126" s="343" t="s">
        <v>3653</v>
      </c>
      <c r="T1126" s="343" t="s">
        <v>3654</v>
      </c>
    </row>
    <row r="1127" spans="1:20" s="343" customFormat="1" ht="0.65" hidden="1" customHeight="1">
      <c r="A1127" s="343">
        <v>7085</v>
      </c>
      <c r="O1127" s="343">
        <v>45</v>
      </c>
      <c r="P1127" s="343" t="s">
        <v>3482</v>
      </c>
      <c r="R1127" s="863">
        <v>0</v>
      </c>
      <c r="S1127" s="863" t="s">
        <v>3653</v>
      </c>
      <c r="T1127" s="343" t="s">
        <v>3483</v>
      </c>
    </row>
    <row r="1128" spans="1:20" s="343" customFormat="1" ht="0.65" hidden="1" customHeight="1">
      <c r="A1128" s="343">
        <v>7086</v>
      </c>
      <c r="O1128" s="343">
        <v>46</v>
      </c>
      <c r="P1128" s="343" t="s">
        <v>3484</v>
      </c>
      <c r="R1128" s="863">
        <v>0</v>
      </c>
      <c r="S1128" s="863" t="s">
        <v>3653</v>
      </c>
      <c r="T1128" s="343" t="s">
        <v>3485</v>
      </c>
    </row>
    <row r="1129" spans="1:20" s="343" customFormat="1" ht="0.65" hidden="1" customHeight="1">
      <c r="A1129" s="343">
        <v>7087</v>
      </c>
      <c r="O1129" s="343">
        <v>47</v>
      </c>
      <c r="P1129" s="343" t="s">
        <v>3486</v>
      </c>
      <c r="R1129" s="863">
        <v>0</v>
      </c>
      <c r="S1129" s="863" t="s">
        <v>3653</v>
      </c>
      <c r="T1129" s="343" t="s">
        <v>3487</v>
      </c>
    </row>
    <row r="1130" spans="1:20" s="343" customFormat="1" ht="0.65" hidden="1" customHeight="1">
      <c r="A1130" s="343">
        <v>7088</v>
      </c>
      <c r="O1130" s="343">
        <v>48</v>
      </c>
      <c r="P1130" s="343" t="s">
        <v>3488</v>
      </c>
      <c r="R1130" s="863">
        <v>0</v>
      </c>
      <c r="S1130" s="863" t="s">
        <v>3653</v>
      </c>
      <c r="T1130" s="343" t="s">
        <v>3489</v>
      </c>
    </row>
    <row r="1131" spans="1:20" s="343" customFormat="1" ht="0.65" hidden="1" customHeight="1">
      <c r="A1131" s="343">
        <v>7089</v>
      </c>
      <c r="O1131" s="343">
        <v>49</v>
      </c>
      <c r="P1131" s="343" t="s">
        <v>3490</v>
      </c>
      <c r="R1131" s="863">
        <v>-120000</v>
      </c>
      <c r="S1131" s="863" t="s">
        <v>3902</v>
      </c>
      <c r="T1131" s="343" t="s">
        <v>3492</v>
      </c>
    </row>
    <row r="1132" spans="1:20" s="343" customFormat="1" ht="0.65" hidden="1" customHeight="1">
      <c r="A1132" s="343">
        <v>7090</v>
      </c>
      <c r="O1132" s="343">
        <v>50</v>
      </c>
      <c r="P1132" s="343" t="s">
        <v>3493</v>
      </c>
      <c r="R1132" s="863">
        <v>-120000</v>
      </c>
      <c r="S1132" s="863" t="s">
        <v>3902</v>
      </c>
      <c r="T1132" s="343" t="s">
        <v>3494</v>
      </c>
    </row>
    <row r="1133" spans="1:20" s="343" customFormat="1" ht="0.65" hidden="1" customHeight="1">
      <c r="A1133" s="343">
        <v>7091</v>
      </c>
      <c r="O1133" s="343">
        <v>51</v>
      </c>
      <c r="P1133" s="343" t="s">
        <v>3495</v>
      </c>
      <c r="R1133" s="863">
        <v>-120000</v>
      </c>
      <c r="S1133" s="863" t="s">
        <v>3902</v>
      </c>
      <c r="T1133" s="343" t="s">
        <v>3496</v>
      </c>
    </row>
    <row r="1134" spans="1:20" s="343" customFormat="1" ht="0.65" hidden="1" customHeight="1">
      <c r="A1134" s="343">
        <v>7092</v>
      </c>
      <c r="O1134" s="343">
        <v>52</v>
      </c>
      <c r="P1134" s="343" t="s">
        <v>3497</v>
      </c>
      <c r="R1134" s="863">
        <v>-120000</v>
      </c>
      <c r="S1134" s="863" t="s">
        <v>3902</v>
      </c>
      <c r="T1134" s="343" t="s">
        <v>3498</v>
      </c>
    </row>
    <row r="1135" spans="1:20" s="343" customFormat="1" ht="0.65" hidden="1" customHeight="1">
      <c r="A1135" s="343">
        <v>7093</v>
      </c>
      <c r="O1135" s="343">
        <v>53</v>
      </c>
      <c r="P1135" s="343" t="s">
        <v>3499</v>
      </c>
      <c r="R1135" s="863">
        <v>-120000</v>
      </c>
      <c r="S1135" s="863" t="s">
        <v>3902</v>
      </c>
      <c r="T1135" s="343" t="s">
        <v>3500</v>
      </c>
    </row>
    <row r="1136" spans="1:20" s="343" customFormat="1" ht="0.65" hidden="1" customHeight="1">
      <c r="A1136" s="343">
        <v>7094</v>
      </c>
      <c r="O1136" s="343">
        <v>54</v>
      </c>
      <c r="P1136" s="343" t="s">
        <v>3501</v>
      </c>
      <c r="R1136" s="863">
        <v>-120000</v>
      </c>
      <c r="S1136" s="343" t="s">
        <v>3903</v>
      </c>
      <c r="T1136" s="343" t="s">
        <v>3503</v>
      </c>
    </row>
    <row r="1137" spans="1:20" s="343" customFormat="1" ht="0.65" hidden="1" customHeight="1">
      <c r="A1137" s="343">
        <v>7095</v>
      </c>
      <c r="O1137" s="343">
        <v>55</v>
      </c>
      <c r="P1137" s="343" t="s">
        <v>3504</v>
      </c>
      <c r="R1137" s="863">
        <v>0</v>
      </c>
      <c r="S1137" s="343" t="s">
        <v>3904</v>
      </c>
      <c r="T1137" s="343" t="s">
        <v>3506</v>
      </c>
    </row>
    <row r="1138" spans="1:20" s="343" customFormat="1" ht="0.65" hidden="1" customHeight="1">
      <c r="A1138" s="343">
        <v>7096</v>
      </c>
      <c r="O1138" s="343">
        <v>56</v>
      </c>
      <c r="P1138" s="343" t="s">
        <v>3507</v>
      </c>
      <c r="R1138" s="863">
        <v>0</v>
      </c>
      <c r="S1138" s="343" t="s">
        <v>3904</v>
      </c>
      <c r="T1138" s="343" t="s">
        <v>3508</v>
      </c>
    </row>
    <row r="1139" spans="1:20" s="343" customFormat="1" ht="0.65" hidden="1" customHeight="1">
      <c r="A1139" s="343">
        <v>7097</v>
      </c>
      <c r="O1139" s="343">
        <v>57</v>
      </c>
      <c r="P1139" s="343" t="s">
        <v>3509</v>
      </c>
      <c r="R1139" s="863">
        <v>0</v>
      </c>
      <c r="S1139" s="343" t="s">
        <v>3904</v>
      </c>
      <c r="T1139" s="343" t="s">
        <v>3510</v>
      </c>
    </row>
    <row r="1140" spans="1:20" s="343" customFormat="1" ht="0.65" hidden="1" customHeight="1">
      <c r="A1140" s="343">
        <v>7098</v>
      </c>
      <c r="O1140" s="343">
        <v>58</v>
      </c>
      <c r="P1140" s="343" t="s">
        <v>3511</v>
      </c>
      <c r="R1140" s="863">
        <v>0</v>
      </c>
      <c r="S1140" s="343" t="s">
        <v>3904</v>
      </c>
      <c r="T1140" s="343" t="s">
        <v>3512</v>
      </c>
    </row>
    <row r="1141" spans="1:20" s="343" customFormat="1" ht="0.65" hidden="1" customHeight="1">
      <c r="A1141" s="343">
        <v>7099</v>
      </c>
      <c r="O1141" s="343">
        <v>59</v>
      </c>
      <c r="P1141" s="343" t="s">
        <v>3513</v>
      </c>
      <c r="R1141" s="863">
        <v>1800</v>
      </c>
      <c r="S1141" s="863" t="s">
        <v>3905</v>
      </c>
      <c r="T1141" s="343" t="s">
        <v>3515</v>
      </c>
    </row>
    <row r="1142" spans="1:20" s="343" customFormat="1" ht="0.65" hidden="1" customHeight="1">
      <c r="A1142" s="343">
        <v>7100</v>
      </c>
      <c r="O1142" s="343">
        <v>60</v>
      </c>
      <c r="P1142" s="343" t="s">
        <v>3516</v>
      </c>
      <c r="R1142" s="863">
        <v>1800</v>
      </c>
      <c r="S1142" s="863" t="s">
        <v>3905</v>
      </c>
      <c r="T1142" s="343" t="s">
        <v>3517</v>
      </c>
    </row>
    <row r="1143" spans="1:20" s="343" customFormat="1" ht="0.65" hidden="1" customHeight="1">
      <c r="A1143" s="343">
        <v>7101</v>
      </c>
      <c r="O1143" s="343">
        <v>61</v>
      </c>
      <c r="P1143" s="343" t="s">
        <v>3518</v>
      </c>
      <c r="R1143" s="863">
        <v>1800</v>
      </c>
      <c r="S1143" s="863" t="s">
        <v>3905</v>
      </c>
      <c r="T1143" s="343" t="s">
        <v>3519</v>
      </c>
    </row>
    <row r="1144" spans="1:20" s="343" customFormat="1" ht="0.65" hidden="1" customHeight="1">
      <c r="A1144" s="343">
        <v>7102</v>
      </c>
      <c r="O1144" s="343">
        <v>62</v>
      </c>
      <c r="P1144" s="343" t="s">
        <v>3520</v>
      </c>
      <c r="R1144" s="863">
        <v>1800</v>
      </c>
      <c r="S1144" s="863" t="s">
        <v>3905</v>
      </c>
      <c r="T1144" s="343" t="s">
        <v>3521</v>
      </c>
    </row>
    <row r="1145" spans="1:20" s="343" customFormat="1" ht="0.65" hidden="1" customHeight="1">
      <c r="A1145" s="343">
        <v>7103</v>
      </c>
      <c r="O1145" s="343">
        <v>63</v>
      </c>
      <c r="P1145" s="343" t="s">
        <v>3389</v>
      </c>
      <c r="R1145" s="863">
        <v>-120000</v>
      </c>
      <c r="S1145" s="343" t="s">
        <v>3903</v>
      </c>
      <c r="T1145" s="343" t="s">
        <v>3522</v>
      </c>
    </row>
    <row r="1146" spans="1:20" s="343" customFormat="1" ht="0.65" hidden="1" customHeight="1">
      <c r="A1146" s="343">
        <v>7104</v>
      </c>
      <c r="O1146" s="343">
        <v>64</v>
      </c>
      <c r="P1146" s="343" t="s">
        <v>3885</v>
      </c>
      <c r="R1146" s="863">
        <v>1800</v>
      </c>
      <c r="S1146" s="343" t="s">
        <v>3906</v>
      </c>
      <c r="T1146" s="343" t="s">
        <v>3907</v>
      </c>
    </row>
    <row r="1147" spans="1:20" s="343" customFormat="1" ht="0.65" hidden="1" customHeight="1">
      <c r="A1147" s="343">
        <v>7105</v>
      </c>
      <c r="O1147" s="343">
        <v>65</v>
      </c>
      <c r="P1147" s="343" t="s">
        <v>55</v>
      </c>
      <c r="R1147" s="863"/>
    </row>
    <row r="1148" spans="1:20" s="343" customFormat="1" ht="0.65" hidden="1" customHeight="1">
      <c r="A1148" s="343">
        <v>7106</v>
      </c>
      <c r="O1148" s="343">
        <v>66</v>
      </c>
      <c r="P1148" s="343" t="s">
        <v>55</v>
      </c>
      <c r="R1148" s="863"/>
    </row>
    <row r="1149" spans="1:20" s="343" customFormat="1" ht="0.65" hidden="1" customHeight="1">
      <c r="A1149" s="343">
        <v>7107</v>
      </c>
      <c r="O1149" s="343">
        <v>67</v>
      </c>
      <c r="P1149" s="343" t="s">
        <v>3394</v>
      </c>
      <c r="R1149" s="863">
        <v>-118200</v>
      </c>
      <c r="S1149" s="343" t="s">
        <v>3908</v>
      </c>
      <c r="T1149" s="343" t="s">
        <v>3909</v>
      </c>
    </row>
    <row r="1150" spans="1:20" s="343" customFormat="1" ht="0.65" hidden="1" customHeight="1">
      <c r="A1150" s="343">
        <v>7108</v>
      </c>
      <c r="O1150" s="343">
        <v>68</v>
      </c>
      <c r="P1150" s="343" t="s">
        <v>3527</v>
      </c>
      <c r="R1150" s="863">
        <v>90000</v>
      </c>
      <c r="S1150" s="343" t="s">
        <v>3910</v>
      </c>
      <c r="T1150" s="343" t="s">
        <v>3529</v>
      </c>
    </row>
    <row r="1151" spans="1:20" s="343" customFormat="1" ht="0.65" hidden="1" customHeight="1">
      <c r="A1151" s="343">
        <v>7109</v>
      </c>
      <c r="O1151" s="343">
        <v>69</v>
      </c>
      <c r="P1151" s="343" t="s">
        <v>3530</v>
      </c>
      <c r="R1151" s="863">
        <v>1800</v>
      </c>
      <c r="S1151" s="343" t="s">
        <v>3911</v>
      </c>
      <c r="T1151" s="343" t="s">
        <v>3532</v>
      </c>
    </row>
    <row r="1152" spans="1:20" s="343" customFormat="1" ht="0.65" hidden="1" customHeight="1">
      <c r="A1152" s="343">
        <v>7110</v>
      </c>
      <c r="O1152" s="343">
        <v>70</v>
      </c>
      <c r="P1152" s="343" t="s">
        <v>3533</v>
      </c>
      <c r="R1152" s="863">
        <v>1800</v>
      </c>
      <c r="S1152" s="343" t="s">
        <v>3911</v>
      </c>
      <c r="T1152" s="343" t="s">
        <v>3534</v>
      </c>
    </row>
    <row r="1153" spans="1:20" s="343" customFormat="1" ht="0.65" hidden="1" customHeight="1">
      <c r="A1153" s="343">
        <v>7111</v>
      </c>
      <c r="O1153" s="343">
        <v>71</v>
      </c>
      <c r="P1153" s="343" t="s">
        <v>3535</v>
      </c>
      <c r="R1153" s="863">
        <v>1800</v>
      </c>
      <c r="S1153" s="343" t="s">
        <v>3911</v>
      </c>
      <c r="T1153" s="343" t="s">
        <v>3536</v>
      </c>
    </row>
    <row r="1154" spans="1:20" s="343" customFormat="1" ht="0.65" hidden="1" customHeight="1">
      <c r="A1154" s="343">
        <v>7112</v>
      </c>
      <c r="O1154" s="343">
        <v>72</v>
      </c>
      <c r="P1154" s="343" t="s">
        <v>3537</v>
      </c>
      <c r="R1154" s="863">
        <v>-116400</v>
      </c>
      <c r="S1154" s="343" t="s">
        <v>3912</v>
      </c>
      <c r="T1154" s="343" t="s">
        <v>3539</v>
      </c>
    </row>
    <row r="1155" spans="1:20" s="343" customFormat="1" ht="0.65" hidden="1" customHeight="1">
      <c r="A1155" s="343">
        <v>7113</v>
      </c>
      <c r="O1155" s="343">
        <v>73</v>
      </c>
      <c r="P1155" s="343" t="s">
        <v>3540</v>
      </c>
      <c r="R1155" s="864">
        <v>0.1</v>
      </c>
      <c r="S1155" s="343" t="s">
        <v>3541</v>
      </c>
      <c r="T1155" s="343" t="s">
        <v>3542</v>
      </c>
    </row>
    <row r="1156" spans="1:20" s="343" customFormat="1" ht="0.65" hidden="1" customHeight="1">
      <c r="A1156" s="343">
        <v>7114</v>
      </c>
      <c r="O1156" s="343">
        <v>74</v>
      </c>
      <c r="P1156" s="343" t="s">
        <v>13</v>
      </c>
      <c r="R1156" s="863">
        <v>14973.567379277403</v>
      </c>
      <c r="S1156" s="343" t="s">
        <v>3913</v>
      </c>
      <c r="T1156" s="343" t="s">
        <v>3544</v>
      </c>
    </row>
    <row r="1157" spans="1:20" s="343" customFormat="1" ht="0.65" hidden="1" customHeight="1">
      <c r="A1157" s="343">
        <v>7115</v>
      </c>
      <c r="O1157" s="343">
        <v>75</v>
      </c>
      <c r="P1157" s="343" t="s">
        <v>28</v>
      </c>
      <c r="R1157" s="864">
        <v>5.2434477322136352E-2</v>
      </c>
      <c r="S1157" s="343" t="s">
        <v>3914</v>
      </c>
      <c r="T1157" s="343" t="s">
        <v>3546</v>
      </c>
    </row>
    <row r="1158" spans="1:20" s="343" customFormat="1" ht="0.65" hidden="1" customHeight="1">
      <c r="A1158" s="343">
        <v>7116</v>
      </c>
    </row>
    <row r="1159" spans="1:20" s="343" customFormat="1" ht="0.65" hidden="1" customHeight="1">
      <c r="A1159" s="343">
        <v>7117</v>
      </c>
      <c r="O1159" s="343">
        <v>1</v>
      </c>
      <c r="P1159" s="343" t="s">
        <v>3915</v>
      </c>
    </row>
    <row r="1160" spans="1:20" s="343" customFormat="1" ht="0.65" hidden="1" customHeight="1">
      <c r="A1160" s="343">
        <v>7118</v>
      </c>
      <c r="O1160" s="343">
        <v>2</v>
      </c>
      <c r="P1160" s="343" t="s">
        <v>3937</v>
      </c>
    </row>
    <row r="1161" spans="1:20" s="343" customFormat="1" ht="0.65" hidden="1" customHeight="1">
      <c r="A1161" s="343">
        <v>7119</v>
      </c>
      <c r="O1161" s="343">
        <v>3</v>
      </c>
      <c r="P1161" s="343" t="s">
        <v>4147</v>
      </c>
    </row>
    <row r="1162" spans="1:20" s="343" customFormat="1" ht="0.65" hidden="1" customHeight="1">
      <c r="A1162" s="343">
        <v>7120</v>
      </c>
      <c r="O1162" s="343">
        <v>4</v>
      </c>
      <c r="P1162" s="343" t="s">
        <v>3921</v>
      </c>
    </row>
    <row r="1163" spans="1:20" s="343" customFormat="1" ht="0.65" hidden="1" customHeight="1">
      <c r="A1163" s="343">
        <v>7121</v>
      </c>
      <c r="O1163" s="343">
        <v>5</v>
      </c>
      <c r="P1163" s="343" t="s">
        <v>3938</v>
      </c>
    </row>
    <row r="1164" spans="1:20" s="343" customFormat="1" ht="0.65" hidden="1" customHeight="1">
      <c r="A1164" s="343">
        <v>7122</v>
      </c>
      <c r="O1164" s="343">
        <v>6</v>
      </c>
      <c r="P1164" s="343" t="s">
        <v>3918</v>
      </c>
    </row>
    <row r="1165" spans="1:20" s="343" customFormat="1" ht="0.65" hidden="1" customHeight="1">
      <c r="A1165" s="343">
        <v>7123</v>
      </c>
      <c r="O1165" s="343">
        <v>7</v>
      </c>
    </row>
    <row r="1166" spans="1:20" s="343" customFormat="1" ht="0.65" hidden="1" customHeight="1">
      <c r="A1166" s="343">
        <v>7124</v>
      </c>
      <c r="O1166" s="343">
        <v>8</v>
      </c>
    </row>
    <row r="1167" spans="1:20" s="343" customFormat="1" ht="0.65" hidden="1" customHeight="1">
      <c r="A1167" s="343">
        <v>7125</v>
      </c>
      <c r="O1167" s="343">
        <v>9</v>
      </c>
    </row>
    <row r="1168" spans="1:20" s="343" customFormat="1" ht="0.65" hidden="1" customHeight="1">
      <c r="A1168" s="343">
        <v>7126</v>
      </c>
      <c r="O1168" s="343">
        <v>10</v>
      </c>
    </row>
    <row r="1169" spans="1:16" s="343" customFormat="1" ht="0.65" hidden="1" customHeight="1">
      <c r="A1169" s="343">
        <v>7127</v>
      </c>
    </row>
    <row r="1170" spans="1:16" s="343" customFormat="1" ht="0.65" hidden="1" customHeight="1">
      <c r="A1170" s="343">
        <v>7128</v>
      </c>
    </row>
    <row r="1171" spans="1:16" s="343" customFormat="1" ht="0.65" hidden="1" customHeight="1">
      <c r="A1171" s="343">
        <f t="shared" ref="A1171:A1172" si="32">1+A1170</f>
        <v>7129</v>
      </c>
    </row>
    <row r="1172" spans="1:16" s="343" customFormat="1" ht="0.65" hidden="1" customHeight="1">
      <c r="A1172" s="343">
        <f t="shared" si="32"/>
        <v>7130</v>
      </c>
    </row>
    <row r="1173" spans="1:16" s="873" customFormat="1" ht="0.65" hidden="1" customHeight="1"/>
    <row r="1174" spans="1:16" s="873" customFormat="1" ht="0.65" hidden="1" customHeight="1">
      <c r="O1174" s="873">
        <v>1</v>
      </c>
      <c r="P1174" s="873" t="str">
        <f>UPPER("Planteamiento general")</f>
        <v>PLANTEAMIENTO GENERAL</v>
      </c>
    </row>
    <row r="1175" spans="1:16" s="873" customFormat="1" ht="0.65" hidden="1" customHeight="1">
      <c r="O1175" s="873">
        <v>2</v>
      </c>
      <c r="P1175" s="873" t="str">
        <f>UPPER("Desembolso inicial")</f>
        <v>DESEMBOLSO INICIAL</v>
      </c>
    </row>
    <row r="1176" spans="1:16" s="873" customFormat="1" ht="0.65" hidden="1" customHeight="1">
      <c r="O1176" s="873">
        <v>3</v>
      </c>
      <c r="P1176" s="873" t="str">
        <f>UPPER("Amortización de inmovilizados")</f>
        <v>AMORTIZACIÓN DE INMOVILIZADOS</v>
      </c>
    </row>
    <row r="1177" spans="1:16" s="873" customFormat="1" ht="0.65" hidden="1" customHeight="1">
      <c r="O1177" s="873">
        <v>4</v>
      </c>
      <c r="P1177" s="873" t="str">
        <f>UPPER("Existencias")</f>
        <v>EXISTENCIAS</v>
      </c>
    </row>
    <row r="1178" spans="1:16" s="873" customFormat="1" ht="0.65" hidden="1" customHeight="1">
      <c r="O1178" s="873">
        <v>5</v>
      </c>
      <c r="P1178" s="873" t="str">
        <f>UPPER("Valor residual")</f>
        <v>VALOR RESIDUAL</v>
      </c>
    </row>
    <row r="1179" spans="1:16" s="873" customFormat="1" ht="0.65" hidden="1" customHeight="1">
      <c r="O1179" s="873">
        <v>6</v>
      </c>
      <c r="P1179" s="873" t="str">
        <f>UPPER("Decisión final")</f>
        <v>DECISIÓN FINAL</v>
      </c>
    </row>
    <row r="1180" spans="1:16" s="140" customFormat="1" ht="15" hidden="1" customHeight="1"/>
    <row r="1181" spans="1:16" s="140" customFormat="1" ht="15" customHeight="1"/>
  </sheetData>
  <sheetProtection algorithmName="SHA-512" hashValue="qKaRmrFKc5NPowrky/9Go5KLWyX7irpZOzpWnIqgumwb7eFNv5vo1bDLytt/U8kTptzAXDoXmAuYrEdiEsSspw==" saltValue="rZ245VoVHuEHj8ZuuCfoEQ==" spinCount="100000" sheet="1" selectLockedCells="1"/>
  <mergeCells count="112">
    <mergeCell ref="N1066:O1066"/>
    <mergeCell ref="R1066:S1066"/>
    <mergeCell ref="N1062:O1062"/>
    <mergeCell ref="R1062:S1062"/>
    <mergeCell ref="N1063:O1063"/>
    <mergeCell ref="R1063:S1063"/>
    <mergeCell ref="N1064:O1064"/>
    <mergeCell ref="R1064:S1064"/>
    <mergeCell ref="N932:O932"/>
    <mergeCell ref="R932:S932"/>
    <mergeCell ref="N934:O934"/>
    <mergeCell ref="R934:S934"/>
    <mergeCell ref="U1053:V1056"/>
    <mergeCell ref="N1061:O1061"/>
    <mergeCell ref="R1061:S1061"/>
    <mergeCell ref="U921:V924"/>
    <mergeCell ref="N929:O929"/>
    <mergeCell ref="R929:S929"/>
    <mergeCell ref="N930:O930"/>
    <mergeCell ref="R930:S930"/>
    <mergeCell ref="N931:O931"/>
    <mergeCell ref="R931:S931"/>
    <mergeCell ref="N799:O799"/>
    <mergeCell ref="R799:S799"/>
    <mergeCell ref="N800:O800"/>
    <mergeCell ref="R800:S800"/>
    <mergeCell ref="N802:O802"/>
    <mergeCell ref="R802:S802"/>
    <mergeCell ref="N670:O670"/>
    <mergeCell ref="R670:S670"/>
    <mergeCell ref="U789:V792"/>
    <mergeCell ref="N797:O797"/>
    <mergeCell ref="R797:S797"/>
    <mergeCell ref="N798:O798"/>
    <mergeCell ref="R798:S798"/>
    <mergeCell ref="N666:O666"/>
    <mergeCell ref="R666:S666"/>
    <mergeCell ref="N667:O667"/>
    <mergeCell ref="R667:S667"/>
    <mergeCell ref="N668:O668"/>
    <mergeCell ref="R668:S668"/>
    <mergeCell ref="N536:O536"/>
    <mergeCell ref="R536:S536"/>
    <mergeCell ref="N538:O538"/>
    <mergeCell ref="R538:S538"/>
    <mergeCell ref="U657:V660"/>
    <mergeCell ref="N665:O665"/>
    <mergeCell ref="R665:S665"/>
    <mergeCell ref="U525:V528"/>
    <mergeCell ref="N533:O533"/>
    <mergeCell ref="R533:S533"/>
    <mergeCell ref="N534:O534"/>
    <mergeCell ref="R534:S534"/>
    <mergeCell ref="N535:O535"/>
    <mergeCell ref="R535:S535"/>
    <mergeCell ref="N403:O403"/>
    <mergeCell ref="R403:S403"/>
    <mergeCell ref="N404:O404"/>
    <mergeCell ref="R404:S404"/>
    <mergeCell ref="N406:O406"/>
    <mergeCell ref="R406:S406"/>
    <mergeCell ref="U393:V396"/>
    <mergeCell ref="I396:K396"/>
    <mergeCell ref="N401:O401"/>
    <mergeCell ref="R401:S401"/>
    <mergeCell ref="N402:O402"/>
    <mergeCell ref="R402:S402"/>
    <mergeCell ref="N271:O271"/>
    <mergeCell ref="R271:S271"/>
    <mergeCell ref="N272:O272"/>
    <mergeCell ref="R272:S272"/>
    <mergeCell ref="N274:O274"/>
    <mergeCell ref="R274:S274"/>
    <mergeCell ref="N184:O184"/>
    <mergeCell ref="R184:S184"/>
    <mergeCell ref="U261:V264"/>
    <mergeCell ref="N269:O269"/>
    <mergeCell ref="R269:S269"/>
    <mergeCell ref="N270:O270"/>
    <mergeCell ref="R270:S270"/>
    <mergeCell ref="N180:O180"/>
    <mergeCell ref="R180:S180"/>
    <mergeCell ref="N181:O181"/>
    <mergeCell ref="R181:S181"/>
    <mergeCell ref="N182:O182"/>
    <mergeCell ref="R182:S182"/>
    <mergeCell ref="N158:O158"/>
    <mergeCell ref="R158:S158"/>
    <mergeCell ref="N160:O160"/>
    <mergeCell ref="R160:S160"/>
    <mergeCell ref="U171:V174"/>
    <mergeCell ref="N179:O179"/>
    <mergeCell ref="R179:S179"/>
    <mergeCell ref="N155:O155"/>
    <mergeCell ref="R155:S155"/>
    <mergeCell ref="N156:O156"/>
    <mergeCell ref="R156:S156"/>
    <mergeCell ref="N157:O157"/>
    <mergeCell ref="R157:S157"/>
    <mergeCell ref="N31:O31"/>
    <mergeCell ref="R31:S31"/>
    <mergeCell ref="N33:O33"/>
    <mergeCell ref="R33:S33"/>
    <mergeCell ref="N43:X47"/>
    <mergeCell ref="U147:V150"/>
    <mergeCell ref="U20:V23"/>
    <mergeCell ref="N28:O28"/>
    <mergeCell ref="R28:S28"/>
    <mergeCell ref="N29:O29"/>
    <mergeCell ref="R29:S29"/>
    <mergeCell ref="N30:O30"/>
    <mergeCell ref="R30:S30"/>
  </mergeCells>
  <conditionalFormatting sqref="F11:F136 I11:I136 F213 I213 I221:I247 F221:F247">
    <cfRule type="expression" dxfId="11" priority="12">
      <formula>NOT(F11="")</formula>
    </cfRule>
  </conditionalFormatting>
  <conditionalFormatting sqref="N28:O31 R28:S31">
    <cfRule type="expression" dxfId="10" priority="11">
      <formula>NOT(N28="")</formula>
    </cfRule>
  </conditionalFormatting>
  <conditionalFormatting sqref="P28:P31 T28:T31">
    <cfRule type="expression" dxfId="9" priority="10">
      <formula>NOT(N28="")</formula>
    </cfRule>
  </conditionalFormatting>
  <conditionalFormatting sqref="A9:A47 A8:XFD8 T35 R39:T39 A48:XFD1180">
    <cfRule type="expression" dxfId="8" priority="9">
      <formula>NOT($C$5="javi")</formula>
    </cfRule>
  </conditionalFormatting>
  <conditionalFormatting sqref="B12:B46">
    <cfRule type="expression" dxfId="7" priority="8">
      <formula>OR(NOT(B12=""),AND(B12="",NOT(B11=""),NOT(B13="")))</formula>
    </cfRule>
  </conditionalFormatting>
  <conditionalFormatting sqref="E11:E47 H11:H47">
    <cfRule type="expression" dxfId="6" priority="7" stopIfTrue="1">
      <formula>NOT(E11="")</formula>
    </cfRule>
  </conditionalFormatting>
  <conditionalFormatting sqref="E9:J9 E40:J40 U20:V23">
    <cfRule type="expression" dxfId="5" priority="4" stopIfTrue="1">
      <formula>NOT($E$9="")</formula>
    </cfRule>
  </conditionalFormatting>
  <conditionalFormatting sqref="A1:XFD1048576">
    <cfRule type="expression" dxfId="4" priority="2" stopIfTrue="1">
      <formula>OR(NOT($A$2="SI"),NOT($A$1=$A$3),$F$215="SI")</formula>
    </cfRule>
  </conditionalFormatting>
  <conditionalFormatting sqref="A7:Y47">
    <cfRule type="expression" dxfId="3" priority="1">
      <formula>OR($C$4="",$D$4="ERROR")</formula>
    </cfRule>
  </conditionalFormatting>
  <conditionalFormatting sqref="N40:X42">
    <cfRule type="expression" dxfId="2" priority="6">
      <formula>OR(NOT($T$35="x"),$T$37="",NOT($U$37=""),NOT($T$39=0))</formula>
    </cfRule>
  </conditionalFormatting>
  <conditionalFormatting sqref="N43">
    <cfRule type="expression" dxfId="1" priority="5">
      <formula>OR(NOT($T$35="x"),$X$37="",NOT($Y$37=""),NOT($T$39=0))</formula>
    </cfRule>
  </conditionalFormatting>
  <conditionalFormatting sqref="M37:Y37">
    <cfRule type="expression" dxfId="0" priority="3">
      <formula>OR(NOT($T$35="x"),NOT($T$39=0))</formula>
    </cfRule>
  </conditionalFormatting>
  <pageMargins left="0.70866141732283472" right="0.70866141732283472" top="0.74803149606299213" bottom="0.74803149606299213" header="0.31496062992125984" footer="0.31496062992125984"/>
  <pageSetup paperSize="9" scale="78" orientation="landscape" r:id="rId1"/>
  <headerFooter>
    <oddHeader>&amp;CCasos de inversión en condiciones de certeza: practicando el concepto de 'variabilidad a la decisión'</oddHeader>
    <oddFooter>&amp;CPágina &amp;P de &amp;N</oddFooter>
  </headerFooter>
  <colBreaks count="2" manualBreakCount="2">
    <brk id="3" max="1048575" man="1"/>
    <brk id="11"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66"/>
  <sheetViews>
    <sheetView showGridLines="0" zoomScale="90" zoomScaleNormal="90" workbookViewId="0">
      <selection activeCell="J14" sqref="J14"/>
    </sheetView>
  </sheetViews>
  <sheetFormatPr baseColWidth="10" defaultColWidth="11.453125" defaultRowHeight="14.5"/>
  <cols>
    <col min="1" max="1" width="7.54296875" style="60" customWidth="1"/>
    <col min="2" max="15" width="11.453125" style="60"/>
    <col min="16" max="16" width="7.54296875" style="60" customWidth="1"/>
    <col min="17" max="16384" width="11.453125" style="60"/>
  </cols>
  <sheetData>
    <row r="2" spans="2:15">
      <c r="B2" s="292" t="s">
        <v>3951</v>
      </c>
    </row>
    <row r="3" spans="2:15" ht="15.5">
      <c r="B3" s="932" t="s">
        <v>328</v>
      </c>
      <c r="C3" s="932"/>
      <c r="D3" s="932"/>
      <c r="E3" s="932"/>
      <c r="F3" s="932"/>
      <c r="G3" s="932"/>
      <c r="H3" s="932"/>
      <c r="I3" s="932"/>
      <c r="J3" s="932"/>
      <c r="K3" s="932"/>
      <c r="L3" s="932"/>
      <c r="M3" s="932"/>
      <c r="N3" s="932"/>
      <c r="O3" s="932"/>
    </row>
    <row r="5" spans="2:15" ht="21.75" customHeight="1">
      <c r="B5" s="929" t="s">
        <v>2079</v>
      </c>
      <c r="C5" s="929"/>
      <c r="D5" s="929"/>
      <c r="E5" s="929"/>
      <c r="F5" s="929"/>
      <c r="G5" s="929"/>
      <c r="H5" s="929"/>
      <c r="I5" s="929"/>
      <c r="J5" s="929"/>
      <c r="K5" s="929"/>
      <c r="L5" s="929"/>
      <c r="M5" s="929"/>
      <c r="N5" s="929"/>
      <c r="O5" s="929"/>
    </row>
    <row r="6" spans="2:15" ht="24" customHeight="1">
      <c r="B6" s="929" t="s">
        <v>330</v>
      </c>
      <c r="C6" s="929"/>
      <c r="D6" s="929"/>
      <c r="E6" s="929"/>
      <c r="F6" s="929"/>
      <c r="G6" s="929"/>
      <c r="H6" s="929"/>
      <c r="I6" s="929"/>
      <c r="J6" s="929"/>
      <c r="K6" s="929"/>
      <c r="L6" s="929"/>
      <c r="M6" s="929"/>
      <c r="N6" s="929"/>
      <c r="O6" s="929"/>
    </row>
    <row r="7" spans="2:15" ht="66.75" customHeight="1">
      <c r="B7" s="929" t="s">
        <v>332</v>
      </c>
      <c r="C7" s="929"/>
      <c r="D7" s="929"/>
      <c r="E7" s="929"/>
      <c r="F7" s="929"/>
      <c r="G7" s="929"/>
      <c r="H7" s="929"/>
      <c r="I7" s="929"/>
      <c r="J7" s="929"/>
      <c r="K7" s="929"/>
      <c r="L7" s="929"/>
      <c r="M7" s="929"/>
      <c r="N7" s="929"/>
      <c r="O7" s="929"/>
    </row>
    <row r="8" spans="2:15" ht="51.75" customHeight="1">
      <c r="B8" s="929" t="s">
        <v>333</v>
      </c>
      <c r="C8" s="929"/>
      <c r="D8" s="929"/>
      <c r="E8" s="929"/>
      <c r="F8" s="929"/>
      <c r="G8" s="929"/>
      <c r="H8" s="929"/>
      <c r="I8" s="929"/>
      <c r="J8" s="929"/>
      <c r="K8" s="929"/>
      <c r="L8" s="929"/>
      <c r="M8" s="929"/>
      <c r="N8" s="929"/>
      <c r="O8" s="929"/>
    </row>
    <row r="9" spans="2:15" ht="51.75" customHeight="1">
      <c r="B9" s="929" t="s">
        <v>334</v>
      </c>
      <c r="C9" s="929"/>
      <c r="D9" s="929"/>
      <c r="E9" s="929"/>
      <c r="F9" s="929"/>
      <c r="G9" s="929"/>
      <c r="H9" s="929"/>
      <c r="I9" s="929"/>
      <c r="J9" s="929"/>
      <c r="K9" s="929"/>
      <c r="L9" s="929"/>
      <c r="M9" s="929"/>
      <c r="N9" s="929"/>
      <c r="O9" s="929"/>
    </row>
    <row r="10" spans="2:15" ht="38.25" customHeight="1">
      <c r="B10" s="929" t="s">
        <v>331</v>
      </c>
      <c r="C10" s="929"/>
      <c r="D10" s="929"/>
      <c r="E10" s="929"/>
      <c r="F10" s="929"/>
      <c r="G10" s="929"/>
      <c r="H10" s="929"/>
      <c r="I10" s="929"/>
      <c r="J10" s="929"/>
      <c r="K10" s="929"/>
      <c r="L10" s="929"/>
      <c r="M10" s="929"/>
      <c r="N10" s="929"/>
      <c r="O10" s="929"/>
    </row>
    <row r="11" spans="2:15" ht="64.5" customHeight="1">
      <c r="B11" s="929" t="s">
        <v>335</v>
      </c>
      <c r="C11" s="929"/>
      <c r="D11" s="929"/>
      <c r="E11" s="929"/>
      <c r="F11" s="929"/>
      <c r="G11" s="929"/>
      <c r="H11" s="929"/>
      <c r="I11" s="929"/>
      <c r="J11" s="929"/>
      <c r="K11" s="929"/>
      <c r="L11" s="929"/>
      <c r="M11" s="929"/>
      <c r="N11" s="929"/>
      <c r="O11" s="929"/>
    </row>
    <row r="12" spans="2:15" ht="16.5" customHeight="1">
      <c r="B12" s="188"/>
      <c r="C12" s="188"/>
      <c r="D12" s="188"/>
      <c r="E12" s="188"/>
      <c r="F12" s="188"/>
      <c r="G12" s="188"/>
      <c r="H12" s="188"/>
      <c r="I12" s="188"/>
      <c r="J12" s="188"/>
      <c r="K12" s="188"/>
      <c r="L12" s="188"/>
      <c r="M12" s="188"/>
      <c r="N12" s="188"/>
      <c r="O12" s="188"/>
    </row>
    <row r="13" spans="2:15" ht="16.5" customHeight="1">
      <c r="B13" s="188"/>
      <c r="C13" s="188"/>
      <c r="D13" s="188"/>
      <c r="E13" s="188"/>
      <c r="F13" s="188"/>
      <c r="G13" s="188"/>
      <c r="H13" s="188"/>
      <c r="I13" s="188"/>
      <c r="K13" s="188"/>
      <c r="L13" s="188"/>
      <c r="M13" s="188"/>
      <c r="N13" s="188"/>
      <c r="O13" s="188"/>
    </row>
    <row r="14" spans="2:15">
      <c r="E14" s="930" t="s">
        <v>329</v>
      </c>
      <c r="F14" s="930"/>
      <c r="G14" s="930"/>
      <c r="H14" s="930"/>
      <c r="I14" s="931"/>
      <c r="J14" s="144"/>
      <c r="K14" s="145" t="str">
        <f>IF(OR(J14="",J14="x"),"","ERROR: debe ser 'x'")</f>
        <v/>
      </c>
    </row>
    <row r="15" spans="2:15">
      <c r="H15" s="285" t="s">
        <v>336</v>
      </c>
      <c r="J15" s="14" t="s">
        <v>336</v>
      </c>
    </row>
    <row r="16" spans="2:15">
      <c r="J16" s="63"/>
    </row>
    <row r="17" spans="8:9" s="64" customFormat="1"/>
    <row r="18" spans="8:9" s="64" customFormat="1">
      <c r="H18" s="304"/>
      <c r="I18" s="91"/>
    </row>
    <row r="19" spans="8:9" s="64" customFormat="1" hidden="1">
      <c r="H19" s="304"/>
      <c r="I19" s="91" t="str">
        <f>IF('Autoeval-sol básico (sin infla)'!E1="","NO",'Autoeval-sol básico (sin infla)'!$D$82)</f>
        <v>NO</v>
      </c>
    </row>
    <row r="20" spans="8:9" s="64" customFormat="1" hidden="1">
      <c r="H20" s="304"/>
      <c r="I20" s="91" t="str">
        <f>IF('Autoeval-sol avanza (sin infla)'!E1="","NO",'Autoeval-sol avanza (sin infla)'!$D$82)</f>
        <v>NO</v>
      </c>
    </row>
    <row r="21" spans="8:9" s="64" customFormat="1" hidden="1">
      <c r="H21" s="304"/>
      <c r="I21" s="91" t="str">
        <f>'Sensitividad (sin infla)'!$F$90</f>
        <v>NO</v>
      </c>
    </row>
    <row r="22" spans="8:9" s="64" customFormat="1" hidden="1">
      <c r="H22" s="304"/>
      <c r="I22" s="91" t="str">
        <f>'Preguntas cortas (sin infla)'!$D$69</f>
        <v>NO</v>
      </c>
    </row>
    <row r="23" spans="8:9" s="64" customFormat="1" hidden="1">
      <c r="H23" s="304"/>
      <c r="I23" s="91" t="str">
        <f>'Discusión criterios'!$X$183</f>
        <v>NO</v>
      </c>
    </row>
    <row r="24" spans="8:9" s="64" customFormat="1" hidden="1">
      <c r="H24" s="304"/>
      <c r="I24" s="91"/>
    </row>
    <row r="25" spans="8:9" s="64" customFormat="1" hidden="1">
      <c r="H25" s="304"/>
      <c r="I25" s="91" t="str">
        <f>'Autoeval-sol (con infla) básico'!E109</f>
        <v/>
      </c>
    </row>
    <row r="26" spans="8:9" s="64" customFormat="1" hidden="1">
      <c r="H26" s="304"/>
      <c r="I26" s="91"/>
    </row>
    <row r="27" spans="8:9" s="64" customFormat="1" hidden="1">
      <c r="H27" s="836"/>
      <c r="I27" s="760" t="str">
        <f>'Autoeval-sol DISVISA'!$D$88</f>
        <v>NO</v>
      </c>
    </row>
    <row r="28" spans="8:9" s="64" customFormat="1" hidden="1">
      <c r="H28" s="304"/>
      <c r="I28" s="760" t="str">
        <f>'Autoeval-sol alternat DISVISA'!$D$88</f>
        <v>NO</v>
      </c>
    </row>
    <row r="29" spans="8:9" s="64" customFormat="1" hidden="1">
      <c r="H29" s="304"/>
      <c r="I29" s="91"/>
    </row>
    <row r="30" spans="8:9" s="64" customFormat="1" hidden="1">
      <c r="H30" s="304"/>
      <c r="I30" s="91" t="str">
        <f>'Incrementalidad Autoeval-sol'!$F$215</f>
        <v/>
      </c>
    </row>
    <row r="31" spans="8:9" s="64" customFormat="1" hidden="1">
      <c r="H31" s="304"/>
      <c r="I31" s="91"/>
    </row>
    <row r="32" spans="8:9" s="64" customFormat="1" hidden="1">
      <c r="H32" s="304"/>
      <c r="I32" s="91">
        <f>COUNTIF(I18:I30,"SI")</f>
        <v>0</v>
      </c>
    </row>
    <row r="33" spans="8:9" s="64" customFormat="1" hidden="1">
      <c r="H33" s="304"/>
      <c r="I33" s="91" t="str">
        <f>IF(AND(J14="x",I32=0),"SI","")</f>
        <v/>
      </c>
    </row>
    <row r="34" spans="8:9" s="64" customFormat="1" hidden="1"/>
    <row r="35" spans="8:9" s="64" customFormat="1" hidden="1"/>
    <row r="36" spans="8:9" s="64" customFormat="1" hidden="1"/>
    <row r="37" spans="8:9" s="64" customFormat="1" hidden="1"/>
    <row r="38" spans="8:9" s="64" customFormat="1" hidden="1"/>
    <row r="39" spans="8:9" s="64" customFormat="1" hidden="1"/>
    <row r="40" spans="8:9" s="64" customFormat="1" hidden="1"/>
    <row r="41" spans="8:9" s="64" customFormat="1" hidden="1"/>
    <row r="42" spans="8:9" s="64" customFormat="1" hidden="1"/>
    <row r="43" spans="8:9" s="64" customFormat="1" hidden="1"/>
    <row r="44" spans="8:9" s="64" customFormat="1" hidden="1"/>
    <row r="45" spans="8:9" s="64" customFormat="1" hidden="1"/>
    <row r="46" spans="8:9" s="64" customFormat="1" hidden="1"/>
    <row r="47" spans="8:9" s="64" customFormat="1" hidden="1"/>
    <row r="48" spans="8:9" s="64" customFormat="1" hidden="1"/>
    <row r="49" s="64" customFormat="1" hidden="1"/>
    <row r="50" s="64" customFormat="1" hidden="1"/>
    <row r="51" s="64" customFormat="1" hidden="1"/>
    <row r="52" s="64" customFormat="1" hidden="1"/>
    <row r="53" s="64" customFormat="1" hidden="1"/>
    <row r="54" s="64" customFormat="1" hidden="1"/>
    <row r="55" s="64" customFormat="1" hidden="1"/>
    <row r="56" s="64" customFormat="1" hidden="1"/>
    <row r="57" s="64" customFormat="1" hidden="1"/>
    <row r="58" s="64" customFormat="1" hidden="1"/>
    <row r="59" s="64" customFormat="1" hidden="1"/>
    <row r="60" s="64" customFormat="1" hidden="1"/>
    <row r="61" s="64" customFormat="1" hidden="1"/>
    <row r="62" s="64" customFormat="1" hidden="1"/>
    <row r="63" s="64" customFormat="1" hidden="1"/>
    <row r="64" s="64" customFormat="1" hidden="1"/>
    <row r="65" s="64" customFormat="1"/>
    <row r="66" s="64" customFormat="1"/>
  </sheetData>
  <sheetProtection algorithmName="SHA-512" hashValue="haIV38YYFKqK4fYO1WfMOfrFCC3oA4mFvOrjXKFQc1b/LOEPe4ANWrceZr7VBJAdI6ZNMth05bO2nV7vfM4MOQ==" saltValue="zMdGj4k3wkVWyDJVbsQ/CQ==" spinCount="100000" sheet="1" selectLockedCells="1"/>
  <mergeCells count="9">
    <mergeCell ref="B9:O9"/>
    <mergeCell ref="B10:O10"/>
    <mergeCell ref="B11:O11"/>
    <mergeCell ref="E14:I14"/>
    <mergeCell ref="B3:O3"/>
    <mergeCell ref="B5:O5"/>
    <mergeCell ref="B6:O6"/>
    <mergeCell ref="B7:O7"/>
    <mergeCell ref="B8:O8"/>
  </mergeCells>
  <conditionalFormatting sqref="H15 H18:I33">
    <cfRule type="expression" dxfId="278" priority="1" stopIfTrue="1">
      <formula>NOT($J$16="javi")</formula>
    </cfRule>
  </conditionalFormatting>
  <pageMargins left="0.70866141732283472" right="0.70866141732283472" top="0.74803149606299213" bottom="0.74803149606299213" header="0.31496062992125984" footer="0.31496062992125984"/>
  <pageSetup paperSize="9" scale="75" pageOrder="overThenDown" orientation="landscape" r:id="rId1"/>
  <headerFooter>
    <oddHeader>&amp;CCaso práctico de inversión en condiciones de certeza: Sustitución de maquinaria con inversiones en fondo de maniobra - &amp;A</oddHeader>
    <oddFooter>&amp;CPágina &amp;P de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8209-C45D-4C1F-B273-AC84BC92EEE6}">
  <dimension ref="A1:K206"/>
  <sheetViews>
    <sheetView showGridLines="0" workbookViewId="0">
      <selection activeCell="B2" sqref="B2:K2"/>
    </sheetView>
  </sheetViews>
  <sheetFormatPr baseColWidth="10" defaultRowHeight="14.5"/>
  <cols>
    <col min="1" max="3" width="3.54296875" style="583" customWidth="1"/>
    <col min="4" max="4" width="8.54296875" style="583" customWidth="1"/>
    <col min="5" max="9" width="11.453125" style="583"/>
    <col min="10" max="10" width="9.54296875" style="583" customWidth="1"/>
    <col min="11" max="11" width="8.54296875" style="583" customWidth="1"/>
    <col min="12" max="12" width="4.54296875" style="583" customWidth="1"/>
    <col min="13" max="256" width="11.453125" style="583"/>
    <col min="257" max="259" width="3.54296875" style="583" customWidth="1"/>
    <col min="260" max="260" width="8.54296875" style="583" customWidth="1"/>
    <col min="261" max="265" width="11.453125" style="583"/>
    <col min="266" max="266" width="9.54296875" style="583" customWidth="1"/>
    <col min="267" max="267" width="8.54296875" style="583" customWidth="1"/>
    <col min="268" max="268" width="4.54296875" style="583" customWidth="1"/>
    <col min="269" max="512" width="11.453125" style="583"/>
    <col min="513" max="515" width="3.54296875" style="583" customWidth="1"/>
    <col min="516" max="516" width="8.54296875" style="583" customWidth="1"/>
    <col min="517" max="521" width="11.453125" style="583"/>
    <col min="522" max="522" width="9.54296875" style="583" customWidth="1"/>
    <col min="523" max="523" width="8.54296875" style="583" customWidth="1"/>
    <col min="524" max="524" width="4.54296875" style="583" customWidth="1"/>
    <col min="525" max="768" width="11.453125" style="583"/>
    <col min="769" max="771" width="3.54296875" style="583" customWidth="1"/>
    <col min="772" max="772" width="8.54296875" style="583" customWidth="1"/>
    <col min="773" max="777" width="11.453125" style="583"/>
    <col min="778" max="778" width="9.54296875" style="583" customWidth="1"/>
    <col min="779" max="779" width="8.54296875" style="583" customWidth="1"/>
    <col min="780" max="780" width="4.54296875" style="583" customWidth="1"/>
    <col min="781" max="1024" width="11.453125" style="583"/>
    <col min="1025" max="1027" width="3.54296875" style="583" customWidth="1"/>
    <col min="1028" max="1028" width="8.54296875" style="583" customWidth="1"/>
    <col min="1029" max="1033" width="11.453125" style="583"/>
    <col min="1034" max="1034" width="9.54296875" style="583" customWidth="1"/>
    <col min="1035" max="1035" width="8.54296875" style="583" customWidth="1"/>
    <col min="1036" max="1036" width="4.54296875" style="583" customWidth="1"/>
    <col min="1037" max="1280" width="11.453125" style="583"/>
    <col min="1281" max="1283" width="3.54296875" style="583" customWidth="1"/>
    <col min="1284" max="1284" width="8.54296875" style="583" customWidth="1"/>
    <col min="1285" max="1289" width="11.453125" style="583"/>
    <col min="1290" max="1290" width="9.54296875" style="583" customWidth="1"/>
    <col min="1291" max="1291" width="8.54296875" style="583" customWidth="1"/>
    <col min="1292" max="1292" width="4.54296875" style="583" customWidth="1"/>
    <col min="1293" max="1536" width="11.453125" style="583"/>
    <col min="1537" max="1539" width="3.54296875" style="583" customWidth="1"/>
    <col min="1540" max="1540" width="8.54296875" style="583" customWidth="1"/>
    <col min="1541" max="1545" width="11.453125" style="583"/>
    <col min="1546" max="1546" width="9.54296875" style="583" customWidth="1"/>
    <col min="1547" max="1547" width="8.54296875" style="583" customWidth="1"/>
    <col min="1548" max="1548" width="4.54296875" style="583" customWidth="1"/>
    <col min="1549" max="1792" width="11.453125" style="583"/>
    <col min="1793" max="1795" width="3.54296875" style="583" customWidth="1"/>
    <col min="1796" max="1796" width="8.54296875" style="583" customWidth="1"/>
    <col min="1797" max="1801" width="11.453125" style="583"/>
    <col min="1802" max="1802" width="9.54296875" style="583" customWidth="1"/>
    <col min="1803" max="1803" width="8.54296875" style="583" customWidth="1"/>
    <col min="1804" max="1804" width="4.54296875" style="583" customWidth="1"/>
    <col min="1805" max="2048" width="11.453125" style="583"/>
    <col min="2049" max="2051" width="3.54296875" style="583" customWidth="1"/>
    <col min="2052" max="2052" width="8.54296875" style="583" customWidth="1"/>
    <col min="2053" max="2057" width="11.453125" style="583"/>
    <col min="2058" max="2058" width="9.54296875" style="583" customWidth="1"/>
    <col min="2059" max="2059" width="8.54296875" style="583" customWidth="1"/>
    <col min="2060" max="2060" width="4.54296875" style="583" customWidth="1"/>
    <col min="2061" max="2304" width="11.453125" style="583"/>
    <col min="2305" max="2307" width="3.54296875" style="583" customWidth="1"/>
    <col min="2308" max="2308" width="8.54296875" style="583" customWidth="1"/>
    <col min="2309" max="2313" width="11.453125" style="583"/>
    <col min="2314" max="2314" width="9.54296875" style="583" customWidth="1"/>
    <col min="2315" max="2315" width="8.54296875" style="583" customWidth="1"/>
    <col min="2316" max="2316" width="4.54296875" style="583" customWidth="1"/>
    <col min="2317" max="2560" width="11.453125" style="583"/>
    <col min="2561" max="2563" width="3.54296875" style="583" customWidth="1"/>
    <col min="2564" max="2564" width="8.54296875" style="583" customWidth="1"/>
    <col min="2565" max="2569" width="11.453125" style="583"/>
    <col min="2570" max="2570" width="9.54296875" style="583" customWidth="1"/>
    <col min="2571" max="2571" width="8.54296875" style="583" customWidth="1"/>
    <col min="2572" max="2572" width="4.54296875" style="583" customWidth="1"/>
    <col min="2573" max="2816" width="11.453125" style="583"/>
    <col min="2817" max="2819" width="3.54296875" style="583" customWidth="1"/>
    <col min="2820" max="2820" width="8.54296875" style="583" customWidth="1"/>
    <col min="2821" max="2825" width="11.453125" style="583"/>
    <col min="2826" max="2826" width="9.54296875" style="583" customWidth="1"/>
    <col min="2827" max="2827" width="8.54296875" style="583" customWidth="1"/>
    <col min="2828" max="2828" width="4.54296875" style="583" customWidth="1"/>
    <col min="2829" max="3072" width="11.453125" style="583"/>
    <col min="3073" max="3075" width="3.54296875" style="583" customWidth="1"/>
    <col min="3076" max="3076" width="8.54296875" style="583" customWidth="1"/>
    <col min="3077" max="3081" width="11.453125" style="583"/>
    <col min="3082" max="3082" width="9.54296875" style="583" customWidth="1"/>
    <col min="3083" max="3083" width="8.54296875" style="583" customWidth="1"/>
    <col min="3084" max="3084" width="4.54296875" style="583" customWidth="1"/>
    <col min="3085" max="3328" width="11.453125" style="583"/>
    <col min="3329" max="3331" width="3.54296875" style="583" customWidth="1"/>
    <col min="3332" max="3332" width="8.54296875" style="583" customWidth="1"/>
    <col min="3333" max="3337" width="11.453125" style="583"/>
    <col min="3338" max="3338" width="9.54296875" style="583" customWidth="1"/>
    <col min="3339" max="3339" width="8.54296875" style="583" customWidth="1"/>
    <col min="3340" max="3340" width="4.54296875" style="583" customWidth="1"/>
    <col min="3341" max="3584" width="11.453125" style="583"/>
    <col min="3585" max="3587" width="3.54296875" style="583" customWidth="1"/>
    <col min="3588" max="3588" width="8.54296875" style="583" customWidth="1"/>
    <col min="3589" max="3593" width="11.453125" style="583"/>
    <col min="3594" max="3594" width="9.54296875" style="583" customWidth="1"/>
    <col min="3595" max="3595" width="8.54296875" style="583" customWidth="1"/>
    <col min="3596" max="3596" width="4.54296875" style="583" customWidth="1"/>
    <col min="3597" max="3840" width="11.453125" style="583"/>
    <col min="3841" max="3843" width="3.54296875" style="583" customWidth="1"/>
    <col min="3844" max="3844" width="8.54296875" style="583" customWidth="1"/>
    <col min="3845" max="3849" width="11.453125" style="583"/>
    <col min="3850" max="3850" width="9.54296875" style="583" customWidth="1"/>
    <col min="3851" max="3851" width="8.54296875" style="583" customWidth="1"/>
    <col min="3852" max="3852" width="4.54296875" style="583" customWidth="1"/>
    <col min="3853" max="4096" width="11.453125" style="583"/>
    <col min="4097" max="4099" width="3.54296875" style="583" customWidth="1"/>
    <col min="4100" max="4100" width="8.54296875" style="583" customWidth="1"/>
    <col min="4101" max="4105" width="11.453125" style="583"/>
    <col min="4106" max="4106" width="9.54296875" style="583" customWidth="1"/>
    <col min="4107" max="4107" width="8.54296875" style="583" customWidth="1"/>
    <col min="4108" max="4108" width="4.54296875" style="583" customWidth="1"/>
    <col min="4109" max="4352" width="11.453125" style="583"/>
    <col min="4353" max="4355" width="3.54296875" style="583" customWidth="1"/>
    <col min="4356" max="4356" width="8.54296875" style="583" customWidth="1"/>
    <col min="4357" max="4361" width="11.453125" style="583"/>
    <col min="4362" max="4362" width="9.54296875" style="583" customWidth="1"/>
    <col min="4363" max="4363" width="8.54296875" style="583" customWidth="1"/>
    <col min="4364" max="4364" width="4.54296875" style="583" customWidth="1"/>
    <col min="4365" max="4608" width="11.453125" style="583"/>
    <col min="4609" max="4611" width="3.54296875" style="583" customWidth="1"/>
    <col min="4612" max="4612" width="8.54296875" style="583" customWidth="1"/>
    <col min="4613" max="4617" width="11.453125" style="583"/>
    <col min="4618" max="4618" width="9.54296875" style="583" customWidth="1"/>
    <col min="4619" max="4619" width="8.54296875" style="583" customWidth="1"/>
    <col min="4620" max="4620" width="4.54296875" style="583" customWidth="1"/>
    <col min="4621" max="4864" width="11.453125" style="583"/>
    <col min="4865" max="4867" width="3.54296875" style="583" customWidth="1"/>
    <col min="4868" max="4868" width="8.54296875" style="583" customWidth="1"/>
    <col min="4869" max="4873" width="11.453125" style="583"/>
    <col min="4874" max="4874" width="9.54296875" style="583" customWidth="1"/>
    <col min="4875" max="4875" width="8.54296875" style="583" customWidth="1"/>
    <col min="4876" max="4876" width="4.54296875" style="583" customWidth="1"/>
    <col min="4877" max="5120" width="11.453125" style="583"/>
    <col min="5121" max="5123" width="3.54296875" style="583" customWidth="1"/>
    <col min="5124" max="5124" width="8.54296875" style="583" customWidth="1"/>
    <col min="5125" max="5129" width="11.453125" style="583"/>
    <col min="5130" max="5130" width="9.54296875" style="583" customWidth="1"/>
    <col min="5131" max="5131" width="8.54296875" style="583" customWidth="1"/>
    <col min="5132" max="5132" width="4.54296875" style="583" customWidth="1"/>
    <col min="5133" max="5376" width="11.453125" style="583"/>
    <col min="5377" max="5379" width="3.54296875" style="583" customWidth="1"/>
    <col min="5380" max="5380" width="8.54296875" style="583" customWidth="1"/>
    <col min="5381" max="5385" width="11.453125" style="583"/>
    <col min="5386" max="5386" width="9.54296875" style="583" customWidth="1"/>
    <col min="5387" max="5387" width="8.54296875" style="583" customWidth="1"/>
    <col min="5388" max="5388" width="4.54296875" style="583" customWidth="1"/>
    <col min="5389" max="5632" width="11.453125" style="583"/>
    <col min="5633" max="5635" width="3.54296875" style="583" customWidth="1"/>
    <col min="5636" max="5636" width="8.54296875" style="583" customWidth="1"/>
    <col min="5637" max="5641" width="11.453125" style="583"/>
    <col min="5642" max="5642" width="9.54296875" style="583" customWidth="1"/>
    <col min="5643" max="5643" width="8.54296875" style="583" customWidth="1"/>
    <col min="5644" max="5644" width="4.54296875" style="583" customWidth="1"/>
    <col min="5645" max="5888" width="11.453125" style="583"/>
    <col min="5889" max="5891" width="3.54296875" style="583" customWidth="1"/>
    <col min="5892" max="5892" width="8.54296875" style="583" customWidth="1"/>
    <col min="5893" max="5897" width="11.453125" style="583"/>
    <col min="5898" max="5898" width="9.54296875" style="583" customWidth="1"/>
    <col min="5899" max="5899" width="8.54296875" style="583" customWidth="1"/>
    <col min="5900" max="5900" width="4.54296875" style="583" customWidth="1"/>
    <col min="5901" max="6144" width="11.453125" style="583"/>
    <col min="6145" max="6147" width="3.54296875" style="583" customWidth="1"/>
    <col min="6148" max="6148" width="8.54296875" style="583" customWidth="1"/>
    <col min="6149" max="6153" width="11.453125" style="583"/>
    <col min="6154" max="6154" width="9.54296875" style="583" customWidth="1"/>
    <col min="6155" max="6155" width="8.54296875" style="583" customWidth="1"/>
    <col min="6156" max="6156" width="4.54296875" style="583" customWidth="1"/>
    <col min="6157" max="6400" width="11.453125" style="583"/>
    <col min="6401" max="6403" width="3.54296875" style="583" customWidth="1"/>
    <col min="6404" max="6404" width="8.54296875" style="583" customWidth="1"/>
    <col min="6405" max="6409" width="11.453125" style="583"/>
    <col min="6410" max="6410" width="9.54296875" style="583" customWidth="1"/>
    <col min="6411" max="6411" width="8.54296875" style="583" customWidth="1"/>
    <col min="6412" max="6412" width="4.54296875" style="583" customWidth="1"/>
    <col min="6413" max="6656" width="11.453125" style="583"/>
    <col min="6657" max="6659" width="3.54296875" style="583" customWidth="1"/>
    <col min="6660" max="6660" width="8.54296875" style="583" customWidth="1"/>
    <col min="6661" max="6665" width="11.453125" style="583"/>
    <col min="6666" max="6666" width="9.54296875" style="583" customWidth="1"/>
    <col min="6667" max="6667" width="8.54296875" style="583" customWidth="1"/>
    <col min="6668" max="6668" width="4.54296875" style="583" customWidth="1"/>
    <col min="6669" max="6912" width="11.453125" style="583"/>
    <col min="6913" max="6915" width="3.54296875" style="583" customWidth="1"/>
    <col min="6916" max="6916" width="8.54296875" style="583" customWidth="1"/>
    <col min="6917" max="6921" width="11.453125" style="583"/>
    <col min="6922" max="6922" width="9.54296875" style="583" customWidth="1"/>
    <col min="6923" max="6923" width="8.54296875" style="583" customWidth="1"/>
    <col min="6924" max="6924" width="4.54296875" style="583" customWidth="1"/>
    <col min="6925" max="7168" width="11.453125" style="583"/>
    <col min="7169" max="7171" width="3.54296875" style="583" customWidth="1"/>
    <col min="7172" max="7172" width="8.54296875" style="583" customWidth="1"/>
    <col min="7173" max="7177" width="11.453125" style="583"/>
    <col min="7178" max="7178" width="9.54296875" style="583" customWidth="1"/>
    <col min="7179" max="7179" width="8.54296875" style="583" customWidth="1"/>
    <col min="7180" max="7180" width="4.54296875" style="583" customWidth="1"/>
    <col min="7181" max="7424" width="11.453125" style="583"/>
    <col min="7425" max="7427" width="3.54296875" style="583" customWidth="1"/>
    <col min="7428" max="7428" width="8.54296875" style="583" customWidth="1"/>
    <col min="7429" max="7433" width="11.453125" style="583"/>
    <col min="7434" max="7434" width="9.54296875" style="583" customWidth="1"/>
    <col min="7435" max="7435" width="8.54296875" style="583" customWidth="1"/>
    <col min="7436" max="7436" width="4.54296875" style="583" customWidth="1"/>
    <col min="7437" max="7680" width="11.453125" style="583"/>
    <col min="7681" max="7683" width="3.54296875" style="583" customWidth="1"/>
    <col min="7684" max="7684" width="8.54296875" style="583" customWidth="1"/>
    <col min="7685" max="7689" width="11.453125" style="583"/>
    <col min="7690" max="7690" width="9.54296875" style="583" customWidth="1"/>
    <col min="7691" max="7691" width="8.54296875" style="583" customWidth="1"/>
    <col min="7692" max="7692" width="4.54296875" style="583" customWidth="1"/>
    <col min="7693" max="7936" width="11.453125" style="583"/>
    <col min="7937" max="7939" width="3.54296875" style="583" customWidth="1"/>
    <col min="7940" max="7940" width="8.54296875" style="583" customWidth="1"/>
    <col min="7941" max="7945" width="11.453125" style="583"/>
    <col min="7946" max="7946" width="9.54296875" style="583" customWidth="1"/>
    <col min="7947" max="7947" width="8.54296875" style="583" customWidth="1"/>
    <col min="7948" max="7948" width="4.54296875" style="583" customWidth="1"/>
    <col min="7949" max="8192" width="11.453125" style="583"/>
    <col min="8193" max="8195" width="3.54296875" style="583" customWidth="1"/>
    <col min="8196" max="8196" width="8.54296875" style="583" customWidth="1"/>
    <col min="8197" max="8201" width="11.453125" style="583"/>
    <col min="8202" max="8202" width="9.54296875" style="583" customWidth="1"/>
    <col min="8203" max="8203" width="8.54296875" style="583" customWidth="1"/>
    <col min="8204" max="8204" width="4.54296875" style="583" customWidth="1"/>
    <col min="8205" max="8448" width="11.453125" style="583"/>
    <col min="8449" max="8451" width="3.54296875" style="583" customWidth="1"/>
    <col min="8452" max="8452" width="8.54296875" style="583" customWidth="1"/>
    <col min="8453" max="8457" width="11.453125" style="583"/>
    <col min="8458" max="8458" width="9.54296875" style="583" customWidth="1"/>
    <col min="8459" max="8459" width="8.54296875" style="583" customWidth="1"/>
    <col min="8460" max="8460" width="4.54296875" style="583" customWidth="1"/>
    <col min="8461" max="8704" width="11.453125" style="583"/>
    <col min="8705" max="8707" width="3.54296875" style="583" customWidth="1"/>
    <col min="8708" max="8708" width="8.54296875" style="583" customWidth="1"/>
    <col min="8709" max="8713" width="11.453125" style="583"/>
    <col min="8714" max="8714" width="9.54296875" style="583" customWidth="1"/>
    <col min="8715" max="8715" width="8.54296875" style="583" customWidth="1"/>
    <col min="8716" max="8716" width="4.54296875" style="583" customWidth="1"/>
    <col min="8717" max="8960" width="11.453125" style="583"/>
    <col min="8961" max="8963" width="3.54296875" style="583" customWidth="1"/>
    <col min="8964" max="8964" width="8.54296875" style="583" customWidth="1"/>
    <col min="8965" max="8969" width="11.453125" style="583"/>
    <col min="8970" max="8970" width="9.54296875" style="583" customWidth="1"/>
    <col min="8971" max="8971" width="8.54296875" style="583" customWidth="1"/>
    <col min="8972" max="8972" width="4.54296875" style="583" customWidth="1"/>
    <col min="8973" max="9216" width="11.453125" style="583"/>
    <col min="9217" max="9219" width="3.54296875" style="583" customWidth="1"/>
    <col min="9220" max="9220" width="8.54296875" style="583" customWidth="1"/>
    <col min="9221" max="9225" width="11.453125" style="583"/>
    <col min="9226" max="9226" width="9.54296875" style="583" customWidth="1"/>
    <col min="9227" max="9227" width="8.54296875" style="583" customWidth="1"/>
    <col min="9228" max="9228" width="4.54296875" style="583" customWidth="1"/>
    <col min="9229" max="9472" width="11.453125" style="583"/>
    <col min="9473" max="9475" width="3.54296875" style="583" customWidth="1"/>
    <col min="9476" max="9476" width="8.54296875" style="583" customWidth="1"/>
    <col min="9477" max="9481" width="11.453125" style="583"/>
    <col min="9482" max="9482" width="9.54296875" style="583" customWidth="1"/>
    <col min="9483" max="9483" width="8.54296875" style="583" customWidth="1"/>
    <col min="9484" max="9484" width="4.54296875" style="583" customWidth="1"/>
    <col min="9485" max="9728" width="11.453125" style="583"/>
    <col min="9729" max="9731" width="3.54296875" style="583" customWidth="1"/>
    <col min="9732" max="9732" width="8.54296875" style="583" customWidth="1"/>
    <col min="9733" max="9737" width="11.453125" style="583"/>
    <col min="9738" max="9738" width="9.54296875" style="583" customWidth="1"/>
    <col min="9739" max="9739" width="8.54296875" style="583" customWidth="1"/>
    <col min="9740" max="9740" width="4.54296875" style="583" customWidth="1"/>
    <col min="9741" max="9984" width="11.453125" style="583"/>
    <col min="9985" max="9987" width="3.54296875" style="583" customWidth="1"/>
    <col min="9988" max="9988" width="8.54296875" style="583" customWidth="1"/>
    <col min="9989" max="9993" width="11.453125" style="583"/>
    <col min="9994" max="9994" width="9.54296875" style="583" customWidth="1"/>
    <col min="9995" max="9995" width="8.54296875" style="583" customWidth="1"/>
    <col min="9996" max="9996" width="4.54296875" style="583" customWidth="1"/>
    <col min="9997" max="10240" width="11.453125" style="583"/>
    <col min="10241" max="10243" width="3.54296875" style="583" customWidth="1"/>
    <col min="10244" max="10244" width="8.54296875" style="583" customWidth="1"/>
    <col min="10245" max="10249" width="11.453125" style="583"/>
    <col min="10250" max="10250" width="9.54296875" style="583" customWidth="1"/>
    <col min="10251" max="10251" width="8.54296875" style="583" customWidth="1"/>
    <col min="10252" max="10252" width="4.54296875" style="583" customWidth="1"/>
    <col min="10253" max="10496" width="11.453125" style="583"/>
    <col min="10497" max="10499" width="3.54296875" style="583" customWidth="1"/>
    <col min="10500" max="10500" width="8.54296875" style="583" customWidth="1"/>
    <col min="10501" max="10505" width="11.453125" style="583"/>
    <col min="10506" max="10506" width="9.54296875" style="583" customWidth="1"/>
    <col min="10507" max="10507" width="8.54296875" style="583" customWidth="1"/>
    <col min="10508" max="10508" width="4.54296875" style="583" customWidth="1"/>
    <col min="10509" max="10752" width="11.453125" style="583"/>
    <col min="10753" max="10755" width="3.54296875" style="583" customWidth="1"/>
    <col min="10756" max="10756" width="8.54296875" style="583" customWidth="1"/>
    <col min="10757" max="10761" width="11.453125" style="583"/>
    <col min="10762" max="10762" width="9.54296875" style="583" customWidth="1"/>
    <col min="10763" max="10763" width="8.54296875" style="583" customWidth="1"/>
    <col min="10764" max="10764" width="4.54296875" style="583" customWidth="1"/>
    <col min="10765" max="11008" width="11.453125" style="583"/>
    <col min="11009" max="11011" width="3.54296875" style="583" customWidth="1"/>
    <col min="11012" max="11012" width="8.54296875" style="583" customWidth="1"/>
    <col min="11013" max="11017" width="11.453125" style="583"/>
    <col min="11018" max="11018" width="9.54296875" style="583" customWidth="1"/>
    <col min="11019" max="11019" width="8.54296875" style="583" customWidth="1"/>
    <col min="11020" max="11020" width="4.54296875" style="583" customWidth="1"/>
    <col min="11021" max="11264" width="11.453125" style="583"/>
    <col min="11265" max="11267" width="3.54296875" style="583" customWidth="1"/>
    <col min="11268" max="11268" width="8.54296875" style="583" customWidth="1"/>
    <col min="11269" max="11273" width="11.453125" style="583"/>
    <col min="11274" max="11274" width="9.54296875" style="583" customWidth="1"/>
    <col min="11275" max="11275" width="8.54296875" style="583" customWidth="1"/>
    <col min="11276" max="11276" width="4.54296875" style="583" customWidth="1"/>
    <col min="11277" max="11520" width="11.453125" style="583"/>
    <col min="11521" max="11523" width="3.54296875" style="583" customWidth="1"/>
    <col min="11524" max="11524" width="8.54296875" style="583" customWidth="1"/>
    <col min="11525" max="11529" width="11.453125" style="583"/>
    <col min="11530" max="11530" width="9.54296875" style="583" customWidth="1"/>
    <col min="11531" max="11531" width="8.54296875" style="583" customWidth="1"/>
    <col min="11532" max="11532" width="4.54296875" style="583" customWidth="1"/>
    <col min="11533" max="11776" width="11.453125" style="583"/>
    <col min="11777" max="11779" width="3.54296875" style="583" customWidth="1"/>
    <col min="11780" max="11780" width="8.54296875" style="583" customWidth="1"/>
    <col min="11781" max="11785" width="11.453125" style="583"/>
    <col min="11786" max="11786" width="9.54296875" style="583" customWidth="1"/>
    <col min="11787" max="11787" width="8.54296875" style="583" customWidth="1"/>
    <col min="11788" max="11788" width="4.54296875" style="583" customWidth="1"/>
    <col min="11789" max="12032" width="11.453125" style="583"/>
    <col min="12033" max="12035" width="3.54296875" style="583" customWidth="1"/>
    <col min="12036" max="12036" width="8.54296875" style="583" customWidth="1"/>
    <col min="12037" max="12041" width="11.453125" style="583"/>
    <col min="12042" max="12042" width="9.54296875" style="583" customWidth="1"/>
    <col min="12043" max="12043" width="8.54296875" style="583" customWidth="1"/>
    <col min="12044" max="12044" width="4.54296875" style="583" customWidth="1"/>
    <col min="12045" max="12288" width="11.453125" style="583"/>
    <col min="12289" max="12291" width="3.54296875" style="583" customWidth="1"/>
    <col min="12292" max="12292" width="8.54296875" style="583" customWidth="1"/>
    <col min="12293" max="12297" width="11.453125" style="583"/>
    <col min="12298" max="12298" width="9.54296875" style="583" customWidth="1"/>
    <col min="12299" max="12299" width="8.54296875" style="583" customWidth="1"/>
    <col min="12300" max="12300" width="4.54296875" style="583" customWidth="1"/>
    <col min="12301" max="12544" width="11.453125" style="583"/>
    <col min="12545" max="12547" width="3.54296875" style="583" customWidth="1"/>
    <col min="12548" max="12548" width="8.54296875" style="583" customWidth="1"/>
    <col min="12549" max="12553" width="11.453125" style="583"/>
    <col min="12554" max="12554" width="9.54296875" style="583" customWidth="1"/>
    <col min="12555" max="12555" width="8.54296875" style="583" customWidth="1"/>
    <col min="12556" max="12556" width="4.54296875" style="583" customWidth="1"/>
    <col min="12557" max="12800" width="11.453125" style="583"/>
    <col min="12801" max="12803" width="3.54296875" style="583" customWidth="1"/>
    <col min="12804" max="12804" width="8.54296875" style="583" customWidth="1"/>
    <col min="12805" max="12809" width="11.453125" style="583"/>
    <col min="12810" max="12810" width="9.54296875" style="583" customWidth="1"/>
    <col min="12811" max="12811" width="8.54296875" style="583" customWidth="1"/>
    <col min="12812" max="12812" width="4.54296875" style="583" customWidth="1"/>
    <col min="12813" max="13056" width="11.453125" style="583"/>
    <col min="13057" max="13059" width="3.54296875" style="583" customWidth="1"/>
    <col min="13060" max="13060" width="8.54296875" style="583" customWidth="1"/>
    <col min="13061" max="13065" width="11.453125" style="583"/>
    <col min="13066" max="13066" width="9.54296875" style="583" customWidth="1"/>
    <col min="13067" max="13067" width="8.54296875" style="583" customWidth="1"/>
    <col min="13068" max="13068" width="4.54296875" style="583" customWidth="1"/>
    <col min="13069" max="13312" width="11.453125" style="583"/>
    <col min="13313" max="13315" width="3.54296875" style="583" customWidth="1"/>
    <col min="13316" max="13316" width="8.54296875" style="583" customWidth="1"/>
    <col min="13317" max="13321" width="11.453125" style="583"/>
    <col min="13322" max="13322" width="9.54296875" style="583" customWidth="1"/>
    <col min="13323" max="13323" width="8.54296875" style="583" customWidth="1"/>
    <col min="13324" max="13324" width="4.54296875" style="583" customWidth="1"/>
    <col min="13325" max="13568" width="11.453125" style="583"/>
    <col min="13569" max="13571" width="3.54296875" style="583" customWidth="1"/>
    <col min="13572" max="13572" width="8.54296875" style="583" customWidth="1"/>
    <col min="13573" max="13577" width="11.453125" style="583"/>
    <col min="13578" max="13578" width="9.54296875" style="583" customWidth="1"/>
    <col min="13579" max="13579" width="8.54296875" style="583" customWidth="1"/>
    <col min="13580" max="13580" width="4.54296875" style="583" customWidth="1"/>
    <col min="13581" max="13824" width="11.453125" style="583"/>
    <col min="13825" max="13827" width="3.54296875" style="583" customWidth="1"/>
    <col min="13828" max="13828" width="8.54296875" style="583" customWidth="1"/>
    <col min="13829" max="13833" width="11.453125" style="583"/>
    <col min="13834" max="13834" width="9.54296875" style="583" customWidth="1"/>
    <col min="13835" max="13835" width="8.54296875" style="583" customWidth="1"/>
    <col min="13836" max="13836" width="4.54296875" style="583" customWidth="1"/>
    <col min="13837" max="14080" width="11.453125" style="583"/>
    <col min="14081" max="14083" width="3.54296875" style="583" customWidth="1"/>
    <col min="14084" max="14084" width="8.54296875" style="583" customWidth="1"/>
    <col min="14085" max="14089" width="11.453125" style="583"/>
    <col min="14090" max="14090" width="9.54296875" style="583" customWidth="1"/>
    <col min="14091" max="14091" width="8.54296875" style="583" customWidth="1"/>
    <col min="14092" max="14092" width="4.54296875" style="583" customWidth="1"/>
    <col min="14093" max="14336" width="11.453125" style="583"/>
    <col min="14337" max="14339" width="3.54296875" style="583" customWidth="1"/>
    <col min="14340" max="14340" width="8.54296875" style="583" customWidth="1"/>
    <col min="14341" max="14345" width="11.453125" style="583"/>
    <col min="14346" max="14346" width="9.54296875" style="583" customWidth="1"/>
    <col min="14347" max="14347" width="8.54296875" style="583" customWidth="1"/>
    <col min="14348" max="14348" width="4.54296875" style="583" customWidth="1"/>
    <col min="14349" max="14592" width="11.453125" style="583"/>
    <col min="14593" max="14595" width="3.54296875" style="583" customWidth="1"/>
    <col min="14596" max="14596" width="8.54296875" style="583" customWidth="1"/>
    <col min="14597" max="14601" width="11.453125" style="583"/>
    <col min="14602" max="14602" width="9.54296875" style="583" customWidth="1"/>
    <col min="14603" max="14603" width="8.54296875" style="583" customWidth="1"/>
    <col min="14604" max="14604" width="4.54296875" style="583" customWidth="1"/>
    <col min="14605" max="14848" width="11.453125" style="583"/>
    <col min="14849" max="14851" width="3.54296875" style="583" customWidth="1"/>
    <col min="14852" max="14852" width="8.54296875" style="583" customWidth="1"/>
    <col min="14853" max="14857" width="11.453125" style="583"/>
    <col min="14858" max="14858" width="9.54296875" style="583" customWidth="1"/>
    <col min="14859" max="14859" width="8.54296875" style="583" customWidth="1"/>
    <col min="14860" max="14860" width="4.54296875" style="583" customWidth="1"/>
    <col min="14861" max="15104" width="11.453125" style="583"/>
    <col min="15105" max="15107" width="3.54296875" style="583" customWidth="1"/>
    <col min="15108" max="15108" width="8.54296875" style="583" customWidth="1"/>
    <col min="15109" max="15113" width="11.453125" style="583"/>
    <col min="15114" max="15114" width="9.54296875" style="583" customWidth="1"/>
    <col min="15115" max="15115" width="8.54296875" style="583" customWidth="1"/>
    <col min="15116" max="15116" width="4.54296875" style="583" customWidth="1"/>
    <col min="15117" max="15360" width="11.453125" style="583"/>
    <col min="15361" max="15363" width="3.54296875" style="583" customWidth="1"/>
    <col min="15364" max="15364" width="8.54296875" style="583" customWidth="1"/>
    <col min="15365" max="15369" width="11.453125" style="583"/>
    <col min="15370" max="15370" width="9.54296875" style="583" customWidth="1"/>
    <col min="15371" max="15371" width="8.54296875" style="583" customWidth="1"/>
    <col min="15372" max="15372" width="4.54296875" style="583" customWidth="1"/>
    <col min="15373" max="15616" width="11.453125" style="583"/>
    <col min="15617" max="15619" width="3.54296875" style="583" customWidth="1"/>
    <col min="15620" max="15620" width="8.54296875" style="583" customWidth="1"/>
    <col min="15621" max="15625" width="11.453125" style="583"/>
    <col min="15626" max="15626" width="9.54296875" style="583" customWidth="1"/>
    <col min="15627" max="15627" width="8.54296875" style="583" customWidth="1"/>
    <col min="15628" max="15628" width="4.54296875" style="583" customWidth="1"/>
    <col min="15629" max="15872" width="11.453125" style="583"/>
    <col min="15873" max="15875" width="3.54296875" style="583" customWidth="1"/>
    <col min="15876" max="15876" width="8.54296875" style="583" customWidth="1"/>
    <col min="15877" max="15881" width="11.453125" style="583"/>
    <col min="15882" max="15882" width="9.54296875" style="583" customWidth="1"/>
    <col min="15883" max="15883" width="8.54296875" style="583" customWidth="1"/>
    <col min="15884" max="15884" width="4.54296875" style="583" customWidth="1"/>
    <col min="15885" max="16128" width="11.453125" style="583"/>
    <col min="16129" max="16131" width="3.54296875" style="583" customWidth="1"/>
    <col min="16132" max="16132" width="8.54296875" style="583" customWidth="1"/>
    <col min="16133" max="16137" width="11.453125" style="583"/>
    <col min="16138" max="16138" width="9.54296875" style="583" customWidth="1"/>
    <col min="16139" max="16139" width="8.54296875" style="583" customWidth="1"/>
    <col min="16140" max="16140" width="4.54296875" style="583" customWidth="1"/>
    <col min="16141" max="16384" width="11.453125" style="583"/>
  </cols>
  <sheetData>
    <row r="1" spans="1:11">
      <c r="A1" s="582"/>
      <c r="B1" s="582" t="str">
        <f>IF(AND('Instrucciones de uso'!$J$14="x",'Instrucciones de uso'!$I$33="SI"),"SI","NO")</f>
        <v>NO</v>
      </c>
    </row>
    <row r="2" spans="1:11" ht="31.5" customHeight="1">
      <c r="B2" s="934" t="s">
        <v>2645</v>
      </c>
      <c r="C2" s="934"/>
      <c r="D2" s="934"/>
      <c r="E2" s="934"/>
      <c r="F2" s="934"/>
      <c r="G2" s="934"/>
      <c r="H2" s="934"/>
      <c r="I2" s="934"/>
      <c r="J2" s="934"/>
      <c r="K2" s="934"/>
    </row>
    <row r="3" spans="1:11">
      <c r="B3" s="894" t="s">
        <v>3951</v>
      </c>
    </row>
    <row r="4" spans="1:11">
      <c r="B4" s="935" t="s">
        <v>2646</v>
      </c>
      <c r="C4" s="935"/>
      <c r="D4" s="935"/>
      <c r="E4" s="935"/>
      <c r="F4" s="935"/>
      <c r="G4" s="935"/>
      <c r="H4" s="935"/>
      <c r="I4" s="935"/>
      <c r="J4" s="935"/>
      <c r="K4" s="935"/>
    </row>
    <row r="6" spans="1:11">
      <c r="B6" s="584" t="s">
        <v>2647</v>
      </c>
      <c r="C6" s="585" t="s">
        <v>2648</v>
      </c>
      <c r="D6" s="585"/>
      <c r="E6" s="585"/>
      <c r="F6" s="585"/>
      <c r="G6" s="585"/>
      <c r="H6" s="585"/>
      <c r="I6" s="585"/>
      <c r="J6" s="585"/>
      <c r="K6" s="585"/>
    </row>
    <row r="8" spans="1:11" ht="36" customHeight="1">
      <c r="C8" s="933" t="s">
        <v>2649</v>
      </c>
      <c r="D8" s="933"/>
      <c r="E8" s="933"/>
      <c r="F8" s="933"/>
      <c r="G8" s="933"/>
      <c r="H8" s="933"/>
      <c r="I8" s="933"/>
      <c r="J8" s="933"/>
      <c r="K8" s="933"/>
    </row>
    <row r="22" spans="3:11">
      <c r="C22" s="583" t="s">
        <v>2650</v>
      </c>
    </row>
    <row r="24" spans="3:11" ht="33" customHeight="1">
      <c r="C24" s="586" t="s">
        <v>2651</v>
      </c>
      <c r="D24" s="933" t="s">
        <v>2652</v>
      </c>
      <c r="E24" s="933"/>
      <c r="F24" s="933"/>
      <c r="G24" s="933"/>
      <c r="H24" s="933"/>
      <c r="I24" s="933"/>
      <c r="J24" s="933"/>
      <c r="K24" s="933"/>
    </row>
    <row r="25" spans="3:11" ht="46.5" customHeight="1">
      <c r="C25" s="586" t="s">
        <v>2651</v>
      </c>
      <c r="D25" s="933" t="s">
        <v>2653</v>
      </c>
      <c r="E25" s="933"/>
      <c r="F25" s="933"/>
      <c r="G25" s="933"/>
      <c r="H25" s="933"/>
      <c r="I25" s="933"/>
      <c r="J25" s="933"/>
      <c r="K25" s="933"/>
    </row>
    <row r="26" spans="3:11" ht="33" customHeight="1">
      <c r="C26" s="586" t="s">
        <v>2651</v>
      </c>
      <c r="D26" s="933" t="s">
        <v>2654</v>
      </c>
      <c r="E26" s="933"/>
      <c r="F26" s="933"/>
      <c r="G26" s="933"/>
      <c r="H26" s="933"/>
      <c r="I26" s="933"/>
      <c r="J26" s="933"/>
      <c r="K26" s="933"/>
    </row>
    <row r="28" spans="3:11" ht="49.5" customHeight="1">
      <c r="C28" s="936" t="s">
        <v>2655</v>
      </c>
      <c r="D28" s="936"/>
      <c r="E28" s="936"/>
      <c r="F28" s="936"/>
      <c r="G28" s="936"/>
      <c r="H28" s="936"/>
      <c r="I28" s="936"/>
      <c r="J28" s="936"/>
      <c r="K28" s="936"/>
    </row>
    <row r="39" spans="3:11">
      <c r="C39" s="933" t="s">
        <v>2656</v>
      </c>
      <c r="D39" s="933"/>
      <c r="E39" s="933"/>
      <c r="F39" s="933"/>
      <c r="G39" s="933"/>
      <c r="H39" s="933"/>
      <c r="I39" s="933"/>
      <c r="J39" s="933"/>
      <c r="K39" s="933"/>
    </row>
    <row r="41" spans="3:11" ht="16.5">
      <c r="D41" s="587" t="s">
        <v>2657</v>
      </c>
    </row>
    <row r="43" spans="3:11">
      <c r="C43" s="583" t="s">
        <v>2658</v>
      </c>
    </row>
    <row r="45" spans="3:11" ht="16.5">
      <c r="D45" s="588" t="s">
        <v>2659</v>
      </c>
      <c r="E45" s="933" t="s">
        <v>2660</v>
      </c>
      <c r="F45" s="933"/>
      <c r="G45" s="933"/>
      <c r="H45" s="933"/>
      <c r="I45" s="933"/>
      <c r="J45" s="933"/>
      <c r="K45" s="933"/>
    </row>
    <row r="46" spans="3:11" ht="16.5">
      <c r="D46" s="588" t="s">
        <v>2661</v>
      </c>
      <c r="E46" s="933" t="s">
        <v>2662</v>
      </c>
      <c r="F46" s="933"/>
      <c r="G46" s="933"/>
      <c r="H46" s="933"/>
      <c r="I46" s="933"/>
      <c r="J46" s="933"/>
      <c r="K46" s="933"/>
    </row>
    <row r="47" spans="3:11" ht="16.5">
      <c r="D47" s="588" t="s">
        <v>2663</v>
      </c>
      <c r="E47" s="933" t="s">
        <v>2664</v>
      </c>
      <c r="F47" s="933"/>
      <c r="G47" s="933"/>
      <c r="H47" s="933"/>
      <c r="I47" s="933"/>
      <c r="J47" s="933"/>
      <c r="K47" s="933"/>
    </row>
    <row r="48" spans="3:11" ht="33" customHeight="1">
      <c r="D48" s="588" t="s">
        <v>2665</v>
      </c>
      <c r="E48" s="933" t="s">
        <v>2666</v>
      </c>
      <c r="F48" s="933"/>
      <c r="G48" s="933"/>
      <c r="H48" s="933"/>
      <c r="I48" s="933"/>
      <c r="J48" s="933"/>
      <c r="K48" s="933"/>
    </row>
    <row r="49" spans="3:11" ht="16.5">
      <c r="D49" s="588" t="s">
        <v>2667</v>
      </c>
      <c r="E49" s="933" t="s">
        <v>2668</v>
      </c>
      <c r="F49" s="933"/>
      <c r="G49" s="933"/>
      <c r="H49" s="933"/>
      <c r="I49" s="933"/>
      <c r="J49" s="933"/>
      <c r="K49" s="933"/>
    </row>
    <row r="51" spans="3:11" ht="48" customHeight="1">
      <c r="C51" s="933" t="s">
        <v>2669</v>
      </c>
      <c r="D51" s="933"/>
      <c r="E51" s="933"/>
      <c r="F51" s="933"/>
      <c r="G51" s="933"/>
      <c r="H51" s="933"/>
      <c r="I51" s="933"/>
      <c r="J51" s="933"/>
      <c r="K51" s="933"/>
    </row>
    <row r="53" spans="3:11" ht="123" customHeight="1">
      <c r="C53" s="936" t="s">
        <v>2670</v>
      </c>
      <c r="D53" s="936"/>
      <c r="E53" s="936"/>
      <c r="F53" s="936"/>
      <c r="G53" s="936"/>
      <c r="H53" s="936"/>
      <c r="I53" s="936"/>
      <c r="J53" s="936"/>
      <c r="K53" s="936"/>
    </row>
    <row r="55" spans="3:11">
      <c r="D55" s="587" t="s">
        <v>2671</v>
      </c>
    </row>
    <row r="57" spans="3:11" ht="94.5" customHeight="1">
      <c r="C57" s="936" t="s">
        <v>2672</v>
      </c>
      <c r="D57" s="936"/>
      <c r="E57" s="936"/>
      <c r="F57" s="936"/>
      <c r="G57" s="936"/>
      <c r="H57" s="936"/>
      <c r="I57" s="936"/>
      <c r="J57" s="936"/>
      <c r="K57" s="936"/>
    </row>
    <row r="58" spans="3:11">
      <c r="C58" s="589"/>
    </row>
    <row r="59" spans="3:11" ht="16.5">
      <c r="D59" s="587" t="s">
        <v>2673</v>
      </c>
    </row>
    <row r="61" spans="3:11">
      <c r="C61" s="583" t="s">
        <v>2658</v>
      </c>
    </row>
    <row r="63" spans="3:11" ht="16.5">
      <c r="D63" s="588" t="s">
        <v>2674</v>
      </c>
      <c r="E63" s="933" t="s">
        <v>2675</v>
      </c>
      <c r="F63" s="933"/>
      <c r="G63" s="933"/>
      <c r="H63" s="933"/>
      <c r="I63" s="933"/>
      <c r="J63" s="933"/>
      <c r="K63" s="933"/>
    </row>
    <row r="64" spans="3:11" ht="16.5">
      <c r="D64" s="588" t="s">
        <v>2676</v>
      </c>
      <c r="E64" s="933" t="s">
        <v>2677</v>
      </c>
      <c r="F64" s="933"/>
      <c r="G64" s="933"/>
      <c r="H64" s="933"/>
      <c r="I64" s="933"/>
      <c r="J64" s="933"/>
      <c r="K64" s="933"/>
    </row>
    <row r="65" spans="3:11" ht="34.5" customHeight="1">
      <c r="D65" s="588" t="s">
        <v>2678</v>
      </c>
      <c r="E65" s="933" t="s">
        <v>2679</v>
      </c>
      <c r="F65" s="933"/>
      <c r="G65" s="933"/>
      <c r="H65" s="933"/>
      <c r="I65" s="933"/>
      <c r="J65" s="933"/>
      <c r="K65" s="933"/>
    </row>
    <row r="66" spans="3:11" ht="16.5">
      <c r="D66" s="588" t="s">
        <v>2680</v>
      </c>
      <c r="E66" s="933" t="s">
        <v>2681</v>
      </c>
      <c r="F66" s="933"/>
      <c r="G66" s="933"/>
      <c r="H66" s="933"/>
      <c r="I66" s="933"/>
      <c r="J66" s="933"/>
      <c r="K66" s="933"/>
    </row>
    <row r="67" spans="3:11" ht="16.5">
      <c r="D67" s="588" t="s">
        <v>2682</v>
      </c>
      <c r="E67" s="933" t="s">
        <v>2683</v>
      </c>
      <c r="F67" s="933"/>
      <c r="G67" s="933"/>
      <c r="H67" s="933"/>
      <c r="I67" s="933"/>
      <c r="J67" s="933"/>
      <c r="K67" s="933"/>
    </row>
    <row r="68" spans="3:11" ht="33" customHeight="1">
      <c r="D68" s="588" t="s">
        <v>4</v>
      </c>
      <c r="E68" s="933" t="s">
        <v>2684</v>
      </c>
      <c r="F68" s="933"/>
      <c r="G68" s="933"/>
      <c r="H68" s="933"/>
      <c r="I68" s="933"/>
      <c r="J68" s="933"/>
      <c r="K68" s="933"/>
    </row>
    <row r="70" spans="3:11" ht="79.5" customHeight="1">
      <c r="C70" s="936" t="s">
        <v>2685</v>
      </c>
      <c r="D70" s="936"/>
      <c r="E70" s="936"/>
      <c r="F70" s="936"/>
      <c r="G70" s="936"/>
      <c r="H70" s="936"/>
      <c r="I70" s="936"/>
      <c r="J70" s="936"/>
      <c r="K70" s="936"/>
    </row>
    <row r="71" spans="3:11">
      <c r="C71" s="589"/>
    </row>
    <row r="72" spans="3:11" ht="16.5">
      <c r="D72" s="587" t="s">
        <v>2686</v>
      </c>
    </row>
    <row r="74" spans="3:11">
      <c r="C74" s="583" t="s">
        <v>2658</v>
      </c>
    </row>
    <row r="76" spans="3:11" ht="33.75" customHeight="1">
      <c r="D76" s="588" t="s">
        <v>2687</v>
      </c>
      <c r="E76" s="933" t="s">
        <v>2688</v>
      </c>
      <c r="F76" s="933"/>
      <c r="G76" s="933"/>
      <c r="H76" s="933"/>
      <c r="I76" s="933"/>
      <c r="J76" s="933"/>
      <c r="K76" s="933"/>
    </row>
    <row r="77" spans="3:11" ht="16.5">
      <c r="D77" s="588" t="s">
        <v>2665</v>
      </c>
      <c r="E77" s="933" t="s">
        <v>2689</v>
      </c>
      <c r="F77" s="933"/>
      <c r="G77" s="933"/>
      <c r="H77" s="933"/>
      <c r="I77" s="933"/>
      <c r="J77" s="933"/>
      <c r="K77" s="933"/>
    </row>
    <row r="79" spans="3:11" ht="37.5" customHeight="1">
      <c r="C79" s="933" t="s">
        <v>2690</v>
      </c>
      <c r="D79" s="933"/>
      <c r="E79" s="933"/>
      <c r="F79" s="933"/>
      <c r="G79" s="933"/>
      <c r="H79" s="933"/>
      <c r="I79" s="933"/>
      <c r="J79" s="933"/>
      <c r="K79" s="933"/>
    </row>
    <row r="81" spans="3:11" ht="16.5">
      <c r="D81" s="587" t="s">
        <v>2691</v>
      </c>
    </row>
    <row r="83" spans="3:11" ht="33" customHeight="1">
      <c r="C83" s="933" t="s">
        <v>2692</v>
      </c>
      <c r="D83" s="933"/>
      <c r="E83" s="933"/>
      <c r="F83" s="933"/>
      <c r="G83" s="933"/>
      <c r="H83" s="933"/>
      <c r="I83" s="933"/>
      <c r="J83" s="933"/>
      <c r="K83" s="933"/>
    </row>
    <row r="85" spans="3:11">
      <c r="D85" s="590" t="s">
        <v>0</v>
      </c>
      <c r="E85" s="590" t="s">
        <v>2693</v>
      </c>
      <c r="F85" s="590" t="s">
        <v>2694</v>
      </c>
      <c r="G85" s="590" t="s">
        <v>2695</v>
      </c>
      <c r="H85" s="590" t="s">
        <v>2115</v>
      </c>
      <c r="I85" s="590" t="s">
        <v>2116</v>
      </c>
      <c r="J85" s="582"/>
    </row>
    <row r="86" spans="3:11">
      <c r="D86" s="582" t="s">
        <v>2696</v>
      </c>
      <c r="E86" s="591">
        <v>9999</v>
      </c>
      <c r="F86" s="591">
        <v>9999</v>
      </c>
      <c r="G86" s="591">
        <v>9999</v>
      </c>
      <c r="H86" s="591">
        <v>9999</v>
      </c>
      <c r="I86" s="591">
        <v>9999</v>
      </c>
      <c r="J86" s="582"/>
    </row>
    <row r="87" spans="3:11">
      <c r="D87" s="582"/>
      <c r="E87" s="582"/>
      <c r="F87" s="582"/>
      <c r="G87" s="582"/>
      <c r="H87" s="582"/>
      <c r="I87" s="582"/>
      <c r="J87" s="582"/>
    </row>
    <row r="88" spans="3:11">
      <c r="D88" s="590" t="s">
        <v>0</v>
      </c>
      <c r="E88" s="590" t="s">
        <v>2116</v>
      </c>
      <c r="F88" s="590" t="s">
        <v>2117</v>
      </c>
      <c r="G88" s="590" t="s">
        <v>2118</v>
      </c>
      <c r="H88" s="590" t="s">
        <v>2697</v>
      </c>
      <c r="I88" s="590" t="s">
        <v>2124</v>
      </c>
      <c r="J88" s="590" t="s">
        <v>2698</v>
      </c>
    </row>
    <row r="89" spans="3:11">
      <c r="D89" s="582" t="s">
        <v>2696</v>
      </c>
      <c r="E89" s="591">
        <v>9999</v>
      </c>
      <c r="F89" s="591">
        <v>9999</v>
      </c>
      <c r="G89" s="591">
        <v>9999</v>
      </c>
      <c r="H89" s="591">
        <v>9999</v>
      </c>
      <c r="I89" s="591">
        <v>9999</v>
      </c>
      <c r="J89" s="591">
        <v>9999</v>
      </c>
    </row>
    <row r="90" spans="3:11">
      <c r="C90" s="582"/>
      <c r="D90" s="582"/>
      <c r="E90" s="582"/>
      <c r="F90" s="582"/>
      <c r="G90" s="582"/>
      <c r="H90" s="582"/>
      <c r="I90" s="582"/>
      <c r="J90" s="582"/>
    </row>
    <row r="91" spans="3:11">
      <c r="C91" s="582"/>
      <c r="D91" s="582"/>
      <c r="E91" s="590" t="s">
        <v>0</v>
      </c>
      <c r="F91" s="590" t="s">
        <v>2633</v>
      </c>
      <c r="G91" s="590" t="s">
        <v>2124</v>
      </c>
      <c r="H91" s="582"/>
      <c r="I91" s="582"/>
      <c r="J91" s="582"/>
    </row>
    <row r="92" spans="3:11">
      <c r="C92" s="582"/>
      <c r="D92" s="582"/>
      <c r="E92" s="582" t="s">
        <v>2696</v>
      </c>
      <c r="F92" s="591">
        <v>9999</v>
      </c>
      <c r="G92" s="591">
        <v>9999</v>
      </c>
      <c r="H92" s="582"/>
      <c r="I92" s="582"/>
      <c r="J92" s="582"/>
    </row>
    <row r="94" spans="3:11" ht="95.25" customHeight="1">
      <c r="C94" s="936" t="s">
        <v>2699</v>
      </c>
      <c r="D94" s="936"/>
      <c r="E94" s="936"/>
      <c r="F94" s="936"/>
      <c r="G94" s="936"/>
      <c r="H94" s="936"/>
      <c r="I94" s="936"/>
      <c r="J94" s="936"/>
      <c r="K94" s="936"/>
    </row>
    <row r="96" spans="3:11">
      <c r="D96" s="590" t="s">
        <v>0</v>
      </c>
      <c r="E96" s="590" t="s">
        <v>2631</v>
      </c>
      <c r="F96" s="590" t="s">
        <v>2129</v>
      </c>
      <c r="G96" s="590" t="s">
        <v>2632</v>
      </c>
      <c r="H96" s="590" t="s">
        <v>2700</v>
      </c>
      <c r="I96" s="590" t="s">
        <v>2633</v>
      </c>
      <c r="J96" s="590" t="s">
        <v>2124</v>
      </c>
    </row>
    <row r="97" spans="3:11">
      <c r="D97" s="582" t="s">
        <v>2696</v>
      </c>
      <c r="E97" s="591">
        <v>9999</v>
      </c>
      <c r="F97" s="591">
        <v>9999</v>
      </c>
      <c r="G97" s="591">
        <v>9999</v>
      </c>
      <c r="H97" s="591">
        <v>9999</v>
      </c>
      <c r="I97" s="591">
        <v>9999</v>
      </c>
      <c r="J97" s="591">
        <v>9999</v>
      </c>
    </row>
    <row r="99" spans="3:11" ht="66.75" customHeight="1">
      <c r="C99" s="936" t="s">
        <v>2701</v>
      </c>
      <c r="D99" s="936"/>
      <c r="E99" s="936"/>
      <c r="F99" s="936"/>
      <c r="G99" s="936"/>
      <c r="H99" s="936"/>
      <c r="I99" s="936"/>
      <c r="J99" s="936"/>
      <c r="K99" s="936"/>
    </row>
    <row r="100" spans="3:11">
      <c r="C100" s="589"/>
    </row>
    <row r="101" spans="3:11" ht="67.5" customHeight="1">
      <c r="C101" s="936" t="s">
        <v>2702</v>
      </c>
      <c r="D101" s="936"/>
      <c r="E101" s="936"/>
      <c r="F101" s="936"/>
      <c r="G101" s="936"/>
      <c r="H101" s="936"/>
      <c r="I101" s="936"/>
      <c r="J101" s="936"/>
      <c r="K101" s="936"/>
    </row>
    <row r="102" spans="3:11" ht="15" customHeight="1">
      <c r="C102" s="592"/>
      <c r="D102" s="592"/>
      <c r="E102" s="592"/>
      <c r="F102" s="592"/>
      <c r="G102" s="592"/>
      <c r="H102" s="592"/>
      <c r="I102" s="592"/>
      <c r="J102" s="592"/>
      <c r="K102" s="592"/>
    </row>
    <row r="104" spans="3:11">
      <c r="D104" s="590" t="s">
        <v>0</v>
      </c>
      <c r="E104" s="590" t="s">
        <v>2113</v>
      </c>
      <c r="F104" s="590" t="s">
        <v>2703</v>
      </c>
      <c r="G104" s="590" t="s">
        <v>2704</v>
      </c>
      <c r="H104" s="590" t="s">
        <v>2115</v>
      </c>
      <c r="I104" s="590" t="s">
        <v>2121</v>
      </c>
      <c r="J104" s="590" t="s">
        <v>2116</v>
      </c>
    </row>
    <row r="105" spans="3:11">
      <c r="D105" s="582" t="s">
        <v>2696</v>
      </c>
      <c r="E105" s="591">
        <v>9999</v>
      </c>
      <c r="F105" s="591">
        <v>9999</v>
      </c>
      <c r="G105" s="591">
        <v>9999</v>
      </c>
      <c r="H105" s="591">
        <v>9999</v>
      </c>
      <c r="I105" s="591">
        <v>9999</v>
      </c>
      <c r="J105" s="591">
        <v>9999</v>
      </c>
    </row>
    <row r="106" spans="3:11">
      <c r="D106" s="582"/>
      <c r="E106" s="591"/>
      <c r="F106" s="591"/>
      <c r="G106" s="591"/>
      <c r="H106" s="591"/>
      <c r="I106" s="591"/>
      <c r="J106" s="591"/>
    </row>
    <row r="108" spans="3:11" ht="48.75" customHeight="1">
      <c r="C108" s="933" t="s">
        <v>2705</v>
      </c>
      <c r="D108" s="933"/>
      <c r="E108" s="933"/>
      <c r="F108" s="933"/>
      <c r="G108" s="933"/>
      <c r="H108" s="933"/>
      <c r="I108" s="933"/>
      <c r="J108" s="933"/>
      <c r="K108" s="933"/>
    </row>
    <row r="110" spans="3:11" ht="112.5" customHeight="1">
      <c r="C110" s="936" t="s">
        <v>2706</v>
      </c>
      <c r="D110" s="936"/>
      <c r="E110" s="936"/>
      <c r="F110" s="936"/>
      <c r="G110" s="936"/>
      <c r="H110" s="936"/>
      <c r="I110" s="936"/>
      <c r="J110" s="936"/>
      <c r="K110" s="936"/>
    </row>
    <row r="111" spans="3:11">
      <c r="C111" s="589"/>
    </row>
    <row r="112" spans="3:11" ht="16.5">
      <c r="D112" s="587" t="s">
        <v>2707</v>
      </c>
    </row>
    <row r="114" spans="2:11" ht="93.75" customHeight="1">
      <c r="C114" s="936" t="s">
        <v>2708</v>
      </c>
      <c r="D114" s="936"/>
      <c r="E114" s="936"/>
      <c r="F114" s="936"/>
      <c r="G114" s="936"/>
      <c r="H114" s="936"/>
      <c r="I114" s="936"/>
      <c r="J114" s="936"/>
      <c r="K114" s="936"/>
    </row>
    <row r="115" spans="2:11">
      <c r="C115" s="589"/>
    </row>
    <row r="116" spans="2:11" ht="32.25" customHeight="1">
      <c r="C116" s="933" t="s">
        <v>2709</v>
      </c>
      <c r="D116" s="933"/>
      <c r="E116" s="933"/>
      <c r="F116" s="933"/>
      <c r="G116" s="933"/>
      <c r="H116" s="933"/>
      <c r="I116" s="933"/>
      <c r="J116" s="933"/>
      <c r="K116" s="933"/>
    </row>
    <row r="128" spans="2:11">
      <c r="B128" s="584" t="s">
        <v>2647</v>
      </c>
      <c r="C128" s="585" t="s">
        <v>2710</v>
      </c>
      <c r="D128" s="585"/>
      <c r="E128" s="585"/>
      <c r="F128" s="585"/>
      <c r="G128" s="585"/>
      <c r="H128" s="585"/>
      <c r="I128" s="585"/>
      <c r="J128" s="585"/>
      <c r="K128" s="585"/>
    </row>
    <row r="129" spans="3:11">
      <c r="C129" s="589"/>
    </row>
    <row r="130" spans="3:11" ht="63.75" customHeight="1">
      <c r="C130" s="936" t="s">
        <v>2711</v>
      </c>
      <c r="D130" s="936"/>
      <c r="E130" s="936"/>
      <c r="F130" s="936"/>
      <c r="G130" s="936"/>
      <c r="H130" s="936"/>
      <c r="I130" s="936"/>
      <c r="J130" s="936"/>
      <c r="K130" s="936"/>
    </row>
    <row r="131" spans="3:11">
      <c r="C131" s="933" t="s">
        <v>2712</v>
      </c>
      <c r="D131" s="933"/>
      <c r="E131" s="933"/>
      <c r="F131" s="933"/>
      <c r="G131" s="933"/>
      <c r="H131" s="933"/>
      <c r="I131" s="933"/>
      <c r="J131" s="933"/>
      <c r="K131" s="933"/>
    </row>
    <row r="133" spans="3:11" ht="71.25" customHeight="1">
      <c r="C133" s="593" t="s">
        <v>2651</v>
      </c>
      <c r="D133" s="936" t="s">
        <v>2713</v>
      </c>
      <c r="E133" s="936"/>
      <c r="F133" s="936"/>
      <c r="G133" s="936"/>
      <c r="H133" s="936"/>
      <c r="I133" s="936"/>
      <c r="J133" s="936"/>
      <c r="K133" s="936"/>
    </row>
    <row r="134" spans="3:11" ht="79.5" customHeight="1">
      <c r="C134" s="593" t="s">
        <v>2651</v>
      </c>
      <c r="D134" s="936" t="s">
        <v>2714</v>
      </c>
      <c r="E134" s="936"/>
      <c r="F134" s="936"/>
      <c r="G134" s="936"/>
      <c r="H134" s="936"/>
      <c r="I134" s="936"/>
      <c r="J134" s="936"/>
      <c r="K134" s="936"/>
    </row>
    <row r="135" spans="3:11">
      <c r="D135" s="583" t="s">
        <v>2715</v>
      </c>
    </row>
    <row r="137" spans="3:11">
      <c r="D137" s="583" t="s">
        <v>2715</v>
      </c>
    </row>
    <row r="142" spans="3:11" ht="110.25" customHeight="1">
      <c r="D142" s="936" t="s">
        <v>2716</v>
      </c>
      <c r="E142" s="936"/>
      <c r="F142" s="936"/>
      <c r="G142" s="936"/>
      <c r="H142" s="936"/>
      <c r="I142" s="936"/>
      <c r="J142" s="936"/>
      <c r="K142" s="936"/>
    </row>
    <row r="143" spans="3:11" ht="51" customHeight="1">
      <c r="C143" s="588" t="s">
        <v>2651</v>
      </c>
      <c r="D143" s="933" t="s">
        <v>2717</v>
      </c>
      <c r="E143" s="933"/>
      <c r="F143" s="933"/>
      <c r="G143" s="933"/>
      <c r="H143" s="933"/>
      <c r="I143" s="933"/>
      <c r="J143" s="933"/>
      <c r="K143" s="933"/>
    </row>
    <row r="148" spans="2:11" ht="51" customHeight="1">
      <c r="D148" s="936" t="s">
        <v>2718</v>
      </c>
      <c r="E148" s="936"/>
      <c r="F148" s="936"/>
      <c r="G148" s="936"/>
      <c r="H148" s="936"/>
      <c r="I148" s="936"/>
      <c r="J148" s="936"/>
      <c r="K148" s="936"/>
    </row>
    <row r="149" spans="2:11" ht="123" customHeight="1">
      <c r="D149" s="936" t="s">
        <v>2719</v>
      </c>
      <c r="E149" s="936"/>
      <c r="F149" s="936"/>
      <c r="G149" s="936"/>
      <c r="H149" s="936"/>
      <c r="I149" s="936"/>
      <c r="J149" s="936"/>
      <c r="K149" s="936"/>
    </row>
    <row r="150" spans="2:11" ht="34.5" customHeight="1">
      <c r="C150" s="588" t="s">
        <v>2651</v>
      </c>
      <c r="D150" s="933" t="s">
        <v>2720</v>
      </c>
      <c r="E150" s="933"/>
      <c r="F150" s="933"/>
      <c r="G150" s="933"/>
      <c r="H150" s="933"/>
      <c r="I150" s="933"/>
      <c r="J150" s="933"/>
      <c r="K150" s="933"/>
    </row>
    <row r="156" spans="2:11" ht="93.75" customHeight="1">
      <c r="D156" s="936" t="s">
        <v>2721</v>
      </c>
      <c r="E156" s="936"/>
      <c r="F156" s="936"/>
      <c r="G156" s="936"/>
      <c r="H156" s="936"/>
      <c r="I156" s="936"/>
      <c r="J156" s="936"/>
      <c r="K156" s="936"/>
    </row>
    <row r="158" spans="2:11">
      <c r="B158" s="584" t="s">
        <v>2647</v>
      </c>
      <c r="C158" s="585" t="s">
        <v>2722</v>
      </c>
      <c r="D158" s="585"/>
      <c r="E158" s="585"/>
      <c r="F158" s="585"/>
      <c r="G158" s="585"/>
      <c r="H158" s="585"/>
      <c r="I158" s="585"/>
      <c r="J158" s="585"/>
      <c r="K158" s="585"/>
    </row>
    <row r="160" spans="2:11" ht="80.25" customHeight="1">
      <c r="C160" s="936" t="s">
        <v>2723</v>
      </c>
      <c r="D160" s="936"/>
      <c r="E160" s="936"/>
      <c r="F160" s="936"/>
      <c r="G160" s="936"/>
      <c r="H160" s="936"/>
      <c r="I160" s="936"/>
      <c r="J160" s="936"/>
      <c r="K160" s="936"/>
    </row>
    <row r="162" spans="3:11">
      <c r="D162" s="588" t="s">
        <v>2636</v>
      </c>
      <c r="E162" s="933" t="s">
        <v>2724</v>
      </c>
      <c r="F162" s="933"/>
      <c r="G162" s="933"/>
      <c r="H162" s="933"/>
      <c r="I162" s="933"/>
      <c r="J162" s="933"/>
      <c r="K162" s="933"/>
    </row>
    <row r="163" spans="3:11">
      <c r="D163" s="588" t="s">
        <v>2635</v>
      </c>
      <c r="E163" s="933" t="s">
        <v>2725</v>
      </c>
      <c r="F163" s="933"/>
      <c r="G163" s="933"/>
      <c r="H163" s="933"/>
      <c r="I163" s="933"/>
      <c r="J163" s="933"/>
      <c r="K163" s="933"/>
    </row>
    <row r="164" spans="3:11" ht="34.5" customHeight="1">
      <c r="D164" s="588" t="s">
        <v>2630</v>
      </c>
      <c r="E164" s="933" t="s">
        <v>2726</v>
      </c>
      <c r="F164" s="933"/>
      <c r="G164" s="933"/>
      <c r="H164" s="933"/>
      <c r="I164" s="933"/>
      <c r="J164" s="933"/>
      <c r="K164" s="933"/>
    </row>
    <row r="166" spans="3:11" ht="36.75" customHeight="1">
      <c r="C166" s="933" t="s">
        <v>2727</v>
      </c>
      <c r="D166" s="933"/>
      <c r="E166" s="933"/>
      <c r="F166" s="933"/>
      <c r="G166" s="933"/>
      <c r="H166" s="933"/>
      <c r="I166" s="933"/>
      <c r="J166" s="933"/>
      <c r="K166" s="933"/>
    </row>
    <row r="168" spans="3:11">
      <c r="D168" s="587" t="s">
        <v>2728</v>
      </c>
    </row>
    <row r="170" spans="3:11" ht="123.75" customHeight="1">
      <c r="C170" s="936" t="s">
        <v>2729</v>
      </c>
      <c r="D170" s="936"/>
      <c r="E170" s="936"/>
      <c r="F170" s="936"/>
      <c r="G170" s="936"/>
      <c r="H170" s="936"/>
      <c r="I170" s="936"/>
      <c r="J170" s="936"/>
      <c r="K170" s="936"/>
    </row>
    <row r="171" spans="3:11">
      <c r="C171" s="589"/>
    </row>
    <row r="172" spans="3:11" ht="51" customHeight="1">
      <c r="C172" s="933" t="s">
        <v>2730</v>
      </c>
      <c r="D172" s="933"/>
      <c r="E172" s="933"/>
      <c r="F172" s="933"/>
      <c r="G172" s="933"/>
      <c r="H172" s="933"/>
      <c r="I172" s="933"/>
      <c r="J172" s="933"/>
      <c r="K172" s="933"/>
    </row>
    <row r="174" spans="3:11" ht="34.5" customHeight="1">
      <c r="C174" s="933" t="s">
        <v>2731</v>
      </c>
      <c r="D174" s="933"/>
      <c r="E174" s="933"/>
      <c r="F174" s="933"/>
      <c r="G174" s="933"/>
      <c r="H174" s="933"/>
      <c r="I174" s="933"/>
      <c r="J174" s="933"/>
      <c r="K174" s="933"/>
    </row>
    <row r="176" spans="3:11" ht="35.25" customHeight="1">
      <c r="C176" s="593" t="s">
        <v>2651</v>
      </c>
      <c r="D176" s="933" t="s">
        <v>2732</v>
      </c>
      <c r="E176" s="933"/>
      <c r="F176" s="933"/>
      <c r="G176" s="933"/>
      <c r="H176" s="933"/>
      <c r="I176" s="933"/>
      <c r="J176" s="933"/>
      <c r="K176" s="933"/>
    </row>
    <row r="177" spans="3:11" ht="33" customHeight="1">
      <c r="C177" s="593" t="s">
        <v>2651</v>
      </c>
      <c r="D177" s="933" t="s">
        <v>2733</v>
      </c>
      <c r="E177" s="933"/>
      <c r="F177" s="933"/>
      <c r="G177" s="933"/>
      <c r="H177" s="933"/>
      <c r="I177" s="933"/>
      <c r="J177" s="933"/>
      <c r="K177" s="933"/>
    </row>
    <row r="178" spans="3:11" ht="37.5" customHeight="1">
      <c r="C178" s="593" t="s">
        <v>2651</v>
      </c>
      <c r="D178" s="933" t="s">
        <v>2734</v>
      </c>
      <c r="E178" s="933"/>
      <c r="F178" s="933"/>
      <c r="G178" s="933"/>
      <c r="H178" s="933"/>
      <c r="I178" s="933"/>
      <c r="J178" s="933"/>
      <c r="K178" s="933"/>
    </row>
    <row r="180" spans="3:11" ht="94.5" customHeight="1">
      <c r="C180" s="936" t="s">
        <v>2735</v>
      </c>
      <c r="D180" s="936"/>
      <c r="E180" s="936"/>
      <c r="F180" s="936"/>
      <c r="G180" s="936"/>
      <c r="H180" s="936"/>
      <c r="I180" s="936"/>
      <c r="J180" s="936"/>
      <c r="K180" s="936"/>
    </row>
    <row r="182" spans="3:11" ht="17.5">
      <c r="D182" s="587" t="s">
        <v>2736</v>
      </c>
    </row>
    <row r="183" spans="3:11">
      <c r="D183" s="587"/>
    </row>
    <row r="184" spans="3:11" ht="17.5">
      <c r="D184" s="587" t="s">
        <v>2737</v>
      </c>
    </row>
    <row r="185" spans="3:11">
      <c r="D185" s="587"/>
    </row>
    <row r="186" spans="3:11" ht="16.5">
      <c r="D186" s="587" t="s">
        <v>2738</v>
      </c>
    </row>
    <row r="187" spans="3:11">
      <c r="D187" s="587"/>
    </row>
    <row r="188" spans="3:11" ht="17.5">
      <c r="D188" s="587" t="s">
        <v>2739</v>
      </c>
    </row>
    <row r="189" spans="3:11">
      <c r="D189" s="587"/>
    </row>
    <row r="190" spans="3:11" ht="16.5">
      <c r="D190" s="587" t="s">
        <v>2740</v>
      </c>
    </row>
    <row r="192" spans="3:11" ht="69.75" customHeight="1">
      <c r="C192" s="936" t="s">
        <v>2741</v>
      </c>
      <c r="D192" s="936"/>
      <c r="E192" s="936"/>
      <c r="F192" s="936"/>
      <c r="G192" s="936"/>
      <c r="H192" s="936"/>
      <c r="I192" s="936"/>
      <c r="J192" s="936"/>
      <c r="K192" s="936"/>
    </row>
    <row r="194" spans="3:11" ht="64.5" customHeight="1">
      <c r="C194" s="936" t="s">
        <v>2742</v>
      </c>
      <c r="D194" s="936"/>
      <c r="E194" s="936"/>
      <c r="F194" s="936"/>
      <c r="G194" s="936"/>
      <c r="H194" s="936"/>
      <c r="I194" s="936"/>
      <c r="J194" s="936"/>
      <c r="K194" s="936"/>
    </row>
    <row r="196" spans="3:11">
      <c r="C196" s="583" t="s">
        <v>2743</v>
      </c>
    </row>
    <row r="198" spans="3:11" ht="33.75" customHeight="1">
      <c r="C198" s="933" t="s">
        <v>2744</v>
      </c>
      <c r="D198" s="933"/>
      <c r="E198" s="933"/>
      <c r="F198" s="933"/>
      <c r="G198" s="933"/>
      <c r="H198" s="933"/>
      <c r="I198" s="933"/>
      <c r="J198" s="933"/>
      <c r="K198" s="933"/>
    </row>
    <row r="200" spans="3:11">
      <c r="C200" s="583" t="s">
        <v>2745</v>
      </c>
    </row>
    <row r="202" spans="3:11" ht="95.25" customHeight="1">
      <c r="C202" s="593" t="s">
        <v>2651</v>
      </c>
      <c r="D202" s="933" t="s">
        <v>2746</v>
      </c>
      <c r="E202" s="933"/>
      <c r="F202" s="933"/>
      <c r="G202" s="933"/>
      <c r="H202" s="933"/>
      <c r="I202" s="933"/>
      <c r="J202" s="933"/>
      <c r="K202" s="933"/>
    </row>
    <row r="203" spans="3:11" ht="94.5" customHeight="1">
      <c r="C203" s="593" t="s">
        <v>2651</v>
      </c>
      <c r="D203" s="933" t="s">
        <v>2747</v>
      </c>
      <c r="E203" s="933"/>
      <c r="F203" s="933"/>
      <c r="G203" s="933"/>
      <c r="H203" s="933"/>
      <c r="I203" s="933"/>
      <c r="J203" s="933"/>
      <c r="K203" s="933"/>
    </row>
    <row r="204" spans="3:11" ht="94.5" customHeight="1">
      <c r="C204" s="593" t="s">
        <v>2651</v>
      </c>
      <c r="D204" s="933" t="s">
        <v>2748</v>
      </c>
      <c r="E204" s="933"/>
      <c r="F204" s="933"/>
      <c r="G204" s="933"/>
      <c r="H204" s="933"/>
      <c r="I204" s="933"/>
      <c r="J204" s="933"/>
      <c r="K204" s="933"/>
    </row>
    <row r="205" spans="3:11" ht="84" customHeight="1">
      <c r="C205" s="593" t="s">
        <v>2651</v>
      </c>
      <c r="D205" s="933" t="s">
        <v>2749</v>
      </c>
      <c r="E205" s="933"/>
      <c r="F205" s="933"/>
      <c r="G205" s="933"/>
      <c r="H205" s="933"/>
      <c r="I205" s="933"/>
      <c r="J205" s="933"/>
      <c r="K205" s="933"/>
    </row>
    <row r="206" spans="3:11" ht="79.5" customHeight="1">
      <c r="C206" s="593" t="s">
        <v>2651</v>
      </c>
      <c r="D206" s="933" t="s">
        <v>2750</v>
      </c>
      <c r="E206" s="933"/>
      <c r="F206" s="933"/>
      <c r="G206" s="933"/>
      <c r="H206" s="933"/>
      <c r="I206" s="933"/>
      <c r="J206" s="933"/>
      <c r="K206" s="933"/>
    </row>
  </sheetData>
  <sheetProtection algorithmName="SHA-512" hashValue="rymylIB7FV3HHOsDJKTTyCGohueuKkNK+ii0F9gVtBx9bhSTInlxfmD/n0t73JZzmbLLWCO2DehhfiJndAzNqQ==" saltValue="WzaEXkfLkdV9eoCSGbjZAg==" spinCount="100000" sheet="1" selectLockedCells="1"/>
  <mergeCells count="64">
    <mergeCell ref="D203:K203"/>
    <mergeCell ref="D204:K204"/>
    <mergeCell ref="D205:K205"/>
    <mergeCell ref="D206:K206"/>
    <mergeCell ref="D178:K178"/>
    <mergeCell ref="C180:K180"/>
    <mergeCell ref="C192:K192"/>
    <mergeCell ref="C194:K194"/>
    <mergeCell ref="C198:K198"/>
    <mergeCell ref="D202:K202"/>
    <mergeCell ref="D177:K177"/>
    <mergeCell ref="D150:K150"/>
    <mergeCell ref="D156:K156"/>
    <mergeCell ref="C160:K160"/>
    <mergeCell ref="E162:K162"/>
    <mergeCell ref="E163:K163"/>
    <mergeCell ref="E164:K164"/>
    <mergeCell ref="C166:K166"/>
    <mergeCell ref="C170:K170"/>
    <mergeCell ref="C172:K172"/>
    <mergeCell ref="C174:K174"/>
    <mergeCell ref="D176:K176"/>
    <mergeCell ref="D149:K149"/>
    <mergeCell ref="C108:K108"/>
    <mergeCell ref="C110:K110"/>
    <mergeCell ref="C114:K114"/>
    <mergeCell ref="C116:K116"/>
    <mergeCell ref="C130:K130"/>
    <mergeCell ref="C131:K131"/>
    <mergeCell ref="D133:K133"/>
    <mergeCell ref="D134:K134"/>
    <mergeCell ref="D142:K142"/>
    <mergeCell ref="D143:K143"/>
    <mergeCell ref="D148:K148"/>
    <mergeCell ref="C101:K101"/>
    <mergeCell ref="E65:K65"/>
    <mergeCell ref="E66:K66"/>
    <mergeCell ref="E67:K67"/>
    <mergeCell ref="E68:K68"/>
    <mergeCell ref="C70:K70"/>
    <mergeCell ref="E76:K76"/>
    <mergeCell ref="E77:K77"/>
    <mergeCell ref="C79:K79"/>
    <mergeCell ref="C83:K83"/>
    <mergeCell ref="C94:K94"/>
    <mergeCell ref="C99:K99"/>
    <mergeCell ref="E64:K64"/>
    <mergeCell ref="C28:K28"/>
    <mergeCell ref="C39:K39"/>
    <mergeCell ref="E45:K45"/>
    <mergeCell ref="E46:K46"/>
    <mergeCell ref="E47:K47"/>
    <mergeCell ref="E48:K48"/>
    <mergeCell ref="E49:K49"/>
    <mergeCell ref="C51:K51"/>
    <mergeCell ref="C53:K53"/>
    <mergeCell ref="C57:K57"/>
    <mergeCell ref="E63:K63"/>
    <mergeCell ref="D26:K26"/>
    <mergeCell ref="B2:K2"/>
    <mergeCell ref="B4:K4"/>
    <mergeCell ref="C8:K8"/>
    <mergeCell ref="D24:K24"/>
    <mergeCell ref="D25:K25"/>
  </mergeCells>
  <conditionalFormatting sqref="A1:IV65536">
    <cfRule type="expression" dxfId="277" priority="1" stopIfTrue="1">
      <formula>NOT($B$1="SI")</formula>
    </cfRule>
  </conditionalFormatting>
  <conditionalFormatting sqref="B1:K1">
    <cfRule type="expression" dxfId="276" priority="2" stopIfTrue="1">
      <formula>NOT($A$1="javi")</formula>
    </cfRule>
  </conditionalFormatting>
  <pageMargins left="0.70866141732283472" right="0.70866141732283472" top="0.94488188976377963" bottom="0.55118110236220474" header="0.31496062992125984" footer="0.31496062992125984"/>
  <pageSetup scale="90" orientation="portrait" r:id="rId1"/>
  <headerFooter>
    <oddHeader>&amp;CCaso práctico de inversión en condiciones de certeza: Incrementalidad, FM, inflación - &amp;A</oddHeader>
    <oddFooter>&amp;CPágina &amp;P de &amp;N</oddFooter>
  </headerFooter>
  <rowBreaks count="1" manualBreakCount="1">
    <brk id="126" max="16383" man="1"/>
  </rowBreaks>
  <drawing r:id="rId2"/>
  <legacyDrawing r:id="rId3"/>
  <oleObjects>
    <mc:AlternateContent xmlns:mc="http://schemas.openxmlformats.org/markup-compatibility/2006">
      <mc:Choice Requires="x14">
        <oleObject progId="Word.Picture.8" shapeId="135169" r:id="rId4">
          <objectPr defaultSize="0" autoPict="0" r:id="rId5">
            <anchor moveWithCells="1" sizeWithCells="1">
              <from>
                <xdr:col>3</xdr:col>
                <xdr:colOff>260350</xdr:colOff>
                <xdr:row>116</xdr:row>
                <xdr:rowOff>127000</xdr:rowOff>
              </from>
              <to>
                <xdr:col>9</xdr:col>
                <xdr:colOff>450850</xdr:colOff>
                <xdr:row>126</xdr:row>
                <xdr:rowOff>50800</xdr:rowOff>
              </to>
            </anchor>
          </objectPr>
        </oleObject>
      </mc:Choice>
      <mc:Fallback>
        <oleObject progId="Word.Picture.8" shapeId="135169" r:id="rId4"/>
      </mc:Fallback>
    </mc:AlternateContent>
    <mc:AlternateContent xmlns:mc="http://schemas.openxmlformats.org/markup-compatibility/2006">
      <mc:Choice Requires="x14">
        <oleObject progId="Equation.3" shapeId="135170" r:id="rId6">
          <objectPr defaultSize="0" autoPict="0" r:id="rId7">
            <anchor moveWithCells="1" sizeWithCells="1">
              <from>
                <xdr:col>4</xdr:col>
                <xdr:colOff>527050</xdr:colOff>
                <xdr:row>134</xdr:row>
                <xdr:rowOff>50800</xdr:rowOff>
              </from>
              <to>
                <xdr:col>8</xdr:col>
                <xdr:colOff>304800</xdr:colOff>
                <xdr:row>136</xdr:row>
                <xdr:rowOff>114300</xdr:rowOff>
              </to>
            </anchor>
          </objectPr>
        </oleObject>
      </mc:Choice>
      <mc:Fallback>
        <oleObject progId="Equation.3" shapeId="135170" r:id="rId6"/>
      </mc:Fallback>
    </mc:AlternateContent>
    <mc:AlternateContent xmlns:mc="http://schemas.openxmlformats.org/markup-compatibility/2006">
      <mc:Choice Requires="x14">
        <oleObject progId="Equation.3" shapeId="135171" r:id="rId8">
          <objectPr defaultSize="0" autoPict="0" r:id="rId9">
            <anchor moveWithCells="1" sizeWithCells="1">
              <from>
                <xdr:col>5</xdr:col>
                <xdr:colOff>31750</xdr:colOff>
                <xdr:row>137</xdr:row>
                <xdr:rowOff>12700</xdr:rowOff>
              </from>
              <to>
                <xdr:col>8</xdr:col>
                <xdr:colOff>69850</xdr:colOff>
                <xdr:row>139</xdr:row>
                <xdr:rowOff>76200</xdr:rowOff>
              </to>
            </anchor>
          </objectPr>
        </oleObject>
      </mc:Choice>
      <mc:Fallback>
        <oleObject progId="Equation.3" shapeId="135171" r:id="rId8"/>
      </mc:Fallback>
    </mc:AlternateContent>
    <mc:AlternateContent xmlns:mc="http://schemas.openxmlformats.org/markup-compatibility/2006">
      <mc:Choice Requires="x14">
        <oleObject progId="Equation.3" shapeId="135172" r:id="rId10">
          <objectPr defaultSize="0" autoPict="0" r:id="rId11">
            <anchor moveWithCells="1" sizeWithCells="1">
              <from>
                <xdr:col>4</xdr:col>
                <xdr:colOff>412750</xdr:colOff>
                <xdr:row>143</xdr:row>
                <xdr:rowOff>76200</xdr:rowOff>
              </from>
              <to>
                <xdr:col>9</xdr:col>
                <xdr:colOff>342900</xdr:colOff>
                <xdr:row>145</xdr:row>
                <xdr:rowOff>146050</xdr:rowOff>
              </to>
            </anchor>
          </objectPr>
        </oleObject>
      </mc:Choice>
      <mc:Fallback>
        <oleObject progId="Equation.3" shapeId="135172" r:id="rId10"/>
      </mc:Fallback>
    </mc:AlternateContent>
    <mc:AlternateContent xmlns:mc="http://schemas.openxmlformats.org/markup-compatibility/2006">
      <mc:Choice Requires="x14">
        <oleObject progId="Equation.3" shapeId="135173" r:id="rId12">
          <objectPr defaultSize="0" autoPict="0" r:id="rId13">
            <anchor moveWithCells="1" sizeWithCells="1">
              <from>
                <xdr:col>5</xdr:col>
                <xdr:colOff>317500</xdr:colOff>
                <xdr:row>150</xdr:row>
                <xdr:rowOff>12700</xdr:rowOff>
              </from>
              <to>
                <xdr:col>7</xdr:col>
                <xdr:colOff>222250</xdr:colOff>
                <xdr:row>153</xdr:row>
                <xdr:rowOff>69850</xdr:rowOff>
              </to>
            </anchor>
          </objectPr>
        </oleObject>
      </mc:Choice>
      <mc:Fallback>
        <oleObject progId="Equation.3" shapeId="135173" r:id="rId12"/>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2E17-197A-4330-A35F-24D8F3CEAED4}">
  <dimension ref="A1:K137"/>
  <sheetViews>
    <sheetView showGridLines="0" workbookViewId="0">
      <selection activeCell="B2" sqref="B2:K2"/>
    </sheetView>
  </sheetViews>
  <sheetFormatPr baseColWidth="10" defaultColWidth="11.453125" defaultRowHeight="14.5"/>
  <cols>
    <col min="1" max="1" width="3.54296875" style="140" customWidth="1"/>
    <col min="2" max="3" width="3.54296875" style="59" customWidth="1"/>
    <col min="4" max="4" width="8.54296875" style="59" customWidth="1"/>
    <col min="5" max="9" width="11.453125" style="59"/>
    <col min="10" max="10" width="9.54296875" style="59" customWidth="1"/>
    <col min="11" max="11" width="8.54296875" style="59" customWidth="1"/>
    <col min="12" max="12" width="4.54296875" style="59" customWidth="1"/>
    <col min="13" max="16384" width="11.453125" style="59"/>
  </cols>
  <sheetData>
    <row r="1" spans="1:11" s="140" customFormat="1">
      <c r="A1" s="29"/>
      <c r="B1" s="822" t="str">
        <f>IF(AND('Instrucciones de uso'!$J$14="x",'Instrucciones de uso'!$I$33="SI"),"SI","NO")</f>
        <v>NO</v>
      </c>
    </row>
    <row r="2" spans="1:11" ht="31.5" customHeight="1">
      <c r="B2" s="939" t="s">
        <v>2645</v>
      </c>
      <c r="C2" s="939"/>
      <c r="D2" s="939"/>
      <c r="E2" s="939"/>
      <c r="F2" s="939"/>
      <c r="G2" s="939"/>
      <c r="H2" s="939"/>
      <c r="I2" s="939"/>
      <c r="J2" s="939"/>
      <c r="K2" s="939"/>
    </row>
    <row r="3" spans="1:11">
      <c r="B3" s="594" t="s">
        <v>3951</v>
      </c>
    </row>
    <row r="4" spans="1:11">
      <c r="B4" s="940" t="s">
        <v>3307</v>
      </c>
      <c r="C4" s="940"/>
      <c r="D4" s="940"/>
      <c r="E4" s="940"/>
      <c r="F4" s="940"/>
      <c r="G4" s="940"/>
      <c r="H4" s="940"/>
      <c r="I4" s="940"/>
      <c r="J4" s="940"/>
      <c r="K4" s="940"/>
    </row>
    <row r="6" spans="1:11" ht="48.75" customHeight="1">
      <c r="B6" s="938" t="s">
        <v>3308</v>
      </c>
      <c r="C6" s="938"/>
      <c r="D6" s="938"/>
      <c r="E6" s="938"/>
      <c r="F6" s="938"/>
      <c r="G6" s="938"/>
      <c r="H6" s="938"/>
      <c r="I6" s="938"/>
      <c r="J6" s="938"/>
      <c r="K6" s="938"/>
    </row>
    <row r="20" spans="2:11" ht="33.75" customHeight="1">
      <c r="B20" s="937" t="s">
        <v>3309</v>
      </c>
      <c r="C20" s="937"/>
      <c r="D20" s="937"/>
      <c r="E20" s="937"/>
      <c r="F20" s="937"/>
      <c r="G20" s="937"/>
      <c r="H20" s="937"/>
      <c r="I20" s="937"/>
      <c r="J20" s="937"/>
      <c r="K20" s="937"/>
    </row>
    <row r="23" spans="2:11">
      <c r="B23" s="823" t="s">
        <v>2647</v>
      </c>
      <c r="C23" s="824" t="s">
        <v>3310</v>
      </c>
      <c r="D23" s="824"/>
      <c r="E23" s="824"/>
      <c r="F23" s="824"/>
      <c r="G23" s="824"/>
      <c r="H23" s="824"/>
      <c r="I23" s="824"/>
      <c r="J23" s="824"/>
      <c r="K23" s="824"/>
    </row>
    <row r="25" spans="2:11" ht="50.25" customHeight="1">
      <c r="C25" s="938" t="s">
        <v>3311</v>
      </c>
      <c r="D25" s="938"/>
      <c r="E25" s="938"/>
      <c r="F25" s="938"/>
      <c r="G25" s="938"/>
      <c r="H25" s="938"/>
      <c r="I25" s="938"/>
      <c r="J25" s="938"/>
      <c r="K25" s="938"/>
    </row>
    <row r="26" spans="2:11">
      <c r="C26" s="825"/>
    </row>
    <row r="27" spans="2:11" ht="16.5">
      <c r="D27" s="826" t="s">
        <v>3312</v>
      </c>
    </row>
    <row r="29" spans="2:11">
      <c r="C29" s="59" t="s">
        <v>2658</v>
      </c>
    </row>
    <row r="31" spans="2:11" ht="34.5" customHeight="1">
      <c r="D31" s="827" t="s">
        <v>3313</v>
      </c>
      <c r="E31" s="937" t="s">
        <v>3314</v>
      </c>
      <c r="F31" s="937"/>
      <c r="G31" s="937"/>
      <c r="H31" s="937"/>
      <c r="I31" s="937"/>
      <c r="J31" s="937"/>
      <c r="K31" s="937"/>
    </row>
    <row r="32" spans="2:11" ht="33.75" customHeight="1">
      <c r="D32" s="827" t="s">
        <v>3315</v>
      </c>
      <c r="E32" s="937" t="s">
        <v>3316</v>
      </c>
      <c r="F32" s="937"/>
      <c r="G32" s="937"/>
      <c r="H32" s="937"/>
      <c r="I32" s="937"/>
      <c r="J32" s="937"/>
      <c r="K32" s="937"/>
    </row>
    <row r="33" spans="3:11" ht="34.5" customHeight="1">
      <c r="D33" s="827" t="s">
        <v>3317</v>
      </c>
      <c r="E33" s="937" t="s">
        <v>3318</v>
      </c>
      <c r="F33" s="937"/>
      <c r="G33" s="937"/>
      <c r="H33" s="937"/>
      <c r="I33" s="937"/>
      <c r="J33" s="937"/>
      <c r="K33" s="937"/>
    </row>
    <row r="34" spans="3:11" ht="36.75" customHeight="1">
      <c r="D34" s="827" t="s">
        <v>3319</v>
      </c>
      <c r="E34" s="937" t="s">
        <v>3320</v>
      </c>
      <c r="F34" s="937"/>
      <c r="G34" s="937"/>
      <c r="H34" s="937"/>
      <c r="I34" s="937"/>
      <c r="J34" s="937"/>
      <c r="K34" s="937"/>
    </row>
    <row r="36" spans="3:11">
      <c r="C36" s="937" t="s">
        <v>3321</v>
      </c>
      <c r="D36" s="937"/>
      <c r="E36" s="937"/>
      <c r="F36" s="937"/>
      <c r="G36" s="937"/>
      <c r="H36" s="937"/>
      <c r="I36" s="937"/>
      <c r="J36" s="937"/>
      <c r="K36" s="937"/>
    </row>
    <row r="51" spans="3:11" ht="65.25" customHeight="1">
      <c r="C51" s="938" t="s">
        <v>3322</v>
      </c>
      <c r="D51" s="938"/>
      <c r="E51" s="938"/>
      <c r="F51" s="938"/>
      <c r="G51" s="938"/>
      <c r="H51" s="938"/>
      <c r="I51" s="938"/>
      <c r="J51" s="938"/>
      <c r="K51" s="938"/>
    </row>
    <row r="57" spans="3:11" ht="53.15" customHeight="1">
      <c r="C57" s="938" t="s">
        <v>3323</v>
      </c>
      <c r="D57" s="938"/>
      <c r="E57" s="938"/>
      <c r="F57" s="938"/>
      <c r="G57" s="938"/>
      <c r="H57" s="938"/>
      <c r="I57" s="938"/>
      <c r="J57" s="938"/>
      <c r="K57" s="938"/>
    </row>
    <row r="59" spans="3:11" ht="16.5">
      <c r="D59" s="826" t="s">
        <v>3324</v>
      </c>
    </row>
    <row r="61" spans="3:11" ht="37.5" customHeight="1">
      <c r="C61" s="937" t="s">
        <v>3325</v>
      </c>
      <c r="D61" s="937"/>
      <c r="E61" s="937"/>
      <c r="F61" s="937"/>
      <c r="G61" s="937"/>
      <c r="H61" s="937"/>
      <c r="I61" s="937"/>
      <c r="J61" s="937"/>
      <c r="K61" s="937"/>
    </row>
    <row r="68" spans="2:11">
      <c r="B68" s="823" t="s">
        <v>2647</v>
      </c>
      <c r="C68" s="824" t="s">
        <v>3326</v>
      </c>
      <c r="D68" s="824"/>
      <c r="E68" s="824"/>
      <c r="F68" s="824"/>
      <c r="G68" s="824"/>
      <c r="H68" s="824"/>
      <c r="I68" s="824"/>
      <c r="J68" s="824"/>
      <c r="K68" s="824"/>
    </row>
    <row r="70" spans="2:11" ht="80.150000000000006" customHeight="1">
      <c r="C70" s="938" t="s">
        <v>3327</v>
      </c>
      <c r="D70" s="938"/>
      <c r="E70" s="938"/>
      <c r="F70" s="938"/>
      <c r="G70" s="938"/>
      <c r="H70" s="938"/>
      <c r="I70" s="938"/>
      <c r="J70" s="938"/>
      <c r="K70" s="938"/>
    </row>
    <row r="71" spans="2:11">
      <c r="C71" s="825"/>
    </row>
    <row r="72" spans="2:11" ht="16.5">
      <c r="D72" s="826" t="s">
        <v>3328</v>
      </c>
    </row>
    <row r="74" spans="2:11">
      <c r="C74" s="59" t="s">
        <v>2658</v>
      </c>
    </row>
    <row r="76" spans="2:11" ht="16.5">
      <c r="D76" s="827" t="s">
        <v>3329</v>
      </c>
      <c r="E76" s="827" t="s">
        <v>3330</v>
      </c>
    </row>
    <row r="77" spans="2:11" ht="16.5">
      <c r="D77" s="827" t="s">
        <v>3331</v>
      </c>
      <c r="E77" s="827" t="s">
        <v>3332</v>
      </c>
    </row>
    <row r="78" spans="2:11" ht="16.5">
      <c r="D78" s="827" t="s">
        <v>3333</v>
      </c>
      <c r="E78" s="827" t="s">
        <v>3334</v>
      </c>
    </row>
    <row r="79" spans="2:11" ht="16.5">
      <c r="D79" s="827" t="s">
        <v>3335</v>
      </c>
      <c r="E79" s="827" t="s">
        <v>3336</v>
      </c>
    </row>
    <row r="82" spans="3:11">
      <c r="C82" s="59" t="s">
        <v>3337</v>
      </c>
    </row>
    <row r="95" spans="3:11" ht="35.25" customHeight="1">
      <c r="C95" s="937" t="s">
        <v>3338</v>
      </c>
      <c r="D95" s="937"/>
      <c r="E95" s="937"/>
      <c r="F95" s="937"/>
      <c r="G95" s="937"/>
      <c r="H95" s="937"/>
      <c r="I95" s="937"/>
      <c r="J95" s="937"/>
      <c r="K95" s="937"/>
    </row>
    <row r="103" spans="3:11" ht="139.5" customHeight="1">
      <c r="C103" s="938" t="s">
        <v>3339</v>
      </c>
      <c r="D103" s="938"/>
      <c r="E103" s="938"/>
      <c r="F103" s="938"/>
      <c r="G103" s="938"/>
      <c r="H103" s="938"/>
      <c r="I103" s="938"/>
      <c r="J103" s="938"/>
      <c r="K103" s="938"/>
    </row>
    <row r="104" spans="3:11">
      <c r="C104" s="825"/>
    </row>
    <row r="105" spans="3:11" ht="34.5" customHeight="1">
      <c r="C105" s="937" t="s">
        <v>3340</v>
      </c>
      <c r="D105" s="937"/>
      <c r="E105" s="937"/>
      <c r="F105" s="937"/>
      <c r="G105" s="937"/>
      <c r="H105" s="937"/>
      <c r="I105" s="937"/>
      <c r="J105" s="937"/>
      <c r="K105" s="937"/>
    </row>
    <row r="110" spans="3:11" ht="33" customHeight="1">
      <c r="C110" s="937" t="s">
        <v>3341</v>
      </c>
      <c r="D110" s="937"/>
      <c r="E110" s="937"/>
      <c r="F110" s="937"/>
      <c r="G110" s="937"/>
      <c r="H110" s="937"/>
      <c r="I110" s="937"/>
      <c r="J110" s="937"/>
      <c r="K110" s="937"/>
    </row>
    <row r="112" spans="3:11" ht="97.5" customHeight="1">
      <c r="C112" s="938" t="s">
        <v>3342</v>
      </c>
      <c r="D112" s="938"/>
      <c r="E112" s="938"/>
      <c r="F112" s="938"/>
      <c r="G112" s="938"/>
      <c r="H112" s="938"/>
      <c r="I112" s="938"/>
      <c r="J112" s="938"/>
      <c r="K112" s="938"/>
    </row>
    <row r="114" spans="2:11" ht="16.5">
      <c r="D114" s="826" t="s">
        <v>3343</v>
      </c>
    </row>
    <row r="116" spans="2:11" ht="74.150000000000006" customHeight="1">
      <c r="C116" s="938" t="s">
        <v>3344</v>
      </c>
      <c r="D116" s="938"/>
      <c r="E116" s="938"/>
      <c r="F116" s="938"/>
      <c r="G116" s="938"/>
      <c r="H116" s="938"/>
      <c r="I116" s="938"/>
      <c r="J116" s="938"/>
      <c r="K116" s="938"/>
    </row>
    <row r="118" spans="2:11">
      <c r="B118" s="823" t="s">
        <v>2647</v>
      </c>
      <c r="C118" s="824" t="s">
        <v>3345</v>
      </c>
      <c r="D118" s="824"/>
      <c r="E118" s="824"/>
      <c r="F118" s="824"/>
      <c r="G118" s="824"/>
      <c r="H118" s="824"/>
      <c r="I118" s="824"/>
      <c r="J118" s="824"/>
      <c r="K118" s="824"/>
    </row>
    <row r="120" spans="2:11" ht="49.5" customHeight="1">
      <c r="C120" s="937" t="s">
        <v>3346</v>
      </c>
      <c r="D120" s="937"/>
      <c r="E120" s="937"/>
      <c r="F120" s="937"/>
      <c r="G120" s="937"/>
      <c r="H120" s="937"/>
      <c r="I120" s="937"/>
      <c r="J120" s="937"/>
      <c r="K120" s="937"/>
    </row>
    <row r="126" spans="2:11" ht="35.25" customHeight="1">
      <c r="C126" s="937" t="s">
        <v>3347</v>
      </c>
      <c r="D126" s="937"/>
      <c r="E126" s="937"/>
      <c r="F126" s="937"/>
      <c r="G126" s="937"/>
      <c r="H126" s="937"/>
      <c r="I126" s="937"/>
      <c r="J126" s="937"/>
      <c r="K126" s="937"/>
    </row>
    <row r="128" spans="2:11" ht="127" customHeight="1">
      <c r="C128" s="938" t="s">
        <v>3348</v>
      </c>
      <c r="D128" s="938"/>
      <c r="E128" s="938"/>
      <c r="F128" s="938"/>
      <c r="G128" s="938"/>
      <c r="H128" s="938"/>
      <c r="I128" s="938"/>
      <c r="J128" s="938"/>
      <c r="K128" s="938"/>
    </row>
    <row r="130" spans="3:11">
      <c r="C130" s="59" t="s">
        <v>2743</v>
      </c>
    </row>
    <row r="132" spans="3:11" ht="49.5" customHeight="1">
      <c r="C132" s="937" t="s">
        <v>3349</v>
      </c>
      <c r="D132" s="937"/>
      <c r="E132" s="937"/>
      <c r="F132" s="937"/>
      <c r="G132" s="937"/>
      <c r="H132" s="937"/>
      <c r="I132" s="937"/>
      <c r="J132" s="937"/>
      <c r="K132" s="937"/>
    </row>
    <row r="134" spans="3:11">
      <c r="C134" s="59" t="s">
        <v>2745</v>
      </c>
    </row>
    <row r="136" spans="3:11" ht="94.5" customHeight="1">
      <c r="C136" s="828" t="s">
        <v>2651</v>
      </c>
      <c r="D136" s="937" t="s">
        <v>2748</v>
      </c>
      <c r="E136" s="937"/>
      <c r="F136" s="937"/>
      <c r="G136" s="937"/>
      <c r="H136" s="937"/>
      <c r="I136" s="937"/>
      <c r="J136" s="937"/>
      <c r="K136" s="937"/>
    </row>
    <row r="137" spans="3:11" ht="94.5" customHeight="1">
      <c r="C137" s="828" t="s">
        <v>2651</v>
      </c>
      <c r="D137" s="937" t="s">
        <v>3350</v>
      </c>
      <c r="E137" s="937"/>
      <c r="F137" s="937"/>
      <c r="G137" s="937"/>
      <c r="H137" s="937"/>
      <c r="I137" s="937"/>
      <c r="J137" s="937"/>
      <c r="K137" s="937"/>
    </row>
  </sheetData>
  <sheetProtection algorithmName="SHA-512" hashValue="EkOpRnJ9wfWsurne0SXe2P+DfDbpx/PC7RM2F+3xvhTxJjGG2XX72oZn27s7bJc1IMGQvM79glhLUlNmJx89uA==" saltValue="Xtv6em49RPUm24r49oAMtA==" spinCount="100000" sheet="1" selectLockedCells="1"/>
  <mergeCells count="26">
    <mergeCell ref="E31:K31"/>
    <mergeCell ref="B2:K2"/>
    <mergeCell ref="B4:K4"/>
    <mergeCell ref="B6:K6"/>
    <mergeCell ref="B20:K20"/>
    <mergeCell ref="C25:K25"/>
    <mergeCell ref="C110:K110"/>
    <mergeCell ref="E32:K32"/>
    <mergeCell ref="E33:K33"/>
    <mergeCell ref="E34:K34"/>
    <mergeCell ref="C36:K36"/>
    <mergeCell ref="C51:K51"/>
    <mergeCell ref="C57:K57"/>
    <mergeCell ref="C61:K61"/>
    <mergeCell ref="C70:K70"/>
    <mergeCell ref="C95:K95"/>
    <mergeCell ref="C103:K103"/>
    <mergeCell ref="C105:K105"/>
    <mergeCell ref="D136:K136"/>
    <mergeCell ref="D137:K137"/>
    <mergeCell ref="C112:K112"/>
    <mergeCell ref="C116:K116"/>
    <mergeCell ref="C120:K120"/>
    <mergeCell ref="C126:K126"/>
    <mergeCell ref="C128:K128"/>
    <mergeCell ref="C132:K132"/>
  </mergeCells>
  <conditionalFormatting sqref="A1:XFD1048576">
    <cfRule type="expression" dxfId="275" priority="1" stopIfTrue="1">
      <formula>NOT($B$1="SI")</formula>
    </cfRule>
  </conditionalFormatting>
  <conditionalFormatting sqref="B1:K1 A2:A8">
    <cfRule type="expression" dxfId="274" priority="2" stopIfTrue="1">
      <formula>NOT($A$1="javi")</formula>
    </cfRule>
  </conditionalFormatting>
  <pageMargins left="0.70866141732283472" right="0.70866141732283472" top="0.94488188976377963" bottom="0.55118110236220474" header="0.31496062992125984" footer="0.31496062992125984"/>
  <pageSetup scale="90" orientation="portrait" r:id="rId1"/>
  <headerFooter>
    <oddHeader>&amp;CCaso práctico de inversión en condiciones de certeza: Incrementalidad, FM, inflación - &amp;A</oddHeader>
    <oddFooter>&amp;CPágina &amp;P de &amp;N</oddFooter>
  </headerFooter>
  <drawing r:id="rId2"/>
  <legacyDrawing r:id="rId3"/>
  <oleObjects>
    <mc:AlternateContent xmlns:mc="http://schemas.openxmlformats.org/markup-compatibility/2006">
      <mc:Choice Requires="x14">
        <oleObject progId="Word.Picture.8" shapeId="145409" r:id="rId4">
          <objectPr defaultSize="0" autoPict="0" r:id="rId5">
            <anchor moveWithCells="1" sizeWithCells="1">
              <from>
                <xdr:col>3</xdr:col>
                <xdr:colOff>260350</xdr:colOff>
                <xdr:row>4</xdr:row>
                <xdr:rowOff>0</xdr:rowOff>
              </from>
              <to>
                <xdr:col>9</xdr:col>
                <xdr:colOff>450850</xdr:colOff>
                <xdr:row>4</xdr:row>
                <xdr:rowOff>0</xdr:rowOff>
              </to>
            </anchor>
          </objectPr>
        </oleObject>
      </mc:Choice>
      <mc:Fallback>
        <oleObject progId="Word.Picture.8" shapeId="145409" r:id="rId4"/>
      </mc:Fallback>
    </mc:AlternateContent>
    <mc:AlternateContent xmlns:mc="http://schemas.openxmlformats.org/markup-compatibility/2006">
      <mc:Choice Requires="x14">
        <oleObject progId="Equation.3" shapeId="145410" r:id="rId6">
          <objectPr defaultSize="0" autoPict="0" r:id="rId7">
            <anchor moveWithCells="1" sizeWithCells="1">
              <from>
                <xdr:col>4</xdr:col>
                <xdr:colOff>527050</xdr:colOff>
                <xdr:row>4</xdr:row>
                <xdr:rowOff>0</xdr:rowOff>
              </from>
              <to>
                <xdr:col>8</xdr:col>
                <xdr:colOff>304800</xdr:colOff>
                <xdr:row>4</xdr:row>
                <xdr:rowOff>0</xdr:rowOff>
              </to>
            </anchor>
          </objectPr>
        </oleObject>
      </mc:Choice>
      <mc:Fallback>
        <oleObject progId="Equation.3" shapeId="145410" r:id="rId6"/>
      </mc:Fallback>
    </mc:AlternateContent>
    <mc:AlternateContent xmlns:mc="http://schemas.openxmlformats.org/markup-compatibility/2006">
      <mc:Choice Requires="x14">
        <oleObject progId="Equation.3" shapeId="145411" r:id="rId8">
          <objectPr defaultSize="0" autoPict="0" r:id="rId9">
            <anchor moveWithCells="1" sizeWithCells="1">
              <from>
                <xdr:col>5</xdr:col>
                <xdr:colOff>12700</xdr:colOff>
                <xdr:row>4</xdr:row>
                <xdr:rowOff>0</xdr:rowOff>
              </from>
              <to>
                <xdr:col>8</xdr:col>
                <xdr:colOff>38100</xdr:colOff>
                <xdr:row>4</xdr:row>
                <xdr:rowOff>0</xdr:rowOff>
              </to>
            </anchor>
          </objectPr>
        </oleObject>
      </mc:Choice>
      <mc:Fallback>
        <oleObject progId="Equation.3" shapeId="145411" r:id="rId8"/>
      </mc:Fallback>
    </mc:AlternateContent>
    <mc:AlternateContent xmlns:mc="http://schemas.openxmlformats.org/markup-compatibility/2006">
      <mc:Choice Requires="x14">
        <oleObject progId="Equation.3" shapeId="145412" r:id="rId10">
          <objectPr defaultSize="0" autoPict="0" r:id="rId11">
            <anchor moveWithCells="1" sizeWithCells="1">
              <from>
                <xdr:col>4</xdr:col>
                <xdr:colOff>412750</xdr:colOff>
                <xdr:row>4</xdr:row>
                <xdr:rowOff>0</xdr:rowOff>
              </from>
              <to>
                <xdr:col>9</xdr:col>
                <xdr:colOff>336550</xdr:colOff>
                <xdr:row>4</xdr:row>
                <xdr:rowOff>0</xdr:rowOff>
              </to>
            </anchor>
          </objectPr>
        </oleObject>
      </mc:Choice>
      <mc:Fallback>
        <oleObject progId="Equation.3" shapeId="145412" r:id="rId10"/>
      </mc:Fallback>
    </mc:AlternateContent>
    <mc:AlternateContent xmlns:mc="http://schemas.openxmlformats.org/markup-compatibility/2006">
      <mc:Choice Requires="x14">
        <oleObject progId="Equation.3" shapeId="145413" r:id="rId12">
          <objectPr defaultSize="0" autoPict="0" r:id="rId13">
            <anchor moveWithCells="1" sizeWithCells="1">
              <from>
                <xdr:col>5</xdr:col>
                <xdr:colOff>336550</xdr:colOff>
                <xdr:row>4</xdr:row>
                <xdr:rowOff>0</xdr:rowOff>
              </from>
              <to>
                <xdr:col>7</xdr:col>
                <xdr:colOff>222250</xdr:colOff>
                <xdr:row>4</xdr:row>
                <xdr:rowOff>0</xdr:rowOff>
              </to>
            </anchor>
          </objectPr>
        </oleObject>
      </mc:Choice>
      <mc:Fallback>
        <oleObject progId="Equation.3" shapeId="145413" r:id="rId12"/>
      </mc:Fallback>
    </mc:AlternateContent>
    <mc:AlternateContent xmlns:mc="http://schemas.openxmlformats.org/markup-compatibility/2006">
      <mc:Choice Requires="x14">
        <oleObject progId="Equation.3" shapeId="145414" r:id="rId14">
          <objectPr defaultSize="0" autoPict="0" r:id="rId15">
            <anchor moveWithCells="1" sizeWithCells="1">
              <from>
                <xdr:col>3</xdr:col>
                <xdr:colOff>184150</xdr:colOff>
                <xdr:row>51</xdr:row>
                <xdr:rowOff>184150</xdr:rowOff>
              </from>
              <to>
                <xdr:col>10</xdr:col>
                <xdr:colOff>50800</xdr:colOff>
                <xdr:row>54</xdr:row>
                <xdr:rowOff>69850</xdr:rowOff>
              </to>
            </anchor>
          </objectPr>
        </oleObject>
      </mc:Choice>
      <mc:Fallback>
        <oleObject progId="Equation.3" shapeId="145414" r:id="rId14"/>
      </mc:Fallback>
    </mc:AlternateContent>
    <mc:AlternateContent xmlns:mc="http://schemas.openxmlformats.org/markup-compatibility/2006">
      <mc:Choice Requires="x14">
        <oleObject progId="Equation.3" shapeId="145415" r:id="rId16">
          <objectPr defaultSize="0" autoPict="0" r:id="rId17">
            <anchor moveWithCells="1" sizeWithCells="1">
              <from>
                <xdr:col>5</xdr:col>
                <xdr:colOff>69850</xdr:colOff>
                <xdr:row>62</xdr:row>
                <xdr:rowOff>12700</xdr:rowOff>
              </from>
              <to>
                <xdr:col>7</xdr:col>
                <xdr:colOff>260350</xdr:colOff>
                <xdr:row>64</xdr:row>
                <xdr:rowOff>31750</xdr:rowOff>
              </to>
            </anchor>
          </objectPr>
        </oleObject>
      </mc:Choice>
      <mc:Fallback>
        <oleObject progId="Equation.3" shapeId="145415" r:id="rId16"/>
      </mc:Fallback>
    </mc:AlternateContent>
    <mc:AlternateContent xmlns:mc="http://schemas.openxmlformats.org/markup-compatibility/2006">
      <mc:Choice Requires="x14">
        <oleObject progId="Equation.3" shapeId="145416" r:id="rId18">
          <objectPr defaultSize="0" autoPict="0" r:id="rId19">
            <anchor moveWithCells="1" sizeWithCells="1">
              <from>
                <xdr:col>4</xdr:col>
                <xdr:colOff>317500</xdr:colOff>
                <xdr:row>97</xdr:row>
                <xdr:rowOff>107950</xdr:rowOff>
              </from>
              <to>
                <xdr:col>8</xdr:col>
                <xdr:colOff>495300</xdr:colOff>
                <xdr:row>99</xdr:row>
                <xdr:rowOff>184150</xdr:rowOff>
              </to>
            </anchor>
          </objectPr>
        </oleObject>
      </mc:Choice>
      <mc:Fallback>
        <oleObject progId="Equation.3" shapeId="145416" r:id="rId18"/>
      </mc:Fallback>
    </mc:AlternateContent>
    <mc:AlternateContent xmlns:mc="http://schemas.openxmlformats.org/markup-compatibility/2006">
      <mc:Choice Requires="x14">
        <oleObject progId="Equation.3" shapeId="145417" r:id="rId20">
          <objectPr defaultSize="0" autoPict="0" r:id="rId21">
            <anchor moveWithCells="1" sizeWithCells="1">
              <from>
                <xdr:col>4</xdr:col>
                <xdr:colOff>698500</xdr:colOff>
                <xdr:row>105</xdr:row>
                <xdr:rowOff>152400</xdr:rowOff>
              </from>
              <to>
                <xdr:col>5</xdr:col>
                <xdr:colOff>698500</xdr:colOff>
                <xdr:row>108</xdr:row>
                <xdr:rowOff>31750</xdr:rowOff>
              </to>
            </anchor>
          </objectPr>
        </oleObject>
      </mc:Choice>
      <mc:Fallback>
        <oleObject progId="Equation.3" shapeId="145417" r:id="rId20"/>
      </mc:Fallback>
    </mc:AlternateContent>
    <mc:AlternateContent xmlns:mc="http://schemas.openxmlformats.org/markup-compatibility/2006">
      <mc:Choice Requires="x14">
        <oleObject progId="Equation.3" shapeId="145418" r:id="rId22">
          <objectPr defaultSize="0" autoPict="0" r:id="rId23">
            <anchor moveWithCells="1" sizeWithCells="1">
              <from>
                <xdr:col>4</xdr:col>
                <xdr:colOff>717550</xdr:colOff>
                <xdr:row>121</xdr:row>
                <xdr:rowOff>107950</xdr:rowOff>
              </from>
              <to>
                <xdr:col>8</xdr:col>
                <xdr:colOff>38100</xdr:colOff>
                <xdr:row>123</xdr:row>
                <xdr:rowOff>114300</xdr:rowOff>
              </to>
            </anchor>
          </objectPr>
        </oleObject>
      </mc:Choice>
      <mc:Fallback>
        <oleObject progId="Equation.3" shapeId="145418" r:id="rId2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1D3C-A9C6-447B-A440-5ED790580085}">
  <dimension ref="A1:H119"/>
  <sheetViews>
    <sheetView showGridLines="0" workbookViewId="0">
      <selection activeCell="G2" sqref="G2"/>
    </sheetView>
  </sheetViews>
  <sheetFormatPr baseColWidth="10" defaultColWidth="11.453125" defaultRowHeight="14.5"/>
  <cols>
    <col min="1" max="1" width="4.54296875" style="140" customWidth="1"/>
    <col min="2" max="2" width="11.81640625" style="59" bestFit="1" customWidth="1"/>
    <col min="3" max="8" width="11.453125" style="59"/>
    <col min="9" max="9" width="4.54296875" style="59" customWidth="1"/>
    <col min="10" max="16384" width="11.453125" style="59"/>
  </cols>
  <sheetData>
    <row r="1" spans="1:8" s="140" customFormat="1">
      <c r="A1" s="61"/>
    </row>
    <row r="2" spans="1:8" s="140" customFormat="1">
      <c r="A2" s="61"/>
      <c r="B2" s="322" t="str">
        <f>'Instrucciones de uso'!$I$33</f>
        <v/>
      </c>
      <c r="F2" s="305" t="s">
        <v>476</v>
      </c>
      <c r="G2" s="89"/>
      <c r="H2" s="274" t="str">
        <f>IF(G2="","",IF(ISNUMBER(G2),IF(AND(INT(G2)=G2,G2&gt;0,G2&lt;=6),"","ERROR"),"ERROR"))</f>
        <v/>
      </c>
    </row>
    <row r="3" spans="1:8">
      <c r="A3" s="61"/>
      <c r="B3" s="284" t="s">
        <v>3951</v>
      </c>
      <c r="G3" s="91"/>
    </row>
    <row r="4" spans="1:8">
      <c r="A4" s="61"/>
      <c r="B4" s="942" t="s">
        <v>18</v>
      </c>
      <c r="C4" s="942"/>
      <c r="D4" s="942"/>
      <c r="E4" s="942"/>
      <c r="F4" s="942"/>
      <c r="G4" s="942"/>
      <c r="H4" s="942"/>
    </row>
    <row r="5" spans="1:8">
      <c r="A5" s="61"/>
    </row>
    <row r="6" spans="1:8" ht="90" customHeight="1">
      <c r="A6" s="321">
        <f>$G$2*1000+1</f>
        <v>1</v>
      </c>
      <c r="B6" s="937" t="e">
        <f>VLOOKUP(A6,$A$31:$H$118,2,FALSE)</f>
        <v>#N/A</v>
      </c>
      <c r="C6" s="937"/>
      <c r="D6" s="937"/>
      <c r="E6" s="937"/>
      <c r="F6" s="937"/>
      <c r="G6" s="937"/>
      <c r="H6" s="937"/>
    </row>
    <row r="7" spans="1:8">
      <c r="A7" s="321">
        <f t="shared" ref="A7:A18" si="0">1+A6</f>
        <v>2</v>
      </c>
    </row>
    <row r="8" spans="1:8" ht="30.75" customHeight="1">
      <c r="A8" s="321">
        <f t="shared" si="0"/>
        <v>3</v>
      </c>
      <c r="B8" s="937" t="e">
        <f>VLOOKUP(A8,$A$31:$H$118,2,FALSE)</f>
        <v>#N/A</v>
      </c>
      <c r="C8" s="937"/>
      <c r="D8" s="937"/>
      <c r="E8" s="937"/>
      <c r="F8" s="937"/>
      <c r="G8" s="937"/>
      <c r="H8" s="937"/>
    </row>
    <row r="9" spans="1:8">
      <c r="A9" s="321">
        <f t="shared" si="0"/>
        <v>4</v>
      </c>
    </row>
    <row r="10" spans="1:8" ht="45" customHeight="1">
      <c r="A10" s="321">
        <f t="shared" si="0"/>
        <v>5</v>
      </c>
      <c r="B10" s="937" t="e">
        <f>VLOOKUP(A10,$A$31:$H$118,2,FALSE)</f>
        <v>#N/A</v>
      </c>
      <c r="C10" s="937"/>
      <c r="D10" s="937"/>
      <c r="E10" s="937"/>
      <c r="F10" s="937"/>
      <c r="G10" s="937"/>
      <c r="H10" s="937"/>
    </row>
    <row r="11" spans="1:8">
      <c r="A11" s="321">
        <f t="shared" si="0"/>
        <v>6</v>
      </c>
    </row>
    <row r="12" spans="1:8" ht="45.75" customHeight="1">
      <c r="A12" s="321">
        <f t="shared" si="0"/>
        <v>7</v>
      </c>
      <c r="B12" s="937" t="e">
        <f>VLOOKUP(A12,$A$31:$H$118,2,FALSE)</f>
        <v>#N/A</v>
      </c>
      <c r="C12" s="937"/>
      <c r="D12" s="937"/>
      <c r="E12" s="937"/>
      <c r="F12" s="937"/>
      <c r="G12" s="937"/>
      <c r="H12" s="937"/>
    </row>
    <row r="13" spans="1:8">
      <c r="A13" s="321">
        <f t="shared" si="0"/>
        <v>8</v>
      </c>
    </row>
    <row r="14" spans="1:8" ht="76.5" customHeight="1">
      <c r="A14" s="321">
        <f t="shared" si="0"/>
        <v>9</v>
      </c>
      <c r="B14" s="937" t="e">
        <f>VLOOKUP(A14,$A$31:$H$118,2,FALSE)</f>
        <v>#N/A</v>
      </c>
      <c r="C14" s="937"/>
      <c r="D14" s="937"/>
      <c r="E14" s="937"/>
      <c r="F14" s="937"/>
      <c r="G14" s="937"/>
      <c r="H14" s="937"/>
    </row>
    <row r="15" spans="1:8">
      <c r="A15" s="321">
        <f t="shared" si="0"/>
        <v>10</v>
      </c>
    </row>
    <row r="16" spans="1:8" ht="31.5" customHeight="1">
      <c r="A16" s="321">
        <f t="shared" si="0"/>
        <v>11</v>
      </c>
      <c r="B16" s="937" t="e">
        <f>VLOOKUP(A16,$A$31:$H$118,2,FALSE)</f>
        <v>#N/A</v>
      </c>
      <c r="C16" s="937"/>
      <c r="D16" s="937"/>
      <c r="E16" s="937"/>
      <c r="F16" s="937"/>
      <c r="G16" s="937"/>
      <c r="H16" s="937"/>
    </row>
    <row r="17" spans="1:8">
      <c r="A17" s="321">
        <f t="shared" si="0"/>
        <v>12</v>
      </c>
    </row>
    <row r="18" spans="1:8" ht="29.25" customHeight="1">
      <c r="A18" s="321">
        <f t="shared" si="0"/>
        <v>13</v>
      </c>
      <c r="B18" s="937" t="e">
        <f>VLOOKUP(A18,$A$31:$H$118,2,FALSE)</f>
        <v>#N/A</v>
      </c>
      <c r="C18" s="937"/>
      <c r="D18" s="937"/>
      <c r="E18" s="937"/>
      <c r="F18" s="937"/>
      <c r="G18" s="937"/>
      <c r="H18" s="937"/>
    </row>
    <row r="19" spans="1:8">
      <c r="A19" s="61"/>
    </row>
    <row r="20" spans="1:8">
      <c r="A20" s="61"/>
      <c r="B20" s="941" t="s">
        <v>17</v>
      </c>
      <c r="C20" s="941"/>
      <c r="D20" s="941"/>
      <c r="E20" s="941"/>
      <c r="F20" s="941"/>
      <c r="G20" s="941"/>
      <c r="H20" s="941"/>
    </row>
    <row r="21" spans="1:8">
      <c r="A21" s="61"/>
    </row>
    <row r="22" spans="1:8">
      <c r="A22" s="61"/>
    </row>
    <row r="23" spans="1:8">
      <c r="A23" s="61"/>
    </row>
    <row r="24" spans="1:8">
      <c r="A24" s="61"/>
    </row>
    <row r="30" spans="1:8" hidden="1"/>
    <row r="31" spans="1:8" s="320" customFormat="1" ht="0.65" hidden="1" customHeight="1">
      <c r="A31" s="320">
        <v>1001</v>
      </c>
      <c r="B31" s="320" t="s">
        <v>480</v>
      </c>
    </row>
    <row r="32" spans="1:8" s="320" customFormat="1" ht="0.65" hidden="1" customHeight="1">
      <c r="A32" s="320">
        <v>1002</v>
      </c>
    </row>
    <row r="33" spans="1:2" s="320" customFormat="1" ht="0.65" hidden="1" customHeight="1">
      <c r="A33" s="320">
        <v>1003</v>
      </c>
      <c r="B33" s="320" t="s">
        <v>481</v>
      </c>
    </row>
    <row r="34" spans="1:2" s="320" customFormat="1" ht="0.65" hidden="1" customHeight="1">
      <c r="A34" s="320">
        <v>1004</v>
      </c>
    </row>
    <row r="35" spans="1:2" s="320" customFormat="1" ht="0.65" hidden="1" customHeight="1">
      <c r="A35" s="320">
        <v>1005</v>
      </c>
      <c r="B35" s="320" t="s">
        <v>482</v>
      </c>
    </row>
    <row r="36" spans="1:2" s="320" customFormat="1" ht="0.65" hidden="1" customHeight="1">
      <c r="A36" s="320">
        <v>1006</v>
      </c>
    </row>
    <row r="37" spans="1:2" s="320" customFormat="1" ht="0.65" hidden="1" customHeight="1">
      <c r="A37" s="320">
        <v>1007</v>
      </c>
      <c r="B37" s="320" t="s">
        <v>483</v>
      </c>
    </row>
    <row r="38" spans="1:2" s="320" customFormat="1" ht="0.65" hidden="1" customHeight="1">
      <c r="A38" s="320">
        <v>1008</v>
      </c>
    </row>
    <row r="39" spans="1:2" s="320" customFormat="1" ht="0.65" hidden="1" customHeight="1">
      <c r="A39" s="320">
        <v>1009</v>
      </c>
      <c r="B39" s="320" t="s">
        <v>484</v>
      </c>
    </row>
    <row r="40" spans="1:2" s="320" customFormat="1" ht="0.65" hidden="1" customHeight="1">
      <c r="A40" s="320">
        <v>1010</v>
      </c>
    </row>
    <row r="41" spans="1:2" s="320" customFormat="1" ht="0.65" hidden="1" customHeight="1">
      <c r="A41" s="320">
        <v>1011</v>
      </c>
      <c r="B41" s="320" t="s">
        <v>485</v>
      </c>
    </row>
    <row r="42" spans="1:2" s="320" customFormat="1" ht="0.65" hidden="1" customHeight="1">
      <c r="A42" s="320">
        <v>1012</v>
      </c>
    </row>
    <row r="43" spans="1:2" s="320" customFormat="1" ht="0.65" hidden="1" customHeight="1">
      <c r="A43" s="320">
        <v>1013</v>
      </c>
      <c r="B43" s="320" t="s">
        <v>15</v>
      </c>
    </row>
    <row r="44" spans="1:2" s="320" customFormat="1" ht="0.65" hidden="1" customHeight="1"/>
    <row r="45" spans="1:2" s="320" customFormat="1" ht="0.65" hidden="1" customHeight="1"/>
    <row r="46" spans="1:2" s="320" customFormat="1" ht="0.65" hidden="1" customHeight="1">
      <c r="A46" s="320">
        <v>2001</v>
      </c>
      <c r="B46" s="320" t="s">
        <v>963</v>
      </c>
    </row>
    <row r="47" spans="1:2" s="320" customFormat="1" ht="0.65" hidden="1" customHeight="1">
      <c r="A47" s="320">
        <v>2002</v>
      </c>
    </row>
    <row r="48" spans="1:2" s="320" customFormat="1" ht="0.65" hidden="1" customHeight="1">
      <c r="A48" s="320">
        <v>2003</v>
      </c>
      <c r="B48" s="320" t="s">
        <v>964</v>
      </c>
    </row>
    <row r="49" spans="1:2" s="320" customFormat="1" ht="0.65" hidden="1" customHeight="1">
      <c r="A49" s="320">
        <v>2004</v>
      </c>
    </row>
    <row r="50" spans="1:2" s="320" customFormat="1" ht="0.65" hidden="1" customHeight="1">
      <c r="A50" s="320">
        <v>2005</v>
      </c>
      <c r="B50" s="320" t="s">
        <v>965</v>
      </c>
    </row>
    <row r="51" spans="1:2" s="320" customFormat="1" ht="0.65" hidden="1" customHeight="1">
      <c r="A51" s="320">
        <v>2006</v>
      </c>
    </row>
    <row r="52" spans="1:2" s="320" customFormat="1" ht="0.65" hidden="1" customHeight="1">
      <c r="A52" s="320">
        <v>2007</v>
      </c>
      <c r="B52" s="320" t="s">
        <v>966</v>
      </c>
    </row>
    <row r="53" spans="1:2" s="320" customFormat="1" ht="0.65" hidden="1" customHeight="1">
      <c r="A53" s="320">
        <v>2008</v>
      </c>
    </row>
    <row r="54" spans="1:2" s="320" customFormat="1" ht="0.65" hidden="1" customHeight="1">
      <c r="A54" s="320">
        <v>2009</v>
      </c>
      <c r="B54" s="320" t="s">
        <v>967</v>
      </c>
    </row>
    <row r="55" spans="1:2" s="320" customFormat="1" ht="0.65" hidden="1" customHeight="1">
      <c r="A55" s="320">
        <v>2010</v>
      </c>
    </row>
    <row r="56" spans="1:2" s="320" customFormat="1" ht="0.65" hidden="1" customHeight="1">
      <c r="A56" s="320">
        <v>2011</v>
      </c>
      <c r="B56" s="320" t="s">
        <v>485</v>
      </c>
    </row>
    <row r="57" spans="1:2" s="320" customFormat="1" ht="0.65" hidden="1" customHeight="1">
      <c r="A57" s="320">
        <v>2012</v>
      </c>
    </row>
    <row r="58" spans="1:2" s="320" customFormat="1" ht="0.65" hidden="1" customHeight="1">
      <c r="A58" s="320">
        <v>2013</v>
      </c>
      <c r="B58" s="320" t="s">
        <v>15</v>
      </c>
    </row>
    <row r="59" spans="1:2" s="320" customFormat="1" ht="0.65" hidden="1" customHeight="1"/>
    <row r="60" spans="1:2" s="320" customFormat="1" ht="0.65" hidden="1" customHeight="1"/>
    <row r="61" spans="1:2" s="320" customFormat="1" ht="0.65" hidden="1" customHeight="1">
      <c r="A61" s="320">
        <v>3001</v>
      </c>
      <c r="B61" s="320" t="s">
        <v>1193</v>
      </c>
    </row>
    <row r="62" spans="1:2" s="320" customFormat="1" ht="0.65" hidden="1" customHeight="1">
      <c r="A62" s="320">
        <v>3002</v>
      </c>
    </row>
    <row r="63" spans="1:2" s="320" customFormat="1" ht="0.65" hidden="1" customHeight="1">
      <c r="A63" s="320">
        <v>3003</v>
      </c>
      <c r="B63" s="320" t="s">
        <v>1194</v>
      </c>
    </row>
    <row r="64" spans="1:2" s="320" customFormat="1" ht="0.65" hidden="1" customHeight="1">
      <c r="A64" s="320">
        <v>3004</v>
      </c>
    </row>
    <row r="65" spans="1:2" s="320" customFormat="1" ht="0.65" hidden="1" customHeight="1">
      <c r="A65" s="320">
        <v>3005</v>
      </c>
      <c r="B65" s="320" t="s">
        <v>1195</v>
      </c>
    </row>
    <row r="66" spans="1:2" s="320" customFormat="1" ht="0.65" hidden="1" customHeight="1">
      <c r="A66" s="320">
        <v>3006</v>
      </c>
    </row>
    <row r="67" spans="1:2" s="320" customFormat="1" ht="0.65" hidden="1" customHeight="1">
      <c r="A67" s="320">
        <v>3007</v>
      </c>
      <c r="B67" s="320" t="s">
        <v>1196</v>
      </c>
    </row>
    <row r="68" spans="1:2" s="320" customFormat="1" ht="0.65" hidden="1" customHeight="1">
      <c r="A68" s="320">
        <v>3008</v>
      </c>
    </row>
    <row r="69" spans="1:2" s="320" customFormat="1" ht="0.65" hidden="1" customHeight="1">
      <c r="A69" s="320">
        <v>3009</v>
      </c>
      <c r="B69" s="320" t="s">
        <v>1197</v>
      </c>
    </row>
    <row r="70" spans="1:2" s="320" customFormat="1" ht="0.65" hidden="1" customHeight="1">
      <c r="A70" s="320">
        <v>3010</v>
      </c>
    </row>
    <row r="71" spans="1:2" s="320" customFormat="1" ht="0.65" hidden="1" customHeight="1">
      <c r="A71" s="320">
        <v>3011</v>
      </c>
      <c r="B71" s="320" t="s">
        <v>485</v>
      </c>
    </row>
    <row r="72" spans="1:2" s="320" customFormat="1" ht="0.65" hidden="1" customHeight="1">
      <c r="A72" s="320">
        <v>3012</v>
      </c>
    </row>
    <row r="73" spans="1:2" s="320" customFormat="1" ht="0.65" hidden="1" customHeight="1">
      <c r="A73" s="320">
        <v>3013</v>
      </c>
      <c r="B73" s="320" t="s">
        <v>15</v>
      </c>
    </row>
    <row r="74" spans="1:2" s="320" customFormat="1" ht="0.65" hidden="1" customHeight="1"/>
    <row r="75" spans="1:2" s="320" customFormat="1" ht="0.65" hidden="1" customHeight="1"/>
    <row r="76" spans="1:2" s="320" customFormat="1" ht="0.65" hidden="1" customHeight="1">
      <c r="A76" s="320">
        <v>4001</v>
      </c>
      <c r="B76" s="320" t="s">
        <v>1400</v>
      </c>
    </row>
    <row r="77" spans="1:2" s="320" customFormat="1" ht="0.65" hidden="1" customHeight="1">
      <c r="A77" s="320">
        <v>4002</v>
      </c>
    </row>
    <row r="78" spans="1:2" s="320" customFormat="1" ht="0.65" hidden="1" customHeight="1">
      <c r="A78" s="320">
        <v>4003</v>
      </c>
      <c r="B78" s="320" t="s">
        <v>1401</v>
      </c>
    </row>
    <row r="79" spans="1:2" s="320" customFormat="1" ht="0.65" hidden="1" customHeight="1">
      <c r="A79" s="320">
        <v>4004</v>
      </c>
    </row>
    <row r="80" spans="1:2" s="320" customFormat="1" ht="0.65" hidden="1" customHeight="1">
      <c r="A80" s="320">
        <v>4005</v>
      </c>
      <c r="B80" s="320" t="s">
        <v>1402</v>
      </c>
    </row>
    <row r="81" spans="1:2" s="320" customFormat="1" ht="0.65" hidden="1" customHeight="1">
      <c r="A81" s="320">
        <v>4006</v>
      </c>
    </row>
    <row r="82" spans="1:2" s="320" customFormat="1" ht="0.65" hidden="1" customHeight="1">
      <c r="A82" s="320">
        <v>4007</v>
      </c>
      <c r="B82" s="320" t="s">
        <v>1403</v>
      </c>
    </row>
    <row r="83" spans="1:2" s="320" customFormat="1" ht="0.65" hidden="1" customHeight="1">
      <c r="A83" s="320">
        <v>4008</v>
      </c>
    </row>
    <row r="84" spans="1:2" s="320" customFormat="1" ht="0.65" hidden="1" customHeight="1">
      <c r="A84" s="320">
        <v>4009</v>
      </c>
      <c r="B84" s="320" t="s">
        <v>1404</v>
      </c>
    </row>
    <row r="85" spans="1:2" s="320" customFormat="1" ht="0.65" hidden="1" customHeight="1">
      <c r="A85" s="320">
        <v>4010</v>
      </c>
    </row>
    <row r="86" spans="1:2" s="320" customFormat="1" ht="0.65" hidden="1" customHeight="1">
      <c r="A86" s="320">
        <v>4011</v>
      </c>
      <c r="B86" s="320" t="s">
        <v>485</v>
      </c>
    </row>
    <row r="87" spans="1:2" s="320" customFormat="1" ht="0.65" hidden="1" customHeight="1">
      <c r="A87" s="320">
        <v>4012</v>
      </c>
    </row>
    <row r="88" spans="1:2" s="320" customFormat="1" ht="0.65" hidden="1" customHeight="1">
      <c r="A88" s="320">
        <v>4013</v>
      </c>
      <c r="B88" s="320" t="s">
        <v>15</v>
      </c>
    </row>
    <row r="89" spans="1:2" s="320" customFormat="1" ht="0.65" hidden="1" customHeight="1"/>
    <row r="90" spans="1:2" s="320" customFormat="1" ht="0.65" hidden="1" customHeight="1"/>
    <row r="91" spans="1:2" s="320" customFormat="1" ht="0.65" hidden="1" customHeight="1">
      <c r="A91" s="320">
        <v>5001</v>
      </c>
      <c r="B91" s="320" t="s">
        <v>1619</v>
      </c>
    </row>
    <row r="92" spans="1:2" s="320" customFormat="1" ht="0.65" hidden="1" customHeight="1">
      <c r="A92" s="320">
        <v>5002</v>
      </c>
    </row>
    <row r="93" spans="1:2" s="320" customFormat="1" ht="0.65" hidden="1" customHeight="1">
      <c r="A93" s="320">
        <v>5003</v>
      </c>
      <c r="B93" s="320" t="s">
        <v>1620</v>
      </c>
    </row>
    <row r="94" spans="1:2" s="320" customFormat="1" ht="0.65" hidden="1" customHeight="1">
      <c r="A94" s="320">
        <v>5004</v>
      </c>
    </row>
    <row r="95" spans="1:2" s="320" customFormat="1" ht="0.65" hidden="1" customHeight="1">
      <c r="A95" s="320">
        <v>5005</v>
      </c>
      <c r="B95" s="320" t="s">
        <v>1621</v>
      </c>
    </row>
    <row r="96" spans="1:2" s="320" customFormat="1" ht="0.65" hidden="1" customHeight="1">
      <c r="A96" s="320">
        <v>5006</v>
      </c>
    </row>
    <row r="97" spans="1:2" s="320" customFormat="1" ht="0.65" hidden="1" customHeight="1">
      <c r="A97" s="320">
        <v>5007</v>
      </c>
      <c r="B97" s="320" t="s">
        <v>1622</v>
      </c>
    </row>
    <row r="98" spans="1:2" s="320" customFormat="1" ht="0.65" hidden="1" customHeight="1">
      <c r="A98" s="320">
        <v>5008</v>
      </c>
    </row>
    <row r="99" spans="1:2" s="320" customFormat="1" ht="0.65" hidden="1" customHeight="1">
      <c r="A99" s="320">
        <v>5009</v>
      </c>
      <c r="B99" s="320" t="s">
        <v>1623</v>
      </c>
    </row>
    <row r="100" spans="1:2" s="320" customFormat="1" ht="0.65" hidden="1" customHeight="1">
      <c r="A100" s="320">
        <v>5010</v>
      </c>
    </row>
    <row r="101" spans="1:2" s="320" customFormat="1" ht="0.65" hidden="1" customHeight="1">
      <c r="A101" s="320">
        <v>5011</v>
      </c>
      <c r="B101" s="320" t="s">
        <v>485</v>
      </c>
    </row>
    <row r="102" spans="1:2" s="320" customFormat="1" ht="0.65" hidden="1" customHeight="1">
      <c r="A102" s="320">
        <v>5012</v>
      </c>
    </row>
    <row r="103" spans="1:2" s="320" customFormat="1" ht="0.65" hidden="1" customHeight="1">
      <c r="A103" s="320">
        <v>5013</v>
      </c>
      <c r="B103" s="320" t="s">
        <v>15</v>
      </c>
    </row>
    <row r="104" spans="1:2" s="320" customFormat="1" ht="0.65" hidden="1" customHeight="1"/>
    <row r="105" spans="1:2" s="320" customFormat="1" ht="0.65" hidden="1" customHeight="1"/>
    <row r="106" spans="1:2" s="320" customFormat="1" ht="0.65" hidden="1" customHeight="1">
      <c r="A106" s="320">
        <v>6001</v>
      </c>
      <c r="B106" s="320" t="s">
        <v>1851</v>
      </c>
    </row>
    <row r="107" spans="1:2" s="320" customFormat="1" ht="0.65" hidden="1" customHeight="1">
      <c r="A107" s="320">
        <v>6002</v>
      </c>
    </row>
    <row r="108" spans="1:2" s="320" customFormat="1" ht="0.65" hidden="1" customHeight="1">
      <c r="A108" s="320">
        <v>6003</v>
      </c>
      <c r="B108" s="320" t="s">
        <v>1852</v>
      </c>
    </row>
    <row r="109" spans="1:2" s="320" customFormat="1" ht="0.65" hidden="1" customHeight="1">
      <c r="A109" s="320">
        <v>6004</v>
      </c>
    </row>
    <row r="110" spans="1:2" s="320" customFormat="1" ht="0.65" hidden="1" customHeight="1">
      <c r="A110" s="320">
        <v>6005</v>
      </c>
      <c r="B110" s="320" t="s">
        <v>1853</v>
      </c>
    </row>
    <row r="111" spans="1:2" s="320" customFormat="1" ht="0.65" hidden="1" customHeight="1">
      <c r="A111" s="320">
        <v>6006</v>
      </c>
    </row>
    <row r="112" spans="1:2" s="320" customFormat="1" ht="0.65" hidden="1" customHeight="1">
      <c r="A112" s="320">
        <v>6007</v>
      </c>
      <c r="B112" s="320" t="s">
        <v>1854</v>
      </c>
    </row>
    <row r="113" spans="1:2" s="320" customFormat="1" ht="0.65" hidden="1" customHeight="1">
      <c r="A113" s="320">
        <v>6008</v>
      </c>
    </row>
    <row r="114" spans="1:2" s="320" customFormat="1" ht="0.65" hidden="1" customHeight="1">
      <c r="A114" s="320">
        <v>6009</v>
      </c>
      <c r="B114" s="320" t="s">
        <v>1855</v>
      </c>
    </row>
    <row r="115" spans="1:2" s="320" customFormat="1" ht="0.65" hidden="1" customHeight="1">
      <c r="A115" s="320">
        <v>6010</v>
      </c>
    </row>
    <row r="116" spans="1:2" s="320" customFormat="1" ht="0.65" hidden="1" customHeight="1">
      <c r="A116" s="320">
        <v>6011</v>
      </c>
      <c r="B116" s="320" t="s">
        <v>485</v>
      </c>
    </row>
    <row r="117" spans="1:2" s="320" customFormat="1" ht="0.65" hidden="1" customHeight="1">
      <c r="A117" s="320">
        <v>6012</v>
      </c>
    </row>
    <row r="118" spans="1:2" s="320" customFormat="1" ht="0.65" hidden="1" customHeight="1">
      <c r="A118" s="320">
        <v>6013</v>
      </c>
      <c r="B118" s="320" t="s">
        <v>15</v>
      </c>
    </row>
    <row r="119" spans="1:2" hidden="1"/>
  </sheetData>
  <sheetProtection algorithmName="SHA-512" hashValue="pygHlQ1gRCQBPOv+HJlzRRoAtlpIWDgP49jedbdlbA7r4zTC4bF79fO2EIQ7jgH94nz4Evmg7mZ3YVdPwKZ7/g==" saltValue="LFBQWUCILwQETrnuyDyoFg==" spinCount="100000" sheet="1" selectLockedCells="1"/>
  <mergeCells count="9">
    <mergeCell ref="B16:H16"/>
    <mergeCell ref="B18:H18"/>
    <mergeCell ref="B20:H20"/>
    <mergeCell ref="B4:H4"/>
    <mergeCell ref="B6:H6"/>
    <mergeCell ref="B8:H8"/>
    <mergeCell ref="B10:H10"/>
    <mergeCell ref="B12:H12"/>
    <mergeCell ref="B14:H14"/>
  </mergeCells>
  <conditionalFormatting sqref="A1:XFD1048576">
    <cfRule type="expression" dxfId="273" priority="1" stopIfTrue="1">
      <formula>NOT($B$2="SI")</formula>
    </cfRule>
  </conditionalFormatting>
  <conditionalFormatting sqref="B1:B2 A1:A20 A31:XFD118">
    <cfRule type="expression" dxfId="272" priority="375" stopIfTrue="1">
      <formula>NOT($G$3="javi")</formula>
    </cfRule>
  </conditionalFormatting>
  <conditionalFormatting sqref="B4:H20">
    <cfRule type="expression" dxfId="271" priority="2" stopIfTrue="1">
      <formula>OR($G$2="",NOT($H$2=""))</formula>
    </cfRule>
  </conditionalFormatting>
  <pageMargins left="0.70866141732283472" right="0.70866141732283472" top="0.74803149606299213" bottom="0.74803149606299213" header="0.31496062992125984" footer="0.31496062992125984"/>
  <pageSetup scale="90" orientation="portrait" r:id="rId1"/>
  <headerFooter>
    <oddHeader>&amp;CCaso práctico de inversión en condiciones de certeza sin inflación: Sustitución de maquinaria con inversiones en fondo de maniobra - Enunciado</oddHeader>
    <oddFooter>&amp;CPágina &amp;P de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4C8A-8906-4F01-9E5D-ED9A91DDE793}">
  <dimension ref="A1:AP1596"/>
  <sheetViews>
    <sheetView showGridLines="0" topLeftCell="B1" zoomScale="90" zoomScaleNormal="90" workbookViewId="0">
      <selection activeCell="H5" sqref="H5"/>
    </sheetView>
  </sheetViews>
  <sheetFormatPr baseColWidth="10" defaultColWidth="11.453125" defaultRowHeight="14.5"/>
  <cols>
    <col min="1" max="1" width="0" style="60" hidden="1" customWidth="1"/>
    <col min="2" max="2" width="11.453125" style="60"/>
    <col min="3" max="3" width="15.81640625" style="60" customWidth="1"/>
    <col min="4" max="5" width="11.453125" style="60"/>
    <col min="6" max="6" width="3.54296875" style="60" customWidth="1"/>
    <col min="7" max="12" width="15.54296875" style="60" customWidth="1"/>
    <col min="13" max="13" width="16.453125" style="60" customWidth="1"/>
    <col min="14" max="17" width="15.54296875" style="60" customWidth="1"/>
    <col min="18" max="19" width="5.54296875" style="60" customWidth="1"/>
    <col min="20" max="32" width="13.54296875" style="60" customWidth="1"/>
    <col min="33" max="35" width="11.453125" style="60"/>
    <col min="36" max="37" width="14.81640625" style="60" customWidth="1"/>
    <col min="38" max="16384" width="11.453125" style="60"/>
  </cols>
  <sheetData>
    <row r="1" spans="1:32">
      <c r="B1" s="960" t="s">
        <v>19</v>
      </c>
      <c r="C1" s="960"/>
      <c r="D1" s="14" t="str">
        <f>'Instrucciones de uso'!$H$15</f>
        <v>contraseña</v>
      </c>
      <c r="E1" s="14" t="str">
        <f>IF(OR('Enunciado (sin infla)'!$G$2="",NOT('Enunciado (sin infla)'!$H$2="")),"",'Enunciado (sin infla)'!$G$2)</f>
        <v/>
      </c>
      <c r="R1" s="163"/>
      <c r="S1" s="65"/>
    </row>
    <row r="2" spans="1:32">
      <c r="B2" s="286" t="s">
        <v>3951</v>
      </c>
      <c r="D2" s="14" t="str">
        <f>'Instrucciones de uso'!$J$15</f>
        <v>contraseña</v>
      </c>
      <c r="E2" s="345" t="str">
        <f>'Instrucciones de uso'!$I$33</f>
        <v/>
      </c>
      <c r="H2" s="98" t="str">
        <f>IF(ISERROR(IF(OR(AND(NOT(H5=""),NOT(ISNUMBER(H5))),AND(NOT(H6=""),NOT(ISNUMBER(H6))),AND(NOT(H7=""),NOT(ISNUMBER(H7)))),"ERROR","")),"ERROR",IF(OR(AND(NOT(H5=""),NOT(ISNUMBER(H5))),AND(NOT(H6=""),NOT(ISNUMBER(H6))),AND(NOT(H7=""),NOT(ISNUMBER(H7)))),"ERROR",""))</f>
        <v/>
      </c>
      <c r="I2" s="98" t="str">
        <f t="shared" ref="I2:O2" si="0">IF(ISERROR(IF(OR(AND(NOT(I5=""),NOT(ISNUMBER(I5))),AND(NOT(I6=""),NOT(ISNUMBER(I6))),AND(NOT(I7=""),NOT(ISNUMBER(I7)))),"ERROR","")),"ERROR",IF(OR(AND(NOT(I5=""),NOT(ISNUMBER(I5))),AND(NOT(I6=""),NOT(ISNUMBER(I6))),AND(NOT(I7=""),NOT(ISNUMBER(I7)))),"ERROR",""))</f>
        <v/>
      </c>
      <c r="J2" s="98" t="str">
        <f t="shared" si="0"/>
        <v/>
      </c>
      <c r="K2" s="98" t="str">
        <f t="shared" si="0"/>
        <v/>
      </c>
      <c r="L2" s="98" t="str">
        <f t="shared" si="0"/>
        <v/>
      </c>
      <c r="M2" s="98" t="str">
        <f t="shared" si="0"/>
        <v/>
      </c>
      <c r="N2" s="98" t="str">
        <f t="shared" si="0"/>
        <v/>
      </c>
      <c r="O2" s="98" t="str">
        <f t="shared" si="0"/>
        <v/>
      </c>
      <c r="P2" s="98" t="str">
        <f>IF(ISERROR(IF(OR(AND(NOT(P4=""),NOT(ISNUMBER(P4))),AND(NOT(P5=""),NOT(ISNUMBER(P5))),AND(NOT(P6=""),NOT(ISNUMBER(P6))),AND(NOT(P7=""),NOT(ISNUMBER(P7)))),"ERROR","")),"ERROR",IF(OR(AND(NOT(P4=""),NOT(ISNUMBER(P4))),AND(NOT(P5=""),NOT(ISNUMBER(P5))),AND(NOT(P6=""),NOT(ISNUMBER(P6))),AND(NOT(P7=""),NOT(ISNUMBER(P7)))),"ERROR",""))</f>
        <v/>
      </c>
      <c r="R2" s="163"/>
      <c r="S2" s="65"/>
    </row>
    <row r="3" spans="1:32">
      <c r="A3" s="65" t="e">
        <f>$E$1*1000+1</f>
        <v>#VALUE!</v>
      </c>
      <c r="C3" s="257" t="e">
        <f>VLOOKUP($A3,$A$231:$AP$1595,C$54,FALSE)</f>
        <v>#VALUE!</v>
      </c>
      <c r="D3" s="258" t="e">
        <f>VLOOKUP($A3,$A$231:$AP$1595,D$54,FALSE)</f>
        <v>#VALUE!</v>
      </c>
      <c r="G3" s="107" t="s">
        <v>0</v>
      </c>
      <c r="H3" s="108" t="s">
        <v>69</v>
      </c>
      <c r="I3" s="108" t="s">
        <v>70</v>
      </c>
      <c r="J3" s="108" t="s">
        <v>71</v>
      </c>
      <c r="K3" s="108" t="s">
        <v>72</v>
      </c>
      <c r="L3" s="108" t="s">
        <v>73</v>
      </c>
      <c r="M3" s="108" t="s">
        <v>74</v>
      </c>
      <c r="N3" s="108" t="s">
        <v>75</v>
      </c>
      <c r="O3" s="108" t="s">
        <v>80</v>
      </c>
      <c r="P3" s="108" t="s">
        <v>1</v>
      </c>
      <c r="R3" s="163"/>
      <c r="S3" s="65"/>
      <c r="T3" s="315" t="s">
        <v>455</v>
      </c>
      <c r="U3" s="315"/>
      <c r="V3" s="315"/>
      <c r="W3" s="315"/>
      <c r="X3" s="315"/>
      <c r="Y3" s="315"/>
      <c r="Z3" s="315"/>
      <c r="AA3" s="315"/>
      <c r="AB3" s="315"/>
      <c r="AC3" s="315"/>
      <c r="AD3" s="315"/>
      <c r="AE3" s="315"/>
      <c r="AF3" s="315"/>
    </row>
    <row r="4" spans="1:32">
      <c r="A4" s="65" t="e">
        <f>1+A3</f>
        <v>#VALUE!</v>
      </c>
      <c r="C4" s="1"/>
      <c r="D4" s="1"/>
      <c r="G4" s="267" t="e">
        <f>$D$3</f>
        <v>#VALUE!</v>
      </c>
      <c r="H4" s="317">
        <v>0</v>
      </c>
      <c r="I4" s="317">
        <v>0</v>
      </c>
      <c r="J4" s="317">
        <v>0</v>
      </c>
      <c r="K4" s="317">
        <v>0</v>
      </c>
      <c r="L4" s="317">
        <v>0</v>
      </c>
      <c r="M4" s="317">
        <v>0</v>
      </c>
      <c r="N4" s="317">
        <v>0</v>
      </c>
      <c r="O4" s="20">
        <v>0</v>
      </c>
      <c r="P4" s="100"/>
      <c r="R4" s="163"/>
      <c r="S4" s="65"/>
      <c r="T4" s="168" t="str">
        <f>IF(AK225=0,"NO HAY ERRORES, EL CASO SE HA RESUELTO CORRECTAMENTE Y LA DECISIÓN ADOPTADA ES LA ADECUADA","")</f>
        <v>NO HAY ERRORES, EL CASO SE HA RESUELTO CORRECTAMENTE Y LA DECISIÓN ADOPTADA ES LA ADECUADA</v>
      </c>
      <c r="U4" s="168"/>
      <c r="V4" s="168"/>
      <c r="W4" s="168"/>
      <c r="X4" s="168"/>
      <c r="Y4" s="168"/>
      <c r="Z4" s="168"/>
      <c r="AA4" s="168"/>
      <c r="AB4" s="168"/>
      <c r="AC4" s="168"/>
      <c r="AD4" s="168"/>
      <c r="AE4" s="168"/>
      <c r="AF4" s="168"/>
    </row>
    <row r="5" spans="1:32">
      <c r="A5" s="65" t="e">
        <f t="shared" ref="A5:A68" si="1">1+A4</f>
        <v>#VALUE!</v>
      </c>
      <c r="C5" s="255" t="e">
        <f t="shared" ref="C5:D8" si="2">VLOOKUP($A5,$A$231:$AP$1595,C$54,FALSE)</f>
        <v>#VALUE!</v>
      </c>
      <c r="D5" s="256"/>
      <c r="G5" s="267" t="e">
        <f>1+G4</f>
        <v>#VALUE!</v>
      </c>
      <c r="H5" s="100"/>
      <c r="I5" s="100"/>
      <c r="J5" s="100"/>
      <c r="K5" s="100"/>
      <c r="L5" s="100"/>
      <c r="M5" s="100"/>
      <c r="N5" s="100"/>
      <c r="O5" s="101"/>
      <c r="P5" s="100"/>
      <c r="R5" s="163"/>
      <c r="S5" s="65"/>
      <c r="T5" s="113"/>
      <c r="U5" s="113"/>
      <c r="V5" s="162" t="s">
        <v>247</v>
      </c>
      <c r="W5" s="113"/>
      <c r="X5" s="164"/>
      <c r="Y5" s="164"/>
      <c r="Z5" s="164"/>
      <c r="AA5" s="164"/>
      <c r="AB5" s="164"/>
      <c r="AC5" s="164"/>
      <c r="AD5" s="164"/>
      <c r="AE5" s="164"/>
      <c r="AF5" s="164"/>
    </row>
    <row r="6" spans="1:32">
      <c r="A6" s="65" t="e">
        <f t="shared" si="1"/>
        <v>#VALUE!</v>
      </c>
      <c r="C6" s="110" t="e">
        <f t="shared" si="2"/>
        <v>#VALUE!</v>
      </c>
      <c r="D6" s="263" t="e">
        <f t="shared" si="2"/>
        <v>#VALUE!</v>
      </c>
      <c r="E6" s="961" t="str">
        <f>IF($D$82="SI","Uso indebido de la Excel: no puede modificarse el enunciado. Deshaga operación (Ctrl-Z) para continuar","")</f>
        <v/>
      </c>
      <c r="F6" s="961"/>
      <c r="G6" s="267" t="e">
        <f>1+G5</f>
        <v>#VALUE!</v>
      </c>
      <c r="H6" s="100"/>
      <c r="I6" s="100"/>
      <c r="J6" s="100"/>
      <c r="K6" s="100"/>
      <c r="L6" s="100"/>
      <c r="M6" s="100"/>
      <c r="N6" s="100"/>
      <c r="O6" s="101"/>
      <c r="P6" s="100"/>
      <c r="R6" s="163"/>
      <c r="S6" s="65"/>
      <c r="T6" s="113"/>
      <c r="U6" s="113"/>
      <c r="V6" s="162" t="s">
        <v>248</v>
      </c>
      <c r="W6" s="113"/>
      <c r="X6" s="164"/>
      <c r="Y6" s="164"/>
      <c r="Z6" s="164"/>
      <c r="AA6" s="164"/>
      <c r="AB6" s="164"/>
      <c r="AC6" s="164"/>
      <c r="AD6" s="164"/>
      <c r="AE6" s="164"/>
      <c r="AF6" s="164"/>
    </row>
    <row r="7" spans="1:32">
      <c r="A7" s="65" t="e">
        <f t="shared" si="1"/>
        <v>#VALUE!</v>
      </c>
      <c r="C7" s="110" t="e">
        <f t="shared" si="2"/>
        <v>#VALUE!</v>
      </c>
      <c r="D7" s="264" t="e">
        <f t="shared" si="2"/>
        <v>#VALUE!</v>
      </c>
      <c r="E7" s="961"/>
      <c r="F7" s="961"/>
      <c r="G7" s="267" t="e">
        <f>1+G6</f>
        <v>#VALUE!</v>
      </c>
      <c r="H7" s="100"/>
      <c r="I7" s="100"/>
      <c r="J7" s="100"/>
      <c r="K7" s="100"/>
      <c r="L7" s="100"/>
      <c r="M7" s="100"/>
      <c r="N7" s="100"/>
      <c r="O7" s="101"/>
      <c r="P7" s="100"/>
      <c r="R7" s="163"/>
      <c r="S7" s="65"/>
      <c r="T7" s="118" t="s">
        <v>177</v>
      </c>
      <c r="U7" s="161" t="s">
        <v>246</v>
      </c>
      <c r="V7" s="118" t="s">
        <v>249</v>
      </c>
      <c r="W7" s="161" t="s">
        <v>462</v>
      </c>
      <c r="X7" s="159"/>
      <c r="Y7" s="159"/>
      <c r="Z7" s="159"/>
      <c r="AA7" s="159"/>
      <c r="AB7" s="159"/>
      <c r="AC7" s="159"/>
      <c r="AD7" s="159"/>
      <c r="AE7" s="159"/>
      <c r="AF7" s="159"/>
    </row>
    <row r="8" spans="1:32">
      <c r="A8" s="65" t="e">
        <f t="shared" si="1"/>
        <v>#VALUE!</v>
      </c>
      <c r="C8" s="110" t="e">
        <f t="shared" si="2"/>
        <v>#VALUE!</v>
      </c>
      <c r="D8" s="263" t="e">
        <f t="shared" si="2"/>
        <v>#VALUE!</v>
      </c>
      <c r="E8" s="961"/>
      <c r="F8" s="961"/>
      <c r="H8" s="98" t="str">
        <f>IF(ISERROR(IF(OR(AND(NOT(H11=""),NOT(ISNUMBER(H11))),AND(NOT(H12=""),NOT(ISNUMBER(H12))),AND(NOT(H13=""),NOT(ISNUMBER(H13)))),"ERROR","")),"ERROR",IF(OR(AND(NOT(H11=""),NOT(ISNUMBER(H11))),AND(NOT(H12=""),NOT(ISNUMBER(H12))),AND(NOT(H13=""),NOT(ISNUMBER(H13)))),"ERROR",""))</f>
        <v/>
      </c>
      <c r="I8" s="98" t="str">
        <f>IF(ISERROR(IF(OR(AND(NOT(I11=""),NOT(ISNUMBER(I11))),AND(NOT(I12=""),NOT(ISNUMBER(I12))),AND(NOT(I13=""),NOT(ISNUMBER(I13)))),"ERROR","")),"ERROR",IF(OR(AND(NOT(I11=""),NOT(ISNUMBER(I11))),AND(NOT(I12=""),NOT(ISNUMBER(I12))),AND(NOT(I13=""),NOT(ISNUMBER(I13)))),"ERROR",""))</f>
        <v/>
      </c>
      <c r="J8" s="98" t="str">
        <f>IF(ISERROR(IF(OR(AND(NOT(J11=""),NOT(ISNUMBER(J11))),AND(NOT(J12=""),NOT(ISNUMBER(J12))),AND(NOT(J13=""),NOT(ISNUMBER(J13)))),"ERROR","")),"ERROR",IF(OR(AND(NOT(J11=""),NOT(ISNUMBER(J11))),AND(NOT(J12=""),NOT(ISNUMBER(J12))),AND(NOT(J13=""),NOT(ISNUMBER(J13)))),"ERROR",""))</f>
        <v/>
      </c>
      <c r="K8" s="98" t="str">
        <f>IF(ISERROR(IF(OR(AND(NOT(K11=""),NOT(ISNUMBER(K11))),AND(NOT(K12=""),NOT(ISNUMBER(K12))),AND(NOT(K13=""),NOT(ISNUMBER(K13)))),"ERROR","")),"ERROR",IF(OR(AND(NOT(K11=""),NOT(ISNUMBER(K11))),AND(NOT(K12=""),NOT(ISNUMBER(K12))),AND(NOT(K13=""),NOT(ISNUMBER(K13)))),"ERROR",""))</f>
        <v/>
      </c>
      <c r="O8" s="1"/>
      <c r="P8" s="1"/>
      <c r="R8" s="163"/>
      <c r="S8" s="14">
        <f>1+S7</f>
        <v>1</v>
      </c>
      <c r="T8" s="301" t="str">
        <f>IF(ISERROR(VLOOKUP($S8,$AE$176:$AL$224,2,FALSE)),"",VLOOKUP($S8,$AE$176:$AL$224,2,FALSE))</f>
        <v/>
      </c>
      <c r="U8" s="290" t="str">
        <f>IF(W8="La celdilla está en blanco","",IF(ISERROR(VLOOKUP($S8,$AE$176:$AL$224,3,FALSE)),"",TEXT(VLOOKUP($S8,$AE$176:$AL$224,3,FALSE),IF(ABS(VLOOKUP($S8,$AE$176:$AL$224,3,FALSE))&lt;1,"0,0000","#.##0"))))</f>
        <v/>
      </c>
      <c r="V8" s="291" t="str">
        <f>IF(ISERROR(VLOOKUP($S8,$AE$176:$AL$224,6,FALSE)),"",TEXT(VLOOKUP($S8,$AE$176:$AL$224,6,FALSE),IF(ABS(VLOOKUP($S8,$AE$176:$AL$224,6,FALSE))&lt;1,"0,0000","#.##0")))</f>
        <v/>
      </c>
      <c r="W8" s="962" t="str">
        <f>IF(ISERROR(VLOOKUP($S8,$AE$176:$AL$224,8,FALSE)),"",IF(VLOOKUP($S8,$AE$176:$AM$224,9,FALSE)="b","La celdilla está en blanco",VLOOKUP($S8,$AE$176:$AL$224,8,FALSE)))</f>
        <v>La celdilla está en blanco</v>
      </c>
      <c r="X8" s="962"/>
      <c r="Y8" s="962"/>
      <c r="Z8" s="962"/>
      <c r="AA8" s="962"/>
      <c r="AB8" s="962"/>
      <c r="AC8" s="962"/>
      <c r="AD8" s="962"/>
      <c r="AE8" s="962"/>
      <c r="AF8" s="962"/>
    </row>
    <row r="9" spans="1:32">
      <c r="A9" s="65" t="e">
        <f t="shared" si="1"/>
        <v>#VALUE!</v>
      </c>
      <c r="C9" s="8"/>
      <c r="D9" s="1"/>
      <c r="E9" s="961"/>
      <c r="F9" s="961"/>
      <c r="G9" s="107" t="s">
        <v>0</v>
      </c>
      <c r="H9" s="108" t="s">
        <v>76</v>
      </c>
      <c r="I9" s="108" t="s">
        <v>77</v>
      </c>
      <c r="J9" s="108" t="s">
        <v>78</v>
      </c>
      <c r="K9" s="108" t="s">
        <v>79</v>
      </c>
      <c r="N9" s="98" t="str">
        <f>IF(ISERROR(IF(OR(AND(NOT(N10=""),NOT(ISNUMBER(N10))),AND(NOT(N11=""),NOT(ISNUMBER(N11))),AND(NOT(N12=""),NOT(ISNUMBER(N12))),AND(NOT(N13=""),NOT(ISNUMBER(N13)))),"ERROR","")),"ERROR",IF(OR(AND(NOT(N10=""),NOT(ISNUMBER(N10))),AND(NOT(N11=""),NOT(ISNUMBER(N11))),AND(NOT(N12=""),NOT(ISNUMBER(N12))),AND(NOT(N13=""),NOT(ISNUMBER(N13)))),"ERROR",""))</f>
        <v/>
      </c>
      <c r="P9" s="98" t="str">
        <f>IF(ISERROR(IF(OR(AND(NOT(P10=""),NOT(ISNUMBER(P10))),AND(NOT(P11=""),NOT(ISNUMBER(P11))),AND(NOT(P12=""),NOT(ISNUMBER(P12))),AND(NOT(P15=""),NOT(ISNUMBER(P15))),AND(NOT(P16=""),NOT(ISNUMBER(P16)))),"ERROR","")),"ERROR",IF(OR(AND(NOT(P10=""),NOT(ISNUMBER(P10))),AND(NOT(P11=""),NOT(ISNUMBER(P11))),AND(NOT(P12=""),NOT(ISNUMBER(P12))),AND(NOT(P15=""),NOT(ISNUMBER(P15))),AND(NOT(P16=""),NOT(ISNUMBER(P16)))),"ERROR",""))</f>
        <v/>
      </c>
      <c r="R9" s="163"/>
      <c r="S9" s="14"/>
      <c r="T9" s="301"/>
      <c r="U9" s="290"/>
      <c r="V9" s="291"/>
      <c r="W9" s="943"/>
      <c r="X9" s="943"/>
      <c r="Y9" s="943"/>
      <c r="Z9" s="943"/>
      <c r="AA9" s="943"/>
      <c r="AB9" s="943"/>
      <c r="AC9" s="943"/>
      <c r="AD9" s="943"/>
      <c r="AE9" s="943"/>
      <c r="AF9" s="943"/>
    </row>
    <row r="10" spans="1:32">
      <c r="A10" s="65" t="e">
        <f t="shared" si="1"/>
        <v>#VALUE!</v>
      </c>
      <c r="C10" s="110" t="e">
        <f t="shared" ref="C10:D11" si="3">VLOOKUP($A10,$A$231:$AP$1595,C$54,FALSE)</f>
        <v>#VALUE!</v>
      </c>
      <c r="D10" s="263" t="e">
        <f t="shared" si="3"/>
        <v>#VALUE!</v>
      </c>
      <c r="E10" s="961"/>
      <c r="F10" s="961"/>
      <c r="G10" s="267" t="e">
        <f>$D$3</f>
        <v>#VALUE!</v>
      </c>
      <c r="H10" s="263">
        <v>0</v>
      </c>
      <c r="I10" s="263">
        <v>0</v>
      </c>
      <c r="J10" s="263">
        <v>0</v>
      </c>
      <c r="K10" s="20">
        <v>0</v>
      </c>
      <c r="M10" s="106" t="e">
        <f>CONCATENATE("DI (",$D$3,")")</f>
        <v>#VALUE!</v>
      </c>
      <c r="N10" s="102"/>
      <c r="O10" s="109" t="s">
        <v>124</v>
      </c>
      <c r="P10" s="103"/>
      <c r="R10" s="163"/>
      <c r="S10" s="14">
        <f>1+S8</f>
        <v>2</v>
      </c>
      <c r="T10" s="301" t="str">
        <f>IF(ISERROR(VLOOKUP($S10,$AE$176:$AL$224,2,FALSE)),"",VLOOKUP($S10,$AE$176:$AL$224,2,FALSE))</f>
        <v/>
      </c>
      <c r="U10" s="290" t="str">
        <f>IF(W10="La celdilla está en blanco","",IF(ISERROR(VLOOKUP($S10,$AE$176:$AL$224,3,FALSE)),"",TEXT(VLOOKUP($S10,$AE$176:$AL$224,3,FALSE),IF(ABS(VLOOKUP($S10,$AE$176:$AL$224,3,FALSE))&lt;1,"0,0000","#.##0"))))</f>
        <v/>
      </c>
      <c r="V10" s="291" t="str">
        <f>IF(ISERROR(VLOOKUP($S10,$AE$176:$AL$224,6,FALSE)),"",TEXT(VLOOKUP($S10,$AE$176:$AL$224,6,FALSE),IF(ABS(VLOOKUP($S10,$AE$176:$AL$224,6,FALSE))&lt;1,"0,0000","#.##0")))</f>
        <v/>
      </c>
      <c r="W10" s="943" t="str">
        <f>IF(ISERROR(VLOOKUP($S10,$AE$176:$AL$224,8,FALSE)),"",IF(VLOOKUP($S10,$AE$176:$AM$224,9,FALSE)="b","La celdilla está en blanco",VLOOKUP($S10,$AE$176:$AL$224,8,FALSE)))</f>
        <v>La celdilla está en blanco</v>
      </c>
      <c r="X10" s="943"/>
      <c r="Y10" s="943"/>
      <c r="Z10" s="943"/>
      <c r="AA10" s="943"/>
      <c r="AB10" s="943"/>
      <c r="AC10" s="943"/>
      <c r="AD10" s="943"/>
      <c r="AE10" s="943"/>
      <c r="AF10" s="943"/>
    </row>
    <row r="11" spans="1:32">
      <c r="A11" s="65" t="e">
        <f t="shared" si="1"/>
        <v>#VALUE!</v>
      </c>
      <c r="C11" s="110" t="e">
        <f t="shared" si="3"/>
        <v>#VALUE!</v>
      </c>
      <c r="D11" s="263" t="e">
        <f t="shared" si="3"/>
        <v>#VALUE!</v>
      </c>
      <c r="E11" s="961"/>
      <c r="F11" s="961"/>
      <c r="G11" s="267" t="e">
        <f>1+G10</f>
        <v>#VALUE!</v>
      </c>
      <c r="H11" s="100"/>
      <c r="I11" s="100"/>
      <c r="J11" s="100"/>
      <c r="K11" s="100"/>
      <c r="M11" s="106" t="e">
        <f>CONCATENATE("IncVR (",$D$3+3,") (AF)")</f>
        <v>#VALUE!</v>
      </c>
      <c r="N11" s="102"/>
      <c r="O11" s="109" t="s">
        <v>125</v>
      </c>
      <c r="P11" s="103"/>
      <c r="R11" s="163"/>
      <c r="S11" s="14"/>
      <c r="T11" s="301"/>
      <c r="U11" s="290"/>
      <c r="V11" s="291"/>
      <c r="W11" s="943"/>
      <c r="X11" s="943"/>
      <c r="Y11" s="943"/>
      <c r="Z11" s="943"/>
      <c r="AA11" s="943"/>
      <c r="AB11" s="943"/>
      <c r="AC11" s="943"/>
      <c r="AD11" s="943"/>
      <c r="AE11" s="943"/>
      <c r="AF11" s="943"/>
    </row>
    <row r="12" spans="1:32">
      <c r="A12" s="65" t="e">
        <f t="shared" si="1"/>
        <v>#VALUE!</v>
      </c>
      <c r="C12" s="8"/>
      <c r="D12" s="1"/>
      <c r="E12" s="961"/>
      <c r="F12" s="961"/>
      <c r="G12" s="267" t="e">
        <f>1+G11</f>
        <v>#VALUE!</v>
      </c>
      <c r="H12" s="100"/>
      <c r="I12" s="100"/>
      <c r="J12" s="100"/>
      <c r="K12" s="100"/>
      <c r="M12" s="106" t="e">
        <f>CONCATENATE("IncVR (",$D$3+3,") (FM)")</f>
        <v>#VALUE!</v>
      </c>
      <c r="N12" s="102"/>
      <c r="O12" s="109" t="s">
        <v>126</v>
      </c>
      <c r="P12" s="103"/>
      <c r="R12" s="163"/>
      <c r="S12" s="14">
        <f>1+S10</f>
        <v>3</v>
      </c>
      <c r="T12" s="301" t="str">
        <f>IF(ISERROR(VLOOKUP($S12,$AE$176:$AL$224,2,FALSE)),"",VLOOKUP($S12,$AE$176:$AL$224,2,FALSE))</f>
        <v/>
      </c>
      <c r="U12" s="290" t="str">
        <f>IF(W12="La celdilla está en blanco","",IF(ISERROR(VLOOKUP($S12,$AE$176:$AL$224,3,FALSE)),"",TEXT(VLOOKUP($S12,$AE$176:$AL$224,3,FALSE),IF(ABS(VLOOKUP($S12,$AE$176:$AL$224,3,FALSE))&lt;1,"0,0000","#.##0"))))</f>
        <v/>
      </c>
      <c r="V12" s="291" t="str">
        <f>IF(ISERROR(VLOOKUP($S12,$AE$176:$AL$224,6,FALSE)),"",TEXT(VLOOKUP($S12,$AE$176:$AL$224,6,FALSE),IF(ABS(VLOOKUP($S12,$AE$176:$AL$224,6,FALSE))&lt;1,"0,0000","#.##0")))</f>
        <v/>
      </c>
      <c r="W12" s="943" t="str">
        <f>IF(ISERROR(VLOOKUP($S12,$AE$176:$AL$224,8,FALSE)),"",IF(VLOOKUP($S12,$AE$176:$AM$224,9,FALSE)="b","La celdilla está en blanco",VLOOKUP($S12,$AE$176:$AL$224,8,FALSE)))</f>
        <v>La celdilla está en blanco</v>
      </c>
      <c r="X12" s="943"/>
      <c r="Y12" s="943"/>
      <c r="Z12" s="943"/>
      <c r="AA12" s="943"/>
      <c r="AB12" s="943"/>
      <c r="AC12" s="943"/>
      <c r="AD12" s="943"/>
      <c r="AE12" s="943"/>
      <c r="AF12" s="943"/>
    </row>
    <row r="13" spans="1:32">
      <c r="A13" s="65" t="e">
        <f t="shared" si="1"/>
        <v>#VALUE!</v>
      </c>
      <c r="C13" s="110" t="e">
        <f t="shared" ref="C13:D14" si="4">VLOOKUP($A13,$A$231:$AP$1595,C$54,FALSE)</f>
        <v>#VALUE!</v>
      </c>
      <c r="D13" s="264" t="e">
        <f t="shared" si="4"/>
        <v>#VALUE!</v>
      </c>
      <c r="E13" s="961"/>
      <c r="F13" s="961"/>
      <c r="G13" s="267" t="e">
        <f>1+G12</f>
        <v>#VALUE!</v>
      </c>
      <c r="H13" s="100"/>
      <c r="I13" s="100"/>
      <c r="J13" s="100"/>
      <c r="K13" s="100"/>
      <c r="M13" s="106" t="e">
        <f>CONCATENATE("IncVR (",$D$3+3,")")</f>
        <v>#VALUE!</v>
      </c>
      <c r="N13" s="102"/>
      <c r="P13" s="90"/>
      <c r="R13" s="163"/>
      <c r="S13" s="14"/>
      <c r="T13" s="301"/>
      <c r="U13" s="290"/>
      <c r="V13" s="291"/>
      <c r="W13" s="943"/>
      <c r="X13" s="943"/>
      <c r="Y13" s="943"/>
      <c r="Z13" s="943"/>
      <c r="AA13" s="943"/>
      <c r="AB13" s="943"/>
      <c r="AC13" s="943"/>
      <c r="AD13" s="943"/>
      <c r="AE13" s="943"/>
      <c r="AF13" s="943"/>
    </row>
    <row r="14" spans="1:32">
      <c r="A14" s="65" t="e">
        <f t="shared" si="1"/>
        <v>#VALUE!</v>
      </c>
      <c r="C14" s="110" t="e">
        <f t="shared" si="4"/>
        <v>#VALUE!</v>
      </c>
      <c r="D14" s="264" t="e">
        <f t="shared" si="4"/>
        <v>#VALUE!</v>
      </c>
      <c r="E14" s="961"/>
      <c r="F14" s="961"/>
      <c r="H14" s="90"/>
      <c r="I14" s="90"/>
      <c r="J14" s="90"/>
      <c r="K14" s="90"/>
      <c r="N14" s="90"/>
      <c r="R14" s="163"/>
      <c r="S14" s="14">
        <f>1+S12</f>
        <v>4</v>
      </c>
      <c r="T14" s="301" t="str">
        <f>IF(ISERROR(VLOOKUP($S14,$AE$176:$AL$224,2,FALSE)),"",VLOOKUP($S14,$AE$176:$AL$224,2,FALSE))</f>
        <v/>
      </c>
      <c r="U14" s="290" t="str">
        <f>IF(W14="La celdilla está en blanco","",IF(ISERROR(VLOOKUP($S14,$AE$176:$AL$224,3,FALSE)),"",TEXT(VLOOKUP($S14,$AE$176:$AL$224,3,FALSE),IF(ABS(VLOOKUP($S14,$AE$176:$AL$224,3,FALSE))&lt;1,"0,0000","#.##0"))))</f>
        <v/>
      </c>
      <c r="V14" s="291" t="str">
        <f>IF(ISERROR(VLOOKUP($S14,$AE$176:$AL$224,6,FALSE)),"",TEXT(VLOOKUP($S14,$AE$176:$AL$224,6,FALSE),IF(ABS(VLOOKUP($S14,$AE$176:$AL$224,6,FALSE))&lt;1,"0,0000","#.##0")))</f>
        <v/>
      </c>
      <c r="W14" s="943" t="str">
        <f>IF(ISERROR(VLOOKUP($S14,$AE$176:$AL$224,8,FALSE)),"",IF(VLOOKUP($S14,$AE$176:$AM$224,9,FALSE)="b","La celdilla está en blanco",VLOOKUP($S14,$AE$176:$AL$224,8,FALSE)))</f>
        <v>La celdilla está en blanco</v>
      </c>
      <c r="X14" s="943"/>
      <c r="Y14" s="943"/>
      <c r="Z14" s="943"/>
      <c r="AA14" s="943"/>
      <c r="AB14" s="943"/>
      <c r="AC14" s="943"/>
      <c r="AD14" s="943"/>
      <c r="AE14" s="943"/>
      <c r="AF14" s="943"/>
    </row>
    <row r="15" spans="1:32">
      <c r="A15" s="65" t="e">
        <f t="shared" si="1"/>
        <v>#VALUE!</v>
      </c>
      <c r="C15" s="8"/>
      <c r="D15" s="1"/>
      <c r="O15" s="106" t="s">
        <v>13</v>
      </c>
      <c r="P15" s="104"/>
      <c r="R15" s="163"/>
      <c r="S15" s="14"/>
      <c r="T15" s="301"/>
      <c r="U15" s="290"/>
      <c r="V15" s="291"/>
      <c r="W15" s="943"/>
      <c r="X15" s="943"/>
      <c r="Y15" s="943"/>
      <c r="Z15" s="943"/>
      <c r="AA15" s="943"/>
      <c r="AB15" s="943"/>
      <c r="AC15" s="943"/>
      <c r="AD15" s="943"/>
      <c r="AE15" s="943"/>
      <c r="AF15" s="943"/>
    </row>
    <row r="16" spans="1:32">
      <c r="A16" s="65" t="e">
        <f t="shared" si="1"/>
        <v>#VALUE!</v>
      </c>
      <c r="C16" s="255" t="e">
        <f t="shared" ref="C16:D20" si="5">VLOOKUP($A16,$A$231:$AP$1595,C$54,FALSE)</f>
        <v>#VALUE!</v>
      </c>
      <c r="D16" s="256"/>
      <c r="M16" s="1"/>
      <c r="O16" s="113" t="s">
        <v>28</v>
      </c>
      <c r="P16" s="103"/>
      <c r="R16" s="163"/>
      <c r="S16" s="14">
        <f>1+S14</f>
        <v>5</v>
      </c>
      <c r="T16" s="301" t="str">
        <f>IF(ISERROR(VLOOKUP($S16,$AE$176:$AL$224,2,FALSE)),"",VLOOKUP($S16,$AE$176:$AL$224,2,FALSE))</f>
        <v/>
      </c>
      <c r="U16" s="290" t="str">
        <f>IF(W16="La celdilla está en blanco","",IF(ISERROR(VLOOKUP($S16,$AE$176:$AL$224,3,FALSE)),"",TEXT(VLOOKUP($S16,$AE$176:$AL$224,3,FALSE),IF(ABS(VLOOKUP($S16,$AE$176:$AL$224,3,FALSE))&lt;1,"0,0000","#.##0"))))</f>
        <v/>
      </c>
      <c r="V16" s="291" t="str">
        <f>IF(ISERROR(VLOOKUP($S16,$AE$176:$AL$224,6,FALSE)),"",TEXT(VLOOKUP($S16,$AE$176:$AL$224,6,FALSE),IF(ABS(VLOOKUP($S16,$AE$176:$AL$224,6,FALSE))&lt;1,"0,0000","#.##0")))</f>
        <v/>
      </c>
      <c r="W16" s="943" t="str">
        <f>IF(ISERROR(VLOOKUP($S16,$AE$176:$AL$224,8,FALSE)),"",IF(VLOOKUP($S16,$AE$176:$AM$224,9,FALSE)="b","La celdilla está en blanco",VLOOKUP($S16,$AE$176:$AL$224,8,FALSE)))</f>
        <v>La celdilla está en blanco</v>
      </c>
      <c r="X16" s="943"/>
      <c r="Y16" s="943"/>
      <c r="Z16" s="943"/>
      <c r="AA16" s="943"/>
      <c r="AB16" s="943"/>
      <c r="AC16" s="943"/>
      <c r="AD16" s="943"/>
      <c r="AE16" s="943"/>
      <c r="AF16" s="943"/>
    </row>
    <row r="17" spans="1:32">
      <c r="A17" s="65" t="e">
        <f t="shared" si="1"/>
        <v>#VALUE!</v>
      </c>
      <c r="C17" s="110" t="e">
        <f t="shared" si="5"/>
        <v>#VALUE!</v>
      </c>
      <c r="D17" s="263" t="e">
        <f t="shared" si="5"/>
        <v>#VALUE!</v>
      </c>
      <c r="K17" s="96" t="s">
        <v>127</v>
      </c>
      <c r="L17" s="97"/>
      <c r="M17" s="136" t="str">
        <f>IF(OR(L17="",L17="x"),"","ERROR")</f>
        <v/>
      </c>
      <c r="N17" s="1"/>
      <c r="O17" s="1"/>
      <c r="P17" s="105"/>
      <c r="Q17" s="1"/>
      <c r="R17" s="386"/>
      <c r="S17" s="14"/>
      <c r="T17" s="301"/>
      <c r="U17" s="290"/>
      <c r="V17" s="291"/>
      <c r="W17" s="943"/>
      <c r="X17" s="943"/>
      <c r="Y17" s="943"/>
      <c r="Z17" s="943"/>
      <c r="AA17" s="943"/>
      <c r="AB17" s="943"/>
      <c r="AC17" s="943"/>
      <c r="AD17" s="943"/>
      <c r="AE17" s="943"/>
      <c r="AF17" s="943"/>
    </row>
    <row r="18" spans="1:32">
      <c r="A18" s="65" t="e">
        <f t="shared" si="1"/>
        <v>#VALUE!</v>
      </c>
      <c r="C18" s="110" t="e">
        <f t="shared" si="5"/>
        <v>#VALUE!</v>
      </c>
      <c r="D18" s="263" t="e">
        <f t="shared" si="5"/>
        <v>#VALUE!</v>
      </c>
      <c r="E18" s="954" t="str">
        <f>$E$6</f>
        <v/>
      </c>
      <c r="F18" s="954"/>
      <c r="K18" s="149" t="str">
        <f>IF(AND(L17="x",L19=0),"(en verde las celdillas correctas; en rojo las celdillas equivocadas) ","")</f>
        <v/>
      </c>
      <c r="L18" s="44"/>
      <c r="N18" s="1"/>
      <c r="O18" s="1"/>
      <c r="P18" s="1"/>
      <c r="Q18" s="1"/>
      <c r="R18" s="386"/>
      <c r="S18" s="14">
        <f>1+S16</f>
        <v>6</v>
      </c>
      <c r="T18" s="301" t="str">
        <f>IF(ISERROR(VLOOKUP($S18,$AE$176:$AL$224,2,FALSE)),"",VLOOKUP($S18,$AE$176:$AL$224,2,FALSE))</f>
        <v/>
      </c>
      <c r="U18" s="290" t="str">
        <f>IF(W18="La celdilla está en blanco","",IF(ISERROR(VLOOKUP($S18,$AE$176:$AL$224,3,FALSE)),"",TEXT(VLOOKUP($S18,$AE$176:$AL$224,3,FALSE),IF(ABS(VLOOKUP($S18,$AE$176:$AL$224,3,FALSE))&lt;1,"0,0000","#.##0"))))</f>
        <v/>
      </c>
      <c r="V18" s="291" t="str">
        <f>IF(ISERROR(VLOOKUP($S18,$AE$176:$AL$224,6,FALSE)),"",TEXT(VLOOKUP($S18,$AE$176:$AL$224,6,FALSE),IF(ABS(VLOOKUP($S18,$AE$176:$AL$224,6,FALSE))&lt;1,"0,0000","#.##0")))</f>
        <v/>
      </c>
      <c r="W18" s="943" t="str">
        <f>IF(ISERROR(VLOOKUP($S18,$AE$176:$AL$224,8,FALSE)),"",IF(VLOOKUP($S18,$AE$176:$AM$224,9,FALSE)="b","La celdilla está en blanco",VLOOKUP($S18,$AE$176:$AL$224,8,FALSE)))</f>
        <v>La celdilla está en blanco</v>
      </c>
      <c r="X18" s="943"/>
      <c r="Y18" s="943"/>
      <c r="Z18" s="943"/>
      <c r="AA18" s="943"/>
      <c r="AB18" s="943"/>
      <c r="AC18" s="943"/>
      <c r="AD18" s="943"/>
      <c r="AE18" s="943"/>
      <c r="AF18" s="943"/>
    </row>
    <row r="19" spans="1:32">
      <c r="A19" s="65" t="e">
        <f t="shared" si="1"/>
        <v>#VALUE!</v>
      </c>
      <c r="C19" s="110" t="e">
        <f t="shared" si="5"/>
        <v>#VALUE!</v>
      </c>
      <c r="D19" s="264" t="e">
        <f t="shared" si="5"/>
        <v>#VALUE!</v>
      </c>
      <c r="E19" s="954"/>
      <c r="F19" s="954"/>
      <c r="K19" s="346" t="s">
        <v>410</v>
      </c>
      <c r="L19" s="347">
        <f>COUNTIF(F1:P17,"ERROR")</f>
        <v>0</v>
      </c>
      <c r="M19" s="914"/>
      <c r="N19" s="354"/>
      <c r="O19" s="354"/>
      <c r="P19" s="354"/>
      <c r="Q19" s="354"/>
      <c r="R19" s="354"/>
      <c r="S19" s="14"/>
      <c r="T19" s="301"/>
      <c r="U19" s="290"/>
      <c r="V19" s="291"/>
      <c r="W19" s="943"/>
      <c r="X19" s="943"/>
      <c r="Y19" s="943"/>
      <c r="Z19" s="943"/>
      <c r="AA19" s="943"/>
      <c r="AB19" s="943"/>
      <c r="AC19" s="943"/>
      <c r="AD19" s="943"/>
      <c r="AE19" s="943"/>
      <c r="AF19" s="943"/>
    </row>
    <row r="20" spans="1:32">
      <c r="A20" s="65" t="e">
        <f t="shared" si="1"/>
        <v>#VALUE!</v>
      </c>
      <c r="C20" s="110" t="e">
        <f t="shared" si="5"/>
        <v>#VALUE!</v>
      </c>
      <c r="D20" s="263" t="e">
        <f t="shared" si="5"/>
        <v>#VALUE!</v>
      </c>
      <c r="E20" s="954"/>
      <c r="F20" s="954"/>
      <c r="N20" s="955" t="str">
        <f>$E$6</f>
        <v/>
      </c>
      <c r="O20" s="955"/>
      <c r="P20" s="955"/>
      <c r="Q20" s="955"/>
      <c r="R20" s="387"/>
      <c r="S20" s="14">
        <f>1+S18</f>
        <v>7</v>
      </c>
      <c r="T20" s="301" t="str">
        <f>IF(ISERROR(VLOOKUP($S20,$AE$176:$AL$224,2,FALSE)),"",VLOOKUP($S20,$AE$176:$AL$224,2,FALSE))</f>
        <v/>
      </c>
      <c r="U20" s="290" t="str">
        <f>IF(W20="La celdilla está en blanco","",IF(ISERROR(VLOOKUP($S20,$AE$176:$AL$224,3,FALSE)),"",TEXT(VLOOKUP($S20,$AE$176:$AL$224,3,FALSE),IF(ABS(VLOOKUP($S20,$AE$176:$AL$224,3,FALSE))&lt;1,"0,0000","#.##0"))))</f>
        <v/>
      </c>
      <c r="V20" s="291" t="str">
        <f>IF(ISERROR(VLOOKUP($S20,$AE$176:$AL$224,6,FALSE)),"",TEXT(VLOOKUP($S20,$AE$176:$AL$224,6,FALSE),IF(ABS(VLOOKUP($S20,$AE$176:$AL$224,6,FALSE))&lt;1,"0,0000","#.##0")))</f>
        <v/>
      </c>
      <c r="W20" s="943" t="str">
        <f>IF(ISERROR(VLOOKUP($S20,$AE$176:$AL$224,8,FALSE)),"",IF(VLOOKUP($S20,$AE$176:$AM$224,9,FALSE)="b","La celdilla está en blanco",VLOOKUP($S20,$AE$176:$AL$224,8,FALSE)))</f>
        <v>La celdilla está en blanco</v>
      </c>
      <c r="X20" s="943"/>
      <c r="Y20" s="943"/>
      <c r="Z20" s="943"/>
      <c r="AA20" s="943"/>
      <c r="AB20" s="943"/>
      <c r="AC20" s="943"/>
      <c r="AD20" s="943"/>
      <c r="AE20" s="943"/>
      <c r="AF20" s="943"/>
    </row>
    <row r="21" spans="1:32" ht="15" thickBot="1">
      <c r="A21" s="65" t="e">
        <f t="shared" si="1"/>
        <v>#VALUE!</v>
      </c>
      <c r="C21" s="8"/>
      <c r="D21" s="1"/>
      <c r="E21" s="954"/>
      <c r="F21" s="954"/>
      <c r="G21" s="216"/>
      <c r="H21" s="217"/>
      <c r="I21" s="217"/>
      <c r="J21" s="217"/>
      <c r="K21" s="224" t="s">
        <v>413</v>
      </c>
      <c r="L21" s="144"/>
      <c r="M21" s="245" t="str">
        <f>IF(L21="","",IF(NOT(ISNUMBER(L21)),"ERROR",IF(OR(NOT(INT(L21)=L21),L21&lt;1,L21&gt;49),"ERROR","")))</f>
        <v/>
      </c>
      <c r="N21" s="956"/>
      <c r="O21" s="956"/>
      <c r="P21" s="956"/>
      <c r="Q21" s="956"/>
      <c r="R21" s="388"/>
      <c r="S21" s="14"/>
      <c r="T21" s="301"/>
      <c r="U21" s="290"/>
      <c r="V21" s="291"/>
      <c r="W21" s="943"/>
      <c r="X21" s="943"/>
      <c r="Y21" s="943"/>
      <c r="Z21" s="943"/>
      <c r="AA21" s="943"/>
      <c r="AB21" s="943"/>
      <c r="AC21" s="943"/>
      <c r="AD21" s="943"/>
      <c r="AE21" s="943"/>
      <c r="AF21" s="943"/>
    </row>
    <row r="22" spans="1:32">
      <c r="A22" s="65" t="e">
        <f t="shared" si="1"/>
        <v>#VALUE!</v>
      </c>
      <c r="C22" s="110" t="e">
        <f>VLOOKUP($A22,$A$231:$AP$1595,C$54,FALSE)</f>
        <v>#VALUE!</v>
      </c>
      <c r="D22" s="265" t="e">
        <f t="shared" ref="D22:D23" si="6">VLOOKUP($A22,$A$231:$AP$1595,D$54,FALSE)</f>
        <v>#VALUE!</v>
      </c>
      <c r="E22" s="954"/>
      <c r="F22" s="954"/>
      <c r="G22" s="219"/>
      <c r="H22" s="218"/>
      <c r="I22" s="218"/>
      <c r="J22" s="218"/>
      <c r="K22" s="244" t="s">
        <v>479</v>
      </c>
      <c r="L22" s="218"/>
      <c r="N22" s="957" t="s">
        <v>466</v>
      </c>
      <c r="O22" s="958"/>
      <c r="P22" s="958"/>
      <c r="Q22" s="959"/>
      <c r="R22" s="389"/>
      <c r="S22" s="14">
        <f>1+S20</f>
        <v>8</v>
      </c>
      <c r="T22" s="301" t="str">
        <f>IF(ISERROR(VLOOKUP($S22,$AE$176:$AL$224,2,FALSE)),"",VLOOKUP($S22,$AE$176:$AL$224,2,FALSE))</f>
        <v/>
      </c>
      <c r="U22" s="290" t="str">
        <f>IF(W22="La celdilla está en blanco","",IF(ISERROR(VLOOKUP($S22,$AE$176:$AL$224,3,FALSE)),"",TEXT(VLOOKUP($S22,$AE$176:$AL$224,3,FALSE),IF(ABS(VLOOKUP($S22,$AE$176:$AL$224,3,FALSE))&lt;1,"0,0000","#.##0"))))</f>
        <v/>
      </c>
      <c r="V22" s="291" t="str">
        <f>IF(ISERROR(VLOOKUP($S22,$AE$176:$AL$224,6,FALSE)),"",TEXT(VLOOKUP($S22,$AE$176:$AL$224,6,FALSE),IF(ABS(VLOOKUP($S22,$AE$176:$AL$224,6,FALSE))&lt;1,"0,0000","#.##0")))</f>
        <v/>
      </c>
      <c r="W22" s="943" t="str">
        <f>IF(ISERROR(VLOOKUP($S22,$AE$176:$AL$224,8,FALSE)),"",IF(VLOOKUP($S22,$AE$176:$AM$224,9,FALSE)="b","La celdilla está en blanco",VLOOKUP($S22,$AE$176:$AL$224,8,FALSE)))</f>
        <v>La celdilla está en blanco</v>
      </c>
      <c r="X22" s="943"/>
      <c r="Y22" s="943"/>
      <c r="Z22" s="943"/>
      <c r="AA22" s="943"/>
      <c r="AB22" s="943"/>
      <c r="AC22" s="943"/>
      <c r="AD22" s="943"/>
      <c r="AE22" s="943"/>
      <c r="AF22" s="943"/>
    </row>
    <row r="23" spans="1:32">
      <c r="A23" s="65" t="e">
        <f t="shared" si="1"/>
        <v>#VALUE!</v>
      </c>
      <c r="C23" s="317"/>
      <c r="D23" s="110" t="e">
        <f t="shared" si="6"/>
        <v>#VALUE!</v>
      </c>
      <c r="E23" s="954"/>
      <c r="F23" s="954"/>
      <c r="J23" s="218"/>
      <c r="K23" s="215" t="s">
        <v>409</v>
      </c>
      <c r="L23" s="248"/>
      <c r="M23" s="246" t="str">
        <f>IF(OR(L23="",L23="N",L23="T"),"","ERROR")</f>
        <v/>
      </c>
      <c r="N23" s="295" t="s">
        <v>467</v>
      </c>
      <c r="O23" s="293" t="s">
        <v>468</v>
      </c>
      <c r="P23" s="294"/>
      <c r="Q23" s="296"/>
      <c r="R23" s="390"/>
      <c r="S23" s="14"/>
      <c r="T23" s="301"/>
      <c r="U23" s="290"/>
      <c r="V23" s="291"/>
      <c r="W23" s="943"/>
      <c r="X23" s="943"/>
      <c r="Y23" s="943"/>
      <c r="Z23" s="943"/>
      <c r="AA23" s="943"/>
      <c r="AB23" s="943"/>
      <c r="AC23" s="943"/>
      <c r="AD23" s="943"/>
      <c r="AE23" s="943"/>
      <c r="AF23" s="943"/>
    </row>
    <row r="24" spans="1:32">
      <c r="A24" s="65" t="e">
        <f t="shared" si="1"/>
        <v>#VALUE!</v>
      </c>
      <c r="C24" s="8"/>
      <c r="D24" s="1"/>
      <c r="E24" s="954"/>
      <c r="F24" s="954"/>
      <c r="G24" s="219"/>
      <c r="H24" s="218"/>
      <c r="I24" s="218"/>
      <c r="J24" s="218"/>
      <c r="K24" s="218"/>
      <c r="L24" s="249"/>
      <c r="M24" s="218"/>
      <c r="N24" s="297" t="s">
        <v>469</v>
      </c>
      <c r="O24" s="293" t="s">
        <v>470</v>
      </c>
      <c r="P24" s="294"/>
      <c r="Q24" s="296"/>
      <c r="R24" s="390"/>
      <c r="S24" s="14">
        <f>1+S22</f>
        <v>9</v>
      </c>
      <c r="T24" s="301" t="str">
        <f>IF(ISERROR(VLOOKUP($S24,$AE$176:$AL$224,2,FALSE)),"",VLOOKUP($S24,$AE$176:$AL$224,2,FALSE))</f>
        <v/>
      </c>
      <c r="U24" s="290" t="str">
        <f>IF(W24="La celdilla está en blanco","",IF(ISERROR(VLOOKUP($S24,$AE$176:$AL$224,3,FALSE)),"",TEXT(VLOOKUP($S24,$AE$176:$AL$224,3,FALSE),IF(ABS(VLOOKUP($S24,$AE$176:$AL$224,3,FALSE))&lt;1,"0,0000","#.##0"))))</f>
        <v/>
      </c>
      <c r="V24" s="291" t="str">
        <f>IF(ISERROR(VLOOKUP($S24,$AE$176:$AL$224,6,FALSE)),"",TEXT(VLOOKUP($S24,$AE$176:$AL$224,6,FALSE),IF(ABS(VLOOKUP($S24,$AE$176:$AL$224,6,FALSE))&lt;1,"0,0000","#.##0")))</f>
        <v/>
      </c>
      <c r="W24" s="943" t="str">
        <f>IF(ISERROR(VLOOKUP($S24,$AE$176:$AL$224,8,FALSE)),"",IF(VLOOKUP($S24,$AE$176:$AM$224,9,FALSE)="b","La celdilla está en blanco",VLOOKUP($S24,$AE$176:$AL$224,8,FALSE)))</f>
        <v>La celdilla está en blanco</v>
      </c>
      <c r="X24" s="943"/>
      <c r="Y24" s="943"/>
      <c r="Z24" s="943"/>
      <c r="AA24" s="943"/>
      <c r="AB24" s="943"/>
      <c r="AC24" s="943"/>
      <c r="AD24" s="943"/>
      <c r="AE24" s="943"/>
      <c r="AF24" s="943"/>
    </row>
    <row r="25" spans="1:32" ht="15" thickBot="1">
      <c r="A25" s="65" t="e">
        <f t="shared" si="1"/>
        <v>#VALUE!</v>
      </c>
      <c r="C25" s="110" t="e">
        <f t="shared" ref="C25:D29" si="7">VLOOKUP($A25,$A$231:$AP$1595,C$54,FALSE)</f>
        <v>#VALUE!</v>
      </c>
      <c r="D25" s="263" t="e">
        <f t="shared" si="7"/>
        <v>#VALUE!</v>
      </c>
      <c r="E25" s="954"/>
      <c r="F25" s="954"/>
      <c r="H25" s="218"/>
      <c r="I25" s="218"/>
      <c r="J25" s="218"/>
      <c r="K25" s="218"/>
      <c r="L25" s="218"/>
      <c r="M25" s="218"/>
      <c r="N25" s="306" t="s">
        <v>471</v>
      </c>
      <c r="O25" s="298" t="s">
        <v>472</v>
      </c>
      <c r="P25" s="299"/>
      <c r="Q25" s="300"/>
      <c r="R25" s="391"/>
      <c r="S25" s="14"/>
      <c r="T25" s="301"/>
      <c r="U25" s="290"/>
      <c r="V25" s="291"/>
      <c r="W25" s="943"/>
      <c r="X25" s="943"/>
      <c r="Y25" s="943"/>
      <c r="Z25" s="943"/>
      <c r="AA25" s="943"/>
      <c r="AB25" s="943"/>
      <c r="AC25" s="943"/>
      <c r="AD25" s="943"/>
      <c r="AE25" s="943"/>
      <c r="AF25" s="943"/>
    </row>
    <row r="26" spans="1:32">
      <c r="A26" s="65" t="e">
        <f t="shared" si="1"/>
        <v>#VALUE!</v>
      </c>
      <c r="C26" s="110" t="e">
        <f t="shared" si="7"/>
        <v>#VALUE!</v>
      </c>
      <c r="D26" s="263" t="e">
        <f t="shared" si="7"/>
        <v>#VALUE!</v>
      </c>
      <c r="E26" s="954"/>
      <c r="F26" s="954"/>
      <c r="G26" s="218"/>
      <c r="H26" s="219"/>
      <c r="I26" s="247" t="s">
        <v>320</v>
      </c>
      <c r="J26" s="226"/>
      <c r="K26" s="226" t="str">
        <f>IF(ISERROR(VLOOKUP($L$21,$G$77:$K$127,2,FALSE)),"",CONCATENATE(VLOOKUP($L$21,$G$77:$K$127,2,FALSE)," = "))</f>
        <v/>
      </c>
      <c r="L26" s="227" t="str">
        <f>IF(ISERROR(VLOOKUP($L$21,$G$77:$K$127,4,FALSE)),"",IF(OR(L21=45,L21=46,L21=47,L21=49),IF(VLOOKUP($L$21,$G$77:$K$127,4,FALSE)="","",CONCATENATE(TEXT(VLOOKUP($L$21,$G$77:$K$127,4,FALSE)*100,"0,00"),"%")),TEXT(VLOOKUP($L$21,$G$77:$K$127,4,FALSE),"#.##0")))</f>
        <v/>
      </c>
      <c r="M26" s="250" t="str">
        <f>IF(L26="","(en blanco)","")</f>
        <v>(en blanco)</v>
      </c>
      <c r="N26" s="216"/>
      <c r="O26" s="218"/>
      <c r="P26" s="218"/>
      <c r="Q26" s="218"/>
      <c r="R26" s="218"/>
      <c r="S26" s="14">
        <f>1+S24</f>
        <v>10</v>
      </c>
      <c r="T26" s="301" t="str">
        <f>IF(ISERROR(VLOOKUP($S26,$AE$176:$AL$224,2,FALSE)),"",VLOOKUP($S26,$AE$176:$AL$224,2,FALSE))</f>
        <v/>
      </c>
      <c r="U26" s="290" t="str">
        <f>IF(W26="La celdilla está en blanco","",IF(ISERROR(VLOOKUP($S26,$AE$176:$AL$224,3,FALSE)),"",TEXT(VLOOKUP($S26,$AE$176:$AL$224,3,FALSE),IF(ABS(VLOOKUP($S26,$AE$176:$AL$224,3,FALSE))&lt;1,"0,0000","#.##0"))))</f>
        <v/>
      </c>
      <c r="V26" s="291" t="str">
        <f>IF(ISERROR(VLOOKUP($S26,$AE$176:$AL$224,6,FALSE)),"",TEXT(VLOOKUP($S26,$AE$176:$AL$224,6,FALSE),IF(ABS(VLOOKUP($S26,$AE$176:$AL$224,6,FALSE))&lt;1,"0,0000","#.##0")))</f>
        <v/>
      </c>
      <c r="W26" s="943" t="str">
        <f>IF(ISERROR(VLOOKUP($S26,$AE$176:$AL$224,8,FALSE)),"",IF(VLOOKUP($S26,$AE$176:$AM$224,9,FALSE)="b","La celdilla está en blanco",VLOOKUP($S26,$AE$176:$AL$224,8,FALSE)))</f>
        <v>La celdilla está en blanco</v>
      </c>
      <c r="X26" s="943"/>
      <c r="Y26" s="943"/>
      <c r="Z26" s="943"/>
      <c r="AA26" s="943"/>
      <c r="AB26" s="943"/>
      <c r="AC26" s="943"/>
      <c r="AD26" s="943"/>
      <c r="AE26" s="943"/>
      <c r="AF26" s="943"/>
    </row>
    <row r="27" spans="1:32">
      <c r="A27" s="65" t="e">
        <f t="shared" si="1"/>
        <v>#VALUE!</v>
      </c>
      <c r="C27" s="110" t="e">
        <f t="shared" si="7"/>
        <v>#VALUE!</v>
      </c>
      <c r="D27" s="266" t="e">
        <f t="shared" si="7"/>
        <v>#VALUE!</v>
      </c>
      <c r="G27" s="216"/>
      <c r="H27" s="217"/>
      <c r="I27" s="217"/>
      <c r="J27" s="224"/>
      <c r="K27" s="224"/>
      <c r="L27" s="219"/>
      <c r="M27" s="218"/>
      <c r="N27" s="218"/>
      <c r="O27" s="218"/>
      <c r="P27" s="218"/>
      <c r="Q27" s="218"/>
      <c r="R27" s="218"/>
      <c r="S27" s="14"/>
      <c r="T27" s="165"/>
      <c r="U27" s="290"/>
      <c r="V27" s="291"/>
      <c r="W27" s="943"/>
      <c r="X27" s="943"/>
      <c r="Y27" s="943"/>
      <c r="Z27" s="943"/>
      <c r="AA27" s="943"/>
      <c r="AB27" s="943"/>
      <c r="AC27" s="943"/>
      <c r="AD27" s="943"/>
      <c r="AE27" s="943"/>
      <c r="AF27" s="943"/>
    </row>
    <row r="28" spans="1:32">
      <c r="A28" s="65" t="e">
        <f t="shared" si="1"/>
        <v>#VALUE!</v>
      </c>
      <c r="C28" s="110" t="e">
        <f t="shared" si="7"/>
        <v>#VALUE!</v>
      </c>
      <c r="D28" s="263" t="e">
        <f t="shared" si="7"/>
        <v>#VALUE!</v>
      </c>
      <c r="G28" s="219"/>
      <c r="H28" s="223"/>
      <c r="I28" s="247" t="s">
        <v>318</v>
      </c>
      <c r="J28" s="226"/>
      <c r="K28" s="226" t="str">
        <f>K26</f>
        <v/>
      </c>
      <c r="L28" s="227" t="str">
        <f>IF(ISERROR(VLOOKUP($L$21,$G$77:$K$127,3,FALSE)),"",IF(OR(L21=45,L21=46,L21=47,L21=49),CONCATENATE(TEXT(VLOOKUP($L$21,$G$77:$K$127,3,FALSE)*100,"0,00"),"%"),TEXT(VLOOKUP($L$21,$G$77:$K$127,3,FALSE),"#.##0")))</f>
        <v/>
      </c>
      <c r="M28" s="944" t="str">
        <f>IF(OR(L23="",NOT(M23="")),"",IF(ISERROR(VLOOKUP($L$21,$G$77:$K$127,5,FALSE)),"",VLOOKUP($L$21,$G$77:$K$127,5,FALSE)))</f>
        <v/>
      </c>
      <c r="N28" s="944"/>
      <c r="O28" s="944"/>
      <c r="P28" s="944"/>
      <c r="Q28" s="944"/>
      <c r="R28" s="392"/>
      <c r="S28" s="14">
        <f>1+S26</f>
        <v>11</v>
      </c>
      <c r="T28" s="165" t="str">
        <f>IF(ISERROR(VLOOKUP($S28,$AE$176:$AL$224,2,FALSE)),"",VLOOKUP($S28,$AE$176:$AL$224,2,FALSE))</f>
        <v/>
      </c>
      <c r="U28" s="290" t="str">
        <f>IF(W28="La celdilla está en blanco","",IF(ISERROR(VLOOKUP($S28,$AE$176:$AL$224,3,FALSE)),"",TEXT(VLOOKUP($S28,$AE$176:$AL$224,3,FALSE),IF(ABS(VLOOKUP($S28,$AE$176:$AL$224,3,FALSE))&lt;1,"0,0000","#.##0"))))</f>
        <v/>
      </c>
      <c r="V28" s="291" t="str">
        <f>IF(ISERROR(VLOOKUP($S28,$AE$176:$AL$224,6,FALSE)),"",TEXT(VLOOKUP($S28,$AE$176:$AL$224,6,FALSE),IF(ABS(VLOOKUP($S28,$AE$176:$AL$224,6,FALSE))&lt;1,"0,0000","#.##0")))</f>
        <v>0,0000</v>
      </c>
      <c r="W28" s="943" t="str">
        <f>IF(ISERROR(VLOOKUP($S28,$AE$176:$AL$224,8,FALSE)),"",IF(VLOOKUP($S28,$AE$176:$AM$224,9,FALSE)="b","La celdilla está en blanco",VLOOKUP($S28,$AE$176:$AL$224,8,FALSE)))</f>
        <v>La celdilla está en blanco</v>
      </c>
      <c r="X28" s="943"/>
      <c r="Y28" s="943"/>
      <c r="Z28" s="943"/>
      <c r="AA28" s="943"/>
      <c r="AB28" s="943"/>
      <c r="AC28" s="943"/>
      <c r="AD28" s="943"/>
      <c r="AE28" s="943"/>
      <c r="AF28" s="943"/>
    </row>
    <row r="29" spans="1:32">
      <c r="A29" s="65" t="e">
        <f t="shared" si="1"/>
        <v>#VALUE!</v>
      </c>
      <c r="C29" s="110" t="e">
        <f t="shared" si="7"/>
        <v>#VALUE!</v>
      </c>
      <c r="D29" s="263" t="e">
        <f t="shared" si="7"/>
        <v>#VALUE!</v>
      </c>
      <c r="G29" s="219"/>
      <c r="H29" s="218"/>
      <c r="I29" s="218"/>
      <c r="J29" s="218"/>
      <c r="K29" s="218"/>
      <c r="L29" s="218"/>
      <c r="M29" s="944"/>
      <c r="N29" s="944"/>
      <c r="O29" s="944"/>
      <c r="P29" s="944"/>
      <c r="Q29" s="944"/>
      <c r="R29" s="392"/>
      <c r="S29" s="14"/>
      <c r="T29" s="165"/>
      <c r="U29" s="290"/>
      <c r="V29" s="291"/>
      <c r="W29" s="943"/>
      <c r="X29" s="943"/>
      <c r="Y29" s="943"/>
      <c r="Z29" s="943"/>
      <c r="AA29" s="943"/>
      <c r="AB29" s="943"/>
      <c r="AC29" s="943"/>
      <c r="AD29" s="943"/>
      <c r="AE29" s="943"/>
      <c r="AF29" s="943"/>
    </row>
    <row r="30" spans="1:32">
      <c r="A30" s="65" t="e">
        <f t="shared" si="1"/>
        <v>#VALUE!</v>
      </c>
      <c r="C30" s="1"/>
      <c r="D30" s="1"/>
      <c r="G30" s="219"/>
      <c r="H30" s="218"/>
      <c r="I30" s="218"/>
      <c r="J30" s="218"/>
      <c r="K30" s="218"/>
      <c r="L30" s="218"/>
      <c r="M30" s="220"/>
      <c r="N30" s="220"/>
      <c r="O30" s="215"/>
      <c r="P30" s="216"/>
      <c r="Q30" s="218"/>
      <c r="R30" s="218"/>
      <c r="S30" s="14">
        <f>1+S28</f>
        <v>12</v>
      </c>
      <c r="T30" s="165" t="str">
        <f>IF(ISERROR(VLOOKUP($S30,$AE$176:$AL$224,2,FALSE)),"",VLOOKUP($S30,$AE$176:$AL$224,2,FALSE))</f>
        <v/>
      </c>
      <c r="U30" s="290" t="str">
        <f>IF(W30="La celdilla está en blanco","",IF(ISERROR(VLOOKUP($S30,$AE$176:$AL$224,3,FALSE)),"",TEXT(VLOOKUP($S30,$AE$176:$AL$224,3,FALSE),IF(ABS(VLOOKUP($S30,$AE$176:$AL$224,3,FALSE))&lt;1,"0,0000","#.##0"))))</f>
        <v/>
      </c>
      <c r="V30" s="291" t="str">
        <f>IF(ISERROR(VLOOKUP($S30,$AE$176:$AL$224,6,FALSE)),"",TEXT(VLOOKUP($S30,$AE$176:$AL$224,6,FALSE),IF(ABS(VLOOKUP($S30,$AE$176:$AL$224,6,FALSE))&lt;1,"0,0000","#.##0")))</f>
        <v>0,0000</v>
      </c>
      <c r="W30" s="943" t="str">
        <f>IF(ISERROR(VLOOKUP($S30,$AE$176:$AL$224,8,FALSE)),"",IF(VLOOKUP($S30,$AE$176:$AM$224,9,FALSE)="b","La celdilla está en blanco",VLOOKUP($S30,$AE$176:$AL$224,8,FALSE)))</f>
        <v>La celdilla está en blanco</v>
      </c>
      <c r="X30" s="943"/>
      <c r="Y30" s="943"/>
      <c r="Z30" s="943"/>
      <c r="AA30" s="943"/>
      <c r="AB30" s="943"/>
      <c r="AC30" s="943"/>
      <c r="AD30" s="943"/>
      <c r="AE30" s="943"/>
      <c r="AF30" s="943"/>
    </row>
    <row r="31" spans="1:32" ht="15" thickBot="1">
      <c r="A31" s="65" t="e">
        <f t="shared" si="1"/>
        <v>#VALUE!</v>
      </c>
      <c r="C31" s="110" t="e">
        <f t="shared" ref="C31:D31" si="8">VLOOKUP($A31,$A$231:$AP$1595,C$54,FALSE)</f>
        <v>#VALUE!</v>
      </c>
      <c r="D31" s="190" t="e">
        <f t="shared" si="8"/>
        <v>#VALUE!</v>
      </c>
      <c r="G31" s="219"/>
      <c r="H31" s="218"/>
      <c r="I31" s="218"/>
      <c r="J31" s="218"/>
      <c r="K31" s="218"/>
      <c r="L31" s="218"/>
      <c r="M31" s="220"/>
      <c r="N31" s="220"/>
      <c r="O31" s="218"/>
      <c r="P31" s="218"/>
      <c r="Q31" s="218"/>
      <c r="R31" s="218"/>
      <c r="S31" s="14"/>
      <c r="T31" s="165"/>
      <c r="U31" s="290"/>
      <c r="V31" s="291"/>
      <c r="W31" s="943"/>
      <c r="X31" s="943"/>
      <c r="Y31" s="943"/>
      <c r="Z31" s="943"/>
      <c r="AA31" s="943"/>
      <c r="AB31" s="943"/>
      <c r="AC31" s="943"/>
      <c r="AD31" s="943"/>
      <c r="AE31" s="943"/>
      <c r="AF31" s="943"/>
    </row>
    <row r="32" spans="1:32" ht="15" thickBot="1">
      <c r="A32" s="65" t="e">
        <f t="shared" si="1"/>
        <v>#VALUE!</v>
      </c>
      <c r="G32" s="237" t="s">
        <v>128</v>
      </c>
      <c r="H32" s="238"/>
      <c r="I32" s="238"/>
      <c r="J32" s="238"/>
      <c r="K32" s="239"/>
      <c r="L32" s="218"/>
      <c r="M32" s="945" t="e">
        <f>IF(VLOOKUP($L$21,$G$77:$J$127,3,FALSE)=VLOOKUP($L$21,$G$77:$J$127,4,FALSE),"RESPUESTA CORRECTA.",IF(VLOOKUP($L$21,$G$77:$J$127,4,FALSE)="","La celdilla está en blanco.",CONCATENATE("RESPUESTA EQUIVOCADA. ",IF(ISERROR(HLOOKUP(VLOOKUP($L$21,$G$77:$J$127,4,FALSE),$G$51:$P$52,2,FALSE)),"Error desconocido",CONCATENATE("UNA POSIBLE EXPLICACIÓN ES LA SIGUIENTE. ",HLOOKUP(VLOOKUP($L$21,$G$77:$J$127,4,FALSE),$G$51:$P$52,2,FALSE))),".")))</f>
        <v>#N/A</v>
      </c>
      <c r="N32" s="946"/>
      <c r="O32" s="946"/>
      <c r="P32" s="946"/>
      <c r="Q32" s="947"/>
      <c r="R32" s="393"/>
      <c r="S32" s="14">
        <f>1+S30</f>
        <v>13</v>
      </c>
      <c r="T32" s="165" t="str">
        <f>IF(ISERROR(VLOOKUP($S32,$AE$176:$AL$224,2,FALSE)),"",VLOOKUP($S32,$AE$176:$AL$224,2,FALSE))</f>
        <v/>
      </c>
      <c r="U32" s="290" t="str">
        <f>IF(W32="La celdilla está en blanco","",IF(ISERROR(VLOOKUP($S32,$AE$176:$AL$224,3,FALSE)),"",TEXT(VLOOKUP($S32,$AE$176:$AL$224,3,FALSE),IF(ABS(VLOOKUP($S32,$AE$176:$AL$224,3,FALSE))&lt;1,"0,0000","#.##0"))))</f>
        <v/>
      </c>
      <c r="V32" s="291" t="str">
        <f>IF(ISERROR(VLOOKUP($S32,$AE$176:$AL$224,6,FALSE)),"",TEXT(VLOOKUP($S32,$AE$176:$AL$224,6,FALSE),IF(ABS(VLOOKUP($S32,$AE$176:$AL$224,6,FALSE))&lt;1,"0,0000","#.##0")))</f>
        <v>0,0000</v>
      </c>
      <c r="W32" s="943" t="str">
        <f>IF(ISERROR(VLOOKUP($S32,$AE$176:$AL$224,8,FALSE)),"",IF(VLOOKUP($S32,$AE$176:$AM$224,9,FALSE)="b","La celdilla está en blanco",VLOOKUP($S32,$AE$176:$AL$224,8,FALSE)))</f>
        <v>La celdilla está en blanco</v>
      </c>
      <c r="X32" s="943"/>
      <c r="Y32" s="943"/>
      <c r="Z32" s="943"/>
      <c r="AA32" s="943"/>
      <c r="AB32" s="943"/>
      <c r="AC32" s="943"/>
      <c r="AD32" s="943"/>
      <c r="AE32" s="943"/>
      <c r="AF32" s="943"/>
    </row>
    <row r="33" spans="1:42">
      <c r="A33" s="65" t="e">
        <f t="shared" si="1"/>
        <v>#VALUE!</v>
      </c>
      <c r="B33" s="277"/>
      <c r="F33" s="65">
        <v>1</v>
      </c>
      <c r="G33" s="230"/>
      <c r="H33" s="225"/>
      <c r="I33" s="226" t="s">
        <v>129</v>
      </c>
      <c r="J33" s="251" t="e">
        <f>N170/1*F33</f>
        <v>#VALUE!</v>
      </c>
      <c r="K33" s="231" t="str">
        <f t="shared" ref="K33:K44" si="9">CONCATENATE("(sobre ",F33,")")</f>
        <v>(sobre 1)</v>
      </c>
      <c r="L33" s="218"/>
      <c r="M33" s="948"/>
      <c r="N33" s="949"/>
      <c r="O33" s="949"/>
      <c r="P33" s="949"/>
      <c r="Q33" s="950"/>
      <c r="R33" s="393"/>
      <c r="S33" s="14"/>
      <c r="T33" s="165"/>
      <c r="U33" s="290"/>
      <c r="V33" s="291"/>
      <c r="W33" s="943"/>
      <c r="X33" s="943"/>
      <c r="Y33" s="943"/>
      <c r="Z33" s="943"/>
      <c r="AA33" s="943"/>
      <c r="AB33" s="943"/>
      <c r="AC33" s="943"/>
      <c r="AD33" s="943"/>
      <c r="AE33" s="943"/>
      <c r="AF33" s="943"/>
    </row>
    <row r="34" spans="1:42">
      <c r="A34" s="65" t="e">
        <f t="shared" si="1"/>
        <v>#VALUE!</v>
      </c>
      <c r="F34" s="65">
        <v>1.5</v>
      </c>
      <c r="G34" s="232"/>
      <c r="H34" s="228"/>
      <c r="I34" s="229" t="s">
        <v>138</v>
      </c>
      <c r="J34" s="99" t="e">
        <f>SUM(H165:N167)/21*F34</f>
        <v>#VALUE!</v>
      </c>
      <c r="K34" s="233" t="str">
        <f t="shared" si="9"/>
        <v>(sobre 1,5)</v>
      </c>
      <c r="L34" s="222"/>
      <c r="M34" s="948"/>
      <c r="N34" s="949"/>
      <c r="O34" s="949"/>
      <c r="P34" s="949"/>
      <c r="Q34" s="950"/>
      <c r="R34" s="393"/>
      <c r="S34" s="14">
        <f>1+S32</f>
        <v>14</v>
      </c>
      <c r="T34" s="165" t="str">
        <f>IF(ISERROR(VLOOKUP($S34,$AE$176:$AL$224,2,FALSE)),"",VLOOKUP($S34,$AE$176:$AL$224,2,FALSE))</f>
        <v/>
      </c>
      <c r="U34" s="290" t="str">
        <f>IF(W34="La celdilla está en blanco","",IF(ISERROR(VLOOKUP($S34,$AE$176:$AL$224,3,FALSE)),"",TEXT(VLOOKUP($S34,$AE$176:$AL$224,3,FALSE),IF(ABS(VLOOKUP($S34,$AE$176:$AL$224,3,FALSE))&lt;1,"0,0000","#.##0"))))</f>
        <v/>
      </c>
      <c r="V34" s="291" t="str">
        <f>IF(ISERROR(VLOOKUP($S34,$AE$176:$AL$224,6,FALSE)),"",TEXT(VLOOKUP($S34,$AE$176:$AL$224,6,FALSE),IF(ABS(VLOOKUP($S34,$AE$176:$AL$224,6,FALSE))&lt;1,"0,0000","#.##0")))</f>
        <v/>
      </c>
      <c r="W34" s="943" t="str">
        <f>IF(ISERROR(VLOOKUP($S34,$AE$176:$AL$224,8,FALSE)),"",IF(VLOOKUP($S34,$AE$176:$AM$224,9,FALSE)="b","La celdilla está en blanco",VLOOKUP($S34,$AE$176:$AL$224,8,FALSE)))</f>
        <v>La celdilla está en blanco</v>
      </c>
      <c r="X34" s="943"/>
      <c r="Y34" s="943"/>
      <c r="Z34" s="943"/>
      <c r="AA34" s="943"/>
      <c r="AB34" s="943"/>
      <c r="AC34" s="943"/>
      <c r="AD34" s="943"/>
      <c r="AE34" s="943"/>
      <c r="AF34" s="943"/>
    </row>
    <row r="35" spans="1:42">
      <c r="A35" s="65" t="e">
        <f t="shared" si="1"/>
        <v>#VALUE!</v>
      </c>
      <c r="D35" s="157"/>
      <c r="F35" s="65">
        <v>1.5</v>
      </c>
      <c r="G35" s="234"/>
      <c r="H35" s="221"/>
      <c r="I35" s="235" t="s">
        <v>130</v>
      </c>
      <c r="J35" s="252" t="e">
        <f>SUM(K171:K173)/3*F35</f>
        <v>#VALUE!</v>
      </c>
      <c r="K35" s="236" t="str">
        <f t="shared" si="9"/>
        <v>(sobre 1,5)</v>
      </c>
      <c r="M35" s="948"/>
      <c r="N35" s="949"/>
      <c r="O35" s="949"/>
      <c r="P35" s="949"/>
      <c r="Q35" s="950"/>
      <c r="R35" s="393"/>
      <c r="S35" s="14"/>
      <c r="T35" s="165"/>
      <c r="U35" s="290"/>
      <c r="V35" s="291"/>
      <c r="W35" s="943"/>
      <c r="X35" s="943"/>
      <c r="Y35" s="943"/>
      <c r="Z35" s="943"/>
      <c r="AA35" s="943"/>
      <c r="AB35" s="943"/>
      <c r="AC35" s="943"/>
      <c r="AD35" s="943"/>
      <c r="AE35" s="943"/>
      <c r="AF35" s="943"/>
    </row>
    <row r="36" spans="1:42">
      <c r="A36" s="65" t="e">
        <f t="shared" si="1"/>
        <v>#VALUE!</v>
      </c>
      <c r="E36" s="158"/>
      <c r="F36" s="65">
        <v>1</v>
      </c>
      <c r="G36" s="234"/>
      <c r="H36" s="221"/>
      <c r="I36" s="235" t="s">
        <v>131</v>
      </c>
      <c r="J36" s="252" t="e">
        <f>SUM(N171:N173)/3*F36</f>
        <v>#VALUE!</v>
      </c>
      <c r="K36" s="236" t="str">
        <f t="shared" si="9"/>
        <v>(sobre 1)</v>
      </c>
      <c r="M36" s="948"/>
      <c r="N36" s="949"/>
      <c r="O36" s="949"/>
      <c r="P36" s="949"/>
      <c r="Q36" s="950"/>
      <c r="R36" s="393"/>
      <c r="S36" s="14">
        <f>1+S34</f>
        <v>15</v>
      </c>
      <c r="T36" s="165" t="str">
        <f>IF(ISERROR(VLOOKUP($S36,$AE$176:$AL$224,2,FALSE)),"",VLOOKUP($S36,$AE$176:$AL$224,2,FALSE))</f>
        <v/>
      </c>
      <c r="U36" s="290" t="str">
        <f>IF(W36="La celdilla está en blanco","",IF(ISERROR(VLOOKUP($S36,$AE$176:$AL$224,3,FALSE)),"",TEXT(VLOOKUP($S36,$AE$176:$AL$224,3,FALSE),IF(ABS(VLOOKUP($S36,$AE$176:$AL$224,3,FALSE))&lt;1,"0,0000","#.##0"))))</f>
        <v/>
      </c>
      <c r="V36" s="291" t="str">
        <f>IF(ISERROR(VLOOKUP($S36,$AE$176:$AL$224,6,FALSE)),"",TEXT(VLOOKUP($S36,$AE$176:$AL$224,6,FALSE),IF(ABS(VLOOKUP($S36,$AE$176:$AL$224,6,FALSE))&lt;1,"0,0000","#.##0")))</f>
        <v/>
      </c>
      <c r="W36" s="943" t="str">
        <f>IF(ISERROR(VLOOKUP($S36,$AE$176:$AL$224,8,FALSE)),"",IF(VLOOKUP($S36,$AE$176:$AM$224,9,FALSE)="b","La celdilla está en blanco",VLOOKUP($S36,$AE$176:$AL$224,8,FALSE)))</f>
        <v>La celdilla está en blanco</v>
      </c>
      <c r="X36" s="943"/>
      <c r="Y36" s="943"/>
      <c r="Z36" s="943"/>
      <c r="AA36" s="943"/>
      <c r="AB36" s="943"/>
      <c r="AC36" s="943"/>
      <c r="AD36" s="943"/>
      <c r="AE36" s="943"/>
      <c r="AF36" s="943"/>
    </row>
    <row r="37" spans="1:42" ht="15" thickBot="1">
      <c r="A37" s="65" t="e">
        <f t="shared" si="1"/>
        <v>#VALUE!</v>
      </c>
      <c r="E37" s="158"/>
      <c r="F37" s="65">
        <v>1</v>
      </c>
      <c r="G37" s="234"/>
      <c r="H37" s="221"/>
      <c r="I37" s="235" t="s">
        <v>132</v>
      </c>
      <c r="J37" s="252" t="e">
        <f>SUM(P164:P167)/4*F37</f>
        <v>#VALUE!</v>
      </c>
      <c r="K37" s="236" t="str">
        <f t="shared" si="9"/>
        <v>(sobre 1)</v>
      </c>
      <c r="M37" s="951"/>
      <c r="N37" s="952"/>
      <c r="O37" s="952"/>
      <c r="P37" s="952"/>
      <c r="Q37" s="953"/>
      <c r="R37" s="393"/>
      <c r="S37" s="14"/>
      <c r="T37" s="165"/>
      <c r="U37" s="290"/>
      <c r="V37" s="291"/>
      <c r="W37" s="943"/>
      <c r="X37" s="943"/>
      <c r="Y37" s="943"/>
      <c r="Z37" s="943"/>
      <c r="AA37" s="943"/>
      <c r="AB37" s="943"/>
      <c r="AC37" s="943"/>
      <c r="AD37" s="943"/>
      <c r="AE37" s="943"/>
      <c r="AF37" s="943"/>
    </row>
    <row r="38" spans="1:42">
      <c r="A38" s="65" t="e">
        <f t="shared" si="1"/>
        <v>#VALUE!</v>
      </c>
      <c r="E38" s="158"/>
      <c r="F38" s="65">
        <v>0.5</v>
      </c>
      <c r="G38" s="234"/>
      <c r="H38" s="221"/>
      <c r="I38" s="235" t="s">
        <v>133</v>
      </c>
      <c r="J38" s="252" t="e">
        <f>P170*F38</f>
        <v>#VALUE!</v>
      </c>
      <c r="K38" s="236" t="str">
        <f t="shared" si="9"/>
        <v>(sobre 0,5)</v>
      </c>
      <c r="R38" s="163"/>
      <c r="S38" s="14">
        <f>1+S36</f>
        <v>16</v>
      </c>
      <c r="T38" s="165" t="str">
        <f>IF(ISERROR(VLOOKUP($S38,$AE$176:$AL$224,2,FALSE)),"",VLOOKUP($S38,$AE$176:$AL$224,2,FALSE))</f>
        <v/>
      </c>
      <c r="U38" s="290" t="str">
        <f>IF(W38="La celdilla está en blanco","",IF(ISERROR(VLOOKUP($S38,$AE$176:$AL$224,3,FALSE)),"",TEXT(VLOOKUP($S38,$AE$176:$AL$224,3,FALSE),IF(ABS(VLOOKUP($S38,$AE$176:$AL$224,3,FALSE))&lt;1,"0,0000","#.##0"))))</f>
        <v/>
      </c>
      <c r="V38" s="291" t="str">
        <f>IF(ISERROR(VLOOKUP($S38,$AE$176:$AL$224,6,FALSE)),"",TEXT(VLOOKUP($S38,$AE$176:$AL$224,6,FALSE),IF(ABS(VLOOKUP($S38,$AE$176:$AL$224,6,FALSE))&lt;1,"0,0000","#.##0")))</f>
        <v/>
      </c>
      <c r="W38" s="943" t="str">
        <f>IF(ISERROR(VLOOKUP($S38,$AE$176:$AL$224,8,FALSE)),"",IF(VLOOKUP($S38,$AE$176:$AM$224,9,FALSE)="b","La celdilla está en blanco",VLOOKUP($S38,$AE$176:$AL$224,8,FALSE)))</f>
        <v>La celdilla está en blanco</v>
      </c>
      <c r="X38" s="943"/>
      <c r="Y38" s="943"/>
      <c r="Z38" s="943"/>
      <c r="AA38" s="943"/>
      <c r="AB38" s="943"/>
      <c r="AC38" s="943"/>
      <c r="AD38" s="943"/>
      <c r="AE38" s="943"/>
      <c r="AF38" s="943"/>
    </row>
    <row r="39" spans="1:42">
      <c r="A39" s="65" t="e">
        <f t="shared" si="1"/>
        <v>#VALUE!</v>
      </c>
      <c r="E39" s="158"/>
      <c r="F39" s="65">
        <v>0.5</v>
      </c>
      <c r="G39" s="234"/>
      <c r="H39" s="221"/>
      <c r="I39" s="235" t="s">
        <v>134</v>
      </c>
      <c r="J39" s="252" t="e">
        <f>P171*F39</f>
        <v>#VALUE!</v>
      </c>
      <c r="K39" s="236" t="str">
        <f t="shared" si="9"/>
        <v>(sobre 0,5)</v>
      </c>
      <c r="R39" s="163"/>
      <c r="S39" s="14"/>
      <c r="T39" s="165"/>
      <c r="U39" s="290"/>
      <c r="V39" s="291"/>
      <c r="W39" s="943"/>
      <c r="X39" s="943"/>
      <c r="Y39" s="943"/>
      <c r="Z39" s="943"/>
      <c r="AA39" s="943"/>
      <c r="AB39" s="943"/>
      <c r="AC39" s="943"/>
      <c r="AD39" s="943"/>
      <c r="AE39" s="943"/>
      <c r="AF39" s="943"/>
    </row>
    <row r="40" spans="1:42">
      <c r="A40" s="65" t="e">
        <f t="shared" si="1"/>
        <v>#VALUE!</v>
      </c>
      <c r="E40" s="158"/>
      <c r="F40" s="65">
        <v>1</v>
      </c>
      <c r="G40" s="234"/>
      <c r="H40" s="221"/>
      <c r="I40" s="235" t="s">
        <v>135</v>
      </c>
      <c r="J40" s="252" t="e">
        <f>P172*F40</f>
        <v>#VALUE!</v>
      </c>
      <c r="K40" s="236" t="str">
        <f t="shared" si="9"/>
        <v>(sobre 1)</v>
      </c>
      <c r="R40" s="163"/>
      <c r="S40" s="14">
        <f>1+S38</f>
        <v>17</v>
      </c>
      <c r="T40" s="165" t="str">
        <f>IF(ISERROR(VLOOKUP($S40,$AE$176:$AL$224,2,FALSE)),"",VLOOKUP($S40,$AE$176:$AL$224,2,FALSE))</f>
        <v/>
      </c>
      <c r="U40" s="290" t="str">
        <f>IF(W40="La celdilla está en blanco","",IF(ISERROR(VLOOKUP($S40,$AE$176:$AL$224,3,FALSE)),"",TEXT(VLOOKUP($S40,$AE$176:$AL$224,3,FALSE),IF(ABS(VLOOKUP($S40,$AE$176:$AL$224,3,FALSE))&lt;1,"0,0000","#.##0"))))</f>
        <v/>
      </c>
      <c r="V40" s="291" t="str">
        <f>IF(ISERROR(VLOOKUP($S40,$AE$176:$AL$224,6,FALSE)),"",TEXT(VLOOKUP($S40,$AE$176:$AL$224,6,FALSE),IF(ABS(VLOOKUP($S40,$AE$176:$AL$224,6,FALSE))&lt;1,"0,0000","#.##0")))</f>
        <v>0,0000</v>
      </c>
      <c r="W40" s="943" t="str">
        <f>IF(ISERROR(VLOOKUP($S40,$AE$176:$AL$224,8,FALSE)),"",IF(VLOOKUP($S40,$AE$176:$AM$224,9,FALSE)="b","La celdilla está en blanco",VLOOKUP($S40,$AE$176:$AL$224,8,FALSE)))</f>
        <v>La celdilla está en blanco</v>
      </c>
      <c r="X40" s="943"/>
      <c r="Y40" s="943"/>
      <c r="Z40" s="943"/>
      <c r="AA40" s="943"/>
      <c r="AB40" s="943"/>
      <c r="AC40" s="943"/>
      <c r="AD40" s="943"/>
      <c r="AE40" s="943"/>
      <c r="AF40" s="943"/>
    </row>
    <row r="41" spans="1:42">
      <c r="A41" s="65" t="e">
        <f t="shared" si="1"/>
        <v>#VALUE!</v>
      </c>
      <c r="E41" s="158"/>
      <c r="F41" s="65">
        <v>0.5</v>
      </c>
      <c r="G41" s="234"/>
      <c r="H41" s="221"/>
      <c r="I41" s="235" t="s">
        <v>13</v>
      </c>
      <c r="J41" s="252" t="e">
        <f>P175*F41</f>
        <v>#VALUE!</v>
      </c>
      <c r="K41" s="236" t="str">
        <f t="shared" si="9"/>
        <v>(sobre 0,5)</v>
      </c>
      <c r="R41" s="163"/>
      <c r="S41" s="14"/>
      <c r="T41" s="165"/>
      <c r="U41" s="290"/>
      <c r="V41" s="291"/>
      <c r="W41" s="943"/>
      <c r="X41" s="943"/>
      <c r="Y41" s="943"/>
      <c r="Z41" s="943"/>
      <c r="AA41" s="943"/>
      <c r="AB41" s="943"/>
      <c r="AC41" s="943"/>
      <c r="AD41" s="943"/>
      <c r="AE41" s="943"/>
      <c r="AF41" s="943"/>
    </row>
    <row r="42" spans="1:42" ht="15" customHeight="1">
      <c r="A42" s="65" t="e">
        <f t="shared" si="1"/>
        <v>#VALUE!</v>
      </c>
      <c r="E42" s="158"/>
      <c r="F42" s="65">
        <v>0.5</v>
      </c>
      <c r="G42" s="234"/>
      <c r="H42" s="221"/>
      <c r="I42" s="235" t="s">
        <v>28</v>
      </c>
      <c r="J42" s="252" t="e">
        <f>P176*F42</f>
        <v>#VALUE!</v>
      </c>
      <c r="K42" s="236" t="str">
        <f t="shared" si="9"/>
        <v>(sobre 0,5)</v>
      </c>
      <c r="R42" s="163"/>
      <c r="S42" s="14">
        <f>1+S40</f>
        <v>18</v>
      </c>
      <c r="T42" s="165" t="str">
        <f>IF(ISERROR(VLOOKUP($S42,$AE$176:$AL$224,2,FALSE)),"",VLOOKUP($S42,$AE$176:$AL$224,2,FALSE))</f>
        <v/>
      </c>
      <c r="U42" s="290" t="str">
        <f>IF(W42="La celdilla está en blanco","",IF(ISERROR(VLOOKUP($S42,$AE$176:$AL$224,3,FALSE)),"",TEXT(VLOOKUP($S42,$AE$176:$AL$224,3,FALSE),IF(ABS(VLOOKUP($S42,$AE$176:$AL$224,3,FALSE))&lt;1,"0,0000","#.##0"))))</f>
        <v/>
      </c>
      <c r="V42" s="291" t="str">
        <f>IF(ISERROR(VLOOKUP($S42,$AE$176:$AL$224,6,FALSE)),"",TEXT(VLOOKUP($S42,$AE$176:$AL$224,6,FALSE),IF(ABS(VLOOKUP($S42,$AE$176:$AL$224,6,FALSE))&lt;1,"0,0000","#.##0")))</f>
        <v>0,0000</v>
      </c>
      <c r="W42" s="943" t="str">
        <f>IF(ISERROR(VLOOKUP($S42,$AE$176:$AL$224,8,FALSE)),"",IF(VLOOKUP($S42,$AE$176:$AM$224,9,FALSE)="b","La celdilla está en blanco",VLOOKUP($S42,$AE$176:$AL$224,8,FALSE)))</f>
        <v>La celdilla está en blanco</v>
      </c>
      <c r="X42" s="943"/>
      <c r="Y42" s="943"/>
      <c r="Z42" s="943"/>
      <c r="AA42" s="943"/>
      <c r="AB42" s="943"/>
      <c r="AC42" s="943"/>
      <c r="AD42" s="943"/>
      <c r="AE42" s="943"/>
      <c r="AF42" s="943"/>
    </row>
    <row r="43" spans="1:42" ht="15" thickBot="1">
      <c r="A43" s="65" t="e">
        <f t="shared" si="1"/>
        <v>#VALUE!</v>
      </c>
      <c r="E43" s="158"/>
      <c r="F43" s="65">
        <v>1</v>
      </c>
      <c r="G43" s="234"/>
      <c r="H43" s="221"/>
      <c r="I43" s="235" t="s">
        <v>136</v>
      </c>
      <c r="J43" s="252" t="e">
        <f>IF(OR(AND(P15&gt;0,P159&gt;0),AND(P15&lt;0,P159&lt;0),AND(P15=0,P159=0)),1*F43,0)</f>
        <v>#VALUE!</v>
      </c>
      <c r="K43" s="236" t="str">
        <f t="shared" si="9"/>
        <v>(sobre 1)</v>
      </c>
      <c r="R43" s="163"/>
      <c r="S43" s="14"/>
      <c r="T43" s="165"/>
      <c r="U43" s="290"/>
      <c r="V43" s="291"/>
      <c r="W43" s="943"/>
      <c r="X43" s="943"/>
      <c r="Y43" s="943"/>
      <c r="Z43" s="943"/>
      <c r="AA43" s="943"/>
      <c r="AB43" s="943"/>
      <c r="AC43" s="943"/>
      <c r="AD43" s="943"/>
      <c r="AE43" s="943"/>
      <c r="AF43" s="943"/>
    </row>
    <row r="44" spans="1:42" ht="15" thickBot="1">
      <c r="A44" s="65" t="e">
        <f t="shared" si="1"/>
        <v>#VALUE!</v>
      </c>
      <c r="E44" s="158"/>
      <c r="F44" s="65">
        <f>SUM(F33:F43)</f>
        <v>10</v>
      </c>
      <c r="G44" s="240"/>
      <c r="H44" s="241"/>
      <c r="I44" s="242" t="s">
        <v>137</v>
      </c>
      <c r="J44" s="253" t="e">
        <f>SUM(J33:J43)</f>
        <v>#VALUE!</v>
      </c>
      <c r="K44" s="243" t="str">
        <f t="shared" si="9"/>
        <v>(sobre 10)</v>
      </c>
      <c r="R44" s="163"/>
      <c r="S44" s="14">
        <f>1+S42</f>
        <v>19</v>
      </c>
      <c r="T44" s="165" t="str">
        <f>IF(ISERROR(VLOOKUP($S44,$AE$176:$AL$224,2,FALSE)),"",VLOOKUP($S44,$AE$176:$AL$224,2,FALSE))</f>
        <v/>
      </c>
      <c r="U44" s="290" t="str">
        <f>IF(W44="La celdilla está en blanco","",IF(ISERROR(VLOOKUP($S44,$AE$176:$AL$224,3,FALSE)),"",TEXT(VLOOKUP($S44,$AE$176:$AL$224,3,FALSE),IF(ABS(VLOOKUP($S44,$AE$176:$AL$224,3,FALSE))&lt;1,"0,0000","#.##0"))))</f>
        <v/>
      </c>
      <c r="V44" s="291" t="str">
        <f>IF(ISERROR(VLOOKUP($S44,$AE$176:$AL$224,6,FALSE)),"",TEXT(VLOOKUP($S44,$AE$176:$AL$224,6,FALSE),IF(ABS(VLOOKUP($S44,$AE$176:$AL$224,6,FALSE))&lt;1,"0,0000","#.##0")))</f>
        <v>0,0000</v>
      </c>
      <c r="W44" s="943" t="str">
        <f>IF(ISERROR(VLOOKUP($S44,$AE$176:$AL$224,8,FALSE)),"",IF(VLOOKUP($S44,$AE$176:$AM$224,9,FALSE)="b","La celdilla está en blanco",VLOOKUP($S44,$AE$176:$AL$224,8,FALSE)))</f>
        <v>La celdilla está en blanco</v>
      </c>
      <c r="X44" s="943"/>
      <c r="Y44" s="943"/>
      <c r="Z44" s="943"/>
      <c r="AA44" s="943"/>
      <c r="AB44" s="943"/>
      <c r="AC44" s="943"/>
      <c r="AD44" s="943"/>
      <c r="AE44" s="943"/>
      <c r="AF44" s="943"/>
    </row>
    <row r="45" spans="1:42">
      <c r="A45" s="65" t="e">
        <f t="shared" si="1"/>
        <v>#VALUE!</v>
      </c>
      <c r="E45" s="158"/>
      <c r="R45" s="163"/>
      <c r="S45" s="14"/>
      <c r="T45" s="165"/>
      <c r="U45" s="290"/>
      <c r="V45" s="291"/>
      <c r="W45" s="943"/>
      <c r="X45" s="943"/>
      <c r="Y45" s="943"/>
      <c r="Z45" s="943"/>
      <c r="AA45" s="943"/>
      <c r="AB45" s="943"/>
      <c r="AC45" s="943"/>
      <c r="AD45" s="943"/>
      <c r="AE45" s="943"/>
      <c r="AF45" s="943"/>
    </row>
    <row r="46" spans="1:42">
      <c r="A46" s="65" t="e">
        <f t="shared" si="1"/>
        <v>#VALUE!</v>
      </c>
      <c r="E46" s="158"/>
      <c r="R46" s="163"/>
      <c r="S46" s="14">
        <f>1+S44</f>
        <v>20</v>
      </c>
      <c r="T46" s="165" t="str">
        <f>IF(ISERROR(VLOOKUP($S46,$AE$176:$AL$224,2,FALSE)),"",VLOOKUP($S46,$AE$176:$AL$224,2,FALSE))</f>
        <v/>
      </c>
      <c r="U46" s="290" t="str">
        <f>IF(W46="La celdilla está en blanco","",IF(ISERROR(VLOOKUP($S46,$AE$176:$AL$224,3,FALSE)),"",TEXT(VLOOKUP($S46,$AE$176:$AL$224,3,FALSE),IF(ABS(VLOOKUP($S46,$AE$176:$AL$224,3,FALSE))&lt;1,"0,0000","#.##0"))))</f>
        <v/>
      </c>
      <c r="V46" s="291" t="str">
        <f>IF(ISERROR(VLOOKUP($S46,$AE$176:$AL$224,6,FALSE)),"",TEXT(VLOOKUP($S46,$AE$176:$AL$224,6,FALSE),IF(ABS(VLOOKUP($S46,$AE$176:$AL$224,6,FALSE))&lt;1,"0,0000","#.##0")))</f>
        <v>0,0000</v>
      </c>
      <c r="W46" s="943" t="str">
        <f>IF(ISERROR(VLOOKUP($S46,$AE$176:$AL$224,8,FALSE)),"",IF(VLOOKUP($S46,$AE$176:$AM$224,9,FALSE)="b","La celdilla está en blanco",VLOOKUP($S46,$AE$176:$AL$224,8,FALSE)))</f>
        <v>La celdilla está en blanco</v>
      </c>
      <c r="X46" s="943"/>
      <c r="Y46" s="943"/>
      <c r="Z46" s="943"/>
      <c r="AA46" s="943"/>
      <c r="AB46" s="943"/>
      <c r="AC46" s="943"/>
      <c r="AD46" s="943"/>
      <c r="AE46" s="943"/>
      <c r="AF46" s="943"/>
    </row>
    <row r="47" spans="1:42">
      <c r="A47" s="65" t="e">
        <f t="shared" si="1"/>
        <v>#VALUE!</v>
      </c>
      <c r="E47" s="158"/>
      <c r="R47" s="163"/>
      <c r="S47" s="14"/>
      <c r="T47" s="165"/>
      <c r="U47" s="166"/>
      <c r="V47" s="167"/>
      <c r="W47" s="943"/>
      <c r="X47" s="943"/>
      <c r="Y47" s="943"/>
      <c r="Z47" s="943"/>
      <c r="AA47" s="943"/>
      <c r="AB47" s="943"/>
      <c r="AC47" s="943"/>
      <c r="AD47" s="943"/>
      <c r="AE47" s="943"/>
      <c r="AF47" s="943"/>
    </row>
    <row r="48" spans="1:42" s="65" customFormat="1" hidden="1">
      <c r="A48" s="65" t="e">
        <f t="shared" si="1"/>
        <v>#VALUE!</v>
      </c>
      <c r="E48" s="343"/>
      <c r="U48" s="283"/>
      <c r="V48" s="283"/>
      <c r="W48" s="283"/>
      <c r="X48" s="283"/>
      <c r="Y48" s="283"/>
      <c r="Z48" s="283"/>
      <c r="AA48" s="283"/>
      <c r="AB48" s="283"/>
      <c r="AC48" s="14"/>
      <c r="AD48" s="165"/>
      <c r="AE48" s="166"/>
      <c r="AF48" s="344"/>
      <c r="AG48" s="316"/>
      <c r="AH48" s="316"/>
      <c r="AI48" s="316"/>
      <c r="AJ48" s="316"/>
      <c r="AK48" s="316"/>
      <c r="AL48" s="316"/>
      <c r="AM48" s="316"/>
      <c r="AN48" s="316"/>
      <c r="AO48" s="316"/>
      <c r="AP48" s="316"/>
    </row>
    <row r="49" spans="1:42" s="324" customFormat="1" ht="0.65" hidden="1" customHeight="1">
      <c r="A49" s="324" t="e">
        <f t="shared" si="1"/>
        <v>#VALUE!</v>
      </c>
      <c r="G49" s="326">
        <v>1</v>
      </c>
      <c r="H49" s="326">
        <v>2</v>
      </c>
      <c r="I49" s="326">
        <v>3</v>
      </c>
      <c r="J49" s="326">
        <v>4</v>
      </c>
      <c r="K49" s="326">
        <v>5</v>
      </c>
      <c r="L49" s="326">
        <v>6</v>
      </c>
      <c r="M49" s="326">
        <v>7</v>
      </c>
      <c r="N49" s="326">
        <v>8</v>
      </c>
      <c r="O49" s="326">
        <v>9</v>
      </c>
      <c r="P49" s="326">
        <v>10</v>
      </c>
      <c r="U49" s="323"/>
      <c r="V49" s="323"/>
      <c r="W49" s="323"/>
      <c r="X49" s="323"/>
      <c r="Y49" s="323"/>
      <c r="Z49" s="323"/>
      <c r="AA49" s="323"/>
      <c r="AB49" s="323"/>
      <c r="AC49" s="326"/>
      <c r="AE49" s="325"/>
      <c r="AF49" s="325"/>
      <c r="AG49" s="323"/>
      <c r="AH49" s="323"/>
      <c r="AI49" s="323"/>
      <c r="AJ49" s="323"/>
      <c r="AK49" s="323"/>
      <c r="AL49" s="323"/>
      <c r="AM49" s="323"/>
      <c r="AN49" s="323"/>
      <c r="AO49" s="323"/>
      <c r="AP49" s="323"/>
    </row>
    <row r="50" spans="1:42" s="324" customFormat="1" ht="0.65" hidden="1" customHeight="1">
      <c r="A50" s="324" t="e">
        <f t="shared" si="1"/>
        <v>#VALUE!</v>
      </c>
      <c r="G50" s="326" t="s">
        <v>212</v>
      </c>
      <c r="H50" s="326" t="s">
        <v>213</v>
      </c>
      <c r="I50" s="326" t="s">
        <v>214</v>
      </c>
      <c r="J50" s="326" t="s">
        <v>215</v>
      </c>
      <c r="K50" s="326" t="s">
        <v>216</v>
      </c>
      <c r="L50" s="326" t="s">
        <v>218</v>
      </c>
      <c r="M50" s="326" t="s">
        <v>219</v>
      </c>
      <c r="N50" s="326" t="s">
        <v>220</v>
      </c>
      <c r="O50" s="326" t="s">
        <v>221</v>
      </c>
      <c r="P50" s="326" t="s">
        <v>222</v>
      </c>
      <c r="U50" s="323"/>
      <c r="V50" s="323"/>
      <c r="W50" s="323"/>
      <c r="X50" s="323"/>
      <c r="Y50" s="323"/>
      <c r="Z50" s="323"/>
      <c r="AA50" s="323"/>
      <c r="AB50" s="323"/>
      <c r="AC50" s="326"/>
      <c r="AE50" s="325"/>
      <c r="AF50" s="325"/>
      <c r="AG50" s="323"/>
      <c r="AH50" s="323"/>
      <c r="AI50" s="323"/>
      <c r="AJ50" s="323"/>
      <c r="AK50" s="323"/>
      <c r="AL50" s="323"/>
      <c r="AM50" s="323"/>
      <c r="AN50" s="323"/>
      <c r="AO50" s="323"/>
      <c r="AP50" s="323"/>
    </row>
    <row r="51" spans="1:42" s="324" customFormat="1" ht="0.65" hidden="1" customHeight="1">
      <c r="A51" s="324" t="e">
        <f t="shared" si="1"/>
        <v>#VALUE!</v>
      </c>
      <c r="G51" s="331" t="str">
        <f>IF(ISERROR(VLOOKUP($L$21,$G$77:$AG$125,6+G$49,FALSE)),"",IF(VLOOKUP($L$21,$G$77:$AG$125,6+G$49,FALSE)="","",VLOOKUP($L$21,$G$77:$AG$125,6+G$49,FALSE)))</f>
        <v/>
      </c>
      <c r="H51" s="331" t="str">
        <f t="shared" ref="H51:P51" si="10">IF(ISERROR(VLOOKUP($L$21,$G$77:$AG$125,6+H$49,FALSE)),"",IF(VLOOKUP($L$21,$G$77:$AG$125,6+H$49,FALSE)="","",VLOOKUP($L$21,$G$77:$AG$125,6+H$49,FALSE)))</f>
        <v/>
      </c>
      <c r="I51" s="331" t="str">
        <f t="shared" si="10"/>
        <v/>
      </c>
      <c r="J51" s="331" t="str">
        <f t="shared" si="10"/>
        <v/>
      </c>
      <c r="K51" s="331" t="str">
        <f t="shared" si="10"/>
        <v/>
      </c>
      <c r="L51" s="331" t="str">
        <f t="shared" si="10"/>
        <v/>
      </c>
      <c r="M51" s="331" t="str">
        <f t="shared" si="10"/>
        <v/>
      </c>
      <c r="N51" s="331" t="str">
        <f t="shared" si="10"/>
        <v/>
      </c>
      <c r="O51" s="331" t="str">
        <f t="shared" si="10"/>
        <v/>
      </c>
      <c r="P51" s="331" t="str">
        <f t="shared" si="10"/>
        <v/>
      </c>
      <c r="U51" s="323"/>
      <c r="V51" s="323"/>
      <c r="W51" s="323"/>
      <c r="X51" s="323"/>
      <c r="Y51" s="323"/>
      <c r="Z51" s="323"/>
      <c r="AA51" s="323"/>
      <c r="AB51" s="323"/>
      <c r="AC51" s="326"/>
      <c r="AE51" s="325"/>
      <c r="AF51" s="325"/>
      <c r="AG51" s="323"/>
      <c r="AH51" s="323"/>
      <c r="AI51" s="323"/>
      <c r="AJ51" s="323"/>
      <c r="AK51" s="323"/>
      <c r="AL51" s="323"/>
      <c r="AM51" s="323"/>
      <c r="AN51" s="323"/>
      <c r="AO51" s="323"/>
      <c r="AP51" s="323"/>
    </row>
    <row r="52" spans="1:42" s="324" customFormat="1" ht="0.65" hidden="1" customHeight="1">
      <c r="A52" s="324" t="e">
        <f t="shared" si="1"/>
        <v>#VALUE!</v>
      </c>
      <c r="G52" s="332" t="str">
        <f>IF(ISERROR(VLOOKUP($L$21,$G$77:$AG$125,17+G$49,FALSE)),"",IF(VLOOKUP($L$21,$G$77:$AG$125,17+G$49,FALSE)="","",VLOOKUP($L$21,$G$77:$AG$125,17+G$49,FALSE)))</f>
        <v/>
      </c>
      <c r="H52" s="332" t="str">
        <f t="shared" ref="H52:P52" si="11">IF(ISERROR(VLOOKUP($L$21,$G$77:$AG$125,17+H$49,FALSE)),"",IF(VLOOKUP($L$21,$G$77:$AG$125,17+H$49,FALSE)="","",VLOOKUP($L$21,$G$77:$AG$125,17+H$49,FALSE)))</f>
        <v/>
      </c>
      <c r="I52" s="332" t="str">
        <f t="shared" si="11"/>
        <v/>
      </c>
      <c r="J52" s="332" t="str">
        <f t="shared" si="11"/>
        <v/>
      </c>
      <c r="K52" s="332" t="str">
        <f t="shared" si="11"/>
        <v/>
      </c>
      <c r="L52" s="332" t="str">
        <f t="shared" si="11"/>
        <v/>
      </c>
      <c r="M52" s="332" t="str">
        <f t="shared" si="11"/>
        <v/>
      </c>
      <c r="N52" s="332" t="str">
        <f t="shared" si="11"/>
        <v/>
      </c>
      <c r="O52" s="332" t="str">
        <f t="shared" si="11"/>
        <v/>
      </c>
      <c r="P52" s="332" t="str">
        <f t="shared" si="11"/>
        <v/>
      </c>
      <c r="U52" s="323"/>
      <c r="V52" s="323"/>
      <c r="W52" s="323"/>
      <c r="X52" s="323"/>
      <c r="Y52" s="323"/>
      <c r="Z52" s="323"/>
      <c r="AA52" s="323"/>
      <c r="AB52" s="323"/>
      <c r="AC52" s="326"/>
      <c r="AE52" s="325"/>
      <c r="AF52" s="325"/>
      <c r="AG52" s="323"/>
      <c r="AH52" s="323"/>
      <c r="AI52" s="323"/>
      <c r="AJ52" s="323"/>
      <c r="AK52" s="323"/>
      <c r="AL52" s="323"/>
      <c r="AM52" s="323"/>
      <c r="AN52" s="323"/>
      <c r="AO52" s="323"/>
      <c r="AP52" s="323"/>
    </row>
    <row r="53" spans="1:42" s="324" customFormat="1" ht="0.65" hidden="1" customHeight="1">
      <c r="A53" s="324" t="e">
        <f t="shared" si="1"/>
        <v>#VALUE!</v>
      </c>
      <c r="U53" s="323"/>
      <c r="V53" s="323"/>
      <c r="W53" s="323"/>
      <c r="X53" s="323"/>
      <c r="Y53" s="323"/>
      <c r="Z53" s="323"/>
      <c r="AA53" s="323"/>
      <c r="AB53" s="323"/>
      <c r="AC53" s="326"/>
      <c r="AE53" s="325"/>
      <c r="AF53" s="325"/>
      <c r="AG53" s="323"/>
      <c r="AH53" s="323"/>
      <c r="AI53" s="323"/>
      <c r="AJ53" s="323"/>
      <c r="AK53" s="323"/>
      <c r="AL53" s="323"/>
      <c r="AM53" s="323"/>
      <c r="AN53" s="323"/>
      <c r="AO53" s="323"/>
      <c r="AP53" s="323"/>
    </row>
    <row r="54" spans="1:42" s="324" customFormat="1" ht="0.65" hidden="1" customHeight="1">
      <c r="A54" s="324" t="e">
        <f t="shared" si="1"/>
        <v>#VALUE!</v>
      </c>
      <c r="B54" s="333">
        <v>2</v>
      </c>
      <c r="C54" s="333">
        <v>3</v>
      </c>
      <c r="D54" s="333">
        <v>4</v>
      </c>
      <c r="E54" s="333">
        <v>5</v>
      </c>
      <c r="F54" s="333">
        <v>6</v>
      </c>
      <c r="G54" s="333">
        <v>7</v>
      </c>
      <c r="H54" s="333">
        <v>8</v>
      </c>
      <c r="I54" s="333">
        <v>9</v>
      </c>
      <c r="J54" s="333">
        <v>10</v>
      </c>
      <c r="K54" s="333">
        <v>11</v>
      </c>
      <c r="L54" s="333">
        <v>12</v>
      </c>
      <c r="M54" s="333">
        <v>13</v>
      </c>
      <c r="N54" s="333">
        <v>14</v>
      </c>
      <c r="O54" s="333">
        <v>15</v>
      </c>
      <c r="P54" s="333">
        <v>16</v>
      </c>
      <c r="Q54" s="333">
        <v>17</v>
      </c>
      <c r="R54" s="333">
        <v>18</v>
      </c>
      <c r="S54" s="333">
        <v>19</v>
      </c>
      <c r="T54" s="333">
        <v>20</v>
      </c>
      <c r="U54" s="334">
        <v>21</v>
      </c>
      <c r="V54" s="334">
        <v>22</v>
      </c>
      <c r="W54" s="334">
        <v>23</v>
      </c>
      <c r="X54" s="334">
        <v>24</v>
      </c>
      <c r="Y54" s="334">
        <v>25</v>
      </c>
      <c r="Z54" s="334">
        <v>26</v>
      </c>
      <c r="AA54" s="334">
        <v>27</v>
      </c>
      <c r="AB54" s="334">
        <v>28</v>
      </c>
      <c r="AC54" s="333">
        <v>29</v>
      </c>
      <c r="AD54" s="333">
        <v>30</v>
      </c>
      <c r="AE54" s="333">
        <v>31</v>
      </c>
      <c r="AF54" s="333">
        <v>32</v>
      </c>
      <c r="AG54" s="334">
        <v>33</v>
      </c>
      <c r="AH54" s="334">
        <v>34</v>
      </c>
      <c r="AI54" s="334">
        <v>35</v>
      </c>
      <c r="AJ54" s="334">
        <v>36</v>
      </c>
      <c r="AK54" s="334">
        <v>37</v>
      </c>
      <c r="AL54" s="334">
        <v>38</v>
      </c>
      <c r="AM54" s="334">
        <v>39</v>
      </c>
      <c r="AN54" s="334">
        <v>40</v>
      </c>
      <c r="AO54" s="334">
        <v>41</v>
      </c>
      <c r="AP54" s="334">
        <v>42</v>
      </c>
    </row>
    <row r="55" spans="1:42" s="324" customFormat="1" ht="0.65" hidden="1" customHeight="1">
      <c r="A55" s="324" t="e">
        <f t="shared" si="1"/>
        <v>#VALUE!</v>
      </c>
      <c r="U55" s="323"/>
      <c r="V55" s="323"/>
      <c r="W55" s="323"/>
      <c r="X55" s="323"/>
      <c r="Y55" s="323"/>
      <c r="Z55" s="323"/>
      <c r="AA55" s="323"/>
      <c r="AB55" s="323"/>
      <c r="AC55" s="326"/>
      <c r="AE55" s="325"/>
      <c r="AF55" s="325"/>
      <c r="AG55" s="323"/>
      <c r="AH55" s="323"/>
      <c r="AI55" s="323"/>
      <c r="AJ55" s="323"/>
      <c r="AK55" s="323"/>
      <c r="AL55" s="323"/>
      <c r="AM55" s="323"/>
      <c r="AN55" s="323"/>
      <c r="AO55" s="323"/>
      <c r="AP55" s="323"/>
    </row>
    <row r="56" spans="1:42" s="324" customFormat="1" ht="0.65" hidden="1" customHeight="1">
      <c r="A56" s="324" t="e">
        <f t="shared" si="1"/>
        <v>#VALUE!</v>
      </c>
      <c r="B56" s="328" t="e">
        <f t="shared" ref="B56:B58" si="12">VLOOKUP($A56,$A$231:$AP$1595,B$54,FALSE)</f>
        <v>#VALUE!</v>
      </c>
      <c r="C56" s="328" t="e">
        <f>D6</f>
        <v>#VALUE!</v>
      </c>
      <c r="D56" s="326" t="e">
        <f>IF(B56=C56,1,0)</f>
        <v>#VALUE!</v>
      </c>
      <c r="G56" s="327" t="s">
        <v>0</v>
      </c>
      <c r="H56" s="335" t="s">
        <v>69</v>
      </c>
      <c r="I56" s="335" t="s">
        <v>70</v>
      </c>
      <c r="J56" s="335" t="s">
        <v>71</v>
      </c>
      <c r="K56" s="335" t="s">
        <v>72</v>
      </c>
      <c r="L56" s="335" t="s">
        <v>73</v>
      </c>
      <c r="M56" s="335" t="s">
        <v>74</v>
      </c>
      <c r="N56" s="335" t="s">
        <v>75</v>
      </c>
      <c r="O56" s="335" t="s">
        <v>80</v>
      </c>
      <c r="P56" s="335" t="s">
        <v>1</v>
      </c>
    </row>
    <row r="57" spans="1:42" s="324" customFormat="1" ht="0.65" hidden="1" customHeight="1">
      <c r="A57" s="324" t="e">
        <f t="shared" si="1"/>
        <v>#VALUE!</v>
      </c>
      <c r="B57" s="324" t="e">
        <f t="shared" si="12"/>
        <v>#VALUE!</v>
      </c>
      <c r="C57" s="324" t="e">
        <f>D7</f>
        <v>#VALUE!</v>
      </c>
      <c r="D57" s="326" t="e">
        <f>IF(B57=C57,1,0)</f>
        <v>#VALUE!</v>
      </c>
      <c r="G57" s="336" t="e">
        <f t="shared" ref="G57:P60" si="13">VLOOKUP($A57,$A$231:$AP$1595,G$54,FALSE)</f>
        <v>#VALUE!</v>
      </c>
      <c r="O57" s="328"/>
      <c r="P57" s="326" t="e">
        <f>VLOOKUP($A57,$A$231:$AP$1595,P$54,FALSE)</f>
        <v>#VALUE!</v>
      </c>
    </row>
    <row r="58" spans="1:42" s="324" customFormat="1" ht="0.65" hidden="1" customHeight="1">
      <c r="A58" s="324" t="e">
        <f t="shared" si="1"/>
        <v>#VALUE!</v>
      </c>
      <c r="B58" s="324" t="e">
        <f t="shared" si="12"/>
        <v>#VALUE!</v>
      </c>
      <c r="C58" s="324" t="e">
        <f>D8</f>
        <v>#VALUE!</v>
      </c>
      <c r="D58" s="326" t="e">
        <f>IF(B58=C58,1,0)</f>
        <v>#VALUE!</v>
      </c>
      <c r="G58" s="336" t="e">
        <f t="shared" si="13"/>
        <v>#VALUE!</v>
      </c>
      <c r="H58" s="326" t="e">
        <f t="shared" si="13"/>
        <v>#VALUE!</v>
      </c>
      <c r="I58" s="326" t="e">
        <f t="shared" si="13"/>
        <v>#VALUE!</v>
      </c>
      <c r="J58" s="326" t="e">
        <f t="shared" si="13"/>
        <v>#VALUE!</v>
      </c>
      <c r="K58" s="326" t="e">
        <f t="shared" si="13"/>
        <v>#VALUE!</v>
      </c>
      <c r="L58" s="326" t="e">
        <f t="shared" si="13"/>
        <v>#VALUE!</v>
      </c>
      <c r="M58" s="326" t="e">
        <f t="shared" si="13"/>
        <v>#VALUE!</v>
      </c>
      <c r="N58" s="326" t="e">
        <f t="shared" si="13"/>
        <v>#VALUE!</v>
      </c>
      <c r="O58" s="326" t="e">
        <f t="shared" si="13"/>
        <v>#VALUE!</v>
      </c>
      <c r="P58" s="326" t="e">
        <f t="shared" si="13"/>
        <v>#VALUE!</v>
      </c>
    </row>
    <row r="59" spans="1:42" s="324" customFormat="1" ht="0.65" hidden="1" customHeight="1">
      <c r="A59" s="324" t="e">
        <f t="shared" si="1"/>
        <v>#VALUE!</v>
      </c>
      <c r="D59" s="326"/>
      <c r="G59" s="336" t="e">
        <f t="shared" si="13"/>
        <v>#VALUE!</v>
      </c>
      <c r="H59" s="326" t="e">
        <f t="shared" si="13"/>
        <v>#VALUE!</v>
      </c>
      <c r="I59" s="326" t="e">
        <f t="shared" si="13"/>
        <v>#VALUE!</v>
      </c>
      <c r="J59" s="326" t="e">
        <f t="shared" si="13"/>
        <v>#VALUE!</v>
      </c>
      <c r="K59" s="326" t="e">
        <f t="shared" si="13"/>
        <v>#VALUE!</v>
      </c>
      <c r="L59" s="326" t="e">
        <f t="shared" si="13"/>
        <v>#VALUE!</v>
      </c>
      <c r="M59" s="326" t="e">
        <f t="shared" si="13"/>
        <v>#VALUE!</v>
      </c>
      <c r="N59" s="326" t="e">
        <f t="shared" si="13"/>
        <v>#VALUE!</v>
      </c>
      <c r="O59" s="326" t="e">
        <f t="shared" si="13"/>
        <v>#VALUE!</v>
      </c>
      <c r="P59" s="326" t="e">
        <f t="shared" si="13"/>
        <v>#VALUE!</v>
      </c>
    </row>
    <row r="60" spans="1:42" s="324" customFormat="1" ht="0.65" hidden="1" customHeight="1">
      <c r="A60" s="324" t="e">
        <f t="shared" si="1"/>
        <v>#VALUE!</v>
      </c>
      <c r="B60" s="324" t="e">
        <f t="shared" ref="B60:B61" si="14">VLOOKUP($A60,$A$231:$AP$1595,B$54,FALSE)</f>
        <v>#VALUE!</v>
      </c>
      <c r="C60" s="324" t="e">
        <f>D10</f>
        <v>#VALUE!</v>
      </c>
      <c r="D60" s="326" t="e">
        <f>IF(B60=C60,1,0)</f>
        <v>#VALUE!</v>
      </c>
      <c r="G60" s="336" t="e">
        <f t="shared" si="13"/>
        <v>#VALUE!</v>
      </c>
      <c r="H60" s="326" t="e">
        <f t="shared" si="13"/>
        <v>#VALUE!</v>
      </c>
      <c r="I60" s="326" t="e">
        <f t="shared" si="13"/>
        <v>#VALUE!</v>
      </c>
      <c r="J60" s="326" t="e">
        <f t="shared" si="13"/>
        <v>#VALUE!</v>
      </c>
      <c r="K60" s="326" t="e">
        <f t="shared" si="13"/>
        <v>#VALUE!</v>
      </c>
      <c r="L60" s="326" t="e">
        <f t="shared" si="13"/>
        <v>#VALUE!</v>
      </c>
      <c r="M60" s="326" t="e">
        <f t="shared" si="13"/>
        <v>#VALUE!</v>
      </c>
      <c r="N60" s="326" t="e">
        <f t="shared" si="13"/>
        <v>#VALUE!</v>
      </c>
      <c r="O60" s="326" t="e">
        <f t="shared" si="13"/>
        <v>#VALUE!</v>
      </c>
      <c r="P60" s="326" t="e">
        <f t="shared" si="13"/>
        <v>#VALUE!</v>
      </c>
    </row>
    <row r="61" spans="1:42" s="324" customFormat="1" ht="0.65" hidden="1" customHeight="1">
      <c r="A61" s="324" t="e">
        <f t="shared" si="1"/>
        <v>#VALUE!</v>
      </c>
      <c r="B61" s="324" t="e">
        <f t="shared" si="14"/>
        <v>#VALUE!</v>
      </c>
      <c r="C61" s="324" t="e">
        <f>D11</f>
        <v>#VALUE!</v>
      </c>
      <c r="D61" s="326" t="e">
        <f>IF(B61=C61,1,0)</f>
        <v>#VALUE!</v>
      </c>
      <c r="O61" s="328"/>
      <c r="P61" s="328"/>
    </row>
    <row r="62" spans="1:42" s="324" customFormat="1" ht="0.65" hidden="1" customHeight="1">
      <c r="A62" s="324" t="e">
        <f t="shared" si="1"/>
        <v>#VALUE!</v>
      </c>
      <c r="D62" s="326"/>
      <c r="G62" s="327" t="s">
        <v>0</v>
      </c>
      <c r="H62" s="335" t="s">
        <v>76</v>
      </c>
      <c r="I62" s="335" t="s">
        <v>77</v>
      </c>
      <c r="J62" s="335" t="s">
        <v>78</v>
      </c>
      <c r="K62" s="335" t="s">
        <v>79</v>
      </c>
    </row>
    <row r="63" spans="1:42" s="324" customFormat="1" ht="0.65" hidden="1" customHeight="1">
      <c r="A63" s="324" t="e">
        <f t="shared" si="1"/>
        <v>#VALUE!</v>
      </c>
      <c r="B63" s="324" t="e">
        <f t="shared" ref="B63:B64" si="15">VLOOKUP($A63,$A$231:$AP$1595,B$54,FALSE)</f>
        <v>#VALUE!</v>
      </c>
      <c r="C63" s="324" t="e">
        <f>D13</f>
        <v>#VALUE!</v>
      </c>
      <c r="D63" s="326" t="e">
        <f>IF(B63=C63,1,0)</f>
        <v>#VALUE!</v>
      </c>
      <c r="G63" s="336" t="e">
        <f t="shared" ref="G63:K66" si="16">VLOOKUP($A63,$A$231:$AP$1595,G$54,FALSE)</f>
        <v>#VALUE!</v>
      </c>
      <c r="H63" s="328"/>
      <c r="I63" s="328"/>
      <c r="J63" s="328"/>
      <c r="K63" s="328"/>
      <c r="M63" s="328" t="e">
        <f t="shared" ref="M63:P66" si="17">VLOOKUP($A63,$A$231:$AP$1595,M$54,FALSE)</f>
        <v>#VALUE!</v>
      </c>
      <c r="N63" s="326" t="e">
        <f t="shared" si="17"/>
        <v>#VALUE!</v>
      </c>
      <c r="O63" s="337" t="s">
        <v>124</v>
      </c>
      <c r="P63" s="326" t="e">
        <f t="shared" si="17"/>
        <v>#VALUE!</v>
      </c>
    </row>
    <row r="64" spans="1:42" s="324" customFormat="1" ht="0.65" hidden="1" customHeight="1">
      <c r="A64" s="324" t="e">
        <f t="shared" si="1"/>
        <v>#VALUE!</v>
      </c>
      <c r="B64" s="324" t="e">
        <f t="shared" si="15"/>
        <v>#VALUE!</v>
      </c>
      <c r="C64" s="324" t="e">
        <f>D14</f>
        <v>#VALUE!</v>
      </c>
      <c r="D64" s="326" t="e">
        <f>IF(B64=C64,1,0)</f>
        <v>#VALUE!</v>
      </c>
      <c r="G64" s="336" t="e">
        <f t="shared" si="16"/>
        <v>#VALUE!</v>
      </c>
      <c r="H64" s="326" t="e">
        <f t="shared" si="16"/>
        <v>#VALUE!</v>
      </c>
      <c r="I64" s="326" t="e">
        <f t="shared" si="16"/>
        <v>#VALUE!</v>
      </c>
      <c r="J64" s="326" t="e">
        <f t="shared" si="16"/>
        <v>#VALUE!</v>
      </c>
      <c r="K64" s="326" t="e">
        <f t="shared" si="16"/>
        <v>#VALUE!</v>
      </c>
      <c r="M64" s="328" t="e">
        <f t="shared" si="17"/>
        <v>#VALUE!</v>
      </c>
      <c r="N64" s="326" t="e">
        <f t="shared" si="17"/>
        <v>#VALUE!</v>
      </c>
      <c r="O64" s="337" t="s">
        <v>125</v>
      </c>
      <c r="P64" s="326" t="e">
        <f t="shared" si="17"/>
        <v>#VALUE!</v>
      </c>
    </row>
    <row r="65" spans="1:33" s="324" customFormat="1" ht="0.65" hidden="1" customHeight="1">
      <c r="A65" s="324" t="e">
        <f t="shared" si="1"/>
        <v>#VALUE!</v>
      </c>
      <c r="D65" s="326"/>
      <c r="G65" s="336" t="e">
        <f t="shared" si="16"/>
        <v>#VALUE!</v>
      </c>
      <c r="H65" s="326" t="e">
        <f t="shared" si="16"/>
        <v>#VALUE!</v>
      </c>
      <c r="I65" s="326" t="e">
        <f t="shared" si="16"/>
        <v>#VALUE!</v>
      </c>
      <c r="J65" s="326" t="e">
        <f t="shared" si="16"/>
        <v>#VALUE!</v>
      </c>
      <c r="K65" s="326" t="e">
        <f t="shared" si="16"/>
        <v>#VALUE!</v>
      </c>
      <c r="M65" s="328" t="e">
        <f t="shared" si="17"/>
        <v>#VALUE!</v>
      </c>
      <c r="N65" s="326" t="e">
        <f t="shared" si="17"/>
        <v>#VALUE!</v>
      </c>
      <c r="O65" s="337" t="s">
        <v>126</v>
      </c>
      <c r="P65" s="326" t="e">
        <f t="shared" si="17"/>
        <v>#VALUE!</v>
      </c>
    </row>
    <row r="66" spans="1:33" s="324" customFormat="1" ht="0.65" hidden="1" customHeight="1">
      <c r="A66" s="324" t="e">
        <f t="shared" si="1"/>
        <v>#VALUE!</v>
      </c>
      <c r="D66" s="326"/>
      <c r="G66" s="336" t="e">
        <f t="shared" si="16"/>
        <v>#VALUE!</v>
      </c>
      <c r="H66" s="326" t="e">
        <f t="shared" si="16"/>
        <v>#VALUE!</v>
      </c>
      <c r="I66" s="326" t="e">
        <f t="shared" si="16"/>
        <v>#VALUE!</v>
      </c>
      <c r="J66" s="326" t="e">
        <f t="shared" si="16"/>
        <v>#VALUE!</v>
      </c>
      <c r="K66" s="326" t="e">
        <f t="shared" si="16"/>
        <v>#VALUE!</v>
      </c>
      <c r="M66" s="328" t="e">
        <f t="shared" si="17"/>
        <v>#VALUE!</v>
      </c>
      <c r="N66" s="326" t="e">
        <f t="shared" si="17"/>
        <v>#VALUE!</v>
      </c>
      <c r="P66" s="326"/>
    </row>
    <row r="67" spans="1:33" s="324" customFormat="1" ht="0.65" hidden="1" customHeight="1">
      <c r="A67" s="324" t="e">
        <f t="shared" si="1"/>
        <v>#VALUE!</v>
      </c>
      <c r="B67" s="324" t="e">
        <f t="shared" ref="B67:B70" si="18">VLOOKUP($A67,$A$231:$AP$1595,B$54,FALSE)</f>
        <v>#VALUE!</v>
      </c>
      <c r="C67" s="324" t="e">
        <f>D17</f>
        <v>#VALUE!</v>
      </c>
      <c r="D67" s="326" t="e">
        <f>IF(B67=C67,1,0)</f>
        <v>#VALUE!</v>
      </c>
      <c r="P67" s="326"/>
    </row>
    <row r="68" spans="1:33" s="324" customFormat="1" ht="0.65" hidden="1" customHeight="1">
      <c r="A68" s="324" t="e">
        <f t="shared" si="1"/>
        <v>#VALUE!</v>
      </c>
      <c r="B68" s="324" t="e">
        <f t="shared" si="18"/>
        <v>#VALUE!</v>
      </c>
      <c r="C68" s="324" t="e">
        <f>D18</f>
        <v>#VALUE!</v>
      </c>
      <c r="D68" s="326" t="e">
        <f>IF(B68=C68,1,0)</f>
        <v>#VALUE!</v>
      </c>
      <c r="O68" s="328" t="s">
        <v>13</v>
      </c>
      <c r="P68" s="326" t="e">
        <f t="shared" ref="P68:P71" si="19">VLOOKUP($A68,$A$231:$AP$1595,P$54,FALSE)</f>
        <v>#VALUE!</v>
      </c>
    </row>
    <row r="69" spans="1:33" s="324" customFormat="1" ht="0.65" hidden="1" customHeight="1">
      <c r="A69" s="324" t="e">
        <f t="shared" ref="A69:A132" si="20">1+A68</f>
        <v>#VALUE!</v>
      </c>
      <c r="B69" s="324" t="e">
        <f t="shared" si="18"/>
        <v>#VALUE!</v>
      </c>
      <c r="C69" s="324" t="e">
        <f>D19</f>
        <v>#VALUE!</v>
      </c>
      <c r="D69" s="326" t="e">
        <f>IF(B69=C69,1,0)</f>
        <v>#VALUE!</v>
      </c>
      <c r="O69" s="324" t="s">
        <v>28</v>
      </c>
      <c r="P69" s="326" t="e">
        <f t="shared" si="19"/>
        <v>#VALUE!</v>
      </c>
    </row>
    <row r="70" spans="1:33" s="324" customFormat="1" ht="0.65" hidden="1" customHeight="1">
      <c r="A70" s="324" t="e">
        <f t="shared" si="20"/>
        <v>#VALUE!</v>
      </c>
      <c r="B70" s="324" t="e">
        <f t="shared" si="18"/>
        <v>#VALUE!</v>
      </c>
      <c r="C70" s="324" t="e">
        <f>D20</f>
        <v>#VALUE!</v>
      </c>
      <c r="D70" s="326" t="e">
        <f>IF(B70=C70,1,0)</f>
        <v>#VALUE!</v>
      </c>
      <c r="N70" s="328"/>
      <c r="O70" s="324" t="s">
        <v>29</v>
      </c>
      <c r="P70" s="326" t="e">
        <f t="shared" si="19"/>
        <v>#VALUE!</v>
      </c>
    </row>
    <row r="71" spans="1:33" s="324" customFormat="1" ht="0.65" hidden="1" customHeight="1">
      <c r="A71" s="324" t="e">
        <f t="shared" si="20"/>
        <v>#VALUE!</v>
      </c>
      <c r="D71" s="326"/>
      <c r="N71" s="328"/>
      <c r="O71" s="324" t="s">
        <v>30</v>
      </c>
      <c r="P71" s="326" t="e">
        <f t="shared" si="19"/>
        <v>#VALUE!</v>
      </c>
    </row>
    <row r="72" spans="1:33" s="324" customFormat="1" ht="0.65" hidden="1" customHeight="1">
      <c r="A72" s="324" t="e">
        <f t="shared" si="20"/>
        <v>#VALUE!</v>
      </c>
      <c r="B72" s="324" t="e">
        <f>VLOOKUP($A72,$A$231:$AP$1595,B$54,FALSE)</f>
        <v>#VALUE!</v>
      </c>
      <c r="C72" s="324" t="e">
        <f>D22</f>
        <v>#VALUE!</v>
      </c>
      <c r="D72" s="326" t="e">
        <f>IF(B72=C72,1,0)</f>
        <v>#VALUE!</v>
      </c>
      <c r="N72" s="328"/>
    </row>
    <row r="73" spans="1:33" s="324" customFormat="1" ht="0.65" hidden="1" customHeight="1">
      <c r="A73" s="324" t="e">
        <f t="shared" si="20"/>
        <v>#VALUE!</v>
      </c>
      <c r="D73" s="326"/>
      <c r="N73" s="328"/>
    </row>
    <row r="74" spans="1:33" s="324" customFormat="1" ht="0.65" hidden="1" customHeight="1">
      <c r="A74" s="324" t="e">
        <f t="shared" si="20"/>
        <v>#VALUE!</v>
      </c>
      <c r="D74" s="326"/>
      <c r="N74" s="328"/>
    </row>
    <row r="75" spans="1:33" s="324" customFormat="1" ht="0.65" hidden="1" customHeight="1">
      <c r="A75" s="324" t="e">
        <f t="shared" si="20"/>
        <v>#VALUE!</v>
      </c>
      <c r="B75" s="324" t="e">
        <f t="shared" ref="B75:B79" si="21">VLOOKUP($A75,$A$231:$AP$1595,B$54,FALSE)</f>
        <v>#VALUE!</v>
      </c>
      <c r="C75" s="324" t="e">
        <f>D25</f>
        <v>#VALUE!</v>
      </c>
      <c r="D75" s="326" t="e">
        <f>IF(B75=C75,1,0)</f>
        <v>#VALUE!</v>
      </c>
      <c r="N75" s="328"/>
    </row>
    <row r="76" spans="1:33" s="324" customFormat="1" ht="0.65" hidden="1" customHeight="1">
      <c r="A76" s="324" t="e">
        <f t="shared" si="20"/>
        <v>#VALUE!</v>
      </c>
      <c r="B76" s="324" t="e">
        <f t="shared" si="21"/>
        <v>#VALUE!</v>
      </c>
      <c r="C76" s="324" t="e">
        <f>D26</f>
        <v>#VALUE!</v>
      </c>
      <c r="D76" s="326" t="e">
        <f>IF(B76=C76,1,0)</f>
        <v>#VALUE!</v>
      </c>
      <c r="K76" s="330" t="s">
        <v>475</v>
      </c>
      <c r="M76" s="326" t="s">
        <v>212</v>
      </c>
      <c r="N76" s="327" t="s">
        <v>213</v>
      </c>
      <c r="O76" s="326" t="s">
        <v>214</v>
      </c>
      <c r="P76" s="326" t="s">
        <v>215</v>
      </c>
      <c r="Q76" s="326" t="s">
        <v>216</v>
      </c>
      <c r="R76" s="326" t="s">
        <v>218</v>
      </c>
      <c r="S76" s="326" t="s">
        <v>219</v>
      </c>
      <c r="T76" s="326" t="s">
        <v>220</v>
      </c>
      <c r="U76" s="332" t="s">
        <v>473</v>
      </c>
      <c r="V76" s="332" t="s">
        <v>474</v>
      </c>
      <c r="X76" s="326" t="s">
        <v>223</v>
      </c>
      <c r="Y76" s="327" t="s">
        <v>224</v>
      </c>
      <c r="Z76" s="326" t="s">
        <v>225</v>
      </c>
      <c r="AA76" s="326" t="s">
        <v>226</v>
      </c>
      <c r="AB76" s="326" t="s">
        <v>227</v>
      </c>
      <c r="AC76" s="326" t="s">
        <v>228</v>
      </c>
      <c r="AD76" s="326" t="s">
        <v>229</v>
      </c>
      <c r="AE76" s="326" t="s">
        <v>230</v>
      </c>
      <c r="AF76" s="326"/>
      <c r="AG76" s="326"/>
    </row>
    <row r="77" spans="1:33" s="324" customFormat="1" ht="0.65" hidden="1" customHeight="1">
      <c r="A77" s="324" t="e">
        <f t="shared" si="20"/>
        <v>#VALUE!</v>
      </c>
      <c r="B77" s="324" t="e">
        <f t="shared" si="21"/>
        <v>#VALUE!</v>
      </c>
      <c r="C77" s="324" t="e">
        <f>D27</f>
        <v>#VALUE!</v>
      </c>
      <c r="D77" s="326" t="e">
        <f>IF(B77=C77,1,0)</f>
        <v>#VALUE!</v>
      </c>
      <c r="F77" s="324" t="e">
        <f>IF(I77=J77,1,0)</f>
        <v>#VALUE!</v>
      </c>
      <c r="G77" s="324">
        <v>1</v>
      </c>
      <c r="H77" s="328" t="e">
        <f t="shared" ref="H77:I96" si="22">VLOOKUP($A77,$A$231:$AP$1595,H$54,FALSE)</f>
        <v>#VALUE!</v>
      </c>
      <c r="I77" s="328" t="e">
        <f t="shared" si="22"/>
        <v>#VALUE!</v>
      </c>
      <c r="J77" s="328" t="str">
        <f>IF(N10="","",N10)</f>
        <v/>
      </c>
      <c r="K77" s="324" t="str">
        <f>IF($L$23="N",U77,IF($L$23="T",V77,""))</f>
        <v/>
      </c>
      <c r="M77" s="331" t="e">
        <f t="shared" ref="M77:AB92" si="23">VLOOKUP($A77,$A$231:$AP$1595,M$54,FALSE)</f>
        <v>#VALUE!</v>
      </c>
      <c r="N77" s="331" t="e">
        <f t="shared" si="23"/>
        <v>#VALUE!</v>
      </c>
      <c r="O77" s="331" t="e">
        <f t="shared" si="23"/>
        <v>#VALUE!</v>
      </c>
      <c r="P77" s="331" t="e">
        <f t="shared" si="23"/>
        <v>#VALUE!</v>
      </c>
      <c r="Q77" s="331" t="e">
        <f t="shared" si="23"/>
        <v>#VALUE!</v>
      </c>
      <c r="R77" s="331" t="e">
        <f t="shared" si="23"/>
        <v>#VALUE!</v>
      </c>
      <c r="S77" s="331" t="e">
        <f t="shared" si="23"/>
        <v>#VALUE!</v>
      </c>
      <c r="T77" s="331" t="e">
        <f t="shared" si="23"/>
        <v>#VALUE!</v>
      </c>
      <c r="U77" s="338" t="e">
        <f t="shared" si="23"/>
        <v>#VALUE!</v>
      </c>
      <c r="V77" s="338" t="e">
        <f t="shared" si="23"/>
        <v>#VALUE!</v>
      </c>
      <c r="W77" s="324" t="e">
        <f t="shared" si="23"/>
        <v>#VALUE!</v>
      </c>
      <c r="X77" s="324" t="e">
        <f t="shared" si="23"/>
        <v>#VALUE!</v>
      </c>
      <c r="Y77" s="324" t="e">
        <f t="shared" si="23"/>
        <v>#VALUE!</v>
      </c>
      <c r="Z77" s="324" t="e">
        <f t="shared" si="23"/>
        <v>#VALUE!</v>
      </c>
      <c r="AA77" s="324" t="e">
        <f t="shared" si="23"/>
        <v>#VALUE!</v>
      </c>
      <c r="AB77" s="324" t="e">
        <f t="shared" si="23"/>
        <v>#VALUE!</v>
      </c>
      <c r="AC77" s="324" t="e">
        <f t="shared" ref="AC77:AE96" si="24">VLOOKUP($A77,$A$231:$AP$1595,AC$54,FALSE)</f>
        <v>#VALUE!</v>
      </c>
      <c r="AD77" s="324" t="e">
        <f t="shared" si="24"/>
        <v>#VALUE!</v>
      </c>
      <c r="AE77" s="324" t="e">
        <f t="shared" si="24"/>
        <v>#VALUE!</v>
      </c>
    </row>
    <row r="78" spans="1:33" s="324" customFormat="1" ht="0.65" hidden="1" customHeight="1">
      <c r="A78" s="324" t="e">
        <f t="shared" si="20"/>
        <v>#VALUE!</v>
      </c>
      <c r="B78" s="324" t="e">
        <f t="shared" si="21"/>
        <v>#VALUE!</v>
      </c>
      <c r="C78" s="324" t="e">
        <f>D28</f>
        <v>#VALUE!</v>
      </c>
      <c r="D78" s="326" t="e">
        <f>IF(B78=C78,1,0)</f>
        <v>#VALUE!</v>
      </c>
      <c r="F78" s="324" t="e">
        <f t="shared" ref="F78:F125" si="25">IF(I78=J78,1,0)</f>
        <v>#VALUE!</v>
      </c>
      <c r="G78" s="324">
        <v>2</v>
      </c>
      <c r="H78" s="324" t="e">
        <f t="shared" si="22"/>
        <v>#VALUE!</v>
      </c>
      <c r="I78" s="328" t="e">
        <f t="shared" si="22"/>
        <v>#VALUE!</v>
      </c>
      <c r="J78" s="328" t="str">
        <f>IF(H5="","",H5)</f>
        <v/>
      </c>
      <c r="K78" s="324" t="str">
        <f t="shared" ref="K78:K125" si="26">IF($L$23="N",U78,IF($L$23="T",V78,""))</f>
        <v/>
      </c>
      <c r="M78" s="331" t="e">
        <f t="shared" si="23"/>
        <v>#VALUE!</v>
      </c>
      <c r="N78" s="331" t="e">
        <f t="shared" si="23"/>
        <v>#VALUE!</v>
      </c>
      <c r="O78" s="331" t="e">
        <f t="shared" si="23"/>
        <v>#VALUE!</v>
      </c>
      <c r="P78" s="331" t="e">
        <f t="shared" si="23"/>
        <v>#VALUE!</v>
      </c>
      <c r="Q78" s="331" t="e">
        <f t="shared" si="23"/>
        <v>#VALUE!</v>
      </c>
      <c r="R78" s="331" t="e">
        <f t="shared" si="23"/>
        <v>#VALUE!</v>
      </c>
      <c r="S78" s="331" t="e">
        <f t="shared" si="23"/>
        <v>#VALUE!</v>
      </c>
      <c r="T78" s="331" t="e">
        <f t="shared" si="23"/>
        <v>#VALUE!</v>
      </c>
      <c r="U78" s="338" t="e">
        <f t="shared" si="23"/>
        <v>#VALUE!</v>
      </c>
      <c r="V78" s="338" t="e">
        <f t="shared" si="23"/>
        <v>#VALUE!</v>
      </c>
      <c r="W78" s="324" t="e">
        <f t="shared" si="23"/>
        <v>#VALUE!</v>
      </c>
      <c r="X78" s="324" t="e">
        <f t="shared" si="23"/>
        <v>#VALUE!</v>
      </c>
      <c r="Y78" s="324" t="e">
        <f t="shared" si="23"/>
        <v>#VALUE!</v>
      </c>
      <c r="Z78" s="324" t="e">
        <f t="shared" si="23"/>
        <v>#VALUE!</v>
      </c>
      <c r="AA78" s="324" t="e">
        <f t="shared" si="23"/>
        <v>#VALUE!</v>
      </c>
      <c r="AB78" s="324" t="e">
        <f t="shared" si="23"/>
        <v>#VALUE!</v>
      </c>
      <c r="AC78" s="324" t="e">
        <f t="shared" si="24"/>
        <v>#VALUE!</v>
      </c>
      <c r="AD78" s="324" t="e">
        <f t="shared" si="24"/>
        <v>#VALUE!</v>
      </c>
      <c r="AE78" s="324" t="e">
        <f t="shared" si="24"/>
        <v>#VALUE!</v>
      </c>
    </row>
    <row r="79" spans="1:33" s="324" customFormat="1" ht="0.65" hidden="1" customHeight="1">
      <c r="A79" s="324" t="e">
        <f t="shared" si="20"/>
        <v>#VALUE!</v>
      </c>
      <c r="B79" s="324" t="e">
        <f t="shared" si="21"/>
        <v>#VALUE!</v>
      </c>
      <c r="C79" s="324" t="e">
        <f>D29</f>
        <v>#VALUE!</v>
      </c>
      <c r="D79" s="326" t="e">
        <f>IF(B79=C79,1,0)</f>
        <v>#VALUE!</v>
      </c>
      <c r="F79" s="324" t="e">
        <f t="shared" si="25"/>
        <v>#VALUE!</v>
      </c>
      <c r="G79" s="324">
        <v>3</v>
      </c>
      <c r="H79" s="324" t="e">
        <f t="shared" si="22"/>
        <v>#VALUE!</v>
      </c>
      <c r="I79" s="328" t="e">
        <f t="shared" si="22"/>
        <v>#VALUE!</v>
      </c>
      <c r="J79" s="328" t="str">
        <f>IF(H6="","",H6)</f>
        <v/>
      </c>
      <c r="K79" s="324" t="str">
        <f t="shared" si="26"/>
        <v/>
      </c>
      <c r="M79" s="331" t="e">
        <f t="shared" si="23"/>
        <v>#VALUE!</v>
      </c>
      <c r="N79" s="331" t="e">
        <f t="shared" si="23"/>
        <v>#VALUE!</v>
      </c>
      <c r="O79" s="331" t="e">
        <f t="shared" si="23"/>
        <v>#VALUE!</v>
      </c>
      <c r="P79" s="331" t="e">
        <f t="shared" si="23"/>
        <v>#VALUE!</v>
      </c>
      <c r="Q79" s="331" t="e">
        <f t="shared" si="23"/>
        <v>#VALUE!</v>
      </c>
      <c r="R79" s="331" t="e">
        <f t="shared" si="23"/>
        <v>#VALUE!</v>
      </c>
      <c r="S79" s="331" t="e">
        <f t="shared" si="23"/>
        <v>#VALUE!</v>
      </c>
      <c r="T79" s="331" t="e">
        <f t="shared" si="23"/>
        <v>#VALUE!</v>
      </c>
      <c r="U79" s="338" t="e">
        <f t="shared" si="23"/>
        <v>#VALUE!</v>
      </c>
      <c r="V79" s="338" t="e">
        <f t="shared" si="23"/>
        <v>#VALUE!</v>
      </c>
      <c r="W79" s="324" t="e">
        <f t="shared" si="23"/>
        <v>#VALUE!</v>
      </c>
      <c r="X79" s="324" t="e">
        <f t="shared" si="23"/>
        <v>#VALUE!</v>
      </c>
      <c r="Y79" s="324" t="e">
        <f t="shared" si="23"/>
        <v>#VALUE!</v>
      </c>
      <c r="Z79" s="324" t="e">
        <f t="shared" si="23"/>
        <v>#VALUE!</v>
      </c>
      <c r="AA79" s="324" t="e">
        <f t="shared" si="23"/>
        <v>#VALUE!</v>
      </c>
      <c r="AB79" s="324" t="e">
        <f t="shared" si="23"/>
        <v>#VALUE!</v>
      </c>
      <c r="AC79" s="324" t="e">
        <f t="shared" si="24"/>
        <v>#VALUE!</v>
      </c>
      <c r="AD79" s="324" t="e">
        <f t="shared" si="24"/>
        <v>#VALUE!</v>
      </c>
      <c r="AE79" s="324" t="e">
        <f t="shared" si="24"/>
        <v>#VALUE!</v>
      </c>
    </row>
    <row r="80" spans="1:33" s="324" customFormat="1" ht="0.65" hidden="1" customHeight="1">
      <c r="A80" s="324" t="e">
        <f t="shared" si="20"/>
        <v>#VALUE!</v>
      </c>
      <c r="D80" s="326"/>
      <c r="F80" s="324" t="e">
        <f t="shared" si="25"/>
        <v>#VALUE!</v>
      </c>
      <c r="G80" s="324">
        <v>4</v>
      </c>
      <c r="H80" s="324" t="e">
        <f t="shared" si="22"/>
        <v>#VALUE!</v>
      </c>
      <c r="I80" s="328" t="e">
        <f t="shared" si="22"/>
        <v>#VALUE!</v>
      </c>
      <c r="J80" s="328" t="str">
        <f>IF(H7="","",H7)</f>
        <v/>
      </c>
      <c r="K80" s="324" t="str">
        <f t="shared" si="26"/>
        <v/>
      </c>
      <c r="M80" s="331" t="e">
        <f t="shared" si="23"/>
        <v>#VALUE!</v>
      </c>
      <c r="N80" s="331" t="e">
        <f t="shared" si="23"/>
        <v>#VALUE!</v>
      </c>
      <c r="O80" s="331" t="e">
        <f t="shared" si="23"/>
        <v>#VALUE!</v>
      </c>
      <c r="P80" s="331" t="e">
        <f t="shared" si="23"/>
        <v>#VALUE!</v>
      </c>
      <c r="Q80" s="331" t="e">
        <f t="shared" si="23"/>
        <v>#VALUE!</v>
      </c>
      <c r="R80" s="331" t="e">
        <f t="shared" si="23"/>
        <v>#VALUE!</v>
      </c>
      <c r="S80" s="331" t="e">
        <f t="shared" si="23"/>
        <v>#VALUE!</v>
      </c>
      <c r="T80" s="331" t="e">
        <f t="shared" si="23"/>
        <v>#VALUE!</v>
      </c>
      <c r="U80" s="338" t="e">
        <f t="shared" si="23"/>
        <v>#VALUE!</v>
      </c>
      <c r="V80" s="338" t="e">
        <f t="shared" si="23"/>
        <v>#VALUE!</v>
      </c>
      <c r="W80" s="324" t="e">
        <f t="shared" si="23"/>
        <v>#VALUE!</v>
      </c>
      <c r="X80" s="324" t="e">
        <f t="shared" si="23"/>
        <v>#VALUE!</v>
      </c>
      <c r="Y80" s="324" t="e">
        <f t="shared" si="23"/>
        <v>#VALUE!</v>
      </c>
      <c r="Z80" s="324" t="e">
        <f t="shared" si="23"/>
        <v>#VALUE!</v>
      </c>
      <c r="AA80" s="324" t="e">
        <f t="shared" si="23"/>
        <v>#VALUE!</v>
      </c>
      <c r="AB80" s="324" t="e">
        <f t="shared" si="23"/>
        <v>#VALUE!</v>
      </c>
      <c r="AC80" s="324" t="e">
        <f t="shared" si="24"/>
        <v>#VALUE!</v>
      </c>
      <c r="AD80" s="324" t="e">
        <f t="shared" si="24"/>
        <v>#VALUE!</v>
      </c>
      <c r="AE80" s="324" t="e">
        <f t="shared" si="24"/>
        <v>#VALUE!</v>
      </c>
    </row>
    <row r="81" spans="1:31" s="324" customFormat="1" ht="0.65" hidden="1" customHeight="1">
      <c r="A81" s="324" t="e">
        <f t="shared" si="20"/>
        <v>#VALUE!</v>
      </c>
      <c r="C81" s="330" t="s">
        <v>422</v>
      </c>
      <c r="D81" s="326" t="e">
        <f>SUM(D56:D79)+SUM(D84:D97)</f>
        <v>#VALUE!</v>
      </c>
      <c r="F81" s="324" t="e">
        <f t="shared" si="25"/>
        <v>#VALUE!</v>
      </c>
      <c r="G81" s="324">
        <v>5</v>
      </c>
      <c r="H81" s="324" t="e">
        <f t="shared" si="22"/>
        <v>#VALUE!</v>
      </c>
      <c r="I81" s="328" t="e">
        <f t="shared" si="22"/>
        <v>#VALUE!</v>
      </c>
      <c r="J81" s="328" t="str">
        <f>IF(I5="","",I5)</f>
        <v/>
      </c>
      <c r="K81" s="324" t="str">
        <f t="shared" si="26"/>
        <v/>
      </c>
      <c r="M81" s="331" t="e">
        <f t="shared" si="23"/>
        <v>#VALUE!</v>
      </c>
      <c r="N81" s="331" t="e">
        <f t="shared" si="23"/>
        <v>#VALUE!</v>
      </c>
      <c r="O81" s="331" t="e">
        <f t="shared" si="23"/>
        <v>#VALUE!</v>
      </c>
      <c r="P81" s="331" t="e">
        <f t="shared" si="23"/>
        <v>#VALUE!</v>
      </c>
      <c r="Q81" s="331" t="e">
        <f t="shared" si="23"/>
        <v>#VALUE!</v>
      </c>
      <c r="R81" s="331" t="e">
        <f t="shared" si="23"/>
        <v>#VALUE!</v>
      </c>
      <c r="S81" s="331" t="e">
        <f t="shared" si="23"/>
        <v>#VALUE!</v>
      </c>
      <c r="T81" s="331" t="e">
        <f t="shared" si="23"/>
        <v>#VALUE!</v>
      </c>
      <c r="U81" s="338" t="e">
        <f t="shared" si="23"/>
        <v>#VALUE!</v>
      </c>
      <c r="V81" s="338" t="e">
        <f t="shared" si="23"/>
        <v>#VALUE!</v>
      </c>
      <c r="W81" s="324" t="e">
        <f t="shared" si="23"/>
        <v>#VALUE!</v>
      </c>
      <c r="X81" s="324" t="e">
        <f t="shared" si="23"/>
        <v>#VALUE!</v>
      </c>
      <c r="Y81" s="324" t="e">
        <f t="shared" si="23"/>
        <v>#VALUE!</v>
      </c>
      <c r="Z81" s="324" t="e">
        <f t="shared" si="23"/>
        <v>#VALUE!</v>
      </c>
      <c r="AA81" s="324" t="e">
        <f t="shared" si="23"/>
        <v>#VALUE!</v>
      </c>
      <c r="AB81" s="324" t="e">
        <f t="shared" si="23"/>
        <v>#VALUE!</v>
      </c>
      <c r="AC81" s="324" t="e">
        <f t="shared" si="24"/>
        <v>#VALUE!</v>
      </c>
      <c r="AD81" s="324" t="e">
        <f t="shared" si="24"/>
        <v>#VALUE!</v>
      </c>
      <c r="AE81" s="324" t="e">
        <f t="shared" si="24"/>
        <v>#VALUE!</v>
      </c>
    </row>
    <row r="82" spans="1:31" s="324" customFormat="1" ht="0.65" hidden="1" customHeight="1">
      <c r="A82" s="324" t="e">
        <f t="shared" si="20"/>
        <v>#VALUE!</v>
      </c>
      <c r="C82" s="330" t="s">
        <v>423</v>
      </c>
      <c r="D82" s="326" t="str">
        <f>IF(E1="","NO",IF(D81=28,"NO","SI"))</f>
        <v>NO</v>
      </c>
      <c r="F82" s="324" t="e">
        <f t="shared" si="25"/>
        <v>#VALUE!</v>
      </c>
      <c r="G82" s="324">
        <v>6</v>
      </c>
      <c r="H82" s="324" t="e">
        <f t="shared" si="22"/>
        <v>#VALUE!</v>
      </c>
      <c r="I82" s="328" t="e">
        <f t="shared" si="22"/>
        <v>#VALUE!</v>
      </c>
      <c r="J82" s="328" t="str">
        <f>IF(I6="","",I6)</f>
        <v/>
      </c>
      <c r="K82" s="324" t="str">
        <f t="shared" si="26"/>
        <v/>
      </c>
      <c r="M82" s="331" t="e">
        <f t="shared" si="23"/>
        <v>#VALUE!</v>
      </c>
      <c r="N82" s="331" t="e">
        <f t="shared" si="23"/>
        <v>#VALUE!</v>
      </c>
      <c r="O82" s="331" t="e">
        <f t="shared" si="23"/>
        <v>#VALUE!</v>
      </c>
      <c r="P82" s="331" t="e">
        <f t="shared" si="23"/>
        <v>#VALUE!</v>
      </c>
      <c r="Q82" s="331" t="e">
        <f t="shared" si="23"/>
        <v>#VALUE!</v>
      </c>
      <c r="R82" s="331" t="e">
        <f t="shared" si="23"/>
        <v>#VALUE!</v>
      </c>
      <c r="S82" s="331" t="e">
        <f t="shared" si="23"/>
        <v>#VALUE!</v>
      </c>
      <c r="T82" s="331" t="e">
        <f t="shared" si="23"/>
        <v>#VALUE!</v>
      </c>
      <c r="U82" s="338" t="e">
        <f t="shared" si="23"/>
        <v>#VALUE!</v>
      </c>
      <c r="V82" s="338" t="e">
        <f t="shared" si="23"/>
        <v>#VALUE!</v>
      </c>
      <c r="W82" s="324" t="e">
        <f t="shared" si="23"/>
        <v>#VALUE!</v>
      </c>
      <c r="X82" s="324" t="e">
        <f t="shared" si="23"/>
        <v>#VALUE!</v>
      </c>
      <c r="Y82" s="324" t="e">
        <f t="shared" si="23"/>
        <v>#VALUE!</v>
      </c>
      <c r="Z82" s="324" t="e">
        <f t="shared" si="23"/>
        <v>#VALUE!</v>
      </c>
      <c r="AA82" s="324" t="e">
        <f t="shared" si="23"/>
        <v>#VALUE!</v>
      </c>
      <c r="AB82" s="324" t="e">
        <f t="shared" si="23"/>
        <v>#VALUE!</v>
      </c>
      <c r="AC82" s="324" t="e">
        <f t="shared" si="24"/>
        <v>#VALUE!</v>
      </c>
      <c r="AD82" s="324" t="e">
        <f t="shared" si="24"/>
        <v>#VALUE!</v>
      </c>
      <c r="AE82" s="324" t="e">
        <f t="shared" si="24"/>
        <v>#VALUE!</v>
      </c>
    </row>
    <row r="83" spans="1:31" s="324" customFormat="1" ht="0.65" hidden="1" customHeight="1">
      <c r="A83" s="324" t="e">
        <f t="shared" si="20"/>
        <v>#VALUE!</v>
      </c>
      <c r="D83" s="326"/>
      <c r="F83" s="324" t="e">
        <f t="shared" si="25"/>
        <v>#VALUE!</v>
      </c>
      <c r="G83" s="324">
        <v>7</v>
      </c>
      <c r="H83" s="324" t="e">
        <f t="shared" si="22"/>
        <v>#VALUE!</v>
      </c>
      <c r="I83" s="328" t="e">
        <f t="shared" si="22"/>
        <v>#VALUE!</v>
      </c>
      <c r="J83" s="328" t="str">
        <f>IF(I7="","",I7)</f>
        <v/>
      </c>
      <c r="K83" s="324" t="str">
        <f t="shared" si="26"/>
        <v/>
      </c>
      <c r="M83" s="331" t="e">
        <f t="shared" si="23"/>
        <v>#VALUE!</v>
      </c>
      <c r="N83" s="331" t="e">
        <f t="shared" si="23"/>
        <v>#VALUE!</v>
      </c>
      <c r="O83" s="331" t="e">
        <f t="shared" si="23"/>
        <v>#VALUE!</v>
      </c>
      <c r="P83" s="331" t="e">
        <f t="shared" si="23"/>
        <v>#VALUE!</v>
      </c>
      <c r="Q83" s="331" t="e">
        <f t="shared" si="23"/>
        <v>#VALUE!</v>
      </c>
      <c r="R83" s="331" t="e">
        <f t="shared" si="23"/>
        <v>#VALUE!</v>
      </c>
      <c r="S83" s="331" t="e">
        <f t="shared" si="23"/>
        <v>#VALUE!</v>
      </c>
      <c r="T83" s="331" t="e">
        <f t="shared" si="23"/>
        <v>#VALUE!</v>
      </c>
      <c r="U83" s="338" t="e">
        <f t="shared" si="23"/>
        <v>#VALUE!</v>
      </c>
      <c r="V83" s="338" t="e">
        <f t="shared" si="23"/>
        <v>#VALUE!</v>
      </c>
      <c r="W83" s="324" t="e">
        <f t="shared" si="23"/>
        <v>#VALUE!</v>
      </c>
      <c r="X83" s="324" t="e">
        <f t="shared" si="23"/>
        <v>#VALUE!</v>
      </c>
      <c r="Y83" s="324" t="e">
        <f t="shared" si="23"/>
        <v>#VALUE!</v>
      </c>
      <c r="Z83" s="324" t="e">
        <f t="shared" si="23"/>
        <v>#VALUE!</v>
      </c>
      <c r="AA83" s="324" t="e">
        <f t="shared" si="23"/>
        <v>#VALUE!</v>
      </c>
      <c r="AB83" s="324" t="e">
        <f t="shared" si="23"/>
        <v>#VALUE!</v>
      </c>
      <c r="AC83" s="324" t="e">
        <f t="shared" si="24"/>
        <v>#VALUE!</v>
      </c>
      <c r="AD83" s="324" t="e">
        <f t="shared" si="24"/>
        <v>#VALUE!</v>
      </c>
      <c r="AE83" s="324" t="e">
        <f t="shared" si="24"/>
        <v>#VALUE!</v>
      </c>
    </row>
    <row r="84" spans="1:31" s="324" customFormat="1" ht="0.65" hidden="1" customHeight="1">
      <c r="A84" s="324" t="e">
        <f t="shared" si="20"/>
        <v>#VALUE!</v>
      </c>
      <c r="B84" s="324" t="e">
        <f>$D$3</f>
        <v>#VALUE!</v>
      </c>
      <c r="C84" s="324" t="e">
        <f>G4</f>
        <v>#VALUE!</v>
      </c>
      <c r="D84" s="326" t="e">
        <f>IF(B84=C84,1,0)</f>
        <v>#VALUE!</v>
      </c>
      <c r="F84" s="324" t="e">
        <f t="shared" si="25"/>
        <v>#VALUE!</v>
      </c>
      <c r="G84" s="324">
        <v>8</v>
      </c>
      <c r="H84" s="324" t="e">
        <f t="shared" si="22"/>
        <v>#VALUE!</v>
      </c>
      <c r="I84" s="328" t="e">
        <f t="shared" si="22"/>
        <v>#VALUE!</v>
      </c>
      <c r="J84" s="328" t="str">
        <f>IF(J5="","",J5)</f>
        <v/>
      </c>
      <c r="K84" s="324" t="str">
        <f t="shared" si="26"/>
        <v/>
      </c>
      <c r="M84" s="331" t="e">
        <f t="shared" si="23"/>
        <v>#VALUE!</v>
      </c>
      <c r="N84" s="331" t="e">
        <f t="shared" si="23"/>
        <v>#VALUE!</v>
      </c>
      <c r="O84" s="331" t="e">
        <f t="shared" si="23"/>
        <v>#VALUE!</v>
      </c>
      <c r="P84" s="331" t="e">
        <f t="shared" si="23"/>
        <v>#VALUE!</v>
      </c>
      <c r="Q84" s="331" t="e">
        <f t="shared" si="23"/>
        <v>#VALUE!</v>
      </c>
      <c r="R84" s="331" t="e">
        <f t="shared" si="23"/>
        <v>#VALUE!</v>
      </c>
      <c r="S84" s="331" t="e">
        <f t="shared" si="23"/>
        <v>#VALUE!</v>
      </c>
      <c r="T84" s="331" t="e">
        <f t="shared" si="23"/>
        <v>#VALUE!</v>
      </c>
      <c r="U84" s="338" t="e">
        <f t="shared" si="23"/>
        <v>#VALUE!</v>
      </c>
      <c r="V84" s="338" t="e">
        <f t="shared" si="23"/>
        <v>#VALUE!</v>
      </c>
      <c r="W84" s="324" t="e">
        <f t="shared" si="23"/>
        <v>#VALUE!</v>
      </c>
      <c r="X84" s="324" t="e">
        <f t="shared" si="23"/>
        <v>#VALUE!</v>
      </c>
      <c r="Y84" s="324" t="e">
        <f t="shared" si="23"/>
        <v>#VALUE!</v>
      </c>
      <c r="Z84" s="324" t="e">
        <f t="shared" si="23"/>
        <v>#VALUE!</v>
      </c>
      <c r="AA84" s="324" t="e">
        <f t="shared" si="23"/>
        <v>#VALUE!</v>
      </c>
      <c r="AB84" s="324" t="e">
        <f t="shared" si="23"/>
        <v>#VALUE!</v>
      </c>
      <c r="AC84" s="324" t="e">
        <f t="shared" si="24"/>
        <v>#VALUE!</v>
      </c>
      <c r="AD84" s="324" t="e">
        <f t="shared" si="24"/>
        <v>#VALUE!</v>
      </c>
      <c r="AE84" s="324" t="e">
        <f t="shared" si="24"/>
        <v>#VALUE!</v>
      </c>
    </row>
    <row r="85" spans="1:31" s="324" customFormat="1" ht="0.65" hidden="1" customHeight="1">
      <c r="A85" s="324" t="e">
        <f t="shared" si="20"/>
        <v>#VALUE!</v>
      </c>
      <c r="B85" s="324" t="e">
        <f>1+B84</f>
        <v>#VALUE!</v>
      </c>
      <c r="C85" s="324" t="e">
        <f>G5</f>
        <v>#VALUE!</v>
      </c>
      <c r="D85" s="326" t="e">
        <f>IF(B85=C85,1,0)</f>
        <v>#VALUE!</v>
      </c>
      <c r="F85" s="324" t="e">
        <f t="shared" si="25"/>
        <v>#VALUE!</v>
      </c>
      <c r="G85" s="324">
        <v>9</v>
      </c>
      <c r="H85" s="324" t="e">
        <f t="shared" si="22"/>
        <v>#VALUE!</v>
      </c>
      <c r="I85" s="328" t="e">
        <f t="shared" si="22"/>
        <v>#VALUE!</v>
      </c>
      <c r="J85" s="328" t="str">
        <f>IF(J6="","",J6)</f>
        <v/>
      </c>
      <c r="K85" s="324" t="str">
        <f t="shared" si="26"/>
        <v/>
      </c>
      <c r="M85" s="331" t="e">
        <f t="shared" si="23"/>
        <v>#VALUE!</v>
      </c>
      <c r="N85" s="331" t="e">
        <f t="shared" si="23"/>
        <v>#VALUE!</v>
      </c>
      <c r="O85" s="331" t="e">
        <f t="shared" si="23"/>
        <v>#VALUE!</v>
      </c>
      <c r="P85" s="331" t="e">
        <f t="shared" si="23"/>
        <v>#VALUE!</v>
      </c>
      <c r="Q85" s="331" t="e">
        <f t="shared" si="23"/>
        <v>#VALUE!</v>
      </c>
      <c r="R85" s="331" t="e">
        <f t="shared" si="23"/>
        <v>#VALUE!</v>
      </c>
      <c r="S85" s="331" t="e">
        <f t="shared" si="23"/>
        <v>#VALUE!</v>
      </c>
      <c r="T85" s="331" t="e">
        <f t="shared" si="23"/>
        <v>#VALUE!</v>
      </c>
      <c r="U85" s="338" t="e">
        <f t="shared" si="23"/>
        <v>#VALUE!</v>
      </c>
      <c r="V85" s="338" t="e">
        <f t="shared" si="23"/>
        <v>#VALUE!</v>
      </c>
      <c r="W85" s="324" t="e">
        <f t="shared" si="23"/>
        <v>#VALUE!</v>
      </c>
      <c r="X85" s="324" t="e">
        <f t="shared" si="23"/>
        <v>#VALUE!</v>
      </c>
      <c r="Y85" s="324" t="e">
        <f t="shared" si="23"/>
        <v>#VALUE!</v>
      </c>
      <c r="Z85" s="324" t="e">
        <f t="shared" si="23"/>
        <v>#VALUE!</v>
      </c>
      <c r="AA85" s="324" t="e">
        <f t="shared" si="23"/>
        <v>#VALUE!</v>
      </c>
      <c r="AB85" s="324" t="e">
        <f t="shared" si="23"/>
        <v>#VALUE!</v>
      </c>
      <c r="AC85" s="324" t="e">
        <f t="shared" si="24"/>
        <v>#VALUE!</v>
      </c>
      <c r="AD85" s="324" t="e">
        <f t="shared" si="24"/>
        <v>#VALUE!</v>
      </c>
      <c r="AE85" s="324" t="e">
        <f t="shared" si="24"/>
        <v>#VALUE!</v>
      </c>
    </row>
    <row r="86" spans="1:31" s="324" customFormat="1" ht="0.65" hidden="1" customHeight="1">
      <c r="A86" s="324" t="e">
        <f t="shared" si="20"/>
        <v>#VALUE!</v>
      </c>
      <c r="B86" s="324" t="e">
        <f>1+B85</f>
        <v>#VALUE!</v>
      </c>
      <c r="C86" s="324" t="e">
        <f>G6</f>
        <v>#VALUE!</v>
      </c>
      <c r="D86" s="326" t="e">
        <f>IF(B86=C86,1,0)</f>
        <v>#VALUE!</v>
      </c>
      <c r="F86" s="324" t="e">
        <f t="shared" si="25"/>
        <v>#VALUE!</v>
      </c>
      <c r="G86" s="324">
        <v>10</v>
      </c>
      <c r="H86" s="324" t="e">
        <f t="shared" si="22"/>
        <v>#VALUE!</v>
      </c>
      <c r="I86" s="328" t="e">
        <f t="shared" si="22"/>
        <v>#VALUE!</v>
      </c>
      <c r="J86" s="328" t="str">
        <f>IF(J7="","",J7)</f>
        <v/>
      </c>
      <c r="K86" s="324" t="str">
        <f t="shared" si="26"/>
        <v/>
      </c>
      <c r="M86" s="331" t="e">
        <f t="shared" si="23"/>
        <v>#VALUE!</v>
      </c>
      <c r="N86" s="331" t="e">
        <f t="shared" si="23"/>
        <v>#VALUE!</v>
      </c>
      <c r="O86" s="331" t="e">
        <f t="shared" si="23"/>
        <v>#VALUE!</v>
      </c>
      <c r="P86" s="331" t="e">
        <f t="shared" si="23"/>
        <v>#VALUE!</v>
      </c>
      <c r="Q86" s="331" t="e">
        <f t="shared" si="23"/>
        <v>#VALUE!</v>
      </c>
      <c r="R86" s="331" t="e">
        <f t="shared" si="23"/>
        <v>#VALUE!</v>
      </c>
      <c r="S86" s="331" t="e">
        <f t="shared" si="23"/>
        <v>#VALUE!</v>
      </c>
      <c r="T86" s="331" t="e">
        <f t="shared" si="23"/>
        <v>#VALUE!</v>
      </c>
      <c r="U86" s="338" t="e">
        <f t="shared" si="23"/>
        <v>#VALUE!</v>
      </c>
      <c r="V86" s="338" t="e">
        <f t="shared" si="23"/>
        <v>#VALUE!</v>
      </c>
      <c r="W86" s="324" t="e">
        <f t="shared" si="23"/>
        <v>#VALUE!</v>
      </c>
      <c r="X86" s="324" t="e">
        <f t="shared" si="23"/>
        <v>#VALUE!</v>
      </c>
      <c r="Y86" s="324" t="e">
        <f t="shared" si="23"/>
        <v>#VALUE!</v>
      </c>
      <c r="Z86" s="324" t="e">
        <f t="shared" si="23"/>
        <v>#VALUE!</v>
      </c>
      <c r="AA86" s="324" t="e">
        <f t="shared" si="23"/>
        <v>#VALUE!</v>
      </c>
      <c r="AB86" s="324" t="e">
        <f t="shared" si="23"/>
        <v>#VALUE!</v>
      </c>
      <c r="AC86" s="324" t="e">
        <f t="shared" si="24"/>
        <v>#VALUE!</v>
      </c>
      <c r="AD86" s="324" t="e">
        <f t="shared" si="24"/>
        <v>#VALUE!</v>
      </c>
      <c r="AE86" s="324" t="e">
        <f t="shared" si="24"/>
        <v>#VALUE!</v>
      </c>
    </row>
    <row r="87" spans="1:31" s="324" customFormat="1" ht="0.65" hidden="1" customHeight="1">
      <c r="A87" s="324" t="e">
        <f t="shared" si="20"/>
        <v>#VALUE!</v>
      </c>
      <c r="B87" s="324" t="e">
        <f>1+B86</f>
        <v>#VALUE!</v>
      </c>
      <c r="C87" s="324" t="e">
        <f>G7</f>
        <v>#VALUE!</v>
      </c>
      <c r="D87" s="326" t="e">
        <f>IF(B87=C87,1,0)</f>
        <v>#VALUE!</v>
      </c>
      <c r="F87" s="324" t="e">
        <f t="shared" si="25"/>
        <v>#VALUE!</v>
      </c>
      <c r="G87" s="324">
        <v>11</v>
      </c>
      <c r="H87" s="324" t="e">
        <f t="shared" si="22"/>
        <v>#VALUE!</v>
      </c>
      <c r="I87" s="328" t="e">
        <f t="shared" si="22"/>
        <v>#VALUE!</v>
      </c>
      <c r="J87" s="328" t="str">
        <f>IF(K5="","",K5)</f>
        <v/>
      </c>
      <c r="K87" s="324" t="str">
        <f t="shared" si="26"/>
        <v/>
      </c>
      <c r="M87" s="331" t="e">
        <f t="shared" si="23"/>
        <v>#VALUE!</v>
      </c>
      <c r="N87" s="331" t="e">
        <f t="shared" si="23"/>
        <v>#VALUE!</v>
      </c>
      <c r="O87" s="331" t="e">
        <f t="shared" si="23"/>
        <v>#VALUE!</v>
      </c>
      <c r="P87" s="331" t="e">
        <f t="shared" si="23"/>
        <v>#VALUE!</v>
      </c>
      <c r="Q87" s="331" t="e">
        <f t="shared" si="23"/>
        <v>#VALUE!</v>
      </c>
      <c r="R87" s="331" t="e">
        <f t="shared" si="23"/>
        <v>#VALUE!</v>
      </c>
      <c r="S87" s="331" t="e">
        <f t="shared" si="23"/>
        <v>#VALUE!</v>
      </c>
      <c r="T87" s="331" t="e">
        <f t="shared" si="23"/>
        <v>#VALUE!</v>
      </c>
      <c r="U87" s="338" t="e">
        <f t="shared" si="23"/>
        <v>#VALUE!</v>
      </c>
      <c r="V87" s="338" t="e">
        <f t="shared" si="23"/>
        <v>#VALUE!</v>
      </c>
      <c r="W87" s="324" t="e">
        <f t="shared" si="23"/>
        <v>#VALUE!</v>
      </c>
      <c r="X87" s="324" t="e">
        <f t="shared" si="23"/>
        <v>#VALUE!</v>
      </c>
      <c r="Y87" s="324" t="e">
        <f t="shared" si="23"/>
        <v>#VALUE!</v>
      </c>
      <c r="Z87" s="324" t="e">
        <f t="shared" si="23"/>
        <v>#VALUE!</v>
      </c>
      <c r="AA87" s="324" t="e">
        <f t="shared" si="23"/>
        <v>#VALUE!</v>
      </c>
      <c r="AB87" s="324" t="e">
        <f t="shared" si="23"/>
        <v>#VALUE!</v>
      </c>
      <c r="AC87" s="324" t="e">
        <f t="shared" si="24"/>
        <v>#VALUE!</v>
      </c>
      <c r="AD87" s="324" t="e">
        <f t="shared" si="24"/>
        <v>#VALUE!</v>
      </c>
      <c r="AE87" s="324" t="e">
        <f t="shared" si="24"/>
        <v>#VALUE!</v>
      </c>
    </row>
    <row r="88" spans="1:31" s="324" customFormat="1" ht="0.65" hidden="1" customHeight="1">
      <c r="A88" s="324" t="e">
        <f t="shared" si="20"/>
        <v>#VALUE!</v>
      </c>
      <c r="D88" s="326"/>
      <c r="F88" s="324" t="e">
        <f t="shared" si="25"/>
        <v>#VALUE!</v>
      </c>
      <c r="G88" s="324">
        <v>12</v>
      </c>
      <c r="H88" s="324" t="e">
        <f t="shared" si="22"/>
        <v>#VALUE!</v>
      </c>
      <c r="I88" s="328" t="e">
        <f t="shared" si="22"/>
        <v>#VALUE!</v>
      </c>
      <c r="J88" s="328" t="str">
        <f>IF(K6="","",K6)</f>
        <v/>
      </c>
      <c r="K88" s="324" t="str">
        <f t="shared" si="26"/>
        <v/>
      </c>
      <c r="M88" s="331" t="e">
        <f t="shared" si="23"/>
        <v>#VALUE!</v>
      </c>
      <c r="N88" s="331" t="e">
        <f t="shared" si="23"/>
        <v>#VALUE!</v>
      </c>
      <c r="O88" s="331" t="e">
        <f t="shared" si="23"/>
        <v>#VALUE!</v>
      </c>
      <c r="P88" s="331" t="e">
        <f t="shared" si="23"/>
        <v>#VALUE!</v>
      </c>
      <c r="Q88" s="331" t="e">
        <f t="shared" si="23"/>
        <v>#VALUE!</v>
      </c>
      <c r="R88" s="331" t="e">
        <f t="shared" si="23"/>
        <v>#VALUE!</v>
      </c>
      <c r="S88" s="331" t="e">
        <f t="shared" si="23"/>
        <v>#VALUE!</v>
      </c>
      <c r="T88" s="331" t="e">
        <f t="shared" si="23"/>
        <v>#VALUE!</v>
      </c>
      <c r="U88" s="338" t="e">
        <f t="shared" si="23"/>
        <v>#VALUE!</v>
      </c>
      <c r="V88" s="338" t="e">
        <f t="shared" si="23"/>
        <v>#VALUE!</v>
      </c>
      <c r="W88" s="324" t="e">
        <f t="shared" si="23"/>
        <v>#VALUE!</v>
      </c>
      <c r="X88" s="324" t="e">
        <f t="shared" si="23"/>
        <v>#VALUE!</v>
      </c>
      <c r="Y88" s="324" t="e">
        <f t="shared" si="23"/>
        <v>#VALUE!</v>
      </c>
      <c r="Z88" s="324" t="e">
        <f t="shared" si="23"/>
        <v>#VALUE!</v>
      </c>
      <c r="AA88" s="324" t="e">
        <f t="shared" si="23"/>
        <v>#VALUE!</v>
      </c>
      <c r="AB88" s="324" t="e">
        <f t="shared" si="23"/>
        <v>#VALUE!</v>
      </c>
      <c r="AC88" s="324" t="e">
        <f t="shared" si="24"/>
        <v>#VALUE!</v>
      </c>
      <c r="AD88" s="324" t="e">
        <f t="shared" si="24"/>
        <v>#VALUE!</v>
      </c>
      <c r="AE88" s="324" t="e">
        <f t="shared" si="24"/>
        <v>#VALUE!</v>
      </c>
    </row>
    <row r="89" spans="1:31" s="324" customFormat="1" ht="0.65" hidden="1" customHeight="1">
      <c r="A89" s="324" t="e">
        <f t="shared" si="20"/>
        <v>#VALUE!</v>
      </c>
      <c r="D89" s="326"/>
      <c r="F89" s="324" t="e">
        <f t="shared" si="25"/>
        <v>#VALUE!</v>
      </c>
      <c r="G89" s="324">
        <v>13</v>
      </c>
      <c r="H89" s="324" t="e">
        <f t="shared" si="22"/>
        <v>#VALUE!</v>
      </c>
      <c r="I89" s="328" t="e">
        <f t="shared" si="22"/>
        <v>#VALUE!</v>
      </c>
      <c r="J89" s="328" t="str">
        <f>IF(K7="","",K7)</f>
        <v/>
      </c>
      <c r="K89" s="324" t="str">
        <f t="shared" si="26"/>
        <v/>
      </c>
      <c r="M89" s="331" t="e">
        <f t="shared" si="23"/>
        <v>#VALUE!</v>
      </c>
      <c r="N89" s="331" t="e">
        <f t="shared" si="23"/>
        <v>#VALUE!</v>
      </c>
      <c r="O89" s="331" t="e">
        <f t="shared" si="23"/>
        <v>#VALUE!</v>
      </c>
      <c r="P89" s="331" t="e">
        <f t="shared" si="23"/>
        <v>#VALUE!</v>
      </c>
      <c r="Q89" s="331" t="e">
        <f t="shared" si="23"/>
        <v>#VALUE!</v>
      </c>
      <c r="R89" s="331" t="e">
        <f t="shared" si="23"/>
        <v>#VALUE!</v>
      </c>
      <c r="S89" s="331" t="e">
        <f t="shared" si="23"/>
        <v>#VALUE!</v>
      </c>
      <c r="T89" s="331" t="e">
        <f t="shared" si="23"/>
        <v>#VALUE!</v>
      </c>
      <c r="U89" s="338" t="e">
        <f t="shared" si="23"/>
        <v>#VALUE!</v>
      </c>
      <c r="V89" s="338" t="e">
        <f t="shared" si="23"/>
        <v>#VALUE!</v>
      </c>
      <c r="W89" s="324" t="e">
        <f t="shared" si="23"/>
        <v>#VALUE!</v>
      </c>
      <c r="X89" s="324" t="e">
        <f t="shared" si="23"/>
        <v>#VALUE!</v>
      </c>
      <c r="Y89" s="324" t="e">
        <f t="shared" si="23"/>
        <v>#VALUE!</v>
      </c>
      <c r="Z89" s="324" t="e">
        <f t="shared" si="23"/>
        <v>#VALUE!</v>
      </c>
      <c r="AA89" s="324" t="e">
        <f t="shared" si="23"/>
        <v>#VALUE!</v>
      </c>
      <c r="AB89" s="324" t="e">
        <f t="shared" si="23"/>
        <v>#VALUE!</v>
      </c>
      <c r="AC89" s="324" t="e">
        <f t="shared" si="24"/>
        <v>#VALUE!</v>
      </c>
      <c r="AD89" s="324" t="e">
        <f t="shared" si="24"/>
        <v>#VALUE!</v>
      </c>
      <c r="AE89" s="324" t="e">
        <f t="shared" si="24"/>
        <v>#VALUE!</v>
      </c>
    </row>
    <row r="90" spans="1:31" s="324" customFormat="1" ht="0.65" hidden="1" customHeight="1">
      <c r="A90" s="324" t="e">
        <f t="shared" si="20"/>
        <v>#VALUE!</v>
      </c>
      <c r="B90" s="324" t="e">
        <f>$D$3</f>
        <v>#VALUE!</v>
      </c>
      <c r="C90" s="324" t="e">
        <f>G10</f>
        <v>#VALUE!</v>
      </c>
      <c r="D90" s="326" t="e">
        <f>IF(B90=C90,1,0)</f>
        <v>#VALUE!</v>
      </c>
      <c r="F90" s="324" t="e">
        <f t="shared" si="25"/>
        <v>#VALUE!</v>
      </c>
      <c r="G90" s="324">
        <v>14</v>
      </c>
      <c r="H90" s="324" t="e">
        <f t="shared" si="22"/>
        <v>#VALUE!</v>
      </c>
      <c r="I90" s="328" t="e">
        <f t="shared" si="22"/>
        <v>#VALUE!</v>
      </c>
      <c r="J90" s="328" t="str">
        <f>IF(L5="","",L5)</f>
        <v/>
      </c>
      <c r="K90" s="324" t="str">
        <f t="shared" si="26"/>
        <v/>
      </c>
      <c r="M90" s="331" t="e">
        <f t="shared" si="23"/>
        <v>#VALUE!</v>
      </c>
      <c r="N90" s="331" t="e">
        <f t="shared" si="23"/>
        <v>#VALUE!</v>
      </c>
      <c r="O90" s="331" t="e">
        <f t="shared" si="23"/>
        <v>#VALUE!</v>
      </c>
      <c r="P90" s="331" t="e">
        <f t="shared" si="23"/>
        <v>#VALUE!</v>
      </c>
      <c r="Q90" s="331" t="e">
        <f t="shared" si="23"/>
        <v>#VALUE!</v>
      </c>
      <c r="R90" s="331" t="e">
        <f t="shared" si="23"/>
        <v>#VALUE!</v>
      </c>
      <c r="S90" s="331" t="e">
        <f t="shared" si="23"/>
        <v>#VALUE!</v>
      </c>
      <c r="T90" s="331" t="e">
        <f t="shared" si="23"/>
        <v>#VALUE!</v>
      </c>
      <c r="U90" s="338" t="e">
        <f t="shared" si="23"/>
        <v>#VALUE!</v>
      </c>
      <c r="V90" s="338" t="e">
        <f t="shared" si="23"/>
        <v>#VALUE!</v>
      </c>
      <c r="W90" s="324" t="e">
        <f t="shared" si="23"/>
        <v>#VALUE!</v>
      </c>
      <c r="X90" s="324" t="e">
        <f t="shared" si="23"/>
        <v>#VALUE!</v>
      </c>
      <c r="Y90" s="324" t="e">
        <f t="shared" si="23"/>
        <v>#VALUE!</v>
      </c>
      <c r="Z90" s="324" t="e">
        <f t="shared" si="23"/>
        <v>#VALUE!</v>
      </c>
      <c r="AA90" s="324" t="e">
        <f t="shared" si="23"/>
        <v>#VALUE!</v>
      </c>
      <c r="AB90" s="324" t="e">
        <f t="shared" si="23"/>
        <v>#VALUE!</v>
      </c>
      <c r="AC90" s="324" t="e">
        <f t="shared" si="24"/>
        <v>#VALUE!</v>
      </c>
      <c r="AD90" s="324" t="e">
        <f t="shared" si="24"/>
        <v>#VALUE!</v>
      </c>
      <c r="AE90" s="324" t="e">
        <f t="shared" si="24"/>
        <v>#VALUE!</v>
      </c>
    </row>
    <row r="91" spans="1:31" s="324" customFormat="1" ht="0.65" hidden="1" customHeight="1">
      <c r="A91" s="324" t="e">
        <f t="shared" si="20"/>
        <v>#VALUE!</v>
      </c>
      <c r="B91" s="324" t="e">
        <f>1+B90</f>
        <v>#VALUE!</v>
      </c>
      <c r="C91" s="324" t="e">
        <f>G11</f>
        <v>#VALUE!</v>
      </c>
      <c r="D91" s="326" t="e">
        <f>IF(B91=C91,1,0)</f>
        <v>#VALUE!</v>
      </c>
      <c r="F91" s="324" t="e">
        <f t="shared" si="25"/>
        <v>#VALUE!</v>
      </c>
      <c r="G91" s="324">
        <v>15</v>
      </c>
      <c r="H91" s="324" t="e">
        <f t="shared" si="22"/>
        <v>#VALUE!</v>
      </c>
      <c r="I91" s="328" t="e">
        <f t="shared" si="22"/>
        <v>#VALUE!</v>
      </c>
      <c r="J91" s="328" t="str">
        <f>IF(L6="","",L6)</f>
        <v/>
      </c>
      <c r="K91" s="324" t="str">
        <f t="shared" si="26"/>
        <v/>
      </c>
      <c r="M91" s="331" t="e">
        <f t="shared" si="23"/>
        <v>#VALUE!</v>
      </c>
      <c r="N91" s="331" t="e">
        <f t="shared" si="23"/>
        <v>#VALUE!</v>
      </c>
      <c r="O91" s="331" t="e">
        <f t="shared" si="23"/>
        <v>#VALUE!</v>
      </c>
      <c r="P91" s="331" t="e">
        <f t="shared" si="23"/>
        <v>#VALUE!</v>
      </c>
      <c r="Q91" s="331" t="e">
        <f t="shared" si="23"/>
        <v>#VALUE!</v>
      </c>
      <c r="R91" s="331" t="e">
        <f t="shared" si="23"/>
        <v>#VALUE!</v>
      </c>
      <c r="S91" s="331" t="e">
        <f t="shared" si="23"/>
        <v>#VALUE!</v>
      </c>
      <c r="T91" s="331" t="e">
        <f t="shared" si="23"/>
        <v>#VALUE!</v>
      </c>
      <c r="U91" s="338" t="e">
        <f t="shared" si="23"/>
        <v>#VALUE!</v>
      </c>
      <c r="V91" s="338" t="e">
        <f t="shared" si="23"/>
        <v>#VALUE!</v>
      </c>
      <c r="W91" s="324" t="e">
        <f t="shared" si="23"/>
        <v>#VALUE!</v>
      </c>
      <c r="X91" s="324" t="e">
        <f t="shared" si="23"/>
        <v>#VALUE!</v>
      </c>
      <c r="Y91" s="324" t="e">
        <f t="shared" si="23"/>
        <v>#VALUE!</v>
      </c>
      <c r="Z91" s="324" t="e">
        <f t="shared" si="23"/>
        <v>#VALUE!</v>
      </c>
      <c r="AA91" s="324" t="e">
        <f t="shared" si="23"/>
        <v>#VALUE!</v>
      </c>
      <c r="AB91" s="324" t="e">
        <f t="shared" si="23"/>
        <v>#VALUE!</v>
      </c>
      <c r="AC91" s="324" t="e">
        <f t="shared" si="24"/>
        <v>#VALUE!</v>
      </c>
      <c r="AD91" s="324" t="e">
        <f t="shared" si="24"/>
        <v>#VALUE!</v>
      </c>
      <c r="AE91" s="324" t="e">
        <f t="shared" si="24"/>
        <v>#VALUE!</v>
      </c>
    </row>
    <row r="92" spans="1:31" s="324" customFormat="1" ht="0.65" hidden="1" customHeight="1">
      <c r="A92" s="324" t="e">
        <f t="shared" si="20"/>
        <v>#VALUE!</v>
      </c>
      <c r="B92" s="324" t="e">
        <f>1+B91</f>
        <v>#VALUE!</v>
      </c>
      <c r="C92" s="324" t="e">
        <f>G12</f>
        <v>#VALUE!</v>
      </c>
      <c r="D92" s="326" t="e">
        <f>IF(B92=C92,1,0)</f>
        <v>#VALUE!</v>
      </c>
      <c r="F92" s="324" t="e">
        <f t="shared" si="25"/>
        <v>#VALUE!</v>
      </c>
      <c r="G92" s="324">
        <v>16</v>
      </c>
      <c r="H92" s="324" t="e">
        <f t="shared" si="22"/>
        <v>#VALUE!</v>
      </c>
      <c r="I92" s="328" t="e">
        <f t="shared" si="22"/>
        <v>#VALUE!</v>
      </c>
      <c r="J92" s="328" t="str">
        <f>IF(L7="","",L7)</f>
        <v/>
      </c>
      <c r="K92" s="324" t="str">
        <f t="shared" si="26"/>
        <v/>
      </c>
      <c r="M92" s="331" t="e">
        <f t="shared" si="23"/>
        <v>#VALUE!</v>
      </c>
      <c r="N92" s="331" t="e">
        <f t="shared" si="23"/>
        <v>#VALUE!</v>
      </c>
      <c r="O92" s="331" t="e">
        <f t="shared" si="23"/>
        <v>#VALUE!</v>
      </c>
      <c r="P92" s="331" t="e">
        <f t="shared" si="23"/>
        <v>#VALUE!</v>
      </c>
      <c r="Q92" s="331" t="e">
        <f t="shared" si="23"/>
        <v>#VALUE!</v>
      </c>
      <c r="R92" s="331" t="e">
        <f t="shared" si="23"/>
        <v>#VALUE!</v>
      </c>
      <c r="S92" s="331" t="e">
        <f t="shared" si="23"/>
        <v>#VALUE!</v>
      </c>
      <c r="T92" s="331" t="e">
        <f t="shared" si="23"/>
        <v>#VALUE!</v>
      </c>
      <c r="U92" s="338" t="e">
        <f t="shared" si="23"/>
        <v>#VALUE!</v>
      </c>
      <c r="V92" s="338" t="e">
        <f t="shared" si="23"/>
        <v>#VALUE!</v>
      </c>
      <c r="W92" s="324" t="e">
        <f t="shared" si="23"/>
        <v>#VALUE!</v>
      </c>
      <c r="X92" s="324" t="e">
        <f t="shared" si="23"/>
        <v>#VALUE!</v>
      </c>
      <c r="Y92" s="324" t="e">
        <f t="shared" si="23"/>
        <v>#VALUE!</v>
      </c>
      <c r="Z92" s="324" t="e">
        <f t="shared" si="23"/>
        <v>#VALUE!</v>
      </c>
      <c r="AA92" s="324" t="e">
        <f t="shared" si="23"/>
        <v>#VALUE!</v>
      </c>
      <c r="AB92" s="324" t="e">
        <f t="shared" ref="AB92:AE111" si="27">VLOOKUP($A92,$A$231:$AP$1595,AB$54,FALSE)</f>
        <v>#VALUE!</v>
      </c>
      <c r="AC92" s="324" t="e">
        <f t="shared" si="24"/>
        <v>#VALUE!</v>
      </c>
      <c r="AD92" s="324" t="e">
        <f t="shared" si="24"/>
        <v>#VALUE!</v>
      </c>
      <c r="AE92" s="324" t="e">
        <f t="shared" si="24"/>
        <v>#VALUE!</v>
      </c>
    </row>
    <row r="93" spans="1:31" s="324" customFormat="1" ht="0.65" hidden="1" customHeight="1">
      <c r="A93" s="324" t="e">
        <f t="shared" si="20"/>
        <v>#VALUE!</v>
      </c>
      <c r="B93" s="324" t="e">
        <f>1+B92</f>
        <v>#VALUE!</v>
      </c>
      <c r="C93" s="324" t="e">
        <f>G13</f>
        <v>#VALUE!</v>
      </c>
      <c r="D93" s="326" t="e">
        <f>IF(B93=C93,1,0)</f>
        <v>#VALUE!</v>
      </c>
      <c r="F93" s="324" t="e">
        <f t="shared" si="25"/>
        <v>#VALUE!</v>
      </c>
      <c r="G93" s="324">
        <v>17</v>
      </c>
      <c r="H93" s="324" t="e">
        <f t="shared" si="22"/>
        <v>#VALUE!</v>
      </c>
      <c r="I93" s="328" t="e">
        <f t="shared" si="22"/>
        <v>#VALUE!</v>
      </c>
      <c r="J93" s="328" t="str">
        <f>IF(M5="","",M5)</f>
        <v/>
      </c>
      <c r="K93" s="324" t="str">
        <f t="shared" si="26"/>
        <v/>
      </c>
      <c r="M93" s="331" t="e">
        <f t="shared" ref="M93:AA108" si="28">VLOOKUP($A93,$A$231:$AP$1595,M$54,FALSE)</f>
        <v>#VALUE!</v>
      </c>
      <c r="N93" s="331" t="e">
        <f t="shared" si="28"/>
        <v>#VALUE!</v>
      </c>
      <c r="O93" s="331" t="e">
        <f t="shared" si="28"/>
        <v>#VALUE!</v>
      </c>
      <c r="P93" s="331" t="e">
        <f t="shared" si="28"/>
        <v>#VALUE!</v>
      </c>
      <c r="Q93" s="331" t="e">
        <f t="shared" si="28"/>
        <v>#VALUE!</v>
      </c>
      <c r="R93" s="331" t="e">
        <f t="shared" si="28"/>
        <v>#VALUE!</v>
      </c>
      <c r="S93" s="331" t="e">
        <f t="shared" si="28"/>
        <v>#VALUE!</v>
      </c>
      <c r="T93" s="331" t="e">
        <f t="shared" si="28"/>
        <v>#VALUE!</v>
      </c>
      <c r="U93" s="338" t="e">
        <f t="shared" si="28"/>
        <v>#VALUE!</v>
      </c>
      <c r="V93" s="338" t="e">
        <f t="shared" si="28"/>
        <v>#VALUE!</v>
      </c>
      <c r="W93" s="324" t="e">
        <f t="shared" si="28"/>
        <v>#VALUE!</v>
      </c>
      <c r="X93" s="324" t="e">
        <f t="shared" si="28"/>
        <v>#VALUE!</v>
      </c>
      <c r="Y93" s="324" t="e">
        <f t="shared" si="28"/>
        <v>#VALUE!</v>
      </c>
      <c r="Z93" s="324" t="e">
        <f t="shared" si="28"/>
        <v>#VALUE!</v>
      </c>
      <c r="AA93" s="324" t="e">
        <f t="shared" si="28"/>
        <v>#VALUE!</v>
      </c>
      <c r="AB93" s="324" t="e">
        <f t="shared" si="27"/>
        <v>#VALUE!</v>
      </c>
      <c r="AC93" s="324" t="e">
        <f t="shared" si="24"/>
        <v>#VALUE!</v>
      </c>
      <c r="AD93" s="324" t="e">
        <f t="shared" si="24"/>
        <v>#VALUE!</v>
      </c>
      <c r="AE93" s="324" t="e">
        <f t="shared" si="24"/>
        <v>#VALUE!</v>
      </c>
    </row>
    <row r="94" spans="1:31" s="324" customFormat="1" ht="0.65" hidden="1" customHeight="1">
      <c r="A94" s="324" t="e">
        <f t="shared" si="20"/>
        <v>#VALUE!</v>
      </c>
      <c r="D94" s="326"/>
      <c r="F94" s="324" t="e">
        <f t="shared" si="25"/>
        <v>#VALUE!</v>
      </c>
      <c r="G94" s="324">
        <v>18</v>
      </c>
      <c r="H94" s="324" t="e">
        <f t="shared" si="22"/>
        <v>#VALUE!</v>
      </c>
      <c r="I94" s="328" t="e">
        <f t="shared" si="22"/>
        <v>#VALUE!</v>
      </c>
      <c r="J94" s="328" t="str">
        <f>IF(M6="","",M6)</f>
        <v/>
      </c>
      <c r="K94" s="324" t="str">
        <f t="shared" si="26"/>
        <v/>
      </c>
      <c r="M94" s="331" t="e">
        <f t="shared" si="28"/>
        <v>#VALUE!</v>
      </c>
      <c r="N94" s="331" t="e">
        <f t="shared" si="28"/>
        <v>#VALUE!</v>
      </c>
      <c r="O94" s="331" t="e">
        <f t="shared" si="28"/>
        <v>#VALUE!</v>
      </c>
      <c r="P94" s="331" t="e">
        <f t="shared" si="28"/>
        <v>#VALUE!</v>
      </c>
      <c r="Q94" s="331" t="e">
        <f t="shared" si="28"/>
        <v>#VALUE!</v>
      </c>
      <c r="R94" s="331" t="e">
        <f t="shared" si="28"/>
        <v>#VALUE!</v>
      </c>
      <c r="S94" s="331" t="e">
        <f t="shared" si="28"/>
        <v>#VALUE!</v>
      </c>
      <c r="T94" s="331" t="e">
        <f t="shared" si="28"/>
        <v>#VALUE!</v>
      </c>
      <c r="U94" s="338" t="e">
        <f t="shared" si="28"/>
        <v>#VALUE!</v>
      </c>
      <c r="V94" s="338" t="e">
        <f t="shared" si="28"/>
        <v>#VALUE!</v>
      </c>
      <c r="W94" s="324" t="e">
        <f t="shared" si="28"/>
        <v>#VALUE!</v>
      </c>
      <c r="X94" s="324" t="e">
        <f t="shared" si="28"/>
        <v>#VALUE!</v>
      </c>
      <c r="Y94" s="324" t="e">
        <f t="shared" si="28"/>
        <v>#VALUE!</v>
      </c>
      <c r="Z94" s="324" t="e">
        <f t="shared" si="28"/>
        <v>#VALUE!</v>
      </c>
      <c r="AA94" s="324" t="e">
        <f t="shared" si="28"/>
        <v>#VALUE!</v>
      </c>
      <c r="AB94" s="324" t="e">
        <f t="shared" si="27"/>
        <v>#VALUE!</v>
      </c>
      <c r="AC94" s="324" t="e">
        <f t="shared" si="24"/>
        <v>#VALUE!</v>
      </c>
      <c r="AD94" s="324" t="e">
        <f t="shared" si="24"/>
        <v>#VALUE!</v>
      </c>
      <c r="AE94" s="324" t="e">
        <f t="shared" si="24"/>
        <v>#VALUE!</v>
      </c>
    </row>
    <row r="95" spans="1:31" s="324" customFormat="1" ht="0.65" hidden="1" customHeight="1">
      <c r="A95" s="324" t="e">
        <f t="shared" si="20"/>
        <v>#VALUE!</v>
      </c>
      <c r="B95" s="324">
        <v>0</v>
      </c>
      <c r="C95" s="328">
        <f>H10</f>
        <v>0</v>
      </c>
      <c r="D95" s="326">
        <f>IF(B95=C95,1,0)</f>
        <v>1</v>
      </c>
      <c r="F95" s="324" t="e">
        <f t="shared" si="25"/>
        <v>#VALUE!</v>
      </c>
      <c r="G95" s="324">
        <v>19</v>
      </c>
      <c r="H95" s="324" t="e">
        <f t="shared" si="22"/>
        <v>#VALUE!</v>
      </c>
      <c r="I95" s="328" t="e">
        <f t="shared" si="22"/>
        <v>#VALUE!</v>
      </c>
      <c r="J95" s="328" t="str">
        <f>IF(M7="","",M7)</f>
        <v/>
      </c>
      <c r="K95" s="324" t="str">
        <f t="shared" si="26"/>
        <v/>
      </c>
      <c r="M95" s="331" t="e">
        <f t="shared" si="28"/>
        <v>#VALUE!</v>
      </c>
      <c r="N95" s="331" t="e">
        <f t="shared" si="28"/>
        <v>#VALUE!</v>
      </c>
      <c r="O95" s="331" t="e">
        <f t="shared" si="28"/>
        <v>#VALUE!</v>
      </c>
      <c r="P95" s="331" t="e">
        <f t="shared" si="28"/>
        <v>#VALUE!</v>
      </c>
      <c r="Q95" s="331" t="e">
        <f t="shared" si="28"/>
        <v>#VALUE!</v>
      </c>
      <c r="R95" s="331" t="e">
        <f t="shared" si="28"/>
        <v>#VALUE!</v>
      </c>
      <c r="S95" s="331" t="e">
        <f t="shared" si="28"/>
        <v>#VALUE!</v>
      </c>
      <c r="T95" s="331" t="e">
        <f t="shared" si="28"/>
        <v>#VALUE!</v>
      </c>
      <c r="U95" s="338" t="e">
        <f t="shared" si="28"/>
        <v>#VALUE!</v>
      </c>
      <c r="V95" s="338" t="e">
        <f t="shared" si="28"/>
        <v>#VALUE!</v>
      </c>
      <c r="W95" s="324" t="e">
        <f t="shared" si="28"/>
        <v>#VALUE!</v>
      </c>
      <c r="X95" s="324" t="e">
        <f t="shared" si="28"/>
        <v>#VALUE!</v>
      </c>
      <c r="Y95" s="324" t="e">
        <f t="shared" si="28"/>
        <v>#VALUE!</v>
      </c>
      <c r="Z95" s="324" t="e">
        <f t="shared" si="28"/>
        <v>#VALUE!</v>
      </c>
      <c r="AA95" s="324" t="e">
        <f t="shared" si="28"/>
        <v>#VALUE!</v>
      </c>
      <c r="AB95" s="324" t="e">
        <f t="shared" si="27"/>
        <v>#VALUE!</v>
      </c>
      <c r="AC95" s="324" t="e">
        <f t="shared" si="24"/>
        <v>#VALUE!</v>
      </c>
      <c r="AD95" s="324" t="e">
        <f t="shared" si="24"/>
        <v>#VALUE!</v>
      </c>
      <c r="AE95" s="324" t="e">
        <f t="shared" si="24"/>
        <v>#VALUE!</v>
      </c>
    </row>
    <row r="96" spans="1:31" s="324" customFormat="1" ht="0.65" hidden="1" customHeight="1">
      <c r="A96" s="324" t="e">
        <f t="shared" si="20"/>
        <v>#VALUE!</v>
      </c>
      <c r="B96" s="324">
        <v>0</v>
      </c>
      <c r="C96" s="328">
        <f>I10</f>
        <v>0</v>
      </c>
      <c r="D96" s="326">
        <f>IF(B96=C96,1,0)</f>
        <v>1</v>
      </c>
      <c r="F96" s="324" t="e">
        <f t="shared" si="25"/>
        <v>#VALUE!</v>
      </c>
      <c r="G96" s="324">
        <v>20</v>
      </c>
      <c r="H96" s="324" t="e">
        <f t="shared" si="22"/>
        <v>#VALUE!</v>
      </c>
      <c r="I96" s="328" t="e">
        <f t="shared" si="22"/>
        <v>#VALUE!</v>
      </c>
      <c r="J96" s="328" t="str">
        <f>IF(N5="","",N5)</f>
        <v/>
      </c>
      <c r="K96" s="324" t="str">
        <f t="shared" si="26"/>
        <v/>
      </c>
      <c r="M96" s="331" t="e">
        <f t="shared" si="28"/>
        <v>#VALUE!</v>
      </c>
      <c r="N96" s="331" t="e">
        <f t="shared" si="28"/>
        <v>#VALUE!</v>
      </c>
      <c r="O96" s="331" t="e">
        <f t="shared" si="28"/>
        <v>#VALUE!</v>
      </c>
      <c r="P96" s="331" t="e">
        <f t="shared" si="28"/>
        <v>#VALUE!</v>
      </c>
      <c r="Q96" s="331" t="e">
        <f t="shared" si="28"/>
        <v>#VALUE!</v>
      </c>
      <c r="R96" s="331" t="e">
        <f t="shared" si="28"/>
        <v>#VALUE!</v>
      </c>
      <c r="S96" s="331" t="e">
        <f t="shared" si="28"/>
        <v>#VALUE!</v>
      </c>
      <c r="T96" s="331" t="e">
        <f t="shared" si="28"/>
        <v>#VALUE!</v>
      </c>
      <c r="U96" s="338" t="e">
        <f t="shared" si="28"/>
        <v>#VALUE!</v>
      </c>
      <c r="V96" s="338" t="e">
        <f t="shared" si="28"/>
        <v>#VALUE!</v>
      </c>
      <c r="W96" s="324" t="e">
        <f t="shared" si="28"/>
        <v>#VALUE!</v>
      </c>
      <c r="X96" s="324" t="e">
        <f t="shared" si="28"/>
        <v>#VALUE!</v>
      </c>
      <c r="Y96" s="324" t="e">
        <f t="shared" si="28"/>
        <v>#VALUE!</v>
      </c>
      <c r="Z96" s="324" t="e">
        <f t="shared" si="28"/>
        <v>#VALUE!</v>
      </c>
      <c r="AA96" s="324" t="e">
        <f t="shared" si="28"/>
        <v>#VALUE!</v>
      </c>
      <c r="AB96" s="324" t="e">
        <f t="shared" si="27"/>
        <v>#VALUE!</v>
      </c>
      <c r="AC96" s="324" t="e">
        <f t="shared" si="24"/>
        <v>#VALUE!</v>
      </c>
      <c r="AD96" s="324" t="e">
        <f t="shared" si="24"/>
        <v>#VALUE!</v>
      </c>
      <c r="AE96" s="324" t="e">
        <f t="shared" si="24"/>
        <v>#VALUE!</v>
      </c>
    </row>
    <row r="97" spans="1:31" s="324" customFormat="1" ht="0.65" hidden="1" customHeight="1">
      <c r="A97" s="324" t="e">
        <f t="shared" si="20"/>
        <v>#VALUE!</v>
      </c>
      <c r="B97" s="324">
        <v>0</v>
      </c>
      <c r="C97" s="328">
        <f>J10</f>
        <v>0</v>
      </c>
      <c r="D97" s="326">
        <f>IF(B97=C97,1,0)</f>
        <v>1</v>
      </c>
      <c r="F97" s="324" t="e">
        <f t="shared" si="25"/>
        <v>#VALUE!</v>
      </c>
      <c r="G97" s="324">
        <v>21</v>
      </c>
      <c r="H97" s="324" t="e">
        <f t="shared" ref="H97:I125" si="29">VLOOKUP($A97,$A$231:$AP$1595,H$54,FALSE)</f>
        <v>#VALUE!</v>
      </c>
      <c r="I97" s="328" t="e">
        <f t="shared" si="29"/>
        <v>#VALUE!</v>
      </c>
      <c r="J97" s="328" t="str">
        <f>IF(N6="","",N6)</f>
        <v/>
      </c>
      <c r="K97" s="324" t="str">
        <f t="shared" si="26"/>
        <v/>
      </c>
      <c r="M97" s="331" t="e">
        <f t="shared" si="28"/>
        <v>#VALUE!</v>
      </c>
      <c r="N97" s="331" t="e">
        <f t="shared" si="28"/>
        <v>#VALUE!</v>
      </c>
      <c r="O97" s="331" t="e">
        <f t="shared" si="28"/>
        <v>#VALUE!</v>
      </c>
      <c r="P97" s="331" t="e">
        <f t="shared" si="28"/>
        <v>#VALUE!</v>
      </c>
      <c r="Q97" s="331" t="e">
        <f t="shared" si="28"/>
        <v>#VALUE!</v>
      </c>
      <c r="R97" s="331" t="e">
        <f t="shared" si="28"/>
        <v>#VALUE!</v>
      </c>
      <c r="S97" s="331" t="e">
        <f t="shared" si="28"/>
        <v>#VALUE!</v>
      </c>
      <c r="T97" s="331" t="e">
        <f t="shared" si="28"/>
        <v>#VALUE!</v>
      </c>
      <c r="U97" s="338" t="e">
        <f t="shared" si="28"/>
        <v>#VALUE!</v>
      </c>
      <c r="V97" s="338" t="e">
        <f t="shared" si="28"/>
        <v>#VALUE!</v>
      </c>
      <c r="W97" s="324" t="e">
        <f t="shared" si="28"/>
        <v>#VALUE!</v>
      </c>
      <c r="X97" s="324" t="e">
        <f t="shared" si="28"/>
        <v>#VALUE!</v>
      </c>
      <c r="Y97" s="324" t="e">
        <f t="shared" si="28"/>
        <v>#VALUE!</v>
      </c>
      <c r="Z97" s="324" t="e">
        <f t="shared" si="28"/>
        <v>#VALUE!</v>
      </c>
      <c r="AA97" s="324" t="e">
        <f t="shared" si="28"/>
        <v>#VALUE!</v>
      </c>
      <c r="AB97" s="324" t="e">
        <f t="shared" si="27"/>
        <v>#VALUE!</v>
      </c>
      <c r="AC97" s="324" t="e">
        <f t="shared" si="27"/>
        <v>#VALUE!</v>
      </c>
      <c r="AD97" s="324" t="e">
        <f t="shared" si="27"/>
        <v>#VALUE!</v>
      </c>
      <c r="AE97" s="324" t="e">
        <f t="shared" si="27"/>
        <v>#VALUE!</v>
      </c>
    </row>
    <row r="98" spans="1:31" s="324" customFormat="1" ht="0.65" hidden="1" customHeight="1">
      <c r="A98" s="324" t="e">
        <f t="shared" si="20"/>
        <v>#VALUE!</v>
      </c>
      <c r="F98" s="324" t="e">
        <f t="shared" si="25"/>
        <v>#VALUE!</v>
      </c>
      <c r="G98" s="324">
        <v>22</v>
      </c>
      <c r="H98" s="324" t="e">
        <f t="shared" si="29"/>
        <v>#VALUE!</v>
      </c>
      <c r="I98" s="328" t="e">
        <f t="shared" si="29"/>
        <v>#VALUE!</v>
      </c>
      <c r="J98" s="328" t="str">
        <f>IF(N7="","",N7)</f>
        <v/>
      </c>
      <c r="K98" s="324" t="str">
        <f t="shared" si="26"/>
        <v/>
      </c>
      <c r="M98" s="331" t="e">
        <f t="shared" si="28"/>
        <v>#VALUE!</v>
      </c>
      <c r="N98" s="331" t="e">
        <f t="shared" si="28"/>
        <v>#VALUE!</v>
      </c>
      <c r="O98" s="331" t="e">
        <f t="shared" si="28"/>
        <v>#VALUE!</v>
      </c>
      <c r="P98" s="331" t="e">
        <f t="shared" si="28"/>
        <v>#VALUE!</v>
      </c>
      <c r="Q98" s="331" t="e">
        <f t="shared" si="28"/>
        <v>#VALUE!</v>
      </c>
      <c r="R98" s="331" t="e">
        <f t="shared" si="28"/>
        <v>#VALUE!</v>
      </c>
      <c r="S98" s="331" t="e">
        <f t="shared" si="28"/>
        <v>#VALUE!</v>
      </c>
      <c r="T98" s="331" t="e">
        <f t="shared" si="28"/>
        <v>#VALUE!</v>
      </c>
      <c r="U98" s="338" t="e">
        <f t="shared" si="28"/>
        <v>#VALUE!</v>
      </c>
      <c r="V98" s="338" t="e">
        <f t="shared" si="28"/>
        <v>#VALUE!</v>
      </c>
      <c r="W98" s="324" t="e">
        <f t="shared" si="28"/>
        <v>#VALUE!</v>
      </c>
      <c r="X98" s="324" t="e">
        <f t="shared" si="28"/>
        <v>#VALUE!</v>
      </c>
      <c r="Y98" s="324" t="e">
        <f t="shared" si="28"/>
        <v>#VALUE!</v>
      </c>
      <c r="Z98" s="324" t="e">
        <f t="shared" si="28"/>
        <v>#VALUE!</v>
      </c>
      <c r="AA98" s="324" t="e">
        <f t="shared" si="28"/>
        <v>#VALUE!</v>
      </c>
      <c r="AB98" s="324" t="e">
        <f t="shared" si="27"/>
        <v>#VALUE!</v>
      </c>
      <c r="AC98" s="324" t="e">
        <f t="shared" si="27"/>
        <v>#VALUE!</v>
      </c>
      <c r="AD98" s="324" t="e">
        <f t="shared" si="27"/>
        <v>#VALUE!</v>
      </c>
      <c r="AE98" s="324" t="e">
        <f t="shared" si="27"/>
        <v>#VALUE!</v>
      </c>
    </row>
    <row r="99" spans="1:31" s="324" customFormat="1" ht="0.65" hidden="1" customHeight="1">
      <c r="A99" s="324" t="e">
        <f t="shared" si="20"/>
        <v>#VALUE!</v>
      </c>
      <c r="F99" s="324" t="e">
        <f t="shared" si="25"/>
        <v>#VALUE!</v>
      </c>
      <c r="G99" s="324">
        <v>23</v>
      </c>
      <c r="H99" s="324" t="e">
        <f t="shared" si="29"/>
        <v>#VALUE!</v>
      </c>
      <c r="I99" s="328" t="e">
        <f t="shared" si="29"/>
        <v>#VALUE!</v>
      </c>
      <c r="J99" s="328" t="str">
        <f>IF(H11="","",H11)</f>
        <v/>
      </c>
      <c r="K99" s="324" t="str">
        <f t="shared" si="26"/>
        <v/>
      </c>
      <c r="M99" s="331" t="e">
        <f t="shared" si="28"/>
        <v>#VALUE!</v>
      </c>
      <c r="N99" s="331" t="e">
        <f t="shared" si="28"/>
        <v>#VALUE!</v>
      </c>
      <c r="O99" s="331" t="e">
        <f t="shared" si="28"/>
        <v>#VALUE!</v>
      </c>
      <c r="P99" s="331" t="e">
        <f t="shared" si="28"/>
        <v>#VALUE!</v>
      </c>
      <c r="Q99" s="331" t="e">
        <f t="shared" si="28"/>
        <v>#VALUE!</v>
      </c>
      <c r="R99" s="331" t="e">
        <f t="shared" si="28"/>
        <v>#VALUE!</v>
      </c>
      <c r="S99" s="331" t="e">
        <f t="shared" si="28"/>
        <v>#VALUE!</v>
      </c>
      <c r="T99" s="331" t="e">
        <f t="shared" si="28"/>
        <v>#VALUE!</v>
      </c>
      <c r="U99" s="338" t="e">
        <f t="shared" si="28"/>
        <v>#VALUE!</v>
      </c>
      <c r="V99" s="338" t="e">
        <f t="shared" si="28"/>
        <v>#VALUE!</v>
      </c>
      <c r="W99" s="324" t="e">
        <f t="shared" si="28"/>
        <v>#VALUE!</v>
      </c>
      <c r="X99" s="324" t="e">
        <f t="shared" si="28"/>
        <v>#VALUE!</v>
      </c>
      <c r="Y99" s="324" t="e">
        <f t="shared" si="28"/>
        <v>#VALUE!</v>
      </c>
      <c r="Z99" s="324" t="e">
        <f t="shared" si="28"/>
        <v>#VALUE!</v>
      </c>
      <c r="AA99" s="324" t="e">
        <f t="shared" si="28"/>
        <v>#VALUE!</v>
      </c>
      <c r="AB99" s="324" t="e">
        <f t="shared" si="27"/>
        <v>#VALUE!</v>
      </c>
      <c r="AC99" s="324" t="e">
        <f t="shared" si="27"/>
        <v>#VALUE!</v>
      </c>
      <c r="AD99" s="324" t="e">
        <f t="shared" si="27"/>
        <v>#VALUE!</v>
      </c>
      <c r="AE99" s="324" t="e">
        <f t="shared" si="27"/>
        <v>#VALUE!</v>
      </c>
    </row>
    <row r="100" spans="1:31" s="324" customFormat="1" ht="0.65" hidden="1" customHeight="1">
      <c r="A100" s="324" t="e">
        <f t="shared" si="20"/>
        <v>#VALUE!</v>
      </c>
      <c r="F100" s="324" t="e">
        <f t="shared" si="25"/>
        <v>#VALUE!</v>
      </c>
      <c r="G100" s="324">
        <v>24</v>
      </c>
      <c r="H100" s="324" t="e">
        <f t="shared" si="29"/>
        <v>#VALUE!</v>
      </c>
      <c r="I100" s="328" t="e">
        <f t="shared" si="29"/>
        <v>#VALUE!</v>
      </c>
      <c r="J100" s="328" t="str">
        <f>IF(H12="","",H12)</f>
        <v/>
      </c>
      <c r="K100" s="324" t="str">
        <f t="shared" si="26"/>
        <v/>
      </c>
      <c r="M100" s="331" t="e">
        <f t="shared" si="28"/>
        <v>#VALUE!</v>
      </c>
      <c r="N100" s="331" t="e">
        <f t="shared" si="28"/>
        <v>#VALUE!</v>
      </c>
      <c r="O100" s="331" t="e">
        <f t="shared" si="28"/>
        <v>#VALUE!</v>
      </c>
      <c r="P100" s="331" t="e">
        <f t="shared" si="28"/>
        <v>#VALUE!</v>
      </c>
      <c r="Q100" s="331" t="e">
        <f t="shared" si="28"/>
        <v>#VALUE!</v>
      </c>
      <c r="R100" s="331" t="e">
        <f t="shared" si="28"/>
        <v>#VALUE!</v>
      </c>
      <c r="S100" s="331" t="e">
        <f t="shared" si="28"/>
        <v>#VALUE!</v>
      </c>
      <c r="T100" s="331" t="e">
        <f t="shared" si="28"/>
        <v>#VALUE!</v>
      </c>
      <c r="U100" s="338" t="e">
        <f t="shared" si="28"/>
        <v>#VALUE!</v>
      </c>
      <c r="V100" s="338" t="e">
        <f t="shared" si="28"/>
        <v>#VALUE!</v>
      </c>
      <c r="W100" s="324" t="e">
        <f t="shared" si="28"/>
        <v>#VALUE!</v>
      </c>
      <c r="X100" s="324" t="e">
        <f t="shared" si="28"/>
        <v>#VALUE!</v>
      </c>
      <c r="Y100" s="324" t="e">
        <f t="shared" si="28"/>
        <v>#VALUE!</v>
      </c>
      <c r="Z100" s="324" t="e">
        <f t="shared" si="28"/>
        <v>#VALUE!</v>
      </c>
      <c r="AA100" s="324" t="e">
        <f t="shared" si="28"/>
        <v>#VALUE!</v>
      </c>
      <c r="AB100" s="324" t="e">
        <f t="shared" si="27"/>
        <v>#VALUE!</v>
      </c>
      <c r="AC100" s="324" t="e">
        <f t="shared" si="27"/>
        <v>#VALUE!</v>
      </c>
      <c r="AD100" s="324" t="e">
        <f t="shared" si="27"/>
        <v>#VALUE!</v>
      </c>
      <c r="AE100" s="324" t="e">
        <f t="shared" si="27"/>
        <v>#VALUE!</v>
      </c>
    </row>
    <row r="101" spans="1:31" s="324" customFormat="1" ht="0.65" hidden="1" customHeight="1">
      <c r="A101" s="324" t="e">
        <f t="shared" si="20"/>
        <v>#VALUE!</v>
      </c>
      <c r="F101" s="324" t="e">
        <f t="shared" si="25"/>
        <v>#VALUE!</v>
      </c>
      <c r="G101" s="324">
        <v>25</v>
      </c>
      <c r="H101" s="324" t="e">
        <f t="shared" si="29"/>
        <v>#VALUE!</v>
      </c>
      <c r="I101" s="328" t="e">
        <f t="shared" si="29"/>
        <v>#VALUE!</v>
      </c>
      <c r="J101" s="328" t="str">
        <f>IF(H13="","",H13)</f>
        <v/>
      </c>
      <c r="K101" s="324" t="str">
        <f t="shared" si="26"/>
        <v/>
      </c>
      <c r="M101" s="331" t="e">
        <f t="shared" si="28"/>
        <v>#VALUE!</v>
      </c>
      <c r="N101" s="331" t="e">
        <f t="shared" si="28"/>
        <v>#VALUE!</v>
      </c>
      <c r="O101" s="331" t="e">
        <f t="shared" si="28"/>
        <v>#VALUE!</v>
      </c>
      <c r="P101" s="331" t="e">
        <f t="shared" si="28"/>
        <v>#VALUE!</v>
      </c>
      <c r="Q101" s="331" t="e">
        <f t="shared" si="28"/>
        <v>#VALUE!</v>
      </c>
      <c r="R101" s="331" t="e">
        <f t="shared" si="28"/>
        <v>#VALUE!</v>
      </c>
      <c r="S101" s="331" t="e">
        <f t="shared" si="28"/>
        <v>#VALUE!</v>
      </c>
      <c r="T101" s="331" t="e">
        <f t="shared" si="28"/>
        <v>#VALUE!</v>
      </c>
      <c r="U101" s="338" t="e">
        <f t="shared" si="28"/>
        <v>#VALUE!</v>
      </c>
      <c r="V101" s="338" t="e">
        <f t="shared" si="28"/>
        <v>#VALUE!</v>
      </c>
      <c r="W101" s="324" t="e">
        <f t="shared" si="28"/>
        <v>#VALUE!</v>
      </c>
      <c r="X101" s="324" t="e">
        <f t="shared" si="28"/>
        <v>#VALUE!</v>
      </c>
      <c r="Y101" s="324" t="e">
        <f t="shared" si="28"/>
        <v>#VALUE!</v>
      </c>
      <c r="Z101" s="324" t="e">
        <f t="shared" si="28"/>
        <v>#VALUE!</v>
      </c>
      <c r="AA101" s="324" t="e">
        <f t="shared" si="28"/>
        <v>#VALUE!</v>
      </c>
      <c r="AB101" s="324" t="e">
        <f t="shared" si="27"/>
        <v>#VALUE!</v>
      </c>
      <c r="AC101" s="324" t="e">
        <f t="shared" si="27"/>
        <v>#VALUE!</v>
      </c>
      <c r="AD101" s="324" t="e">
        <f t="shared" si="27"/>
        <v>#VALUE!</v>
      </c>
      <c r="AE101" s="324" t="e">
        <f t="shared" si="27"/>
        <v>#VALUE!</v>
      </c>
    </row>
    <row r="102" spans="1:31" s="324" customFormat="1" ht="0.65" hidden="1" customHeight="1">
      <c r="A102" s="324" t="e">
        <f t="shared" si="20"/>
        <v>#VALUE!</v>
      </c>
      <c r="F102" s="324" t="e">
        <f t="shared" si="25"/>
        <v>#VALUE!</v>
      </c>
      <c r="G102" s="324">
        <v>26</v>
      </c>
      <c r="H102" s="324" t="e">
        <f t="shared" si="29"/>
        <v>#VALUE!</v>
      </c>
      <c r="I102" s="328" t="e">
        <f t="shared" si="29"/>
        <v>#VALUE!</v>
      </c>
      <c r="J102" s="328" t="str">
        <f>IF(I11="","",I11)</f>
        <v/>
      </c>
      <c r="K102" s="324" t="str">
        <f t="shared" si="26"/>
        <v/>
      </c>
      <c r="M102" s="331" t="e">
        <f t="shared" si="28"/>
        <v>#VALUE!</v>
      </c>
      <c r="N102" s="331" t="e">
        <f t="shared" si="28"/>
        <v>#VALUE!</v>
      </c>
      <c r="O102" s="331" t="e">
        <f t="shared" si="28"/>
        <v>#VALUE!</v>
      </c>
      <c r="P102" s="331" t="e">
        <f t="shared" si="28"/>
        <v>#VALUE!</v>
      </c>
      <c r="Q102" s="331" t="e">
        <f t="shared" si="28"/>
        <v>#VALUE!</v>
      </c>
      <c r="R102" s="331" t="e">
        <f t="shared" si="28"/>
        <v>#VALUE!</v>
      </c>
      <c r="S102" s="331" t="e">
        <f t="shared" si="28"/>
        <v>#VALUE!</v>
      </c>
      <c r="T102" s="331" t="e">
        <f t="shared" si="28"/>
        <v>#VALUE!</v>
      </c>
      <c r="U102" s="338" t="e">
        <f t="shared" si="28"/>
        <v>#VALUE!</v>
      </c>
      <c r="V102" s="338" t="e">
        <f t="shared" si="28"/>
        <v>#VALUE!</v>
      </c>
      <c r="W102" s="324" t="e">
        <f t="shared" si="28"/>
        <v>#VALUE!</v>
      </c>
      <c r="X102" s="324" t="e">
        <f t="shared" si="28"/>
        <v>#VALUE!</v>
      </c>
      <c r="Y102" s="324" t="e">
        <f t="shared" si="28"/>
        <v>#VALUE!</v>
      </c>
      <c r="Z102" s="324" t="e">
        <f t="shared" si="28"/>
        <v>#VALUE!</v>
      </c>
      <c r="AA102" s="324" t="e">
        <f t="shared" si="28"/>
        <v>#VALUE!</v>
      </c>
      <c r="AB102" s="324" t="e">
        <f t="shared" si="27"/>
        <v>#VALUE!</v>
      </c>
      <c r="AC102" s="324" t="e">
        <f t="shared" si="27"/>
        <v>#VALUE!</v>
      </c>
      <c r="AD102" s="324" t="e">
        <f t="shared" si="27"/>
        <v>#VALUE!</v>
      </c>
      <c r="AE102" s="324" t="e">
        <f t="shared" si="27"/>
        <v>#VALUE!</v>
      </c>
    </row>
    <row r="103" spans="1:31" s="324" customFormat="1" ht="0.65" hidden="1" customHeight="1">
      <c r="A103" s="324" t="e">
        <f t="shared" si="20"/>
        <v>#VALUE!</v>
      </c>
      <c r="F103" s="324" t="e">
        <f t="shared" si="25"/>
        <v>#VALUE!</v>
      </c>
      <c r="G103" s="324">
        <v>27</v>
      </c>
      <c r="H103" s="324" t="e">
        <f t="shared" si="29"/>
        <v>#VALUE!</v>
      </c>
      <c r="I103" s="328" t="e">
        <f t="shared" si="29"/>
        <v>#VALUE!</v>
      </c>
      <c r="J103" s="328" t="str">
        <f>IF(I12="","",I12)</f>
        <v/>
      </c>
      <c r="K103" s="324" t="str">
        <f t="shared" si="26"/>
        <v/>
      </c>
      <c r="M103" s="331" t="e">
        <f t="shared" si="28"/>
        <v>#VALUE!</v>
      </c>
      <c r="N103" s="331" t="e">
        <f t="shared" si="28"/>
        <v>#VALUE!</v>
      </c>
      <c r="O103" s="331" t="e">
        <f t="shared" si="28"/>
        <v>#VALUE!</v>
      </c>
      <c r="P103" s="331" t="e">
        <f t="shared" si="28"/>
        <v>#VALUE!</v>
      </c>
      <c r="Q103" s="331" t="e">
        <f t="shared" si="28"/>
        <v>#VALUE!</v>
      </c>
      <c r="R103" s="331" t="e">
        <f t="shared" si="28"/>
        <v>#VALUE!</v>
      </c>
      <c r="S103" s="331" t="e">
        <f t="shared" si="28"/>
        <v>#VALUE!</v>
      </c>
      <c r="T103" s="331" t="e">
        <f t="shared" si="28"/>
        <v>#VALUE!</v>
      </c>
      <c r="U103" s="338" t="e">
        <f t="shared" si="28"/>
        <v>#VALUE!</v>
      </c>
      <c r="V103" s="338" t="e">
        <f t="shared" si="28"/>
        <v>#VALUE!</v>
      </c>
      <c r="W103" s="324" t="e">
        <f t="shared" si="28"/>
        <v>#VALUE!</v>
      </c>
      <c r="X103" s="324" t="e">
        <f t="shared" si="28"/>
        <v>#VALUE!</v>
      </c>
      <c r="Y103" s="324" t="e">
        <f t="shared" si="28"/>
        <v>#VALUE!</v>
      </c>
      <c r="Z103" s="324" t="e">
        <f t="shared" si="28"/>
        <v>#VALUE!</v>
      </c>
      <c r="AA103" s="324" t="e">
        <f t="shared" si="28"/>
        <v>#VALUE!</v>
      </c>
      <c r="AB103" s="324" t="e">
        <f t="shared" si="27"/>
        <v>#VALUE!</v>
      </c>
      <c r="AC103" s="324" t="e">
        <f t="shared" si="27"/>
        <v>#VALUE!</v>
      </c>
      <c r="AD103" s="324" t="e">
        <f t="shared" si="27"/>
        <v>#VALUE!</v>
      </c>
      <c r="AE103" s="324" t="e">
        <f t="shared" si="27"/>
        <v>#VALUE!</v>
      </c>
    </row>
    <row r="104" spans="1:31" s="324" customFormat="1" ht="0.65" hidden="1" customHeight="1">
      <c r="A104" s="324" t="e">
        <f t="shared" si="20"/>
        <v>#VALUE!</v>
      </c>
      <c r="F104" s="324" t="e">
        <f t="shared" si="25"/>
        <v>#VALUE!</v>
      </c>
      <c r="G104" s="324">
        <v>28</v>
      </c>
      <c r="H104" s="324" t="e">
        <f t="shared" si="29"/>
        <v>#VALUE!</v>
      </c>
      <c r="I104" s="328" t="e">
        <f t="shared" si="29"/>
        <v>#VALUE!</v>
      </c>
      <c r="J104" s="328" t="str">
        <f>IF(I13="","",I13)</f>
        <v/>
      </c>
      <c r="K104" s="324" t="str">
        <f t="shared" si="26"/>
        <v/>
      </c>
      <c r="M104" s="331" t="e">
        <f t="shared" si="28"/>
        <v>#VALUE!</v>
      </c>
      <c r="N104" s="331" t="e">
        <f t="shared" si="28"/>
        <v>#VALUE!</v>
      </c>
      <c r="O104" s="331" t="e">
        <f t="shared" si="28"/>
        <v>#VALUE!</v>
      </c>
      <c r="P104" s="331" t="e">
        <f t="shared" si="28"/>
        <v>#VALUE!</v>
      </c>
      <c r="Q104" s="331" t="e">
        <f t="shared" si="28"/>
        <v>#VALUE!</v>
      </c>
      <c r="R104" s="331" t="e">
        <f t="shared" si="28"/>
        <v>#VALUE!</v>
      </c>
      <c r="S104" s="331" t="e">
        <f t="shared" si="28"/>
        <v>#VALUE!</v>
      </c>
      <c r="T104" s="331" t="e">
        <f t="shared" si="28"/>
        <v>#VALUE!</v>
      </c>
      <c r="U104" s="338" t="e">
        <f t="shared" si="28"/>
        <v>#VALUE!</v>
      </c>
      <c r="V104" s="338" t="e">
        <f t="shared" si="28"/>
        <v>#VALUE!</v>
      </c>
      <c r="W104" s="324" t="e">
        <f t="shared" si="28"/>
        <v>#VALUE!</v>
      </c>
      <c r="X104" s="324" t="e">
        <f t="shared" si="28"/>
        <v>#VALUE!</v>
      </c>
      <c r="Y104" s="324" t="e">
        <f t="shared" si="28"/>
        <v>#VALUE!</v>
      </c>
      <c r="Z104" s="324" t="e">
        <f t="shared" si="28"/>
        <v>#VALUE!</v>
      </c>
      <c r="AA104" s="324" t="e">
        <f t="shared" si="28"/>
        <v>#VALUE!</v>
      </c>
      <c r="AB104" s="324" t="e">
        <f t="shared" si="27"/>
        <v>#VALUE!</v>
      </c>
      <c r="AC104" s="324" t="e">
        <f t="shared" si="27"/>
        <v>#VALUE!</v>
      </c>
      <c r="AD104" s="324" t="e">
        <f t="shared" si="27"/>
        <v>#VALUE!</v>
      </c>
      <c r="AE104" s="324" t="e">
        <f t="shared" si="27"/>
        <v>#VALUE!</v>
      </c>
    </row>
    <row r="105" spans="1:31" s="324" customFormat="1" ht="0.65" hidden="1" customHeight="1">
      <c r="A105" s="324" t="e">
        <f t="shared" si="20"/>
        <v>#VALUE!</v>
      </c>
      <c r="F105" s="324" t="e">
        <f t="shared" si="25"/>
        <v>#VALUE!</v>
      </c>
      <c r="G105" s="324">
        <v>29</v>
      </c>
      <c r="H105" s="324" t="e">
        <f t="shared" si="29"/>
        <v>#VALUE!</v>
      </c>
      <c r="I105" s="328" t="e">
        <f t="shared" si="29"/>
        <v>#VALUE!</v>
      </c>
      <c r="J105" s="328" t="str">
        <f>IF(J11="","",J11)</f>
        <v/>
      </c>
      <c r="K105" s="324" t="str">
        <f t="shared" si="26"/>
        <v/>
      </c>
      <c r="M105" s="331" t="e">
        <f t="shared" si="28"/>
        <v>#VALUE!</v>
      </c>
      <c r="N105" s="331" t="e">
        <f t="shared" si="28"/>
        <v>#VALUE!</v>
      </c>
      <c r="O105" s="331" t="e">
        <f t="shared" si="28"/>
        <v>#VALUE!</v>
      </c>
      <c r="P105" s="331" t="e">
        <f t="shared" si="28"/>
        <v>#VALUE!</v>
      </c>
      <c r="Q105" s="331" t="e">
        <f t="shared" si="28"/>
        <v>#VALUE!</v>
      </c>
      <c r="R105" s="331" t="e">
        <f t="shared" si="28"/>
        <v>#VALUE!</v>
      </c>
      <c r="S105" s="331" t="e">
        <f t="shared" si="28"/>
        <v>#VALUE!</v>
      </c>
      <c r="T105" s="331" t="e">
        <f t="shared" si="28"/>
        <v>#VALUE!</v>
      </c>
      <c r="U105" s="338" t="e">
        <f t="shared" si="28"/>
        <v>#VALUE!</v>
      </c>
      <c r="V105" s="338" t="e">
        <f t="shared" si="28"/>
        <v>#VALUE!</v>
      </c>
      <c r="W105" s="324" t="e">
        <f t="shared" si="28"/>
        <v>#VALUE!</v>
      </c>
      <c r="X105" s="324" t="e">
        <f t="shared" si="28"/>
        <v>#VALUE!</v>
      </c>
      <c r="Y105" s="324" t="e">
        <f t="shared" si="28"/>
        <v>#VALUE!</v>
      </c>
      <c r="Z105" s="324" t="e">
        <f t="shared" si="28"/>
        <v>#VALUE!</v>
      </c>
      <c r="AA105" s="324" t="e">
        <f t="shared" si="28"/>
        <v>#VALUE!</v>
      </c>
      <c r="AB105" s="324" t="e">
        <f t="shared" si="27"/>
        <v>#VALUE!</v>
      </c>
      <c r="AC105" s="324" t="e">
        <f t="shared" si="27"/>
        <v>#VALUE!</v>
      </c>
      <c r="AD105" s="324" t="e">
        <f t="shared" si="27"/>
        <v>#VALUE!</v>
      </c>
      <c r="AE105" s="324" t="e">
        <f t="shared" si="27"/>
        <v>#VALUE!</v>
      </c>
    </row>
    <row r="106" spans="1:31" s="324" customFormat="1" ht="0.65" hidden="1" customHeight="1">
      <c r="A106" s="324" t="e">
        <f t="shared" si="20"/>
        <v>#VALUE!</v>
      </c>
      <c r="F106" s="324" t="e">
        <f t="shared" si="25"/>
        <v>#VALUE!</v>
      </c>
      <c r="G106" s="324">
        <v>30</v>
      </c>
      <c r="H106" s="324" t="e">
        <f t="shared" si="29"/>
        <v>#VALUE!</v>
      </c>
      <c r="I106" s="328" t="e">
        <f t="shared" si="29"/>
        <v>#VALUE!</v>
      </c>
      <c r="J106" s="328" t="str">
        <f>IF(J12="","",J12)</f>
        <v/>
      </c>
      <c r="K106" s="324" t="str">
        <f t="shared" si="26"/>
        <v/>
      </c>
      <c r="M106" s="331" t="e">
        <f t="shared" si="28"/>
        <v>#VALUE!</v>
      </c>
      <c r="N106" s="331" t="e">
        <f t="shared" si="28"/>
        <v>#VALUE!</v>
      </c>
      <c r="O106" s="331" t="e">
        <f t="shared" si="28"/>
        <v>#VALUE!</v>
      </c>
      <c r="P106" s="331" t="e">
        <f t="shared" si="28"/>
        <v>#VALUE!</v>
      </c>
      <c r="Q106" s="331" t="e">
        <f t="shared" si="28"/>
        <v>#VALUE!</v>
      </c>
      <c r="R106" s="331" t="e">
        <f t="shared" si="28"/>
        <v>#VALUE!</v>
      </c>
      <c r="S106" s="331" t="e">
        <f t="shared" si="28"/>
        <v>#VALUE!</v>
      </c>
      <c r="T106" s="331" t="e">
        <f t="shared" si="28"/>
        <v>#VALUE!</v>
      </c>
      <c r="U106" s="338" t="e">
        <f t="shared" si="28"/>
        <v>#VALUE!</v>
      </c>
      <c r="V106" s="338" t="e">
        <f t="shared" si="28"/>
        <v>#VALUE!</v>
      </c>
      <c r="W106" s="324" t="e">
        <f t="shared" si="28"/>
        <v>#VALUE!</v>
      </c>
      <c r="X106" s="324" t="e">
        <f t="shared" si="28"/>
        <v>#VALUE!</v>
      </c>
      <c r="Y106" s="324" t="e">
        <f t="shared" si="28"/>
        <v>#VALUE!</v>
      </c>
      <c r="Z106" s="324" t="e">
        <f t="shared" si="28"/>
        <v>#VALUE!</v>
      </c>
      <c r="AA106" s="324" t="e">
        <f t="shared" si="28"/>
        <v>#VALUE!</v>
      </c>
      <c r="AB106" s="324" t="e">
        <f t="shared" si="27"/>
        <v>#VALUE!</v>
      </c>
      <c r="AC106" s="324" t="e">
        <f t="shared" si="27"/>
        <v>#VALUE!</v>
      </c>
      <c r="AD106" s="324" t="e">
        <f t="shared" si="27"/>
        <v>#VALUE!</v>
      </c>
      <c r="AE106" s="324" t="e">
        <f t="shared" si="27"/>
        <v>#VALUE!</v>
      </c>
    </row>
    <row r="107" spans="1:31" s="324" customFormat="1" ht="0.65" hidden="1" customHeight="1">
      <c r="A107" s="324" t="e">
        <f t="shared" si="20"/>
        <v>#VALUE!</v>
      </c>
      <c r="F107" s="324" t="e">
        <f t="shared" si="25"/>
        <v>#VALUE!</v>
      </c>
      <c r="G107" s="324">
        <v>31</v>
      </c>
      <c r="H107" s="324" t="e">
        <f t="shared" si="29"/>
        <v>#VALUE!</v>
      </c>
      <c r="I107" s="328" t="e">
        <f t="shared" si="29"/>
        <v>#VALUE!</v>
      </c>
      <c r="J107" s="328" t="str">
        <f>IF(J13="","",J13)</f>
        <v/>
      </c>
      <c r="K107" s="324" t="str">
        <f t="shared" si="26"/>
        <v/>
      </c>
      <c r="M107" s="331" t="e">
        <f t="shared" si="28"/>
        <v>#VALUE!</v>
      </c>
      <c r="N107" s="331" t="e">
        <f t="shared" si="28"/>
        <v>#VALUE!</v>
      </c>
      <c r="O107" s="331" t="e">
        <f t="shared" si="28"/>
        <v>#VALUE!</v>
      </c>
      <c r="P107" s="331" t="e">
        <f t="shared" si="28"/>
        <v>#VALUE!</v>
      </c>
      <c r="Q107" s="331" t="e">
        <f t="shared" si="28"/>
        <v>#VALUE!</v>
      </c>
      <c r="R107" s="331" t="e">
        <f t="shared" si="28"/>
        <v>#VALUE!</v>
      </c>
      <c r="S107" s="331" t="e">
        <f t="shared" si="28"/>
        <v>#VALUE!</v>
      </c>
      <c r="T107" s="331" t="e">
        <f t="shared" si="28"/>
        <v>#VALUE!</v>
      </c>
      <c r="U107" s="338" t="e">
        <f t="shared" si="28"/>
        <v>#VALUE!</v>
      </c>
      <c r="V107" s="338" t="e">
        <f t="shared" si="28"/>
        <v>#VALUE!</v>
      </c>
      <c r="W107" s="324" t="e">
        <f t="shared" si="28"/>
        <v>#VALUE!</v>
      </c>
      <c r="X107" s="324" t="e">
        <f t="shared" si="28"/>
        <v>#VALUE!</v>
      </c>
      <c r="Y107" s="324" t="e">
        <f t="shared" si="28"/>
        <v>#VALUE!</v>
      </c>
      <c r="Z107" s="324" t="e">
        <f t="shared" si="28"/>
        <v>#VALUE!</v>
      </c>
      <c r="AA107" s="324" t="e">
        <f t="shared" si="28"/>
        <v>#VALUE!</v>
      </c>
      <c r="AB107" s="324" t="e">
        <f t="shared" si="27"/>
        <v>#VALUE!</v>
      </c>
      <c r="AC107" s="324" t="e">
        <f t="shared" si="27"/>
        <v>#VALUE!</v>
      </c>
      <c r="AD107" s="324" t="e">
        <f t="shared" si="27"/>
        <v>#VALUE!</v>
      </c>
      <c r="AE107" s="324" t="e">
        <f t="shared" si="27"/>
        <v>#VALUE!</v>
      </c>
    </row>
    <row r="108" spans="1:31" s="324" customFormat="1" ht="0.65" hidden="1" customHeight="1">
      <c r="A108" s="324" t="e">
        <f t="shared" si="20"/>
        <v>#VALUE!</v>
      </c>
      <c r="F108" s="324" t="e">
        <f t="shared" si="25"/>
        <v>#VALUE!</v>
      </c>
      <c r="G108" s="324">
        <v>32</v>
      </c>
      <c r="H108" s="324" t="e">
        <f t="shared" si="29"/>
        <v>#VALUE!</v>
      </c>
      <c r="I108" s="328" t="e">
        <f t="shared" si="29"/>
        <v>#VALUE!</v>
      </c>
      <c r="J108" s="328" t="str">
        <f>IF(K11="","",K11)</f>
        <v/>
      </c>
      <c r="K108" s="324" t="str">
        <f t="shared" si="26"/>
        <v/>
      </c>
      <c r="M108" s="331" t="e">
        <f t="shared" si="28"/>
        <v>#VALUE!</v>
      </c>
      <c r="N108" s="331" t="e">
        <f t="shared" si="28"/>
        <v>#VALUE!</v>
      </c>
      <c r="O108" s="331" t="e">
        <f t="shared" si="28"/>
        <v>#VALUE!</v>
      </c>
      <c r="P108" s="331" t="e">
        <f t="shared" si="28"/>
        <v>#VALUE!</v>
      </c>
      <c r="Q108" s="331" t="e">
        <f t="shared" si="28"/>
        <v>#VALUE!</v>
      </c>
      <c r="R108" s="331" t="e">
        <f t="shared" si="28"/>
        <v>#VALUE!</v>
      </c>
      <c r="S108" s="331" t="e">
        <f t="shared" si="28"/>
        <v>#VALUE!</v>
      </c>
      <c r="T108" s="331" t="e">
        <f t="shared" si="28"/>
        <v>#VALUE!</v>
      </c>
      <c r="U108" s="338" t="e">
        <f t="shared" si="28"/>
        <v>#VALUE!</v>
      </c>
      <c r="V108" s="338" t="e">
        <f t="shared" si="28"/>
        <v>#VALUE!</v>
      </c>
      <c r="W108" s="324" t="e">
        <f t="shared" si="28"/>
        <v>#VALUE!</v>
      </c>
      <c r="X108" s="324" t="e">
        <f t="shared" si="28"/>
        <v>#VALUE!</v>
      </c>
      <c r="Y108" s="324" t="e">
        <f t="shared" si="28"/>
        <v>#VALUE!</v>
      </c>
      <c r="Z108" s="324" t="e">
        <f t="shared" si="28"/>
        <v>#VALUE!</v>
      </c>
      <c r="AA108" s="324" t="e">
        <f t="shared" si="28"/>
        <v>#VALUE!</v>
      </c>
      <c r="AB108" s="324" t="e">
        <f t="shared" si="27"/>
        <v>#VALUE!</v>
      </c>
      <c r="AC108" s="324" t="e">
        <f t="shared" si="27"/>
        <v>#VALUE!</v>
      </c>
      <c r="AD108" s="324" t="e">
        <f t="shared" si="27"/>
        <v>#VALUE!</v>
      </c>
      <c r="AE108" s="324" t="e">
        <f t="shared" si="27"/>
        <v>#VALUE!</v>
      </c>
    </row>
    <row r="109" spans="1:31" s="324" customFormat="1" ht="0.65" hidden="1" customHeight="1">
      <c r="A109" s="324" t="e">
        <f t="shared" si="20"/>
        <v>#VALUE!</v>
      </c>
      <c r="F109" s="324" t="e">
        <f t="shared" si="25"/>
        <v>#VALUE!</v>
      </c>
      <c r="G109" s="324">
        <v>33</v>
      </c>
      <c r="H109" s="324" t="e">
        <f t="shared" si="29"/>
        <v>#VALUE!</v>
      </c>
      <c r="I109" s="328" t="e">
        <f t="shared" si="29"/>
        <v>#VALUE!</v>
      </c>
      <c r="J109" s="328" t="str">
        <f>IF(K12="","",K12)</f>
        <v/>
      </c>
      <c r="K109" s="324" t="str">
        <f t="shared" si="26"/>
        <v/>
      </c>
      <c r="M109" s="331" t="e">
        <f t="shared" ref="M109:AB124" si="30">VLOOKUP($A109,$A$231:$AP$1595,M$54,FALSE)</f>
        <v>#VALUE!</v>
      </c>
      <c r="N109" s="331" t="e">
        <f t="shared" si="30"/>
        <v>#VALUE!</v>
      </c>
      <c r="O109" s="331" t="e">
        <f t="shared" si="30"/>
        <v>#VALUE!</v>
      </c>
      <c r="P109" s="331" t="e">
        <f t="shared" si="30"/>
        <v>#VALUE!</v>
      </c>
      <c r="Q109" s="331" t="e">
        <f t="shared" si="30"/>
        <v>#VALUE!</v>
      </c>
      <c r="R109" s="331" t="e">
        <f t="shared" si="30"/>
        <v>#VALUE!</v>
      </c>
      <c r="S109" s="331" t="e">
        <f t="shared" si="30"/>
        <v>#VALUE!</v>
      </c>
      <c r="T109" s="331" t="e">
        <f t="shared" si="30"/>
        <v>#VALUE!</v>
      </c>
      <c r="U109" s="338" t="e">
        <f t="shared" si="30"/>
        <v>#VALUE!</v>
      </c>
      <c r="V109" s="338" t="e">
        <f t="shared" si="30"/>
        <v>#VALUE!</v>
      </c>
      <c r="W109" s="324" t="e">
        <f t="shared" si="30"/>
        <v>#VALUE!</v>
      </c>
      <c r="X109" s="324" t="e">
        <f t="shared" si="30"/>
        <v>#VALUE!</v>
      </c>
      <c r="Y109" s="324" t="e">
        <f t="shared" si="30"/>
        <v>#VALUE!</v>
      </c>
      <c r="Z109" s="324" t="e">
        <f t="shared" si="30"/>
        <v>#VALUE!</v>
      </c>
      <c r="AA109" s="324" t="e">
        <f t="shared" si="30"/>
        <v>#VALUE!</v>
      </c>
      <c r="AB109" s="324" t="e">
        <f t="shared" si="27"/>
        <v>#VALUE!</v>
      </c>
      <c r="AC109" s="324" t="e">
        <f t="shared" si="27"/>
        <v>#VALUE!</v>
      </c>
      <c r="AD109" s="324" t="e">
        <f t="shared" si="27"/>
        <v>#VALUE!</v>
      </c>
      <c r="AE109" s="324" t="e">
        <f t="shared" si="27"/>
        <v>#VALUE!</v>
      </c>
    </row>
    <row r="110" spans="1:31" s="324" customFormat="1" ht="0.65" hidden="1" customHeight="1">
      <c r="A110" s="324" t="e">
        <f t="shared" si="20"/>
        <v>#VALUE!</v>
      </c>
      <c r="F110" s="324" t="e">
        <f t="shared" si="25"/>
        <v>#VALUE!</v>
      </c>
      <c r="G110" s="324">
        <v>34</v>
      </c>
      <c r="H110" s="324" t="e">
        <f t="shared" si="29"/>
        <v>#VALUE!</v>
      </c>
      <c r="I110" s="328" t="e">
        <f t="shared" si="29"/>
        <v>#VALUE!</v>
      </c>
      <c r="J110" s="328" t="str">
        <f>IF(K13="","",K13)</f>
        <v/>
      </c>
      <c r="K110" s="324" t="str">
        <f t="shared" si="26"/>
        <v/>
      </c>
      <c r="M110" s="331" t="e">
        <f t="shared" si="30"/>
        <v>#VALUE!</v>
      </c>
      <c r="N110" s="331" t="e">
        <f t="shared" si="30"/>
        <v>#VALUE!</v>
      </c>
      <c r="O110" s="331" t="e">
        <f t="shared" si="30"/>
        <v>#VALUE!</v>
      </c>
      <c r="P110" s="331" t="e">
        <f t="shared" si="30"/>
        <v>#VALUE!</v>
      </c>
      <c r="Q110" s="331" t="e">
        <f t="shared" si="30"/>
        <v>#VALUE!</v>
      </c>
      <c r="R110" s="331" t="e">
        <f t="shared" si="30"/>
        <v>#VALUE!</v>
      </c>
      <c r="S110" s="331" t="e">
        <f t="shared" si="30"/>
        <v>#VALUE!</v>
      </c>
      <c r="T110" s="331" t="e">
        <f t="shared" si="30"/>
        <v>#VALUE!</v>
      </c>
      <c r="U110" s="338" t="e">
        <f t="shared" si="30"/>
        <v>#VALUE!</v>
      </c>
      <c r="V110" s="338" t="e">
        <f t="shared" si="30"/>
        <v>#VALUE!</v>
      </c>
      <c r="W110" s="324" t="e">
        <f t="shared" si="30"/>
        <v>#VALUE!</v>
      </c>
      <c r="X110" s="324" t="e">
        <f t="shared" si="30"/>
        <v>#VALUE!</v>
      </c>
      <c r="Y110" s="324" t="e">
        <f t="shared" si="30"/>
        <v>#VALUE!</v>
      </c>
      <c r="Z110" s="324" t="e">
        <f t="shared" si="30"/>
        <v>#VALUE!</v>
      </c>
      <c r="AA110" s="324" t="e">
        <f t="shared" si="30"/>
        <v>#VALUE!</v>
      </c>
      <c r="AB110" s="324" t="e">
        <f t="shared" si="27"/>
        <v>#VALUE!</v>
      </c>
      <c r="AC110" s="324" t="e">
        <f t="shared" si="27"/>
        <v>#VALUE!</v>
      </c>
      <c r="AD110" s="324" t="e">
        <f t="shared" si="27"/>
        <v>#VALUE!</v>
      </c>
      <c r="AE110" s="324" t="e">
        <f t="shared" si="27"/>
        <v>#VALUE!</v>
      </c>
    </row>
    <row r="111" spans="1:31" s="324" customFormat="1" ht="0.65" hidden="1" customHeight="1">
      <c r="A111" s="324" t="e">
        <f t="shared" si="20"/>
        <v>#VALUE!</v>
      </c>
      <c r="E111" s="339"/>
      <c r="F111" s="324" t="e">
        <f t="shared" si="25"/>
        <v>#VALUE!</v>
      </c>
      <c r="G111" s="324">
        <v>35</v>
      </c>
      <c r="H111" s="324" t="e">
        <f t="shared" si="29"/>
        <v>#VALUE!</v>
      </c>
      <c r="I111" s="328" t="e">
        <f t="shared" si="29"/>
        <v>#VALUE!</v>
      </c>
      <c r="J111" s="328" t="str">
        <f>IF(O5="","",O5)</f>
        <v/>
      </c>
      <c r="K111" s="324" t="str">
        <f t="shared" si="26"/>
        <v/>
      </c>
      <c r="M111" s="331" t="e">
        <f t="shared" si="30"/>
        <v>#VALUE!</v>
      </c>
      <c r="N111" s="331" t="e">
        <f t="shared" si="30"/>
        <v>#VALUE!</v>
      </c>
      <c r="O111" s="331" t="e">
        <f t="shared" si="30"/>
        <v>#VALUE!</v>
      </c>
      <c r="P111" s="331" t="e">
        <f t="shared" si="30"/>
        <v>#VALUE!</v>
      </c>
      <c r="Q111" s="331" t="e">
        <f t="shared" si="30"/>
        <v>#VALUE!</v>
      </c>
      <c r="R111" s="331" t="e">
        <f t="shared" si="30"/>
        <v>#VALUE!</v>
      </c>
      <c r="S111" s="331" t="e">
        <f t="shared" si="30"/>
        <v>#VALUE!</v>
      </c>
      <c r="T111" s="331" t="e">
        <f t="shared" si="30"/>
        <v>#VALUE!</v>
      </c>
      <c r="U111" s="338" t="e">
        <f t="shared" si="30"/>
        <v>#VALUE!</v>
      </c>
      <c r="V111" s="338" t="e">
        <f t="shared" si="30"/>
        <v>#VALUE!</v>
      </c>
      <c r="W111" s="324" t="e">
        <f t="shared" si="30"/>
        <v>#VALUE!</v>
      </c>
      <c r="X111" s="324" t="e">
        <f t="shared" si="30"/>
        <v>#VALUE!</v>
      </c>
      <c r="Y111" s="324" t="e">
        <f t="shared" si="30"/>
        <v>#VALUE!</v>
      </c>
      <c r="Z111" s="324" t="e">
        <f t="shared" si="30"/>
        <v>#VALUE!</v>
      </c>
      <c r="AA111" s="324" t="e">
        <f t="shared" si="30"/>
        <v>#VALUE!</v>
      </c>
      <c r="AB111" s="324" t="e">
        <f t="shared" si="27"/>
        <v>#VALUE!</v>
      </c>
      <c r="AC111" s="324" t="e">
        <f t="shared" si="27"/>
        <v>#VALUE!</v>
      </c>
      <c r="AD111" s="324" t="e">
        <f t="shared" si="27"/>
        <v>#VALUE!</v>
      </c>
      <c r="AE111" s="324" t="e">
        <f t="shared" si="27"/>
        <v>#VALUE!</v>
      </c>
    </row>
    <row r="112" spans="1:31" s="324" customFormat="1" ht="0.65" hidden="1" customHeight="1">
      <c r="A112" s="324" t="e">
        <f t="shared" si="20"/>
        <v>#VALUE!</v>
      </c>
      <c r="F112" s="324" t="e">
        <f t="shared" si="25"/>
        <v>#VALUE!</v>
      </c>
      <c r="G112" s="324">
        <v>36</v>
      </c>
      <c r="H112" s="324" t="e">
        <f t="shared" si="29"/>
        <v>#VALUE!</v>
      </c>
      <c r="I112" s="328" t="e">
        <f t="shared" si="29"/>
        <v>#VALUE!</v>
      </c>
      <c r="J112" s="328" t="str">
        <f>IF(O6="","",O6)</f>
        <v/>
      </c>
      <c r="K112" s="324" t="str">
        <f t="shared" si="26"/>
        <v/>
      </c>
      <c r="M112" s="331" t="e">
        <f t="shared" si="30"/>
        <v>#VALUE!</v>
      </c>
      <c r="N112" s="331" t="e">
        <f t="shared" si="30"/>
        <v>#VALUE!</v>
      </c>
      <c r="O112" s="331" t="e">
        <f t="shared" si="30"/>
        <v>#VALUE!</v>
      </c>
      <c r="P112" s="331" t="e">
        <f t="shared" si="30"/>
        <v>#VALUE!</v>
      </c>
      <c r="Q112" s="331" t="e">
        <f t="shared" si="30"/>
        <v>#VALUE!</v>
      </c>
      <c r="R112" s="331" t="e">
        <f t="shared" si="30"/>
        <v>#VALUE!</v>
      </c>
      <c r="S112" s="331" t="e">
        <f t="shared" si="30"/>
        <v>#VALUE!</v>
      </c>
      <c r="T112" s="331" t="e">
        <f t="shared" si="30"/>
        <v>#VALUE!</v>
      </c>
      <c r="U112" s="338" t="e">
        <f t="shared" si="30"/>
        <v>#VALUE!</v>
      </c>
      <c r="V112" s="338" t="e">
        <f t="shared" si="30"/>
        <v>#VALUE!</v>
      </c>
      <c r="W112" s="324" t="e">
        <f t="shared" si="30"/>
        <v>#VALUE!</v>
      </c>
      <c r="X112" s="324" t="e">
        <f t="shared" si="30"/>
        <v>#VALUE!</v>
      </c>
      <c r="Y112" s="324" t="e">
        <f t="shared" si="30"/>
        <v>#VALUE!</v>
      </c>
      <c r="Z112" s="324" t="e">
        <f t="shared" si="30"/>
        <v>#VALUE!</v>
      </c>
      <c r="AA112" s="324" t="e">
        <f t="shared" si="30"/>
        <v>#VALUE!</v>
      </c>
      <c r="AB112" s="324" t="e">
        <f t="shared" si="30"/>
        <v>#VALUE!</v>
      </c>
      <c r="AC112" s="324" t="e">
        <f t="shared" ref="AC112:AE125" si="31">VLOOKUP($A112,$A$231:$AP$1595,AC$54,FALSE)</f>
        <v>#VALUE!</v>
      </c>
      <c r="AD112" s="324" t="e">
        <f t="shared" si="31"/>
        <v>#VALUE!</v>
      </c>
      <c r="AE112" s="324" t="e">
        <f t="shared" si="31"/>
        <v>#VALUE!</v>
      </c>
    </row>
    <row r="113" spans="1:31" s="324" customFormat="1" ht="0.65" hidden="1" customHeight="1">
      <c r="A113" s="324" t="e">
        <f t="shared" si="20"/>
        <v>#VALUE!</v>
      </c>
      <c r="F113" s="324" t="e">
        <f t="shared" si="25"/>
        <v>#VALUE!</v>
      </c>
      <c r="G113" s="324">
        <v>37</v>
      </c>
      <c r="H113" s="324" t="e">
        <f t="shared" si="29"/>
        <v>#VALUE!</v>
      </c>
      <c r="I113" s="328" t="e">
        <f t="shared" si="29"/>
        <v>#VALUE!</v>
      </c>
      <c r="J113" s="328" t="str">
        <f>IF(O7="","",O7)</f>
        <v/>
      </c>
      <c r="K113" s="324" t="str">
        <f t="shared" si="26"/>
        <v/>
      </c>
      <c r="M113" s="331" t="e">
        <f t="shared" si="30"/>
        <v>#VALUE!</v>
      </c>
      <c r="N113" s="331" t="e">
        <f t="shared" si="30"/>
        <v>#VALUE!</v>
      </c>
      <c r="O113" s="331" t="e">
        <f t="shared" si="30"/>
        <v>#VALUE!</v>
      </c>
      <c r="P113" s="331" t="e">
        <f t="shared" si="30"/>
        <v>#VALUE!</v>
      </c>
      <c r="Q113" s="331" t="e">
        <f t="shared" si="30"/>
        <v>#VALUE!</v>
      </c>
      <c r="R113" s="331" t="e">
        <f t="shared" si="30"/>
        <v>#VALUE!</v>
      </c>
      <c r="S113" s="331" t="e">
        <f t="shared" si="30"/>
        <v>#VALUE!</v>
      </c>
      <c r="T113" s="331" t="e">
        <f t="shared" si="30"/>
        <v>#VALUE!</v>
      </c>
      <c r="U113" s="338" t="e">
        <f t="shared" si="30"/>
        <v>#VALUE!</v>
      </c>
      <c r="V113" s="338" t="e">
        <f t="shared" si="30"/>
        <v>#VALUE!</v>
      </c>
      <c r="W113" s="324" t="e">
        <f t="shared" si="30"/>
        <v>#VALUE!</v>
      </c>
      <c r="X113" s="324" t="e">
        <f t="shared" si="30"/>
        <v>#VALUE!</v>
      </c>
      <c r="Y113" s="324" t="e">
        <f t="shared" si="30"/>
        <v>#VALUE!</v>
      </c>
      <c r="Z113" s="324" t="e">
        <f t="shared" si="30"/>
        <v>#VALUE!</v>
      </c>
      <c r="AA113" s="324" t="e">
        <f t="shared" si="30"/>
        <v>#VALUE!</v>
      </c>
      <c r="AB113" s="324" t="e">
        <f t="shared" si="30"/>
        <v>#VALUE!</v>
      </c>
      <c r="AC113" s="324" t="e">
        <f t="shared" si="31"/>
        <v>#VALUE!</v>
      </c>
      <c r="AD113" s="324" t="e">
        <f t="shared" si="31"/>
        <v>#VALUE!</v>
      </c>
      <c r="AE113" s="324" t="e">
        <f t="shared" si="31"/>
        <v>#VALUE!</v>
      </c>
    </row>
    <row r="114" spans="1:31" s="324" customFormat="1" ht="0.65" hidden="1" customHeight="1">
      <c r="A114" s="324" t="e">
        <f t="shared" si="20"/>
        <v>#VALUE!</v>
      </c>
      <c r="F114" s="324" t="e">
        <f t="shared" si="25"/>
        <v>#VALUE!</v>
      </c>
      <c r="G114" s="324">
        <v>38</v>
      </c>
      <c r="H114" s="328" t="e">
        <f t="shared" si="29"/>
        <v>#VALUE!</v>
      </c>
      <c r="I114" s="328" t="e">
        <f t="shared" si="29"/>
        <v>#VALUE!</v>
      </c>
      <c r="J114" s="328" t="str">
        <f>IF(N11="","",N11)</f>
        <v/>
      </c>
      <c r="K114" s="324" t="str">
        <f t="shared" si="26"/>
        <v/>
      </c>
      <c r="M114" s="331" t="e">
        <f t="shared" si="30"/>
        <v>#VALUE!</v>
      </c>
      <c r="N114" s="331" t="e">
        <f t="shared" si="30"/>
        <v>#VALUE!</v>
      </c>
      <c r="O114" s="331" t="e">
        <f t="shared" si="30"/>
        <v>#VALUE!</v>
      </c>
      <c r="P114" s="331" t="e">
        <f t="shared" si="30"/>
        <v>#VALUE!</v>
      </c>
      <c r="Q114" s="331" t="e">
        <f t="shared" si="30"/>
        <v>#VALUE!</v>
      </c>
      <c r="R114" s="331" t="e">
        <f t="shared" si="30"/>
        <v>#VALUE!</v>
      </c>
      <c r="S114" s="331" t="e">
        <f t="shared" si="30"/>
        <v>#VALUE!</v>
      </c>
      <c r="T114" s="331" t="e">
        <f t="shared" si="30"/>
        <v>#VALUE!</v>
      </c>
      <c r="U114" s="338" t="e">
        <f t="shared" si="30"/>
        <v>#VALUE!</v>
      </c>
      <c r="V114" s="338" t="e">
        <f t="shared" si="30"/>
        <v>#VALUE!</v>
      </c>
      <c r="W114" s="324" t="e">
        <f t="shared" si="30"/>
        <v>#VALUE!</v>
      </c>
      <c r="X114" s="324" t="e">
        <f t="shared" si="30"/>
        <v>#VALUE!</v>
      </c>
      <c r="Y114" s="324" t="e">
        <f t="shared" si="30"/>
        <v>#VALUE!</v>
      </c>
      <c r="Z114" s="324" t="e">
        <f t="shared" si="30"/>
        <v>#VALUE!</v>
      </c>
      <c r="AA114" s="324" t="e">
        <f t="shared" si="30"/>
        <v>#VALUE!</v>
      </c>
      <c r="AB114" s="324" t="e">
        <f t="shared" si="30"/>
        <v>#VALUE!</v>
      </c>
      <c r="AC114" s="324" t="e">
        <f t="shared" si="31"/>
        <v>#VALUE!</v>
      </c>
      <c r="AD114" s="324" t="e">
        <f t="shared" si="31"/>
        <v>#VALUE!</v>
      </c>
      <c r="AE114" s="324" t="e">
        <f t="shared" si="31"/>
        <v>#VALUE!</v>
      </c>
    </row>
    <row r="115" spans="1:31" s="324" customFormat="1" ht="0.65" hidden="1" customHeight="1">
      <c r="A115" s="324" t="e">
        <f t="shared" si="20"/>
        <v>#VALUE!</v>
      </c>
      <c r="F115" s="324" t="e">
        <f t="shared" si="25"/>
        <v>#VALUE!</v>
      </c>
      <c r="G115" s="324">
        <v>39</v>
      </c>
      <c r="H115" s="328" t="e">
        <f t="shared" si="29"/>
        <v>#VALUE!</v>
      </c>
      <c r="I115" s="328" t="e">
        <f t="shared" si="29"/>
        <v>#VALUE!</v>
      </c>
      <c r="J115" s="328" t="str">
        <f>IF(N12="","",N12)</f>
        <v/>
      </c>
      <c r="K115" s="324" t="str">
        <f t="shared" si="26"/>
        <v/>
      </c>
      <c r="M115" s="331" t="e">
        <f t="shared" si="30"/>
        <v>#VALUE!</v>
      </c>
      <c r="N115" s="331" t="e">
        <f t="shared" si="30"/>
        <v>#VALUE!</v>
      </c>
      <c r="O115" s="331" t="e">
        <f t="shared" si="30"/>
        <v>#VALUE!</v>
      </c>
      <c r="P115" s="331" t="e">
        <f t="shared" si="30"/>
        <v>#VALUE!</v>
      </c>
      <c r="Q115" s="331" t="e">
        <f t="shared" si="30"/>
        <v>#VALUE!</v>
      </c>
      <c r="R115" s="331" t="e">
        <f t="shared" si="30"/>
        <v>#VALUE!</v>
      </c>
      <c r="S115" s="331" t="e">
        <f t="shared" si="30"/>
        <v>#VALUE!</v>
      </c>
      <c r="T115" s="331" t="e">
        <f t="shared" si="30"/>
        <v>#VALUE!</v>
      </c>
      <c r="U115" s="338" t="e">
        <f t="shared" si="30"/>
        <v>#VALUE!</v>
      </c>
      <c r="V115" s="338" t="e">
        <f t="shared" si="30"/>
        <v>#VALUE!</v>
      </c>
      <c r="W115" s="324" t="e">
        <f t="shared" si="30"/>
        <v>#VALUE!</v>
      </c>
      <c r="X115" s="324" t="e">
        <f t="shared" si="30"/>
        <v>#VALUE!</v>
      </c>
      <c r="Y115" s="324" t="e">
        <f t="shared" si="30"/>
        <v>#VALUE!</v>
      </c>
      <c r="Z115" s="324" t="e">
        <f t="shared" si="30"/>
        <v>#VALUE!</v>
      </c>
      <c r="AA115" s="324" t="e">
        <f t="shared" si="30"/>
        <v>#VALUE!</v>
      </c>
      <c r="AB115" s="324" t="e">
        <f t="shared" si="30"/>
        <v>#VALUE!</v>
      </c>
      <c r="AC115" s="324" t="e">
        <f t="shared" si="31"/>
        <v>#VALUE!</v>
      </c>
      <c r="AD115" s="324" t="e">
        <f t="shared" si="31"/>
        <v>#VALUE!</v>
      </c>
      <c r="AE115" s="324" t="e">
        <f t="shared" si="31"/>
        <v>#VALUE!</v>
      </c>
    </row>
    <row r="116" spans="1:31" s="324" customFormat="1" ht="0.65" hidden="1" customHeight="1">
      <c r="A116" s="324" t="e">
        <f t="shared" si="20"/>
        <v>#VALUE!</v>
      </c>
      <c r="F116" s="324" t="e">
        <f t="shared" si="25"/>
        <v>#VALUE!</v>
      </c>
      <c r="G116" s="324">
        <v>40</v>
      </c>
      <c r="H116" s="328" t="e">
        <f t="shared" si="29"/>
        <v>#VALUE!</v>
      </c>
      <c r="I116" s="328" t="e">
        <f t="shared" si="29"/>
        <v>#VALUE!</v>
      </c>
      <c r="J116" s="328" t="str">
        <f>IF(N13="","",N13)</f>
        <v/>
      </c>
      <c r="K116" s="324" t="str">
        <f t="shared" si="26"/>
        <v/>
      </c>
      <c r="M116" s="331" t="e">
        <f t="shared" si="30"/>
        <v>#VALUE!</v>
      </c>
      <c r="N116" s="331" t="e">
        <f t="shared" si="30"/>
        <v>#VALUE!</v>
      </c>
      <c r="O116" s="331" t="e">
        <f t="shared" si="30"/>
        <v>#VALUE!</v>
      </c>
      <c r="P116" s="331" t="e">
        <f t="shared" si="30"/>
        <v>#VALUE!</v>
      </c>
      <c r="Q116" s="331" t="e">
        <f t="shared" si="30"/>
        <v>#VALUE!</v>
      </c>
      <c r="R116" s="331" t="e">
        <f t="shared" si="30"/>
        <v>#VALUE!</v>
      </c>
      <c r="S116" s="331" t="e">
        <f t="shared" si="30"/>
        <v>#VALUE!</v>
      </c>
      <c r="T116" s="331" t="e">
        <f t="shared" si="30"/>
        <v>#VALUE!</v>
      </c>
      <c r="U116" s="338" t="e">
        <f t="shared" si="30"/>
        <v>#VALUE!</v>
      </c>
      <c r="V116" s="338" t="e">
        <f t="shared" si="30"/>
        <v>#VALUE!</v>
      </c>
      <c r="W116" s="324" t="e">
        <f t="shared" si="30"/>
        <v>#VALUE!</v>
      </c>
      <c r="X116" s="324" t="e">
        <f t="shared" si="30"/>
        <v>#VALUE!</v>
      </c>
      <c r="Y116" s="324" t="e">
        <f t="shared" si="30"/>
        <v>#VALUE!</v>
      </c>
      <c r="Z116" s="324" t="e">
        <f t="shared" si="30"/>
        <v>#VALUE!</v>
      </c>
      <c r="AA116" s="324" t="e">
        <f t="shared" si="30"/>
        <v>#VALUE!</v>
      </c>
      <c r="AB116" s="324" t="e">
        <f t="shared" si="30"/>
        <v>#VALUE!</v>
      </c>
      <c r="AC116" s="324" t="e">
        <f t="shared" si="31"/>
        <v>#VALUE!</v>
      </c>
      <c r="AD116" s="324" t="e">
        <f t="shared" si="31"/>
        <v>#VALUE!</v>
      </c>
      <c r="AE116" s="324" t="e">
        <f t="shared" si="31"/>
        <v>#VALUE!</v>
      </c>
    </row>
    <row r="117" spans="1:31" s="324" customFormat="1" ht="0.65" hidden="1" customHeight="1">
      <c r="A117" s="324" t="e">
        <f t="shared" si="20"/>
        <v>#VALUE!</v>
      </c>
      <c r="F117" s="324" t="e">
        <f>IF(I117=J117,1,0)</f>
        <v>#VALUE!</v>
      </c>
      <c r="G117" s="324">
        <v>41</v>
      </c>
      <c r="H117" s="324" t="e">
        <f t="shared" si="29"/>
        <v>#VALUE!</v>
      </c>
      <c r="I117" s="328" t="e">
        <f t="shared" si="29"/>
        <v>#VALUE!</v>
      </c>
      <c r="J117" s="328" t="str">
        <f>IF(P4="","",P4)</f>
        <v/>
      </c>
      <c r="K117" s="324" t="str">
        <f t="shared" si="26"/>
        <v/>
      </c>
      <c r="M117" s="331" t="e">
        <f t="shared" si="30"/>
        <v>#VALUE!</v>
      </c>
      <c r="N117" s="331" t="e">
        <f t="shared" si="30"/>
        <v>#VALUE!</v>
      </c>
      <c r="O117" s="331" t="e">
        <f t="shared" si="30"/>
        <v>#VALUE!</v>
      </c>
      <c r="P117" s="331" t="e">
        <f t="shared" si="30"/>
        <v>#VALUE!</v>
      </c>
      <c r="Q117" s="331" t="e">
        <f t="shared" si="30"/>
        <v>#VALUE!</v>
      </c>
      <c r="R117" s="331" t="e">
        <f t="shared" si="30"/>
        <v>#VALUE!</v>
      </c>
      <c r="S117" s="331" t="e">
        <f t="shared" si="30"/>
        <v>#VALUE!</v>
      </c>
      <c r="T117" s="331" t="e">
        <f t="shared" si="30"/>
        <v>#VALUE!</v>
      </c>
      <c r="U117" s="338" t="e">
        <f t="shared" si="30"/>
        <v>#VALUE!</v>
      </c>
      <c r="V117" s="338" t="e">
        <f t="shared" si="30"/>
        <v>#VALUE!</v>
      </c>
      <c r="W117" s="324" t="e">
        <f t="shared" si="30"/>
        <v>#VALUE!</v>
      </c>
      <c r="X117" s="324" t="e">
        <f t="shared" si="30"/>
        <v>#VALUE!</v>
      </c>
      <c r="Y117" s="324" t="e">
        <f t="shared" si="30"/>
        <v>#VALUE!</v>
      </c>
      <c r="Z117" s="324" t="e">
        <f t="shared" si="30"/>
        <v>#VALUE!</v>
      </c>
      <c r="AA117" s="324" t="e">
        <f t="shared" si="30"/>
        <v>#VALUE!</v>
      </c>
      <c r="AB117" s="324" t="e">
        <f t="shared" si="30"/>
        <v>#VALUE!</v>
      </c>
      <c r="AC117" s="324" t="e">
        <f t="shared" si="31"/>
        <v>#VALUE!</v>
      </c>
      <c r="AD117" s="324" t="e">
        <f t="shared" si="31"/>
        <v>#VALUE!</v>
      </c>
      <c r="AE117" s="324" t="e">
        <f t="shared" si="31"/>
        <v>#VALUE!</v>
      </c>
    </row>
    <row r="118" spans="1:31" s="324" customFormat="1" ht="0.65" hidden="1" customHeight="1">
      <c r="A118" s="324" t="e">
        <f t="shared" si="20"/>
        <v>#VALUE!</v>
      </c>
      <c r="F118" s="324" t="e">
        <f>IF(I118=J118,1,0)</f>
        <v>#VALUE!</v>
      </c>
      <c r="G118" s="324">
        <v>42</v>
      </c>
      <c r="H118" s="324" t="e">
        <f t="shared" si="29"/>
        <v>#VALUE!</v>
      </c>
      <c r="I118" s="328" t="e">
        <f t="shared" si="29"/>
        <v>#VALUE!</v>
      </c>
      <c r="J118" s="328" t="str">
        <f>IF(P5="","",P5)</f>
        <v/>
      </c>
      <c r="K118" s="324" t="str">
        <f t="shared" si="26"/>
        <v/>
      </c>
      <c r="M118" s="331" t="e">
        <f t="shared" si="30"/>
        <v>#VALUE!</v>
      </c>
      <c r="N118" s="331" t="e">
        <f t="shared" si="30"/>
        <v>#VALUE!</v>
      </c>
      <c r="O118" s="331" t="e">
        <f t="shared" si="30"/>
        <v>#VALUE!</v>
      </c>
      <c r="P118" s="331" t="e">
        <f t="shared" si="30"/>
        <v>#VALUE!</v>
      </c>
      <c r="Q118" s="331" t="e">
        <f t="shared" si="30"/>
        <v>#VALUE!</v>
      </c>
      <c r="R118" s="331" t="e">
        <f t="shared" si="30"/>
        <v>#VALUE!</v>
      </c>
      <c r="S118" s="331" t="e">
        <f t="shared" si="30"/>
        <v>#VALUE!</v>
      </c>
      <c r="T118" s="331" t="e">
        <f t="shared" si="30"/>
        <v>#VALUE!</v>
      </c>
      <c r="U118" s="338" t="e">
        <f t="shared" si="30"/>
        <v>#VALUE!</v>
      </c>
      <c r="V118" s="338" t="e">
        <f t="shared" si="30"/>
        <v>#VALUE!</v>
      </c>
      <c r="W118" s="324" t="e">
        <f t="shared" si="30"/>
        <v>#VALUE!</v>
      </c>
      <c r="X118" s="324" t="e">
        <f t="shared" si="30"/>
        <v>#VALUE!</v>
      </c>
      <c r="Y118" s="324" t="e">
        <f t="shared" si="30"/>
        <v>#VALUE!</v>
      </c>
      <c r="Z118" s="324" t="e">
        <f t="shared" si="30"/>
        <v>#VALUE!</v>
      </c>
      <c r="AA118" s="324" t="e">
        <f t="shared" si="30"/>
        <v>#VALUE!</v>
      </c>
      <c r="AB118" s="324" t="e">
        <f t="shared" si="30"/>
        <v>#VALUE!</v>
      </c>
      <c r="AC118" s="324" t="e">
        <f t="shared" si="31"/>
        <v>#VALUE!</v>
      </c>
      <c r="AD118" s="324" t="e">
        <f t="shared" si="31"/>
        <v>#VALUE!</v>
      </c>
      <c r="AE118" s="324" t="e">
        <f t="shared" si="31"/>
        <v>#VALUE!</v>
      </c>
    </row>
    <row r="119" spans="1:31" s="324" customFormat="1" ht="0.65" hidden="1" customHeight="1">
      <c r="A119" s="324" t="e">
        <f t="shared" si="20"/>
        <v>#VALUE!</v>
      </c>
      <c r="F119" s="324" t="e">
        <f>IF(I119=J119,1,0)</f>
        <v>#VALUE!</v>
      </c>
      <c r="G119" s="324">
        <v>43</v>
      </c>
      <c r="H119" s="324" t="e">
        <f t="shared" si="29"/>
        <v>#VALUE!</v>
      </c>
      <c r="I119" s="328" t="e">
        <f t="shared" si="29"/>
        <v>#VALUE!</v>
      </c>
      <c r="J119" s="328" t="str">
        <f>IF(P6="","",P6)</f>
        <v/>
      </c>
      <c r="K119" s="324" t="str">
        <f t="shared" si="26"/>
        <v/>
      </c>
      <c r="M119" s="331" t="e">
        <f t="shared" si="30"/>
        <v>#VALUE!</v>
      </c>
      <c r="N119" s="331" t="e">
        <f t="shared" si="30"/>
        <v>#VALUE!</v>
      </c>
      <c r="O119" s="331" t="e">
        <f t="shared" si="30"/>
        <v>#VALUE!</v>
      </c>
      <c r="P119" s="331" t="e">
        <f t="shared" si="30"/>
        <v>#VALUE!</v>
      </c>
      <c r="Q119" s="331" t="e">
        <f t="shared" si="30"/>
        <v>#VALUE!</v>
      </c>
      <c r="R119" s="331" t="e">
        <f t="shared" si="30"/>
        <v>#VALUE!</v>
      </c>
      <c r="S119" s="331" t="e">
        <f t="shared" si="30"/>
        <v>#VALUE!</v>
      </c>
      <c r="T119" s="331" t="e">
        <f t="shared" si="30"/>
        <v>#VALUE!</v>
      </c>
      <c r="U119" s="338" t="e">
        <f t="shared" si="30"/>
        <v>#VALUE!</v>
      </c>
      <c r="V119" s="338" t="e">
        <f t="shared" si="30"/>
        <v>#VALUE!</v>
      </c>
      <c r="W119" s="324" t="e">
        <f t="shared" si="30"/>
        <v>#VALUE!</v>
      </c>
      <c r="X119" s="324" t="e">
        <f t="shared" si="30"/>
        <v>#VALUE!</v>
      </c>
      <c r="Y119" s="324" t="e">
        <f t="shared" si="30"/>
        <v>#VALUE!</v>
      </c>
      <c r="Z119" s="324" t="e">
        <f t="shared" si="30"/>
        <v>#VALUE!</v>
      </c>
      <c r="AA119" s="324" t="e">
        <f t="shared" si="30"/>
        <v>#VALUE!</v>
      </c>
      <c r="AB119" s="324" t="e">
        <f t="shared" si="30"/>
        <v>#VALUE!</v>
      </c>
      <c r="AC119" s="324" t="e">
        <f t="shared" si="31"/>
        <v>#VALUE!</v>
      </c>
      <c r="AD119" s="324" t="e">
        <f t="shared" si="31"/>
        <v>#VALUE!</v>
      </c>
      <c r="AE119" s="324" t="e">
        <f t="shared" si="31"/>
        <v>#VALUE!</v>
      </c>
    </row>
    <row r="120" spans="1:31" s="324" customFormat="1" ht="0.65" hidden="1" customHeight="1">
      <c r="A120" s="324" t="e">
        <f t="shared" si="20"/>
        <v>#VALUE!</v>
      </c>
      <c r="F120" s="324" t="e">
        <f>IF(I120=J120,1,0)</f>
        <v>#VALUE!</v>
      </c>
      <c r="G120" s="324">
        <v>44</v>
      </c>
      <c r="H120" s="324" t="e">
        <f t="shared" si="29"/>
        <v>#VALUE!</v>
      </c>
      <c r="I120" s="328" t="e">
        <f t="shared" si="29"/>
        <v>#VALUE!</v>
      </c>
      <c r="J120" s="328" t="str">
        <f>IF(P7="","",P7)</f>
        <v/>
      </c>
      <c r="K120" s="324" t="str">
        <f t="shared" si="26"/>
        <v/>
      </c>
      <c r="M120" s="331" t="e">
        <f t="shared" si="30"/>
        <v>#VALUE!</v>
      </c>
      <c r="N120" s="331" t="e">
        <f t="shared" si="30"/>
        <v>#VALUE!</v>
      </c>
      <c r="O120" s="331" t="e">
        <f t="shared" si="30"/>
        <v>#VALUE!</v>
      </c>
      <c r="P120" s="331" t="e">
        <f t="shared" si="30"/>
        <v>#VALUE!</v>
      </c>
      <c r="Q120" s="331" t="e">
        <f t="shared" si="30"/>
        <v>#VALUE!</v>
      </c>
      <c r="R120" s="331" t="e">
        <f t="shared" si="30"/>
        <v>#VALUE!</v>
      </c>
      <c r="S120" s="331" t="e">
        <f t="shared" si="30"/>
        <v>#VALUE!</v>
      </c>
      <c r="T120" s="331" t="e">
        <f t="shared" si="30"/>
        <v>#VALUE!</v>
      </c>
      <c r="U120" s="338" t="e">
        <f t="shared" si="30"/>
        <v>#VALUE!</v>
      </c>
      <c r="V120" s="338" t="e">
        <f t="shared" si="30"/>
        <v>#VALUE!</v>
      </c>
      <c r="W120" s="324" t="e">
        <f t="shared" si="30"/>
        <v>#VALUE!</v>
      </c>
      <c r="X120" s="324" t="e">
        <f t="shared" si="30"/>
        <v>#VALUE!</v>
      </c>
      <c r="Y120" s="324" t="e">
        <f t="shared" si="30"/>
        <v>#VALUE!</v>
      </c>
      <c r="Z120" s="324" t="e">
        <f t="shared" si="30"/>
        <v>#VALUE!</v>
      </c>
      <c r="AA120" s="324" t="e">
        <f t="shared" si="30"/>
        <v>#VALUE!</v>
      </c>
      <c r="AB120" s="324" t="e">
        <f t="shared" si="30"/>
        <v>#VALUE!</v>
      </c>
      <c r="AC120" s="324" t="e">
        <f t="shared" si="31"/>
        <v>#VALUE!</v>
      </c>
      <c r="AD120" s="324" t="e">
        <f t="shared" si="31"/>
        <v>#VALUE!</v>
      </c>
      <c r="AE120" s="324" t="e">
        <f t="shared" si="31"/>
        <v>#VALUE!</v>
      </c>
    </row>
    <row r="121" spans="1:31" s="324" customFormat="1" ht="0.65" hidden="1" customHeight="1">
      <c r="A121" s="324" t="e">
        <f t="shared" si="20"/>
        <v>#VALUE!</v>
      </c>
      <c r="F121" s="324" t="e">
        <f t="shared" si="25"/>
        <v>#VALUE!</v>
      </c>
      <c r="G121" s="324">
        <v>45</v>
      </c>
      <c r="H121" s="328" t="e">
        <f t="shared" si="29"/>
        <v>#VALUE!</v>
      </c>
      <c r="I121" s="340" t="e">
        <f t="shared" si="29"/>
        <v>#VALUE!</v>
      </c>
      <c r="J121" s="329" t="str">
        <f>IF(P10="","",P10)</f>
        <v/>
      </c>
      <c r="K121" s="324" t="str">
        <f t="shared" si="26"/>
        <v/>
      </c>
      <c r="M121" s="331" t="e">
        <f t="shared" si="30"/>
        <v>#VALUE!</v>
      </c>
      <c r="N121" s="331" t="e">
        <f t="shared" si="30"/>
        <v>#VALUE!</v>
      </c>
      <c r="O121" s="331" t="e">
        <f t="shared" si="30"/>
        <v>#VALUE!</v>
      </c>
      <c r="P121" s="331" t="e">
        <f t="shared" si="30"/>
        <v>#VALUE!</v>
      </c>
      <c r="Q121" s="331" t="e">
        <f t="shared" si="30"/>
        <v>#VALUE!</v>
      </c>
      <c r="R121" s="331" t="e">
        <f t="shared" si="30"/>
        <v>#VALUE!</v>
      </c>
      <c r="S121" s="331" t="e">
        <f t="shared" si="30"/>
        <v>#VALUE!</v>
      </c>
      <c r="T121" s="331" t="e">
        <f t="shared" si="30"/>
        <v>#VALUE!</v>
      </c>
      <c r="U121" s="338" t="e">
        <f t="shared" si="30"/>
        <v>#VALUE!</v>
      </c>
      <c r="V121" s="338" t="e">
        <f t="shared" si="30"/>
        <v>#VALUE!</v>
      </c>
      <c r="W121" s="324" t="e">
        <f t="shared" si="30"/>
        <v>#VALUE!</v>
      </c>
      <c r="X121" s="324" t="e">
        <f t="shared" si="30"/>
        <v>#VALUE!</v>
      </c>
      <c r="Y121" s="324" t="e">
        <f t="shared" si="30"/>
        <v>#VALUE!</v>
      </c>
      <c r="Z121" s="324" t="e">
        <f t="shared" si="30"/>
        <v>#VALUE!</v>
      </c>
      <c r="AA121" s="324" t="e">
        <f t="shared" si="30"/>
        <v>#VALUE!</v>
      </c>
      <c r="AB121" s="324" t="e">
        <f t="shared" si="30"/>
        <v>#VALUE!</v>
      </c>
      <c r="AC121" s="324" t="e">
        <f t="shared" si="31"/>
        <v>#VALUE!</v>
      </c>
      <c r="AD121" s="324" t="e">
        <f t="shared" si="31"/>
        <v>#VALUE!</v>
      </c>
      <c r="AE121" s="324" t="e">
        <f t="shared" si="31"/>
        <v>#VALUE!</v>
      </c>
    </row>
    <row r="122" spans="1:31" s="324" customFormat="1" ht="0.65" hidden="1" customHeight="1">
      <c r="A122" s="324" t="e">
        <f t="shared" si="20"/>
        <v>#VALUE!</v>
      </c>
      <c r="F122" s="324" t="e">
        <f t="shared" si="25"/>
        <v>#VALUE!</v>
      </c>
      <c r="G122" s="324">
        <v>46</v>
      </c>
      <c r="H122" s="328" t="e">
        <f t="shared" si="29"/>
        <v>#VALUE!</v>
      </c>
      <c r="I122" s="340" t="e">
        <f t="shared" si="29"/>
        <v>#VALUE!</v>
      </c>
      <c r="J122" s="329" t="str">
        <f>IF(P11="","",P11)</f>
        <v/>
      </c>
      <c r="K122" s="324" t="str">
        <f t="shared" si="26"/>
        <v/>
      </c>
      <c r="M122" s="331" t="e">
        <f t="shared" si="30"/>
        <v>#VALUE!</v>
      </c>
      <c r="N122" s="331" t="e">
        <f t="shared" si="30"/>
        <v>#VALUE!</v>
      </c>
      <c r="O122" s="331" t="e">
        <f t="shared" si="30"/>
        <v>#VALUE!</v>
      </c>
      <c r="P122" s="331" t="e">
        <f t="shared" si="30"/>
        <v>#VALUE!</v>
      </c>
      <c r="Q122" s="331" t="e">
        <f t="shared" si="30"/>
        <v>#VALUE!</v>
      </c>
      <c r="R122" s="331" t="e">
        <f t="shared" si="30"/>
        <v>#VALUE!</v>
      </c>
      <c r="S122" s="331" t="e">
        <f t="shared" si="30"/>
        <v>#VALUE!</v>
      </c>
      <c r="T122" s="331" t="e">
        <f t="shared" si="30"/>
        <v>#VALUE!</v>
      </c>
      <c r="U122" s="338" t="e">
        <f t="shared" si="30"/>
        <v>#VALUE!</v>
      </c>
      <c r="V122" s="338" t="e">
        <f t="shared" si="30"/>
        <v>#VALUE!</v>
      </c>
      <c r="W122" s="324" t="e">
        <f t="shared" si="30"/>
        <v>#VALUE!</v>
      </c>
      <c r="X122" s="324" t="e">
        <f t="shared" si="30"/>
        <v>#VALUE!</v>
      </c>
      <c r="Y122" s="324" t="e">
        <f t="shared" si="30"/>
        <v>#VALUE!</v>
      </c>
      <c r="Z122" s="324" t="e">
        <f t="shared" si="30"/>
        <v>#VALUE!</v>
      </c>
      <c r="AA122" s="324" t="e">
        <f t="shared" si="30"/>
        <v>#VALUE!</v>
      </c>
      <c r="AB122" s="324" t="e">
        <f t="shared" si="30"/>
        <v>#VALUE!</v>
      </c>
      <c r="AC122" s="324" t="e">
        <f t="shared" si="31"/>
        <v>#VALUE!</v>
      </c>
      <c r="AD122" s="324" t="e">
        <f t="shared" si="31"/>
        <v>#VALUE!</v>
      </c>
      <c r="AE122" s="324" t="e">
        <f t="shared" si="31"/>
        <v>#VALUE!</v>
      </c>
    </row>
    <row r="123" spans="1:31" s="324" customFormat="1" ht="0.65" hidden="1" customHeight="1">
      <c r="A123" s="324" t="e">
        <f t="shared" si="20"/>
        <v>#VALUE!</v>
      </c>
      <c r="F123" s="324" t="e">
        <f t="shared" si="25"/>
        <v>#VALUE!</v>
      </c>
      <c r="G123" s="324">
        <v>47</v>
      </c>
      <c r="H123" s="328" t="e">
        <f t="shared" si="29"/>
        <v>#VALUE!</v>
      </c>
      <c r="I123" s="340" t="e">
        <f t="shared" si="29"/>
        <v>#VALUE!</v>
      </c>
      <c r="J123" s="329" t="str">
        <f>IF(P12="","",P12)</f>
        <v/>
      </c>
      <c r="K123" s="324" t="str">
        <f t="shared" si="26"/>
        <v/>
      </c>
      <c r="M123" s="331" t="e">
        <f t="shared" si="30"/>
        <v>#VALUE!</v>
      </c>
      <c r="N123" s="331" t="e">
        <f t="shared" si="30"/>
        <v>#VALUE!</v>
      </c>
      <c r="O123" s="331" t="e">
        <f t="shared" si="30"/>
        <v>#VALUE!</v>
      </c>
      <c r="P123" s="331" t="e">
        <f t="shared" si="30"/>
        <v>#VALUE!</v>
      </c>
      <c r="Q123" s="331" t="e">
        <f t="shared" si="30"/>
        <v>#VALUE!</v>
      </c>
      <c r="R123" s="331" t="e">
        <f t="shared" si="30"/>
        <v>#VALUE!</v>
      </c>
      <c r="S123" s="331" t="e">
        <f t="shared" si="30"/>
        <v>#VALUE!</v>
      </c>
      <c r="T123" s="331" t="e">
        <f t="shared" si="30"/>
        <v>#VALUE!</v>
      </c>
      <c r="U123" s="338" t="e">
        <f t="shared" si="30"/>
        <v>#VALUE!</v>
      </c>
      <c r="V123" s="338" t="e">
        <f t="shared" si="30"/>
        <v>#VALUE!</v>
      </c>
      <c r="W123" s="324" t="e">
        <f t="shared" si="30"/>
        <v>#VALUE!</v>
      </c>
      <c r="X123" s="324" t="e">
        <f t="shared" si="30"/>
        <v>#VALUE!</v>
      </c>
      <c r="Y123" s="324" t="e">
        <f t="shared" si="30"/>
        <v>#VALUE!</v>
      </c>
      <c r="Z123" s="324" t="e">
        <f t="shared" si="30"/>
        <v>#VALUE!</v>
      </c>
      <c r="AA123" s="324" t="e">
        <f t="shared" si="30"/>
        <v>#VALUE!</v>
      </c>
      <c r="AB123" s="324" t="e">
        <f t="shared" si="30"/>
        <v>#VALUE!</v>
      </c>
      <c r="AC123" s="324" t="e">
        <f t="shared" si="31"/>
        <v>#VALUE!</v>
      </c>
      <c r="AD123" s="324" t="e">
        <f t="shared" si="31"/>
        <v>#VALUE!</v>
      </c>
      <c r="AE123" s="324" t="e">
        <f t="shared" si="31"/>
        <v>#VALUE!</v>
      </c>
    </row>
    <row r="124" spans="1:31" s="324" customFormat="1" ht="0.65" hidden="1" customHeight="1">
      <c r="A124" s="324" t="e">
        <f t="shared" si="20"/>
        <v>#VALUE!</v>
      </c>
      <c r="F124" s="324" t="e">
        <f t="shared" si="25"/>
        <v>#VALUE!</v>
      </c>
      <c r="G124" s="324">
        <v>48</v>
      </c>
      <c r="H124" s="328" t="e">
        <f t="shared" si="29"/>
        <v>#VALUE!</v>
      </c>
      <c r="I124" s="327" t="e">
        <f t="shared" si="29"/>
        <v>#VALUE!</v>
      </c>
      <c r="J124" s="328" t="str">
        <f>IF(P15="","",P15)</f>
        <v/>
      </c>
      <c r="K124" s="324" t="str">
        <f t="shared" si="26"/>
        <v/>
      </c>
      <c r="M124" s="331" t="e">
        <f t="shared" si="30"/>
        <v>#VALUE!</v>
      </c>
      <c r="N124" s="331" t="e">
        <f t="shared" si="30"/>
        <v>#VALUE!</v>
      </c>
      <c r="O124" s="331" t="e">
        <f t="shared" si="30"/>
        <v>#VALUE!</v>
      </c>
      <c r="P124" s="331" t="e">
        <f t="shared" si="30"/>
        <v>#VALUE!</v>
      </c>
      <c r="Q124" s="331" t="e">
        <f t="shared" si="30"/>
        <v>#VALUE!</v>
      </c>
      <c r="R124" s="331" t="e">
        <f t="shared" si="30"/>
        <v>#VALUE!</v>
      </c>
      <c r="S124" s="331" t="e">
        <f t="shared" si="30"/>
        <v>#VALUE!</v>
      </c>
      <c r="T124" s="331" t="e">
        <f t="shared" si="30"/>
        <v>#VALUE!</v>
      </c>
      <c r="U124" s="338" t="e">
        <f t="shared" si="30"/>
        <v>#VALUE!</v>
      </c>
      <c r="V124" s="338" t="e">
        <f t="shared" si="30"/>
        <v>#VALUE!</v>
      </c>
      <c r="W124" s="324" t="e">
        <f t="shared" si="30"/>
        <v>#VALUE!</v>
      </c>
      <c r="X124" s="324" t="e">
        <f t="shared" si="30"/>
        <v>#VALUE!</v>
      </c>
      <c r="Y124" s="324" t="e">
        <f t="shared" si="30"/>
        <v>#VALUE!</v>
      </c>
      <c r="Z124" s="324" t="e">
        <f t="shared" si="30"/>
        <v>#VALUE!</v>
      </c>
      <c r="AA124" s="324" t="e">
        <f t="shared" si="30"/>
        <v>#VALUE!</v>
      </c>
      <c r="AB124" s="324" t="e">
        <f t="shared" si="30"/>
        <v>#VALUE!</v>
      </c>
      <c r="AC124" s="324" t="e">
        <f t="shared" si="31"/>
        <v>#VALUE!</v>
      </c>
      <c r="AD124" s="324" t="e">
        <f t="shared" si="31"/>
        <v>#VALUE!</v>
      </c>
      <c r="AE124" s="324" t="e">
        <f t="shared" si="31"/>
        <v>#VALUE!</v>
      </c>
    </row>
    <row r="125" spans="1:31" s="324" customFormat="1" ht="0.65" hidden="1" customHeight="1">
      <c r="A125" s="324" t="e">
        <f t="shared" si="20"/>
        <v>#VALUE!</v>
      </c>
      <c r="F125" s="324" t="e">
        <f t="shared" si="25"/>
        <v>#VALUE!</v>
      </c>
      <c r="G125" s="324">
        <v>49</v>
      </c>
      <c r="H125" s="328" t="e">
        <f t="shared" si="29"/>
        <v>#VALUE!</v>
      </c>
      <c r="I125" s="340" t="e">
        <f t="shared" si="29"/>
        <v>#VALUE!</v>
      </c>
      <c r="J125" s="329" t="str">
        <f>IF(P16="","",P16)</f>
        <v/>
      </c>
      <c r="K125" s="324" t="str">
        <f t="shared" si="26"/>
        <v/>
      </c>
      <c r="M125" s="331" t="e">
        <f t="shared" ref="M125:AB125" si="32">VLOOKUP($A125,$A$231:$AP$1595,M$54,FALSE)</f>
        <v>#VALUE!</v>
      </c>
      <c r="N125" s="331" t="e">
        <f t="shared" si="32"/>
        <v>#VALUE!</v>
      </c>
      <c r="O125" s="331" t="e">
        <f t="shared" si="32"/>
        <v>#VALUE!</v>
      </c>
      <c r="P125" s="331" t="e">
        <f t="shared" si="32"/>
        <v>#VALUE!</v>
      </c>
      <c r="Q125" s="331" t="e">
        <f t="shared" si="32"/>
        <v>#VALUE!</v>
      </c>
      <c r="R125" s="331" t="e">
        <f t="shared" si="32"/>
        <v>#VALUE!</v>
      </c>
      <c r="S125" s="331" t="e">
        <f t="shared" si="32"/>
        <v>#VALUE!</v>
      </c>
      <c r="T125" s="331" t="e">
        <f t="shared" si="32"/>
        <v>#VALUE!</v>
      </c>
      <c r="U125" s="338" t="e">
        <f t="shared" si="32"/>
        <v>#VALUE!</v>
      </c>
      <c r="V125" s="338" t="e">
        <f t="shared" si="32"/>
        <v>#VALUE!</v>
      </c>
      <c r="W125" s="324" t="e">
        <f t="shared" si="32"/>
        <v>#VALUE!</v>
      </c>
      <c r="X125" s="324" t="e">
        <f t="shared" si="32"/>
        <v>#VALUE!</v>
      </c>
      <c r="Y125" s="324" t="e">
        <f t="shared" si="32"/>
        <v>#VALUE!</v>
      </c>
      <c r="Z125" s="324" t="e">
        <f t="shared" si="32"/>
        <v>#VALUE!</v>
      </c>
      <c r="AA125" s="324" t="e">
        <f t="shared" si="32"/>
        <v>#VALUE!</v>
      </c>
      <c r="AB125" s="324" t="e">
        <f t="shared" si="32"/>
        <v>#VALUE!</v>
      </c>
      <c r="AC125" s="324" t="e">
        <f t="shared" si="31"/>
        <v>#VALUE!</v>
      </c>
      <c r="AD125" s="324" t="e">
        <f t="shared" si="31"/>
        <v>#VALUE!</v>
      </c>
      <c r="AE125" s="324" t="e">
        <f t="shared" si="31"/>
        <v>#VALUE!</v>
      </c>
    </row>
    <row r="126" spans="1:31" s="324" customFormat="1" ht="0.65" hidden="1" customHeight="1">
      <c r="A126" s="324" t="e">
        <f t="shared" si="20"/>
        <v>#VALUE!</v>
      </c>
      <c r="H126" s="328"/>
      <c r="I126" s="341"/>
      <c r="M126" s="326">
        <v>1</v>
      </c>
      <c r="N126" s="326">
        <v>2</v>
      </c>
      <c r="O126" s="326">
        <v>3</v>
      </c>
      <c r="P126" s="326">
        <v>4</v>
      </c>
      <c r="Q126" s="326">
        <v>5</v>
      </c>
      <c r="R126" s="326">
        <v>6</v>
      </c>
      <c r="S126" s="326">
        <v>7</v>
      </c>
      <c r="T126" s="326">
        <v>8</v>
      </c>
      <c r="U126" s="326">
        <v>9</v>
      </c>
      <c r="V126" s="326">
        <v>10</v>
      </c>
    </row>
    <row r="127" spans="1:31" s="324" customFormat="1" ht="0.65" hidden="1" customHeight="1">
      <c r="A127" s="324" t="e">
        <f t="shared" si="20"/>
        <v>#VALUE!</v>
      </c>
      <c r="H127" s="328"/>
      <c r="I127" s="326"/>
    </row>
    <row r="128" spans="1:31" s="324" customFormat="1" ht="0.65" hidden="1" customHeight="1">
      <c r="A128" s="324" t="e">
        <f t="shared" si="20"/>
        <v>#VALUE!</v>
      </c>
    </row>
    <row r="129" spans="1:42" s="324" customFormat="1" ht="0.65" hidden="1" customHeight="1">
      <c r="A129" s="324" t="e">
        <f t="shared" si="20"/>
        <v>#VALUE!</v>
      </c>
    </row>
    <row r="130" spans="1:42" s="324" customFormat="1" ht="0.65" hidden="1" customHeight="1">
      <c r="A130" s="324" t="e">
        <f t="shared" si="20"/>
        <v>#VALUE!</v>
      </c>
    </row>
    <row r="131" spans="1:42" s="324" customFormat="1" ht="0.65" hidden="1" customHeight="1">
      <c r="A131" s="324" t="e">
        <f t="shared" si="20"/>
        <v>#VALUE!</v>
      </c>
      <c r="U131" s="323"/>
      <c r="V131" s="323"/>
      <c r="W131" s="323"/>
      <c r="X131" s="323"/>
      <c r="Y131" s="323"/>
      <c r="Z131" s="323"/>
      <c r="AA131" s="323"/>
      <c r="AB131" s="323"/>
      <c r="AC131" s="326"/>
      <c r="AE131" s="325"/>
      <c r="AF131" s="325"/>
      <c r="AG131" s="323"/>
      <c r="AH131" s="323"/>
      <c r="AI131" s="323"/>
      <c r="AJ131" s="323"/>
      <c r="AK131" s="323"/>
      <c r="AL131" s="323"/>
      <c r="AM131" s="323"/>
      <c r="AN131" s="323"/>
      <c r="AO131" s="323"/>
      <c r="AP131" s="323"/>
    </row>
    <row r="132" spans="1:42" s="324" customFormat="1" ht="0.65" hidden="1" customHeight="1">
      <c r="A132" s="324" t="e">
        <f t="shared" si="20"/>
        <v>#VALUE!</v>
      </c>
      <c r="U132" s="323"/>
      <c r="V132" s="323"/>
      <c r="W132" s="323"/>
      <c r="X132" s="323"/>
      <c r="Y132" s="323"/>
      <c r="Z132" s="323"/>
      <c r="AA132" s="323"/>
      <c r="AB132" s="323"/>
      <c r="AC132" s="326"/>
      <c r="AE132" s="325"/>
      <c r="AF132" s="325"/>
      <c r="AG132" s="323"/>
      <c r="AH132" s="323"/>
      <c r="AI132" s="323"/>
      <c r="AJ132" s="323"/>
      <c r="AK132" s="323"/>
      <c r="AL132" s="323"/>
      <c r="AM132" s="323"/>
      <c r="AN132" s="323"/>
      <c r="AO132" s="323"/>
      <c r="AP132" s="323"/>
    </row>
    <row r="133" spans="1:42" s="324" customFormat="1" ht="0.65" hidden="1" customHeight="1">
      <c r="A133" s="324" t="e">
        <f t="shared" ref="A133:A196" si="33">1+A132</f>
        <v>#VALUE!</v>
      </c>
      <c r="U133" s="323"/>
      <c r="V133" s="323"/>
      <c r="W133" s="323"/>
      <c r="X133" s="323"/>
      <c r="Y133" s="323"/>
      <c r="Z133" s="323"/>
      <c r="AA133" s="323"/>
      <c r="AB133" s="323"/>
      <c r="AC133" s="326"/>
      <c r="AE133" s="325"/>
      <c r="AF133" s="325"/>
      <c r="AG133" s="323"/>
      <c r="AH133" s="323"/>
      <c r="AI133" s="323"/>
      <c r="AJ133" s="323"/>
      <c r="AK133" s="323"/>
      <c r="AL133" s="323"/>
      <c r="AM133" s="323"/>
      <c r="AN133" s="323"/>
      <c r="AO133" s="323"/>
      <c r="AP133" s="323"/>
    </row>
    <row r="134" spans="1:42" s="324" customFormat="1" ht="0.65" hidden="1" customHeight="1">
      <c r="A134" s="324" t="e">
        <f t="shared" si="33"/>
        <v>#VALUE!</v>
      </c>
      <c r="U134" s="323"/>
      <c r="V134" s="323"/>
      <c r="W134" s="323"/>
      <c r="X134" s="323"/>
      <c r="Y134" s="323"/>
      <c r="Z134" s="323"/>
      <c r="AA134" s="323"/>
      <c r="AB134" s="323"/>
      <c r="AC134" s="326"/>
      <c r="AE134" s="325"/>
      <c r="AF134" s="325"/>
      <c r="AG134" s="323"/>
      <c r="AH134" s="323"/>
      <c r="AI134" s="323"/>
      <c r="AJ134" s="323"/>
      <c r="AK134" s="323"/>
      <c r="AL134" s="323"/>
      <c r="AM134" s="323"/>
      <c r="AN134" s="323"/>
      <c r="AO134" s="323"/>
      <c r="AP134" s="323"/>
    </row>
    <row r="135" spans="1:42" s="324" customFormat="1" ht="0.65" hidden="1" customHeight="1">
      <c r="A135" s="324" t="e">
        <f t="shared" si="33"/>
        <v>#VALUE!</v>
      </c>
      <c r="U135" s="323"/>
      <c r="V135" s="323"/>
      <c r="W135" s="323"/>
      <c r="X135" s="323"/>
      <c r="Y135" s="323"/>
      <c r="Z135" s="323"/>
      <c r="AA135" s="323"/>
      <c r="AB135" s="323"/>
      <c r="AC135" s="326"/>
      <c r="AE135" s="325"/>
      <c r="AF135" s="325"/>
      <c r="AG135" s="323"/>
      <c r="AH135" s="323"/>
      <c r="AI135" s="323"/>
      <c r="AJ135" s="323"/>
      <c r="AK135" s="323"/>
      <c r="AL135" s="323"/>
      <c r="AM135" s="323"/>
      <c r="AN135" s="323"/>
      <c r="AO135" s="323"/>
      <c r="AP135" s="323"/>
    </row>
    <row r="136" spans="1:42" s="324" customFormat="1" ht="0.65" hidden="1" customHeight="1">
      <c r="A136" s="324" t="e">
        <f t="shared" si="33"/>
        <v>#VALUE!</v>
      </c>
      <c r="U136" s="323"/>
      <c r="V136" s="323"/>
      <c r="W136" s="323"/>
      <c r="X136" s="323"/>
      <c r="Y136" s="323"/>
      <c r="Z136" s="323"/>
      <c r="AA136" s="323"/>
      <c r="AB136" s="323"/>
      <c r="AC136" s="326"/>
      <c r="AE136" s="325"/>
      <c r="AF136" s="325"/>
      <c r="AG136" s="323"/>
      <c r="AH136" s="323"/>
      <c r="AI136" s="323"/>
      <c r="AJ136" s="323"/>
      <c r="AK136" s="323"/>
      <c r="AL136" s="323"/>
      <c r="AM136" s="323"/>
      <c r="AN136" s="323"/>
      <c r="AO136" s="323"/>
      <c r="AP136" s="323"/>
    </row>
    <row r="137" spans="1:42" s="324" customFormat="1" ht="0.65" hidden="1" customHeight="1">
      <c r="A137" s="324" t="e">
        <f t="shared" si="33"/>
        <v>#VALUE!</v>
      </c>
      <c r="U137" s="323"/>
      <c r="V137" s="323"/>
      <c r="W137" s="323"/>
      <c r="X137" s="323"/>
      <c r="Y137" s="323"/>
      <c r="Z137" s="323"/>
      <c r="AA137" s="323"/>
      <c r="AB137" s="323"/>
      <c r="AC137" s="326"/>
      <c r="AE137" s="325"/>
      <c r="AF137" s="325"/>
      <c r="AG137" s="323"/>
      <c r="AH137" s="323"/>
      <c r="AI137" s="323"/>
      <c r="AJ137" s="323"/>
      <c r="AK137" s="323"/>
      <c r="AL137" s="323"/>
      <c r="AM137" s="323"/>
      <c r="AN137" s="323"/>
      <c r="AO137" s="323"/>
      <c r="AP137" s="323"/>
    </row>
    <row r="138" spans="1:42" s="324" customFormat="1" ht="0.65" hidden="1" customHeight="1">
      <c r="A138" s="324" t="e">
        <f t="shared" si="33"/>
        <v>#VALUE!</v>
      </c>
      <c r="U138" s="323"/>
      <c r="V138" s="323"/>
      <c r="W138" s="323"/>
      <c r="X138" s="323"/>
      <c r="Y138" s="323"/>
      <c r="Z138" s="323"/>
      <c r="AA138" s="323"/>
      <c r="AB138" s="323"/>
      <c r="AC138" s="326"/>
      <c r="AE138" s="325"/>
      <c r="AF138" s="325"/>
      <c r="AG138" s="323"/>
      <c r="AH138" s="323"/>
      <c r="AI138" s="323"/>
      <c r="AJ138" s="323"/>
      <c r="AK138" s="323"/>
      <c r="AL138" s="323"/>
      <c r="AM138" s="323"/>
      <c r="AN138" s="323"/>
      <c r="AO138" s="323"/>
      <c r="AP138" s="323"/>
    </row>
    <row r="139" spans="1:42" s="324" customFormat="1" ht="0.65" hidden="1" customHeight="1">
      <c r="A139" s="324" t="e">
        <f t="shared" si="33"/>
        <v>#VALUE!</v>
      </c>
      <c r="U139" s="323"/>
      <c r="V139" s="323"/>
      <c r="W139" s="323"/>
      <c r="X139" s="323"/>
      <c r="Y139" s="323"/>
      <c r="Z139" s="323"/>
      <c r="AA139" s="323"/>
      <c r="AB139" s="323"/>
      <c r="AC139" s="326"/>
      <c r="AE139" s="325"/>
      <c r="AF139" s="325"/>
      <c r="AG139" s="323"/>
      <c r="AH139" s="323"/>
      <c r="AI139" s="323"/>
      <c r="AJ139" s="323"/>
      <c r="AK139" s="323"/>
      <c r="AL139" s="323"/>
      <c r="AM139" s="323"/>
      <c r="AN139" s="323"/>
      <c r="AO139" s="323"/>
      <c r="AP139" s="323"/>
    </row>
    <row r="140" spans="1:42" s="324" customFormat="1" ht="0.65" hidden="1" customHeight="1">
      <c r="A140" s="324" t="e">
        <f t="shared" si="33"/>
        <v>#VALUE!</v>
      </c>
      <c r="U140" s="323"/>
      <c r="V140" s="323"/>
      <c r="W140" s="323"/>
      <c r="X140" s="323"/>
      <c r="Y140" s="323"/>
      <c r="Z140" s="323"/>
      <c r="AA140" s="323"/>
      <c r="AB140" s="323"/>
      <c r="AC140" s="326"/>
      <c r="AE140" s="325"/>
      <c r="AF140" s="325"/>
      <c r="AG140" s="323"/>
      <c r="AH140" s="323"/>
      <c r="AI140" s="323"/>
      <c r="AJ140" s="323"/>
      <c r="AK140" s="323"/>
      <c r="AL140" s="323"/>
      <c r="AM140" s="323"/>
      <c r="AN140" s="323"/>
      <c r="AO140" s="323"/>
      <c r="AP140" s="323"/>
    </row>
    <row r="141" spans="1:42" s="324" customFormat="1" ht="0.65" hidden="1" customHeight="1">
      <c r="A141" s="324" t="e">
        <f t="shared" si="33"/>
        <v>#VALUE!</v>
      </c>
      <c r="U141" s="323"/>
      <c r="V141" s="323"/>
      <c r="W141" s="323"/>
      <c r="X141" s="323"/>
      <c r="Y141" s="323"/>
      <c r="Z141" s="323"/>
      <c r="AA141" s="323"/>
      <c r="AB141" s="323"/>
      <c r="AC141" s="326"/>
      <c r="AE141" s="325"/>
      <c r="AF141" s="325"/>
      <c r="AG141" s="323"/>
      <c r="AH141" s="323"/>
      <c r="AI141" s="323"/>
      <c r="AJ141" s="323"/>
      <c r="AK141" s="323"/>
      <c r="AL141" s="323"/>
      <c r="AM141" s="323"/>
      <c r="AN141" s="323"/>
      <c r="AO141" s="323"/>
      <c r="AP141" s="323"/>
    </row>
    <row r="142" spans="1:42" s="324" customFormat="1" ht="0.65" hidden="1" customHeight="1">
      <c r="A142" s="324" t="e">
        <f t="shared" si="33"/>
        <v>#VALUE!</v>
      </c>
      <c r="U142" s="323"/>
      <c r="V142" s="323"/>
      <c r="W142" s="323"/>
      <c r="X142" s="323"/>
      <c r="Y142" s="323"/>
      <c r="Z142" s="323"/>
      <c r="AA142" s="323"/>
      <c r="AB142" s="323"/>
      <c r="AC142" s="326"/>
      <c r="AE142" s="325"/>
      <c r="AF142" s="325"/>
      <c r="AG142" s="323"/>
      <c r="AH142" s="323"/>
      <c r="AI142" s="323"/>
      <c r="AJ142" s="323"/>
      <c r="AK142" s="323"/>
      <c r="AL142" s="323"/>
      <c r="AM142" s="323"/>
      <c r="AN142" s="323"/>
      <c r="AO142" s="323"/>
      <c r="AP142" s="323"/>
    </row>
    <row r="143" spans="1:42" s="324" customFormat="1" ht="0.65" hidden="1" customHeight="1">
      <c r="A143" s="324" t="e">
        <f t="shared" si="33"/>
        <v>#VALUE!</v>
      </c>
      <c r="U143" s="323"/>
      <c r="V143" s="323"/>
      <c r="W143" s="323"/>
      <c r="X143" s="323"/>
      <c r="Y143" s="323"/>
      <c r="Z143" s="323"/>
      <c r="AA143" s="323"/>
      <c r="AB143" s="323"/>
      <c r="AC143" s="326"/>
      <c r="AE143" s="325"/>
      <c r="AF143" s="325"/>
      <c r="AG143" s="323"/>
      <c r="AH143" s="323"/>
      <c r="AI143" s="323"/>
      <c r="AJ143" s="323"/>
      <c r="AK143" s="323"/>
      <c r="AL143" s="323"/>
      <c r="AM143" s="323"/>
      <c r="AN143" s="323"/>
      <c r="AO143" s="323"/>
      <c r="AP143" s="323"/>
    </row>
    <row r="144" spans="1:42" s="324" customFormat="1" ht="0.65" hidden="1" customHeight="1">
      <c r="A144" s="324" t="e">
        <f t="shared" si="33"/>
        <v>#VALUE!</v>
      </c>
      <c r="U144" s="323"/>
      <c r="V144" s="323"/>
      <c r="W144" s="323"/>
      <c r="X144" s="323"/>
      <c r="Y144" s="323"/>
      <c r="Z144" s="323"/>
      <c r="AA144" s="323"/>
      <c r="AB144" s="323"/>
      <c r="AC144" s="326"/>
      <c r="AE144" s="325"/>
      <c r="AF144" s="325"/>
      <c r="AG144" s="323"/>
      <c r="AH144" s="323"/>
      <c r="AI144" s="323"/>
      <c r="AJ144" s="323"/>
      <c r="AK144" s="323"/>
      <c r="AL144" s="323"/>
      <c r="AM144" s="323"/>
      <c r="AN144" s="323"/>
      <c r="AO144" s="323"/>
      <c r="AP144" s="323"/>
    </row>
    <row r="145" spans="1:42" s="324" customFormat="1" ht="0.65" hidden="1" customHeight="1">
      <c r="A145" s="324" t="e">
        <f t="shared" si="33"/>
        <v>#VALUE!</v>
      </c>
      <c r="U145" s="323"/>
      <c r="V145" s="323"/>
      <c r="W145" s="323"/>
      <c r="X145" s="323"/>
      <c r="Y145" s="323"/>
      <c r="Z145" s="323"/>
      <c r="AA145" s="323"/>
      <c r="AB145" s="323"/>
      <c r="AC145" s="326"/>
      <c r="AE145" s="325"/>
      <c r="AF145" s="325"/>
      <c r="AG145" s="323"/>
      <c r="AH145" s="323"/>
      <c r="AI145" s="323"/>
      <c r="AJ145" s="323"/>
      <c r="AK145" s="323"/>
      <c r="AL145" s="323"/>
      <c r="AM145" s="323"/>
      <c r="AN145" s="323"/>
      <c r="AO145" s="323"/>
      <c r="AP145" s="323"/>
    </row>
    <row r="146" spans="1:42" s="324" customFormat="1" ht="0.65" hidden="1" customHeight="1">
      <c r="A146" s="324" t="e">
        <f t="shared" si="33"/>
        <v>#VALUE!</v>
      </c>
      <c r="U146" s="324" t="e">
        <f>CONCATENATE("Problema predefinido nº ",#REF!)</f>
        <v>#REF!</v>
      </c>
    </row>
    <row r="147" spans="1:42" s="324" customFormat="1" ht="0.65" hidden="1" customHeight="1">
      <c r="A147" s="324" t="e">
        <f t="shared" si="33"/>
        <v>#VALUE!</v>
      </c>
      <c r="G147" s="327" t="s">
        <v>0</v>
      </c>
      <c r="H147" s="335" t="s">
        <v>69</v>
      </c>
      <c r="I147" s="335" t="s">
        <v>70</v>
      </c>
      <c r="J147" s="335" t="s">
        <v>71</v>
      </c>
      <c r="K147" s="335" t="s">
        <v>72</v>
      </c>
      <c r="L147" s="335" t="s">
        <v>73</v>
      </c>
      <c r="M147" s="335" t="s">
        <v>74</v>
      </c>
      <c r="N147" s="335" t="s">
        <v>75</v>
      </c>
      <c r="O147" s="335" t="s">
        <v>80</v>
      </c>
      <c r="P147" s="335" t="s">
        <v>1</v>
      </c>
      <c r="V147" s="326" t="s">
        <v>182</v>
      </c>
      <c r="W147" s="326" t="s">
        <v>183</v>
      </c>
      <c r="X147" s="326" t="s">
        <v>184</v>
      </c>
      <c r="Y147" s="326" t="s">
        <v>185</v>
      </c>
      <c r="AB147" s="326"/>
    </row>
    <row r="148" spans="1:42" s="324" customFormat="1" ht="0.65" hidden="1" customHeight="1">
      <c r="A148" s="324" t="e">
        <f t="shared" si="33"/>
        <v>#VALUE!</v>
      </c>
      <c r="G148" s="336" t="e">
        <f t="shared" ref="G148:P151" si="34">VLOOKUP($A148,$A$231:$AP$1595,G$54,FALSE)</f>
        <v>#VALUE!</v>
      </c>
      <c r="H148" s="324" t="e">
        <f t="shared" si="34"/>
        <v>#VALUE!</v>
      </c>
      <c r="I148" s="324" t="e">
        <f t="shared" si="34"/>
        <v>#VALUE!</v>
      </c>
      <c r="J148" s="324" t="e">
        <f t="shared" si="34"/>
        <v>#VALUE!</v>
      </c>
      <c r="K148" s="324" t="e">
        <f t="shared" si="34"/>
        <v>#VALUE!</v>
      </c>
      <c r="L148" s="324" t="e">
        <f t="shared" si="34"/>
        <v>#VALUE!</v>
      </c>
      <c r="M148" s="324" t="e">
        <f t="shared" si="34"/>
        <v>#VALUE!</v>
      </c>
      <c r="N148" s="324" t="e">
        <f t="shared" si="34"/>
        <v>#VALUE!</v>
      </c>
      <c r="O148" s="328" t="e">
        <f t="shared" si="34"/>
        <v>#VALUE!</v>
      </c>
      <c r="P148" s="328" t="e">
        <f t="shared" si="34"/>
        <v>#VALUE!</v>
      </c>
      <c r="T148" s="324">
        <v>1</v>
      </c>
      <c r="U148" s="324" t="s">
        <v>153</v>
      </c>
      <c r="V148" s="326" t="e">
        <f t="shared" ref="V148:Z166" si="35">VLOOKUP($A148,$A$231:$AP$1595,V$54,FALSE)</f>
        <v>#VALUE!</v>
      </c>
      <c r="W148" s="342" t="e">
        <f t="shared" si="35"/>
        <v>#VALUE!</v>
      </c>
      <c r="X148" s="342" t="e">
        <f t="shared" si="35"/>
        <v>#VALUE!</v>
      </c>
      <c r="Y148" s="342" t="e">
        <f t="shared" si="35"/>
        <v>#VALUE!</v>
      </c>
      <c r="Z148" s="342"/>
      <c r="AA148" s="328" t="e">
        <f t="shared" ref="AA148:AF166" si="36">VLOOKUP($A148,$A$231:$AP$1595,AA$54,FALSE)</f>
        <v>#VALUE!</v>
      </c>
      <c r="AB148" s="324" t="e">
        <f t="shared" si="36"/>
        <v>#VALUE!</v>
      </c>
      <c r="AD148" s="328" t="e">
        <f t="shared" si="36"/>
        <v>#VALUE!</v>
      </c>
      <c r="AE148" s="342" t="e">
        <f t="shared" si="36"/>
        <v>#VALUE!</v>
      </c>
      <c r="AF148" s="328" t="e">
        <f t="shared" si="36"/>
        <v>#VALUE!</v>
      </c>
    </row>
    <row r="149" spans="1:42" s="324" customFormat="1" ht="0.65" hidden="1" customHeight="1">
      <c r="A149" s="324" t="e">
        <f t="shared" si="33"/>
        <v>#VALUE!</v>
      </c>
      <c r="G149" s="336" t="e">
        <f t="shared" si="34"/>
        <v>#VALUE!</v>
      </c>
      <c r="H149" s="328" t="e">
        <f t="shared" si="34"/>
        <v>#VALUE!</v>
      </c>
      <c r="I149" s="328" t="e">
        <f t="shared" si="34"/>
        <v>#VALUE!</v>
      </c>
      <c r="J149" s="328" t="e">
        <f t="shared" si="34"/>
        <v>#VALUE!</v>
      </c>
      <c r="K149" s="328" t="e">
        <f t="shared" si="34"/>
        <v>#VALUE!</v>
      </c>
      <c r="L149" s="328" t="e">
        <f t="shared" si="34"/>
        <v>#VALUE!</v>
      </c>
      <c r="M149" s="328" t="e">
        <f t="shared" si="34"/>
        <v>#VALUE!</v>
      </c>
      <c r="N149" s="328" t="e">
        <f t="shared" si="34"/>
        <v>#VALUE!</v>
      </c>
      <c r="O149" s="328" t="e">
        <f t="shared" si="34"/>
        <v>#VALUE!</v>
      </c>
      <c r="P149" s="328" t="e">
        <f t="shared" si="34"/>
        <v>#VALUE!</v>
      </c>
      <c r="T149" s="324">
        <v>2</v>
      </c>
      <c r="U149" s="324" t="s">
        <v>154</v>
      </c>
      <c r="V149" s="326" t="e">
        <f t="shared" si="35"/>
        <v>#VALUE!</v>
      </c>
      <c r="W149" s="342" t="e">
        <f t="shared" si="35"/>
        <v>#VALUE!</v>
      </c>
      <c r="X149" s="342" t="e">
        <f t="shared" si="35"/>
        <v>#VALUE!</v>
      </c>
      <c r="Y149" s="342" t="e">
        <f t="shared" si="35"/>
        <v>#VALUE!</v>
      </c>
      <c r="AA149" s="328" t="e">
        <f t="shared" si="36"/>
        <v>#VALUE!</v>
      </c>
      <c r="AB149" s="324" t="e">
        <f t="shared" si="36"/>
        <v>#VALUE!</v>
      </c>
      <c r="AD149" s="328" t="e">
        <f t="shared" si="36"/>
        <v>#VALUE!</v>
      </c>
      <c r="AF149" s="328" t="e">
        <f t="shared" si="36"/>
        <v>#VALUE!</v>
      </c>
    </row>
    <row r="150" spans="1:42" s="324" customFormat="1" ht="0.65" hidden="1" customHeight="1">
      <c r="A150" s="324" t="e">
        <f t="shared" si="33"/>
        <v>#VALUE!</v>
      </c>
      <c r="G150" s="336" t="e">
        <f t="shared" si="34"/>
        <v>#VALUE!</v>
      </c>
      <c r="H150" s="328" t="e">
        <f t="shared" si="34"/>
        <v>#VALUE!</v>
      </c>
      <c r="I150" s="328" t="e">
        <f t="shared" si="34"/>
        <v>#VALUE!</v>
      </c>
      <c r="J150" s="328" t="e">
        <f t="shared" si="34"/>
        <v>#VALUE!</v>
      </c>
      <c r="K150" s="328" t="e">
        <f t="shared" si="34"/>
        <v>#VALUE!</v>
      </c>
      <c r="L150" s="328" t="e">
        <f t="shared" si="34"/>
        <v>#VALUE!</v>
      </c>
      <c r="M150" s="328" t="e">
        <f t="shared" si="34"/>
        <v>#VALUE!</v>
      </c>
      <c r="N150" s="328" t="e">
        <f t="shared" si="34"/>
        <v>#VALUE!</v>
      </c>
      <c r="O150" s="328" t="e">
        <f t="shared" si="34"/>
        <v>#VALUE!</v>
      </c>
      <c r="P150" s="328" t="e">
        <f t="shared" si="34"/>
        <v>#VALUE!</v>
      </c>
      <c r="T150" s="324">
        <v>3</v>
      </c>
      <c r="U150" s="324" t="s">
        <v>155</v>
      </c>
      <c r="V150" s="326" t="e">
        <f t="shared" si="35"/>
        <v>#VALUE!</v>
      </c>
      <c r="W150" s="342" t="e">
        <f t="shared" si="35"/>
        <v>#VALUE!</v>
      </c>
      <c r="X150" s="342" t="e">
        <f t="shared" si="35"/>
        <v>#VALUE!</v>
      </c>
      <c r="Y150" s="342" t="e">
        <f t="shared" si="35"/>
        <v>#VALUE!</v>
      </c>
      <c r="AA150" s="328" t="e">
        <f t="shared" si="36"/>
        <v>#VALUE!</v>
      </c>
      <c r="AB150" s="324" t="e">
        <f t="shared" si="36"/>
        <v>#VALUE!</v>
      </c>
      <c r="AD150" s="328" t="e">
        <f t="shared" si="36"/>
        <v>#VALUE!</v>
      </c>
      <c r="AF150" s="328" t="e">
        <f t="shared" si="36"/>
        <v>#VALUE!</v>
      </c>
    </row>
    <row r="151" spans="1:42" s="324" customFormat="1" ht="0.65" hidden="1" customHeight="1">
      <c r="A151" s="324" t="e">
        <f t="shared" si="33"/>
        <v>#VALUE!</v>
      </c>
      <c r="G151" s="336" t="e">
        <f t="shared" si="34"/>
        <v>#VALUE!</v>
      </c>
      <c r="H151" s="328" t="e">
        <f t="shared" si="34"/>
        <v>#VALUE!</v>
      </c>
      <c r="I151" s="328" t="e">
        <f t="shared" si="34"/>
        <v>#VALUE!</v>
      </c>
      <c r="J151" s="328" t="e">
        <f t="shared" si="34"/>
        <v>#VALUE!</v>
      </c>
      <c r="K151" s="328" t="e">
        <f t="shared" si="34"/>
        <v>#VALUE!</v>
      </c>
      <c r="L151" s="328" t="e">
        <f t="shared" si="34"/>
        <v>#VALUE!</v>
      </c>
      <c r="M151" s="328" t="e">
        <f t="shared" si="34"/>
        <v>#VALUE!</v>
      </c>
      <c r="N151" s="328" t="e">
        <f t="shared" si="34"/>
        <v>#VALUE!</v>
      </c>
      <c r="O151" s="328" t="e">
        <f t="shared" si="34"/>
        <v>#VALUE!</v>
      </c>
      <c r="P151" s="328" t="e">
        <f t="shared" si="34"/>
        <v>#VALUE!</v>
      </c>
      <c r="T151" s="324">
        <v>4</v>
      </c>
      <c r="U151" s="324" t="s">
        <v>156</v>
      </c>
      <c r="V151" s="326" t="e">
        <f t="shared" si="35"/>
        <v>#VALUE!</v>
      </c>
      <c r="W151" s="342" t="e">
        <f t="shared" si="35"/>
        <v>#VALUE!</v>
      </c>
      <c r="X151" s="342" t="e">
        <f t="shared" si="35"/>
        <v>#VALUE!</v>
      </c>
      <c r="Y151" s="342" t="e">
        <f t="shared" si="35"/>
        <v>#VALUE!</v>
      </c>
      <c r="AA151" s="328" t="e">
        <f t="shared" si="36"/>
        <v>#VALUE!</v>
      </c>
      <c r="AB151" s="324" t="e">
        <f t="shared" si="36"/>
        <v>#VALUE!</v>
      </c>
      <c r="AD151" s="328" t="e">
        <f t="shared" si="36"/>
        <v>#VALUE!</v>
      </c>
      <c r="AF151" s="328" t="e">
        <f t="shared" si="36"/>
        <v>#VALUE!</v>
      </c>
    </row>
    <row r="152" spans="1:42" s="324" customFormat="1" ht="0.65" hidden="1" customHeight="1">
      <c r="A152" s="324" t="e">
        <f t="shared" si="33"/>
        <v>#VALUE!</v>
      </c>
      <c r="O152" s="328"/>
      <c r="P152" s="328"/>
      <c r="T152" s="324">
        <v>5</v>
      </c>
      <c r="U152" s="324" t="s">
        <v>157</v>
      </c>
      <c r="V152" s="326" t="e">
        <f t="shared" si="35"/>
        <v>#VALUE!</v>
      </c>
      <c r="W152" s="342" t="e">
        <f t="shared" si="35"/>
        <v>#VALUE!</v>
      </c>
      <c r="X152" s="342" t="e">
        <f t="shared" si="35"/>
        <v>#VALUE!</v>
      </c>
      <c r="Y152" s="342" t="e">
        <f t="shared" si="35"/>
        <v>#VALUE!</v>
      </c>
      <c r="AA152" s="328" t="e">
        <f t="shared" si="36"/>
        <v>#VALUE!</v>
      </c>
      <c r="AB152" s="324" t="e">
        <f t="shared" si="36"/>
        <v>#VALUE!</v>
      </c>
      <c r="AD152" s="324" t="e">
        <f t="shared" si="36"/>
        <v>#VALUE!</v>
      </c>
      <c r="AF152" s="324" t="e">
        <f t="shared" si="36"/>
        <v>#VALUE!</v>
      </c>
    </row>
    <row r="153" spans="1:42" s="324" customFormat="1" ht="0.65" hidden="1" customHeight="1">
      <c r="A153" s="324" t="e">
        <f t="shared" si="33"/>
        <v>#VALUE!</v>
      </c>
      <c r="G153" s="327" t="s">
        <v>0</v>
      </c>
      <c r="H153" s="335" t="s">
        <v>76</v>
      </c>
      <c r="I153" s="335" t="s">
        <v>77</v>
      </c>
      <c r="J153" s="335" t="s">
        <v>78</v>
      </c>
      <c r="K153" s="335" t="s">
        <v>79</v>
      </c>
      <c r="T153" s="324">
        <v>6</v>
      </c>
      <c r="U153" s="324" t="s">
        <v>158</v>
      </c>
      <c r="V153" s="326" t="e">
        <f t="shared" si="35"/>
        <v>#VALUE!</v>
      </c>
      <c r="W153" s="342" t="e">
        <f t="shared" si="35"/>
        <v>#VALUE!</v>
      </c>
      <c r="X153" s="342" t="e">
        <f t="shared" si="35"/>
        <v>#VALUE!</v>
      </c>
      <c r="Y153" s="342" t="e">
        <f t="shared" si="35"/>
        <v>#VALUE!</v>
      </c>
      <c r="AA153" s="342" t="e">
        <f t="shared" si="36"/>
        <v>#VALUE!</v>
      </c>
      <c r="AB153" s="324" t="e">
        <f t="shared" si="36"/>
        <v>#VALUE!</v>
      </c>
      <c r="AD153" s="342" t="e">
        <f t="shared" si="36"/>
        <v>#VALUE!</v>
      </c>
      <c r="AF153" s="342" t="e">
        <f t="shared" si="36"/>
        <v>#VALUE!</v>
      </c>
    </row>
    <row r="154" spans="1:42" s="324" customFormat="1" ht="0.65" hidden="1" customHeight="1">
      <c r="A154" s="324" t="e">
        <f t="shared" si="33"/>
        <v>#VALUE!</v>
      </c>
      <c r="G154" s="336" t="e">
        <f t="shared" ref="G154:K157" si="37">VLOOKUP($A154,$A$231:$AP$1595,G$54,FALSE)</f>
        <v>#VALUE!</v>
      </c>
      <c r="H154" s="328" t="e">
        <f t="shared" si="37"/>
        <v>#VALUE!</v>
      </c>
      <c r="I154" s="328" t="e">
        <f t="shared" si="37"/>
        <v>#VALUE!</v>
      </c>
      <c r="J154" s="328" t="e">
        <f t="shared" si="37"/>
        <v>#VALUE!</v>
      </c>
      <c r="K154" s="328" t="e">
        <f t="shared" si="37"/>
        <v>#VALUE!</v>
      </c>
      <c r="M154" s="328" t="e">
        <f t="shared" ref="M154:P157" si="38">VLOOKUP($A154,$A$231:$AP$1595,M$54,FALSE)</f>
        <v>#VALUE!</v>
      </c>
      <c r="N154" s="328" t="e">
        <f t="shared" si="38"/>
        <v>#VALUE!</v>
      </c>
      <c r="O154" s="337" t="s">
        <v>124</v>
      </c>
      <c r="P154" s="340" t="e">
        <f t="shared" si="38"/>
        <v>#VALUE!</v>
      </c>
      <c r="T154" s="324">
        <v>7</v>
      </c>
      <c r="U154" s="324" t="s">
        <v>159</v>
      </c>
      <c r="V154" s="326" t="e">
        <f t="shared" si="35"/>
        <v>#VALUE!</v>
      </c>
      <c r="W154" s="342" t="e">
        <f t="shared" si="35"/>
        <v>#VALUE!</v>
      </c>
      <c r="X154" s="342" t="e">
        <f t="shared" si="35"/>
        <v>#VALUE!</v>
      </c>
      <c r="Y154" s="342" t="e">
        <f t="shared" si="35"/>
        <v>#VALUE!</v>
      </c>
      <c r="AA154" s="342" t="e">
        <f t="shared" si="36"/>
        <v>#VALUE!</v>
      </c>
      <c r="AB154" s="324" t="e">
        <f t="shared" si="36"/>
        <v>#VALUE!</v>
      </c>
      <c r="AD154" s="324" t="e">
        <f t="shared" si="36"/>
        <v>#VALUE!</v>
      </c>
      <c r="AF154" s="342" t="e">
        <f t="shared" si="36"/>
        <v>#VALUE!</v>
      </c>
    </row>
    <row r="155" spans="1:42" s="324" customFormat="1" ht="0.65" hidden="1" customHeight="1">
      <c r="A155" s="324" t="e">
        <f t="shared" si="33"/>
        <v>#VALUE!</v>
      </c>
      <c r="G155" s="336" t="e">
        <f t="shared" si="37"/>
        <v>#VALUE!</v>
      </c>
      <c r="H155" s="328" t="e">
        <f t="shared" si="37"/>
        <v>#VALUE!</v>
      </c>
      <c r="I155" s="328" t="e">
        <f t="shared" si="37"/>
        <v>#VALUE!</v>
      </c>
      <c r="J155" s="328" t="e">
        <f t="shared" si="37"/>
        <v>#VALUE!</v>
      </c>
      <c r="K155" s="328" t="e">
        <f t="shared" si="37"/>
        <v>#VALUE!</v>
      </c>
      <c r="M155" s="328" t="e">
        <f t="shared" si="38"/>
        <v>#VALUE!</v>
      </c>
      <c r="N155" s="328" t="e">
        <f t="shared" si="38"/>
        <v>#VALUE!</v>
      </c>
      <c r="O155" s="337" t="s">
        <v>125</v>
      </c>
      <c r="P155" s="340" t="e">
        <f t="shared" si="38"/>
        <v>#VALUE!</v>
      </c>
      <c r="T155" s="324">
        <v>8</v>
      </c>
      <c r="U155" s="324" t="s">
        <v>160</v>
      </c>
      <c r="V155" s="326" t="e">
        <f t="shared" si="35"/>
        <v>#VALUE!</v>
      </c>
      <c r="W155" s="342" t="e">
        <f t="shared" si="35"/>
        <v>#VALUE!</v>
      </c>
      <c r="X155" s="342" t="e">
        <f t="shared" si="35"/>
        <v>#VALUE!</v>
      </c>
      <c r="Y155" s="342" t="e">
        <f t="shared" si="35"/>
        <v>#VALUE!</v>
      </c>
      <c r="AA155" s="328" t="e">
        <f t="shared" si="36"/>
        <v>#VALUE!</v>
      </c>
      <c r="AB155" s="324" t="e">
        <f t="shared" si="36"/>
        <v>#VALUE!</v>
      </c>
      <c r="AD155" s="324" t="e">
        <f t="shared" si="36"/>
        <v>#VALUE!</v>
      </c>
    </row>
    <row r="156" spans="1:42" s="324" customFormat="1" ht="0.65" hidden="1" customHeight="1">
      <c r="A156" s="324" t="e">
        <f t="shared" si="33"/>
        <v>#VALUE!</v>
      </c>
      <c r="G156" s="336" t="e">
        <f t="shared" si="37"/>
        <v>#VALUE!</v>
      </c>
      <c r="H156" s="328" t="e">
        <f t="shared" si="37"/>
        <v>#VALUE!</v>
      </c>
      <c r="I156" s="328" t="e">
        <f t="shared" si="37"/>
        <v>#VALUE!</v>
      </c>
      <c r="J156" s="328" t="e">
        <f t="shared" si="37"/>
        <v>#VALUE!</v>
      </c>
      <c r="K156" s="328" t="e">
        <f t="shared" si="37"/>
        <v>#VALUE!</v>
      </c>
      <c r="M156" s="328" t="e">
        <f t="shared" si="38"/>
        <v>#VALUE!</v>
      </c>
      <c r="N156" s="328" t="e">
        <f t="shared" si="38"/>
        <v>#VALUE!</v>
      </c>
      <c r="O156" s="337" t="s">
        <v>126</v>
      </c>
      <c r="P156" s="340" t="e">
        <f t="shared" si="38"/>
        <v>#VALUE!</v>
      </c>
      <c r="T156" s="324">
        <v>9</v>
      </c>
      <c r="U156" s="324" t="s">
        <v>161</v>
      </c>
      <c r="V156" s="326" t="e">
        <f t="shared" si="35"/>
        <v>#VALUE!</v>
      </c>
      <c r="W156" s="342" t="e">
        <f t="shared" si="35"/>
        <v>#VALUE!</v>
      </c>
      <c r="X156" s="342" t="e">
        <f t="shared" si="35"/>
        <v>#VALUE!</v>
      </c>
      <c r="Y156" s="342" t="e">
        <f t="shared" si="35"/>
        <v>#VALUE!</v>
      </c>
      <c r="AA156" s="324" t="e">
        <f t="shared" si="36"/>
        <v>#VALUE!</v>
      </c>
      <c r="AB156" s="324" t="e">
        <f t="shared" si="36"/>
        <v>#VALUE!</v>
      </c>
      <c r="AD156" s="328" t="e">
        <f t="shared" si="36"/>
        <v>#VALUE!</v>
      </c>
    </row>
    <row r="157" spans="1:42" s="324" customFormat="1" ht="0.65" hidden="1" customHeight="1">
      <c r="A157" s="324" t="e">
        <f t="shared" si="33"/>
        <v>#VALUE!</v>
      </c>
      <c r="G157" s="336" t="e">
        <f t="shared" si="37"/>
        <v>#VALUE!</v>
      </c>
      <c r="H157" s="328" t="e">
        <f t="shared" si="37"/>
        <v>#VALUE!</v>
      </c>
      <c r="I157" s="328" t="e">
        <f t="shared" si="37"/>
        <v>#VALUE!</v>
      </c>
      <c r="J157" s="328" t="e">
        <f t="shared" si="37"/>
        <v>#VALUE!</v>
      </c>
      <c r="K157" s="328" t="e">
        <f t="shared" si="37"/>
        <v>#VALUE!</v>
      </c>
      <c r="M157" s="328" t="e">
        <f t="shared" si="38"/>
        <v>#VALUE!</v>
      </c>
      <c r="N157" s="328" t="e">
        <f t="shared" si="38"/>
        <v>#VALUE!</v>
      </c>
      <c r="T157" s="324">
        <v>10</v>
      </c>
      <c r="U157" s="324" t="s">
        <v>162</v>
      </c>
      <c r="V157" s="326" t="e">
        <f t="shared" si="35"/>
        <v>#VALUE!</v>
      </c>
      <c r="W157" s="342" t="e">
        <f t="shared" si="35"/>
        <v>#VALUE!</v>
      </c>
      <c r="X157" s="342" t="e">
        <f t="shared" si="35"/>
        <v>#VALUE!</v>
      </c>
      <c r="Y157" s="342" t="e">
        <f t="shared" si="35"/>
        <v>#VALUE!</v>
      </c>
      <c r="AA157" s="324" t="e">
        <f t="shared" si="36"/>
        <v>#VALUE!</v>
      </c>
      <c r="AB157" s="324" t="e">
        <f t="shared" si="36"/>
        <v>#VALUE!</v>
      </c>
      <c r="AD157" s="328" t="e">
        <f t="shared" si="36"/>
        <v>#VALUE!</v>
      </c>
    </row>
    <row r="158" spans="1:42" s="324" customFormat="1" ht="0.65" hidden="1" customHeight="1">
      <c r="A158" s="324" t="e">
        <f t="shared" si="33"/>
        <v>#VALUE!</v>
      </c>
      <c r="T158" s="324">
        <v>11</v>
      </c>
      <c r="U158" s="324" t="s">
        <v>163</v>
      </c>
      <c r="V158" s="326" t="e">
        <f t="shared" si="35"/>
        <v>#VALUE!</v>
      </c>
      <c r="W158" s="342" t="e">
        <f t="shared" si="35"/>
        <v>#VALUE!</v>
      </c>
      <c r="X158" s="342" t="e">
        <f t="shared" si="35"/>
        <v>#VALUE!</v>
      </c>
      <c r="Y158" s="342" t="e">
        <f t="shared" si="35"/>
        <v>#VALUE!</v>
      </c>
      <c r="AA158" s="324" t="e">
        <f t="shared" si="36"/>
        <v>#VALUE!</v>
      </c>
      <c r="AB158" s="324" t="e">
        <f t="shared" si="36"/>
        <v>#VALUE!</v>
      </c>
      <c r="AD158" s="328" t="e">
        <f t="shared" si="36"/>
        <v>#VALUE!</v>
      </c>
    </row>
    <row r="159" spans="1:42" s="324" customFormat="1" ht="0.65" hidden="1" customHeight="1">
      <c r="A159" s="324" t="e">
        <f t="shared" si="33"/>
        <v>#VALUE!</v>
      </c>
      <c r="O159" s="328" t="s">
        <v>13</v>
      </c>
      <c r="P159" s="327" t="e">
        <f t="shared" ref="P159:P162" si="39">VLOOKUP($A159,$A$231:$AP$1595,P$54,FALSE)</f>
        <v>#VALUE!</v>
      </c>
      <c r="T159" s="324">
        <v>12</v>
      </c>
      <c r="U159" s="324" t="s">
        <v>164</v>
      </c>
      <c r="V159" s="326" t="e">
        <f t="shared" si="35"/>
        <v>#VALUE!</v>
      </c>
      <c r="W159" s="342" t="e">
        <f t="shared" si="35"/>
        <v>#VALUE!</v>
      </c>
      <c r="X159" s="342" t="e">
        <f t="shared" si="35"/>
        <v>#VALUE!</v>
      </c>
      <c r="Y159" s="342" t="e">
        <f t="shared" si="35"/>
        <v>#VALUE!</v>
      </c>
      <c r="AA159" s="324" t="e">
        <f t="shared" si="36"/>
        <v>#VALUE!</v>
      </c>
      <c r="AB159" s="324" t="e">
        <f t="shared" si="36"/>
        <v>#VALUE!</v>
      </c>
      <c r="AD159" s="328" t="e">
        <f t="shared" si="36"/>
        <v>#VALUE!</v>
      </c>
    </row>
    <row r="160" spans="1:42" s="324" customFormat="1" ht="0.65" hidden="1" customHeight="1">
      <c r="A160" s="324" t="e">
        <f t="shared" si="33"/>
        <v>#VALUE!</v>
      </c>
      <c r="O160" s="324" t="s">
        <v>28</v>
      </c>
      <c r="P160" s="340" t="e">
        <f t="shared" si="39"/>
        <v>#VALUE!</v>
      </c>
      <c r="T160" s="324">
        <v>13</v>
      </c>
      <c r="U160" s="324" t="s">
        <v>165</v>
      </c>
      <c r="V160" s="326" t="e">
        <f t="shared" si="35"/>
        <v>#VALUE!</v>
      </c>
      <c r="W160" s="342" t="e">
        <f t="shared" si="35"/>
        <v>#VALUE!</v>
      </c>
      <c r="X160" s="342" t="e">
        <f t="shared" si="35"/>
        <v>#VALUE!</v>
      </c>
      <c r="Y160" s="342" t="e">
        <f t="shared" si="35"/>
        <v>#VALUE!</v>
      </c>
      <c r="Z160" s="324" t="e">
        <f t="shared" si="35"/>
        <v>#VALUE!</v>
      </c>
      <c r="AA160" s="324" t="e">
        <f t="shared" si="36"/>
        <v>#VALUE!</v>
      </c>
      <c r="AB160" s="324" t="e">
        <f t="shared" si="36"/>
        <v>#VALUE!</v>
      </c>
      <c r="AD160" s="328" t="e">
        <f t="shared" si="36"/>
        <v>#VALUE!</v>
      </c>
    </row>
    <row r="161" spans="1:39" s="324" customFormat="1" ht="0.65" hidden="1" customHeight="1">
      <c r="A161" s="324" t="e">
        <f t="shared" si="33"/>
        <v>#VALUE!</v>
      </c>
      <c r="N161" s="328"/>
      <c r="O161" s="324" t="s">
        <v>29</v>
      </c>
      <c r="P161" s="341" t="e">
        <f t="shared" si="39"/>
        <v>#VALUE!</v>
      </c>
      <c r="T161" s="324">
        <v>14</v>
      </c>
      <c r="U161" s="324" t="s">
        <v>166</v>
      </c>
      <c r="V161" s="326" t="e">
        <f t="shared" si="35"/>
        <v>#VALUE!</v>
      </c>
      <c r="W161" s="342" t="e">
        <f t="shared" si="35"/>
        <v>#VALUE!</v>
      </c>
      <c r="X161" s="342" t="e">
        <f t="shared" si="35"/>
        <v>#VALUE!</v>
      </c>
      <c r="Y161" s="342" t="e">
        <f t="shared" si="35"/>
        <v>#VALUE!</v>
      </c>
      <c r="Z161" s="324" t="e">
        <f t="shared" si="35"/>
        <v>#VALUE!</v>
      </c>
      <c r="AA161" s="324" t="e">
        <f t="shared" si="36"/>
        <v>#VALUE!</v>
      </c>
      <c r="AB161" s="324" t="e">
        <f t="shared" si="36"/>
        <v>#VALUE!</v>
      </c>
      <c r="AD161" s="324" t="e">
        <f t="shared" si="36"/>
        <v>#VALUE!</v>
      </c>
    </row>
    <row r="162" spans="1:39" s="324" customFormat="1" ht="0.65" hidden="1" customHeight="1">
      <c r="A162" s="324" t="e">
        <f t="shared" si="33"/>
        <v>#VALUE!</v>
      </c>
      <c r="N162" s="328"/>
      <c r="O162" s="324" t="s">
        <v>30</v>
      </c>
      <c r="P162" s="326" t="e">
        <f t="shared" si="39"/>
        <v>#VALUE!</v>
      </c>
      <c r="T162" s="324">
        <v>15</v>
      </c>
      <c r="U162" s="324" t="s">
        <v>167</v>
      </c>
      <c r="V162" s="326" t="e">
        <f t="shared" si="35"/>
        <v>#VALUE!</v>
      </c>
      <c r="W162" s="342" t="e">
        <f t="shared" si="35"/>
        <v>#VALUE!</v>
      </c>
      <c r="X162" s="342" t="e">
        <f t="shared" si="35"/>
        <v>#VALUE!</v>
      </c>
      <c r="Y162" s="342" t="e">
        <f t="shared" si="35"/>
        <v>#VALUE!</v>
      </c>
      <c r="Z162" s="324" t="e">
        <f t="shared" si="35"/>
        <v>#VALUE!</v>
      </c>
      <c r="AA162" s="324" t="e">
        <f t="shared" si="36"/>
        <v>#VALUE!</v>
      </c>
      <c r="AB162" s="324" t="e">
        <f t="shared" si="36"/>
        <v>#VALUE!</v>
      </c>
      <c r="AD162" s="342" t="e">
        <f t="shared" si="36"/>
        <v>#VALUE!</v>
      </c>
    </row>
    <row r="163" spans="1:39" s="324" customFormat="1" ht="0.65" hidden="1" customHeight="1">
      <c r="A163" s="324" t="e">
        <f t="shared" si="33"/>
        <v>#VALUE!</v>
      </c>
      <c r="N163" s="328"/>
      <c r="T163" s="324">
        <v>16</v>
      </c>
      <c r="U163" s="324" t="s">
        <v>168</v>
      </c>
      <c r="V163" s="326" t="e">
        <f t="shared" si="35"/>
        <v>#VALUE!</v>
      </c>
      <c r="W163" s="342" t="e">
        <f t="shared" si="35"/>
        <v>#VALUE!</v>
      </c>
      <c r="X163" s="342" t="e">
        <f t="shared" si="35"/>
        <v>#VALUE!</v>
      </c>
      <c r="Y163" s="342" t="e">
        <f t="shared" si="35"/>
        <v>#VALUE!</v>
      </c>
      <c r="Z163" s="324" t="e">
        <f t="shared" si="35"/>
        <v>#VALUE!</v>
      </c>
      <c r="AA163" s="324" t="e">
        <f t="shared" si="36"/>
        <v>#VALUE!</v>
      </c>
      <c r="AB163" s="324" t="e">
        <f t="shared" si="36"/>
        <v>#VALUE!</v>
      </c>
      <c r="AD163" s="342" t="e">
        <f t="shared" si="36"/>
        <v>#VALUE!</v>
      </c>
    </row>
    <row r="164" spans="1:39" s="324" customFormat="1" ht="0.65" hidden="1" customHeight="1">
      <c r="A164" s="324" t="e">
        <f t="shared" si="33"/>
        <v>#VALUE!</v>
      </c>
      <c r="N164" s="328"/>
      <c r="P164" s="326" t="e">
        <f t="shared" ref="I164:P165" si="40">IF(ABS(P4-P148)&lt;0.01,1,0)</f>
        <v>#VALUE!</v>
      </c>
      <c r="T164" s="324">
        <v>17</v>
      </c>
      <c r="U164" s="324" t="s">
        <v>169</v>
      </c>
      <c r="V164" s="326" t="e">
        <f t="shared" si="35"/>
        <v>#VALUE!</v>
      </c>
      <c r="W164" s="342" t="e">
        <f t="shared" si="35"/>
        <v>#VALUE!</v>
      </c>
      <c r="X164" s="342" t="e">
        <f t="shared" si="35"/>
        <v>#VALUE!</v>
      </c>
      <c r="Y164" s="342" t="e">
        <f t="shared" si="35"/>
        <v>#VALUE!</v>
      </c>
      <c r="Z164" s="324" t="e">
        <f t="shared" si="35"/>
        <v>#VALUE!</v>
      </c>
      <c r="AA164" s="324" t="e">
        <f t="shared" si="36"/>
        <v>#VALUE!</v>
      </c>
      <c r="AB164" s="324" t="e">
        <f t="shared" si="36"/>
        <v>#VALUE!</v>
      </c>
      <c r="AD164" s="324" t="e">
        <f t="shared" si="36"/>
        <v>#VALUE!</v>
      </c>
    </row>
    <row r="165" spans="1:39" s="324" customFormat="1" ht="0.65" hidden="1" customHeight="1">
      <c r="A165" s="324" t="e">
        <f t="shared" si="33"/>
        <v>#VALUE!</v>
      </c>
      <c r="H165" s="326" t="e">
        <f>IF(ABS(H5-H149)&lt;0.01,1,0)</f>
        <v>#VALUE!</v>
      </c>
      <c r="I165" s="326" t="e">
        <f t="shared" si="40"/>
        <v>#VALUE!</v>
      </c>
      <c r="J165" s="326" t="e">
        <f t="shared" si="40"/>
        <v>#VALUE!</v>
      </c>
      <c r="K165" s="326" t="e">
        <f t="shared" si="40"/>
        <v>#VALUE!</v>
      </c>
      <c r="L165" s="326" t="e">
        <f t="shared" si="40"/>
        <v>#VALUE!</v>
      </c>
      <c r="M165" s="326" t="e">
        <f t="shared" si="40"/>
        <v>#VALUE!</v>
      </c>
      <c r="N165" s="327" t="e">
        <f t="shared" si="40"/>
        <v>#VALUE!</v>
      </c>
      <c r="O165" s="326" t="e">
        <f t="shared" si="40"/>
        <v>#VALUE!</v>
      </c>
      <c r="P165" s="326" t="e">
        <f t="shared" si="40"/>
        <v>#VALUE!</v>
      </c>
      <c r="T165" s="324">
        <v>18</v>
      </c>
      <c r="U165" s="324" t="s">
        <v>170</v>
      </c>
      <c r="V165" s="326" t="e">
        <f t="shared" si="35"/>
        <v>#VALUE!</v>
      </c>
      <c r="W165" s="342" t="e">
        <f t="shared" si="35"/>
        <v>#VALUE!</v>
      </c>
      <c r="X165" s="342" t="e">
        <f t="shared" si="35"/>
        <v>#VALUE!</v>
      </c>
      <c r="Y165" s="342" t="e">
        <f t="shared" si="35"/>
        <v>#VALUE!</v>
      </c>
      <c r="Z165" s="324" t="e">
        <f t="shared" si="35"/>
        <v>#VALUE!</v>
      </c>
      <c r="AA165" s="324" t="e">
        <f t="shared" si="36"/>
        <v>#VALUE!</v>
      </c>
      <c r="AB165" s="324" t="e">
        <f t="shared" si="36"/>
        <v>#VALUE!</v>
      </c>
      <c r="AD165" s="324" t="e">
        <f t="shared" si="36"/>
        <v>#VALUE!</v>
      </c>
    </row>
    <row r="166" spans="1:39" s="324" customFormat="1" ht="0.65" hidden="1" customHeight="1">
      <c r="A166" s="324" t="e">
        <f t="shared" si="33"/>
        <v>#VALUE!</v>
      </c>
      <c r="H166" s="326" t="e">
        <f t="shared" ref="H166:P167" si="41">IF(ABS(H6-H150)&lt;0.01,1,0)</f>
        <v>#VALUE!</v>
      </c>
      <c r="I166" s="326" t="e">
        <f t="shared" si="41"/>
        <v>#VALUE!</v>
      </c>
      <c r="J166" s="326" t="e">
        <f t="shared" si="41"/>
        <v>#VALUE!</v>
      </c>
      <c r="K166" s="326" t="e">
        <f t="shared" si="41"/>
        <v>#VALUE!</v>
      </c>
      <c r="L166" s="326" t="e">
        <f t="shared" si="41"/>
        <v>#VALUE!</v>
      </c>
      <c r="M166" s="326" t="e">
        <f t="shared" si="41"/>
        <v>#VALUE!</v>
      </c>
      <c r="N166" s="327" t="e">
        <f t="shared" si="41"/>
        <v>#VALUE!</v>
      </c>
      <c r="O166" s="326" t="e">
        <f t="shared" si="41"/>
        <v>#VALUE!</v>
      </c>
      <c r="P166" s="326" t="e">
        <f t="shared" si="41"/>
        <v>#VALUE!</v>
      </c>
      <c r="T166" s="324">
        <v>19</v>
      </c>
      <c r="U166" s="324" t="s">
        <v>171</v>
      </c>
      <c r="V166" s="326" t="e">
        <f t="shared" si="35"/>
        <v>#VALUE!</v>
      </c>
      <c r="W166" s="342" t="e">
        <f t="shared" si="35"/>
        <v>#VALUE!</v>
      </c>
      <c r="X166" s="342" t="e">
        <f t="shared" si="35"/>
        <v>#VALUE!</v>
      </c>
      <c r="Y166" s="342" t="e">
        <f t="shared" si="35"/>
        <v>#VALUE!</v>
      </c>
      <c r="AA166" s="324" t="e">
        <f t="shared" si="36"/>
        <v>#VALUE!</v>
      </c>
      <c r="AB166" s="324" t="e">
        <f t="shared" si="36"/>
        <v>#VALUE!</v>
      </c>
      <c r="AD166" s="324" t="e">
        <f t="shared" si="36"/>
        <v>#VALUE!</v>
      </c>
    </row>
    <row r="167" spans="1:39" s="324" customFormat="1" ht="0.65" hidden="1" customHeight="1">
      <c r="A167" s="324" t="e">
        <f t="shared" si="33"/>
        <v>#VALUE!</v>
      </c>
      <c r="H167" s="326" t="e">
        <f t="shared" si="41"/>
        <v>#VALUE!</v>
      </c>
      <c r="I167" s="326" t="e">
        <f t="shared" si="41"/>
        <v>#VALUE!</v>
      </c>
      <c r="J167" s="326" t="e">
        <f t="shared" si="41"/>
        <v>#VALUE!</v>
      </c>
      <c r="K167" s="326" t="e">
        <f t="shared" si="41"/>
        <v>#VALUE!</v>
      </c>
      <c r="L167" s="326" t="e">
        <f t="shared" si="41"/>
        <v>#VALUE!</v>
      </c>
      <c r="M167" s="326" t="e">
        <f t="shared" si="41"/>
        <v>#VALUE!</v>
      </c>
      <c r="N167" s="327" t="e">
        <f t="shared" si="41"/>
        <v>#VALUE!</v>
      </c>
      <c r="O167" s="326" t="e">
        <f t="shared" si="41"/>
        <v>#VALUE!</v>
      </c>
      <c r="P167" s="326" t="e">
        <f t="shared" si="41"/>
        <v>#VALUE!</v>
      </c>
    </row>
    <row r="168" spans="1:39" s="324" customFormat="1" ht="0.65" hidden="1" customHeight="1">
      <c r="A168" s="324" t="e">
        <f t="shared" si="33"/>
        <v>#VALUE!</v>
      </c>
      <c r="N168" s="328"/>
    </row>
    <row r="169" spans="1:39" s="324" customFormat="1" ht="0.65" hidden="1" customHeight="1">
      <c r="A169" s="324" t="e">
        <f t="shared" si="33"/>
        <v>#VALUE!</v>
      </c>
      <c r="N169" s="328"/>
      <c r="X169" s="324" t="s">
        <v>186</v>
      </c>
      <c r="Y169" s="342" t="e">
        <f>SUM(X148:X166)-SUM(Y148:Y166)</f>
        <v>#VALUE!</v>
      </c>
    </row>
    <row r="170" spans="1:39" s="324" customFormat="1" ht="0.65" hidden="1" customHeight="1">
      <c r="A170" s="324" t="e">
        <f t="shared" si="33"/>
        <v>#VALUE!</v>
      </c>
      <c r="N170" s="327" t="e">
        <f>IF(ABS(N10-N154)&lt;0.01,1,0)</f>
        <v>#VALUE!</v>
      </c>
      <c r="P170" s="326" t="e">
        <f>IF(ABS(P10-P154)&lt;0.000001,1,0)</f>
        <v>#VALUE!</v>
      </c>
    </row>
    <row r="171" spans="1:39" s="324" customFormat="1" ht="0.65" hidden="1" customHeight="1">
      <c r="A171" s="324" t="e">
        <f t="shared" si="33"/>
        <v>#VALUE!</v>
      </c>
      <c r="H171" s="326" t="e">
        <f t="shared" ref="H171:K173" si="42">IF(ABS(H11-H155)&lt;0.01,1,0)</f>
        <v>#VALUE!</v>
      </c>
      <c r="I171" s="326" t="e">
        <f t="shared" si="42"/>
        <v>#VALUE!</v>
      </c>
      <c r="J171" s="326" t="e">
        <f t="shared" si="42"/>
        <v>#VALUE!</v>
      </c>
      <c r="K171" s="326" t="e">
        <f t="shared" si="42"/>
        <v>#VALUE!</v>
      </c>
      <c r="N171" s="327" t="e">
        <f>IF(ABS(N11-N155)&lt;0.01,1,0)</f>
        <v>#VALUE!</v>
      </c>
      <c r="P171" s="326" t="e">
        <f>IF(ABS(P11-P155)&lt;0.000001,1,0)</f>
        <v>#VALUE!</v>
      </c>
    </row>
    <row r="172" spans="1:39" s="324" customFormat="1" ht="0.65" hidden="1" customHeight="1">
      <c r="A172" s="324" t="e">
        <f t="shared" si="33"/>
        <v>#VALUE!</v>
      </c>
      <c r="H172" s="326" t="e">
        <f t="shared" si="42"/>
        <v>#VALUE!</v>
      </c>
      <c r="I172" s="326" t="e">
        <f t="shared" si="42"/>
        <v>#VALUE!</v>
      </c>
      <c r="J172" s="326" t="e">
        <f t="shared" si="42"/>
        <v>#VALUE!</v>
      </c>
      <c r="K172" s="326" t="e">
        <f t="shared" si="42"/>
        <v>#VALUE!</v>
      </c>
      <c r="N172" s="327" t="e">
        <f>IF(ABS(N12-N156)&lt;0.01,1,0)</f>
        <v>#VALUE!</v>
      </c>
      <c r="P172" s="326" t="e">
        <f>IF(ABS(P12-P156)&lt;0.000001,1,0)</f>
        <v>#VALUE!</v>
      </c>
    </row>
    <row r="173" spans="1:39" s="324" customFormat="1" ht="0.65" hidden="1" customHeight="1">
      <c r="A173" s="324" t="e">
        <f t="shared" si="33"/>
        <v>#VALUE!</v>
      </c>
      <c r="H173" s="326" t="e">
        <f t="shared" si="42"/>
        <v>#VALUE!</v>
      </c>
      <c r="I173" s="326" t="e">
        <f t="shared" si="42"/>
        <v>#VALUE!</v>
      </c>
      <c r="J173" s="326" t="e">
        <f t="shared" si="42"/>
        <v>#VALUE!</v>
      </c>
      <c r="K173" s="326" t="e">
        <f t="shared" si="42"/>
        <v>#VALUE!</v>
      </c>
      <c r="N173" s="327" t="e">
        <f>IF(ABS(N13-N157)&lt;0.01,1,0)</f>
        <v>#VALUE!</v>
      </c>
    </row>
    <row r="174" spans="1:39" s="324" customFormat="1" ht="0.65" hidden="1" customHeight="1">
      <c r="A174" s="324" t="e">
        <f t="shared" si="33"/>
        <v>#VALUE!</v>
      </c>
      <c r="N174" s="328"/>
      <c r="AI174" s="326">
        <v>1E-4</v>
      </c>
      <c r="AJ174" s="326" t="s">
        <v>244</v>
      </c>
      <c r="AK174" s="326"/>
    </row>
    <row r="175" spans="1:39" s="324" customFormat="1" ht="0.65" hidden="1" customHeight="1">
      <c r="A175" s="324" t="e">
        <f t="shared" si="33"/>
        <v>#VALUE!</v>
      </c>
      <c r="N175" s="328"/>
      <c r="P175" s="326" t="e">
        <f>IF(ABS(P15-P159)&lt;0.01,1,0)</f>
        <v>#VALUE!</v>
      </c>
      <c r="AC175" s="324" t="s">
        <v>463</v>
      </c>
      <c r="AD175" s="326" t="s">
        <v>208</v>
      </c>
      <c r="AG175" s="326" t="s">
        <v>210</v>
      </c>
      <c r="AH175" s="326" t="s">
        <v>209</v>
      </c>
      <c r="AI175" s="326" t="s">
        <v>206</v>
      </c>
      <c r="AJ175" s="326" t="s">
        <v>245</v>
      </c>
      <c r="AK175" s="326" t="s">
        <v>206</v>
      </c>
      <c r="AL175" s="324" t="s">
        <v>205</v>
      </c>
    </row>
    <row r="176" spans="1:39" s="324" customFormat="1" ht="0.65" hidden="1" customHeight="1">
      <c r="A176" s="324" t="e">
        <f t="shared" si="33"/>
        <v>#VALUE!</v>
      </c>
      <c r="N176" s="328"/>
      <c r="P176" s="326" t="e">
        <f>IF(ABS(P16-P160)&lt;0.000001,1,0)</f>
        <v>#VALUE!</v>
      </c>
      <c r="AA176" s="324">
        <f>1+AA175</f>
        <v>1</v>
      </c>
      <c r="AB176" s="326" t="str">
        <f>IF(AC176="b","C",IF(AI176="","B",IF(AK176="","D","C")))</f>
        <v>C</v>
      </c>
      <c r="AC176" s="326" t="str">
        <f>IF(N10="","b","")</f>
        <v>b</v>
      </c>
      <c r="AD176" s="326" t="str">
        <f>IF(AE176-AE175=1,"*","")</f>
        <v>*</v>
      </c>
      <c r="AE176" s="327">
        <f>AE175+IF(AC176="b",1,COUNTIF(AK176,"ERROR"))</f>
        <v>1</v>
      </c>
      <c r="AF176" s="324" t="e">
        <f t="shared" ref="AF176:AF224" si="43">VLOOKUP($A176,$A$231:$AP$1595,AF$54,FALSE)</f>
        <v>#VALUE!</v>
      </c>
      <c r="AG176" s="328">
        <f>N10</f>
        <v>0</v>
      </c>
      <c r="AH176" s="328" t="e">
        <f t="shared" ref="AH176:AH224" si="44">VLOOKUP($A176,$A$231:$AP$1595,AH$54,FALSE)</f>
        <v>#VALUE!</v>
      </c>
      <c r="AI176" s="324" t="e">
        <f>IF(ABS(AG176-AH176)&lt;$AI$174,"","ERROR")</f>
        <v>#VALUE!</v>
      </c>
      <c r="AJ176" s="328" t="e">
        <f t="shared" ref="AJ176:AJ185" si="45">AH176</f>
        <v>#VALUE!</v>
      </c>
      <c r="AK176" s="328" t="e">
        <f>IF(ABS(AG176-AJ176)&lt;$AI$174,"","ERROR")</f>
        <v>#VALUE!</v>
      </c>
      <c r="AL176" s="324" t="str">
        <f>IF(AD176="*","El desembolso inicial es erróneo","")</f>
        <v>El desembolso inicial es erróneo</v>
      </c>
      <c r="AM176" s="326" t="str">
        <f>IF(AC176="","",AC176)</f>
        <v>b</v>
      </c>
    </row>
    <row r="177" spans="1:39" s="324" customFormat="1" ht="0.65" hidden="1" customHeight="1">
      <c r="A177" s="324" t="e">
        <f t="shared" si="33"/>
        <v>#VALUE!</v>
      </c>
      <c r="N177" s="328"/>
      <c r="AA177" s="324">
        <f t="shared" ref="AA177:AA224" si="46">1+AA176</f>
        <v>2</v>
      </c>
      <c r="AB177" s="326" t="str">
        <f t="shared" ref="AB177:AB224" si="47">IF(AC177="b","C",IF(AI177="","B",IF(AK177="","D","C")))</f>
        <v>C</v>
      </c>
      <c r="AC177" s="326" t="str">
        <f>IF(H5="","b","")</f>
        <v>b</v>
      </c>
      <c r="AD177" s="326" t="str">
        <f t="shared" ref="AD177:AD224" si="48">IF(AE177-AE176=1,"*","")</f>
        <v>*</v>
      </c>
      <c r="AE177" s="327">
        <f t="shared" ref="AE177:AE224" si="49">AE176+IF(AC177="b",1,COUNTIF(AK177,"ERROR"))</f>
        <v>2</v>
      </c>
      <c r="AF177" s="324" t="e">
        <f t="shared" si="43"/>
        <v>#VALUE!</v>
      </c>
      <c r="AG177" s="328">
        <f>H5</f>
        <v>0</v>
      </c>
      <c r="AH177" s="328" t="e">
        <f t="shared" si="44"/>
        <v>#VALUE!</v>
      </c>
      <c r="AI177" s="324" t="e">
        <f t="shared" ref="AI177:AI224" si="50">IF(ABS(AG177-AH177)&lt;$AI$174,"","ERROR")</f>
        <v>#VALUE!</v>
      </c>
      <c r="AJ177" s="328" t="e">
        <f t="shared" si="45"/>
        <v>#VALUE!</v>
      </c>
      <c r="AK177" s="328" t="e">
        <f t="shared" ref="AK177:AK224" si="51">IF(ABS(AG177-AJ177)&lt;$AI$174,"","ERROR")</f>
        <v>#VALUE!</v>
      </c>
      <c r="AL177" s="324" t="str">
        <f>IF(AD177="*","Las ventas incrementales no respetan el principio de devengo","")</f>
        <v>Las ventas incrementales no respetan el principio de devengo</v>
      </c>
      <c r="AM177" s="326" t="str">
        <f t="shared" ref="AM177:AM224" si="52">IF(AC177="","",AC177)</f>
        <v>b</v>
      </c>
    </row>
    <row r="178" spans="1:39" s="324" customFormat="1" ht="0.65" hidden="1" customHeight="1">
      <c r="A178" s="324" t="e">
        <f t="shared" si="33"/>
        <v>#VALUE!</v>
      </c>
      <c r="G178" s="324" t="s">
        <v>411</v>
      </c>
      <c r="H178" s="326" t="e">
        <f>SUM(H164:P177)</f>
        <v>#VALUE!</v>
      </c>
      <c r="N178" s="328"/>
      <c r="AA178" s="324">
        <f t="shared" si="46"/>
        <v>3</v>
      </c>
      <c r="AB178" s="326" t="str">
        <f t="shared" si="47"/>
        <v>C</v>
      </c>
      <c r="AC178" s="326" t="str">
        <f>IF(H6="","b","")</f>
        <v>b</v>
      </c>
      <c r="AD178" s="326" t="str">
        <f t="shared" si="48"/>
        <v>*</v>
      </c>
      <c r="AE178" s="327">
        <f t="shared" si="49"/>
        <v>3</v>
      </c>
      <c r="AF178" s="324" t="e">
        <f t="shared" si="43"/>
        <v>#VALUE!</v>
      </c>
      <c r="AG178" s="328">
        <f>H6</f>
        <v>0</v>
      </c>
      <c r="AH178" s="328" t="e">
        <f t="shared" si="44"/>
        <v>#VALUE!</v>
      </c>
      <c r="AI178" s="324" t="e">
        <f t="shared" si="50"/>
        <v>#VALUE!</v>
      </c>
      <c r="AJ178" s="328" t="e">
        <f t="shared" si="45"/>
        <v>#VALUE!</v>
      </c>
      <c r="AK178" s="328" t="e">
        <f t="shared" si="51"/>
        <v>#VALUE!</v>
      </c>
      <c r="AL178" s="324" t="str">
        <f>IF(AD178="*","Las ventas incrementales no respetan el principio de devengo","")</f>
        <v>Las ventas incrementales no respetan el principio de devengo</v>
      </c>
      <c r="AM178" s="326" t="str">
        <f t="shared" si="52"/>
        <v>b</v>
      </c>
    </row>
    <row r="179" spans="1:39" s="324" customFormat="1" ht="0.65" hidden="1" customHeight="1">
      <c r="A179" s="324" t="e">
        <f t="shared" si="33"/>
        <v>#VALUE!</v>
      </c>
      <c r="G179" s="324" t="s">
        <v>412</v>
      </c>
      <c r="N179" s="328"/>
      <c r="AA179" s="324">
        <f t="shared" si="46"/>
        <v>4</v>
      </c>
      <c r="AB179" s="326" t="str">
        <f t="shared" si="47"/>
        <v>C</v>
      </c>
      <c r="AC179" s="326" t="str">
        <f>IF(H7="","b","")</f>
        <v>b</v>
      </c>
      <c r="AD179" s="326" t="str">
        <f t="shared" si="48"/>
        <v>*</v>
      </c>
      <c r="AE179" s="327">
        <f t="shared" si="49"/>
        <v>4</v>
      </c>
      <c r="AF179" s="324" t="e">
        <f t="shared" si="43"/>
        <v>#VALUE!</v>
      </c>
      <c r="AG179" s="328">
        <f>H7</f>
        <v>0</v>
      </c>
      <c r="AH179" s="328" t="e">
        <f t="shared" si="44"/>
        <v>#VALUE!</v>
      </c>
      <c r="AI179" s="324" t="e">
        <f t="shared" si="50"/>
        <v>#VALUE!</v>
      </c>
      <c r="AJ179" s="328" t="e">
        <f t="shared" si="45"/>
        <v>#VALUE!</v>
      </c>
      <c r="AK179" s="328" t="e">
        <f t="shared" si="51"/>
        <v>#VALUE!</v>
      </c>
      <c r="AL179" s="324" t="str">
        <f>IF(AD179="*","Las ventas incrementales no respetan el principio de devengo","")</f>
        <v>Las ventas incrementales no respetan el principio de devengo</v>
      </c>
      <c r="AM179" s="326" t="str">
        <f t="shared" si="52"/>
        <v>b</v>
      </c>
    </row>
    <row r="180" spans="1:39" s="324" customFormat="1" ht="0.65" hidden="1" customHeight="1">
      <c r="A180" s="324" t="e">
        <f t="shared" si="33"/>
        <v>#VALUE!</v>
      </c>
      <c r="N180" s="328"/>
      <c r="AA180" s="324">
        <f t="shared" si="46"/>
        <v>5</v>
      </c>
      <c r="AB180" s="326" t="str">
        <f t="shared" si="47"/>
        <v>C</v>
      </c>
      <c r="AC180" s="326" t="str">
        <f>IF(I5="","b","")</f>
        <v>b</v>
      </c>
      <c r="AD180" s="326" t="str">
        <f t="shared" si="48"/>
        <v>*</v>
      </c>
      <c r="AE180" s="327">
        <f t="shared" si="49"/>
        <v>5</v>
      </c>
      <c r="AF180" s="324" t="e">
        <f t="shared" si="43"/>
        <v>#VALUE!</v>
      </c>
      <c r="AG180" s="328">
        <f>I5</f>
        <v>0</v>
      </c>
      <c r="AH180" s="328" t="e">
        <f t="shared" si="44"/>
        <v>#VALUE!</v>
      </c>
      <c r="AI180" s="324" t="e">
        <f t="shared" si="50"/>
        <v>#VALUE!</v>
      </c>
      <c r="AJ180" s="328" t="e">
        <f t="shared" si="45"/>
        <v>#VALUE!</v>
      </c>
      <c r="AK180" s="328" t="e">
        <f t="shared" si="51"/>
        <v>#VALUE!</v>
      </c>
      <c r="AL180" s="324" t="str">
        <f>IF(AD180="*","Los costes operativos con desembolso incrementales no respetan el principio de devengo","")</f>
        <v>Los costes operativos con desembolso incrementales no respetan el principio de devengo</v>
      </c>
      <c r="AM180" s="326" t="str">
        <f t="shared" si="52"/>
        <v>b</v>
      </c>
    </row>
    <row r="181" spans="1:39" s="324" customFormat="1" ht="0.65" hidden="1" customHeight="1">
      <c r="A181" s="324" t="e">
        <f t="shared" si="33"/>
        <v>#VALUE!</v>
      </c>
      <c r="N181" s="328"/>
      <c r="AA181" s="324">
        <f t="shared" si="46"/>
        <v>6</v>
      </c>
      <c r="AB181" s="326" t="str">
        <f t="shared" si="47"/>
        <v>C</v>
      </c>
      <c r="AC181" s="326" t="str">
        <f t="shared" ref="AC181:AC182" si="53">IF(I6="","b","")</f>
        <v>b</v>
      </c>
      <c r="AD181" s="326" t="str">
        <f t="shared" si="48"/>
        <v>*</v>
      </c>
      <c r="AE181" s="327">
        <f t="shared" si="49"/>
        <v>6</v>
      </c>
      <c r="AF181" s="324" t="e">
        <f t="shared" si="43"/>
        <v>#VALUE!</v>
      </c>
      <c r="AG181" s="328">
        <f>I6</f>
        <v>0</v>
      </c>
      <c r="AH181" s="328" t="e">
        <f t="shared" si="44"/>
        <v>#VALUE!</v>
      </c>
      <c r="AI181" s="324" t="e">
        <f t="shared" si="50"/>
        <v>#VALUE!</v>
      </c>
      <c r="AJ181" s="328" t="e">
        <f t="shared" si="45"/>
        <v>#VALUE!</v>
      </c>
      <c r="AK181" s="328" t="e">
        <f t="shared" si="51"/>
        <v>#VALUE!</v>
      </c>
      <c r="AL181" s="324" t="str">
        <f>IF(AD181="*","Los costes operativos con desembolso incrementales no respetan el principio de devengo","")</f>
        <v>Los costes operativos con desembolso incrementales no respetan el principio de devengo</v>
      </c>
      <c r="AM181" s="326" t="str">
        <f t="shared" si="52"/>
        <v>b</v>
      </c>
    </row>
    <row r="182" spans="1:39" s="324" customFormat="1" ht="0.65" hidden="1" customHeight="1">
      <c r="A182" s="324" t="e">
        <f t="shared" si="33"/>
        <v>#VALUE!</v>
      </c>
      <c r="N182" s="328"/>
      <c r="AA182" s="324">
        <f t="shared" si="46"/>
        <v>7</v>
      </c>
      <c r="AB182" s="326" t="str">
        <f t="shared" si="47"/>
        <v>C</v>
      </c>
      <c r="AC182" s="326" t="str">
        <f t="shared" si="53"/>
        <v>b</v>
      </c>
      <c r="AD182" s="326" t="str">
        <f t="shared" si="48"/>
        <v>*</v>
      </c>
      <c r="AE182" s="327">
        <f t="shared" si="49"/>
        <v>7</v>
      </c>
      <c r="AF182" s="324" t="e">
        <f t="shared" si="43"/>
        <v>#VALUE!</v>
      </c>
      <c r="AG182" s="328">
        <f>I7</f>
        <v>0</v>
      </c>
      <c r="AH182" s="328" t="e">
        <f t="shared" si="44"/>
        <v>#VALUE!</v>
      </c>
      <c r="AI182" s="324" t="e">
        <f t="shared" si="50"/>
        <v>#VALUE!</v>
      </c>
      <c r="AJ182" s="328" t="e">
        <f t="shared" si="45"/>
        <v>#VALUE!</v>
      </c>
      <c r="AK182" s="328" t="e">
        <f t="shared" si="51"/>
        <v>#VALUE!</v>
      </c>
      <c r="AL182" s="324" t="str">
        <f>IF(AD182="*","Los costes operativos con desembolso incrementales no respetan el principio de devengo","")</f>
        <v>Los costes operativos con desembolso incrementales no respetan el principio de devengo</v>
      </c>
      <c r="AM182" s="326" t="str">
        <f t="shared" si="52"/>
        <v>b</v>
      </c>
    </row>
    <row r="183" spans="1:39" s="324" customFormat="1" ht="0.65" hidden="1" customHeight="1">
      <c r="A183" s="324" t="e">
        <f t="shared" si="33"/>
        <v>#VALUE!</v>
      </c>
      <c r="G183" s="326" t="s">
        <v>0</v>
      </c>
      <c r="H183" s="326" t="s">
        <v>69</v>
      </c>
      <c r="I183" s="326" t="s">
        <v>70</v>
      </c>
      <c r="J183" s="326" t="s">
        <v>71</v>
      </c>
      <c r="K183" s="326" t="s">
        <v>72</v>
      </c>
      <c r="L183" s="326" t="s">
        <v>73</v>
      </c>
      <c r="M183" s="326" t="s">
        <v>74</v>
      </c>
      <c r="N183" s="327" t="s">
        <v>75</v>
      </c>
      <c r="O183" s="326" t="s">
        <v>80</v>
      </c>
      <c r="P183" s="326" t="s">
        <v>1</v>
      </c>
      <c r="AA183" s="324">
        <f t="shared" si="46"/>
        <v>8</v>
      </c>
      <c r="AB183" s="326" t="str">
        <f t="shared" si="47"/>
        <v>C</v>
      </c>
      <c r="AC183" s="326" t="str">
        <f>IF(J5="","b","")</f>
        <v>b</v>
      </c>
      <c r="AD183" s="326" t="str">
        <f t="shared" si="48"/>
        <v>*</v>
      </c>
      <c r="AE183" s="327">
        <f t="shared" si="49"/>
        <v>8</v>
      </c>
      <c r="AF183" s="324" t="e">
        <f t="shared" si="43"/>
        <v>#VALUE!</v>
      </c>
      <c r="AG183" s="328">
        <f>J5</f>
        <v>0</v>
      </c>
      <c r="AH183" s="328" t="e">
        <f t="shared" si="44"/>
        <v>#VALUE!</v>
      </c>
      <c r="AI183" s="324" t="e">
        <f t="shared" si="50"/>
        <v>#VALUE!</v>
      </c>
      <c r="AJ183" s="328" t="e">
        <f t="shared" si="45"/>
        <v>#VALUE!</v>
      </c>
      <c r="AK183" s="328" t="e">
        <f t="shared" si="51"/>
        <v>#VALUE!</v>
      </c>
      <c r="AL183" s="324" t="str">
        <f>IF(AD183="*","La amortización incremental es errónea","")</f>
        <v>La amortización incremental es errónea</v>
      </c>
      <c r="AM183" s="326" t="str">
        <f t="shared" si="52"/>
        <v>b</v>
      </c>
    </row>
    <row r="184" spans="1:39" s="324" customFormat="1" ht="0.65" hidden="1" customHeight="1">
      <c r="A184" s="324" t="e">
        <f t="shared" si="33"/>
        <v>#VALUE!</v>
      </c>
      <c r="G184" s="326">
        <v>2021</v>
      </c>
      <c r="H184" s="326"/>
      <c r="I184" s="326"/>
      <c r="J184" s="326"/>
      <c r="K184" s="326"/>
      <c r="L184" s="326"/>
      <c r="M184" s="326"/>
      <c r="N184" s="327"/>
      <c r="O184" s="326"/>
      <c r="P184" s="326" t="e">
        <f>VLOOKUP(P57,$AA$176:$AB$224,2,FALSE)</f>
        <v>#VALUE!</v>
      </c>
      <c r="AA184" s="324">
        <f t="shared" si="46"/>
        <v>9</v>
      </c>
      <c r="AB184" s="326" t="str">
        <f t="shared" si="47"/>
        <v>C</v>
      </c>
      <c r="AC184" s="326" t="str">
        <f t="shared" ref="AC184:AC185" si="54">IF(J6="","b","")</f>
        <v>b</v>
      </c>
      <c r="AD184" s="326" t="str">
        <f t="shared" si="48"/>
        <v>*</v>
      </c>
      <c r="AE184" s="327">
        <f t="shared" si="49"/>
        <v>9</v>
      </c>
      <c r="AF184" s="324" t="e">
        <f t="shared" si="43"/>
        <v>#VALUE!</v>
      </c>
      <c r="AG184" s="328">
        <f>J6</f>
        <v>0</v>
      </c>
      <c r="AH184" s="328" t="e">
        <f t="shared" si="44"/>
        <v>#VALUE!</v>
      </c>
      <c r="AI184" s="324" t="e">
        <f t="shared" si="50"/>
        <v>#VALUE!</v>
      </c>
      <c r="AJ184" s="328" t="e">
        <f t="shared" si="45"/>
        <v>#VALUE!</v>
      </c>
      <c r="AK184" s="328" t="e">
        <f t="shared" si="51"/>
        <v>#VALUE!</v>
      </c>
      <c r="AL184" s="324" t="str">
        <f>IF(AD184="*","La amortización incremental es errónea","")</f>
        <v>La amortización incremental es errónea</v>
      </c>
      <c r="AM184" s="326" t="str">
        <f t="shared" si="52"/>
        <v>b</v>
      </c>
    </row>
    <row r="185" spans="1:39" s="324" customFormat="1" ht="0.65" hidden="1" customHeight="1">
      <c r="A185" s="324" t="e">
        <f t="shared" si="33"/>
        <v>#VALUE!</v>
      </c>
      <c r="G185" s="326">
        <v>2022</v>
      </c>
      <c r="H185" s="326" t="e">
        <f>VLOOKUP(H58,$AA$176:$AB$224,2,FALSE)</f>
        <v>#VALUE!</v>
      </c>
      <c r="I185" s="326" t="e">
        <f t="shared" ref="I185:P185" si="55">VLOOKUP(I58,$AA$176:$AB$224,2,FALSE)</f>
        <v>#VALUE!</v>
      </c>
      <c r="J185" s="326" t="e">
        <f t="shared" si="55"/>
        <v>#VALUE!</v>
      </c>
      <c r="K185" s="326" t="e">
        <f t="shared" si="55"/>
        <v>#VALUE!</v>
      </c>
      <c r="L185" s="326" t="e">
        <f t="shared" si="55"/>
        <v>#VALUE!</v>
      </c>
      <c r="M185" s="326" t="e">
        <f t="shared" si="55"/>
        <v>#VALUE!</v>
      </c>
      <c r="N185" s="327" t="e">
        <f t="shared" si="55"/>
        <v>#VALUE!</v>
      </c>
      <c r="O185" s="326" t="e">
        <f t="shared" si="55"/>
        <v>#VALUE!</v>
      </c>
      <c r="P185" s="326" t="e">
        <f t="shared" si="55"/>
        <v>#VALUE!</v>
      </c>
      <c r="AA185" s="324">
        <f t="shared" si="46"/>
        <v>10</v>
      </c>
      <c r="AB185" s="326" t="str">
        <f t="shared" si="47"/>
        <v>C</v>
      </c>
      <c r="AC185" s="326" t="str">
        <f t="shared" si="54"/>
        <v>b</v>
      </c>
      <c r="AD185" s="326" t="str">
        <f t="shared" si="48"/>
        <v>*</v>
      </c>
      <c r="AE185" s="327">
        <f t="shared" si="49"/>
        <v>10</v>
      </c>
      <c r="AF185" s="324" t="e">
        <f t="shared" si="43"/>
        <v>#VALUE!</v>
      </c>
      <c r="AG185" s="328">
        <f>J7</f>
        <v>0</v>
      </c>
      <c r="AH185" s="328" t="e">
        <f t="shared" si="44"/>
        <v>#VALUE!</v>
      </c>
      <c r="AI185" s="324" t="e">
        <f t="shared" si="50"/>
        <v>#VALUE!</v>
      </c>
      <c r="AJ185" s="328" t="e">
        <f t="shared" si="45"/>
        <v>#VALUE!</v>
      </c>
      <c r="AK185" s="328" t="e">
        <f t="shared" si="51"/>
        <v>#VALUE!</v>
      </c>
      <c r="AL185" s="324" t="str">
        <f>IF(AD185="*","La amortización incremental es errónea","")</f>
        <v>La amortización incremental es errónea</v>
      </c>
      <c r="AM185" s="326" t="str">
        <f t="shared" si="52"/>
        <v>b</v>
      </c>
    </row>
    <row r="186" spans="1:39" s="324" customFormat="1" ht="0.65" hidden="1" customHeight="1">
      <c r="A186" s="324" t="e">
        <f t="shared" si="33"/>
        <v>#VALUE!</v>
      </c>
      <c r="G186" s="326">
        <v>2023</v>
      </c>
      <c r="H186" s="326" t="e">
        <f t="shared" ref="H186:P187" si="56">VLOOKUP(H59,$AA$176:$AB$224,2,FALSE)</f>
        <v>#VALUE!</v>
      </c>
      <c r="I186" s="326" t="e">
        <f t="shared" si="56"/>
        <v>#VALUE!</v>
      </c>
      <c r="J186" s="326" t="e">
        <f t="shared" si="56"/>
        <v>#VALUE!</v>
      </c>
      <c r="K186" s="326" t="e">
        <f t="shared" si="56"/>
        <v>#VALUE!</v>
      </c>
      <c r="L186" s="326" t="e">
        <f t="shared" si="56"/>
        <v>#VALUE!</v>
      </c>
      <c r="M186" s="326" t="e">
        <f t="shared" si="56"/>
        <v>#VALUE!</v>
      </c>
      <c r="N186" s="327" t="e">
        <f t="shared" si="56"/>
        <v>#VALUE!</v>
      </c>
      <c r="O186" s="326" t="e">
        <f t="shared" si="56"/>
        <v>#VALUE!</v>
      </c>
      <c r="P186" s="326" t="e">
        <f t="shared" si="56"/>
        <v>#VALUE!</v>
      </c>
      <c r="AA186" s="324">
        <f t="shared" si="46"/>
        <v>11</v>
      </c>
      <c r="AB186" s="326" t="str">
        <f t="shared" si="47"/>
        <v>C</v>
      </c>
      <c r="AC186" s="326" t="str">
        <f>IF(K5="","b","")</f>
        <v>b</v>
      </c>
      <c r="AD186" s="326" t="str">
        <f t="shared" si="48"/>
        <v>*</v>
      </c>
      <c r="AE186" s="327">
        <f t="shared" si="49"/>
        <v>11</v>
      </c>
      <c r="AF186" s="324" t="e">
        <f t="shared" si="43"/>
        <v>#VALUE!</v>
      </c>
      <c r="AG186" s="328">
        <f>K5</f>
        <v>0</v>
      </c>
      <c r="AH186" s="328" t="e">
        <f t="shared" si="44"/>
        <v>#VALUE!</v>
      </c>
      <c r="AI186" s="324" t="e">
        <f t="shared" si="50"/>
        <v>#VALUE!</v>
      </c>
      <c r="AJ186" s="328">
        <f>AG177-AG180-AG183</f>
        <v>0</v>
      </c>
      <c r="AK186" s="328" t="str">
        <f t="shared" si="51"/>
        <v/>
      </c>
      <c r="AL186" s="324" t="str">
        <f>IF(AD186="*","Deberías haber restado de las ventas incrementales los costes operativos incrementales con desembolso y las amortizaciones","")</f>
        <v>Deberías haber restado de las ventas incrementales los costes operativos incrementales con desembolso y las amortizaciones</v>
      </c>
      <c r="AM186" s="326" t="str">
        <f t="shared" si="52"/>
        <v>b</v>
      </c>
    </row>
    <row r="187" spans="1:39" s="324" customFormat="1" ht="0.65" hidden="1" customHeight="1">
      <c r="A187" s="324" t="e">
        <f t="shared" si="33"/>
        <v>#VALUE!</v>
      </c>
      <c r="G187" s="326">
        <v>2024</v>
      </c>
      <c r="H187" s="326" t="e">
        <f t="shared" si="56"/>
        <v>#VALUE!</v>
      </c>
      <c r="I187" s="326" t="e">
        <f t="shared" si="56"/>
        <v>#VALUE!</v>
      </c>
      <c r="J187" s="326" t="e">
        <f t="shared" si="56"/>
        <v>#VALUE!</v>
      </c>
      <c r="K187" s="326" t="e">
        <f t="shared" si="56"/>
        <v>#VALUE!</v>
      </c>
      <c r="L187" s="326" t="e">
        <f t="shared" si="56"/>
        <v>#VALUE!</v>
      </c>
      <c r="M187" s="326" t="e">
        <f t="shared" si="56"/>
        <v>#VALUE!</v>
      </c>
      <c r="N187" s="327" t="e">
        <f t="shared" si="56"/>
        <v>#VALUE!</v>
      </c>
      <c r="O187" s="326" t="e">
        <f t="shared" si="56"/>
        <v>#VALUE!</v>
      </c>
      <c r="P187" s="326" t="e">
        <f t="shared" si="56"/>
        <v>#VALUE!</v>
      </c>
      <c r="AA187" s="324">
        <f t="shared" si="46"/>
        <v>12</v>
      </c>
      <c r="AB187" s="326" t="str">
        <f t="shared" si="47"/>
        <v>C</v>
      </c>
      <c r="AC187" s="326" t="str">
        <f t="shared" ref="AC187:AC188" si="57">IF(K6="","b","")</f>
        <v>b</v>
      </c>
      <c r="AD187" s="326" t="str">
        <f t="shared" si="48"/>
        <v>*</v>
      </c>
      <c r="AE187" s="327">
        <f t="shared" si="49"/>
        <v>12</v>
      </c>
      <c r="AF187" s="324" t="e">
        <f t="shared" si="43"/>
        <v>#VALUE!</v>
      </c>
      <c r="AG187" s="328">
        <f>K6</f>
        <v>0</v>
      </c>
      <c r="AH187" s="328" t="e">
        <f t="shared" si="44"/>
        <v>#VALUE!</v>
      </c>
      <c r="AI187" s="324" t="e">
        <f t="shared" si="50"/>
        <v>#VALUE!</v>
      </c>
      <c r="AJ187" s="328">
        <f>AG178-AG181-AG184</f>
        <v>0</v>
      </c>
      <c r="AK187" s="328" t="str">
        <f t="shared" si="51"/>
        <v/>
      </c>
      <c r="AL187" s="324" t="str">
        <f>IF(AD187="*","Deberías haber restado de las ventas incrementales los costes operativos incrementales con desembolso y las amortizaciones","")</f>
        <v>Deberías haber restado de las ventas incrementales los costes operativos incrementales con desembolso y las amortizaciones</v>
      </c>
      <c r="AM187" s="326" t="str">
        <f t="shared" si="52"/>
        <v>b</v>
      </c>
    </row>
    <row r="188" spans="1:39" s="324" customFormat="1" ht="0.65" hidden="1" customHeight="1">
      <c r="A188" s="324" t="e">
        <f t="shared" si="33"/>
        <v>#VALUE!</v>
      </c>
      <c r="G188" s="326"/>
      <c r="H188" s="326"/>
      <c r="I188" s="326"/>
      <c r="J188" s="326"/>
      <c r="K188" s="326"/>
      <c r="L188" s="326"/>
      <c r="M188" s="326"/>
      <c r="N188" s="327"/>
      <c r="O188" s="326"/>
      <c r="P188" s="326"/>
      <c r="AA188" s="324">
        <f t="shared" si="46"/>
        <v>13</v>
      </c>
      <c r="AB188" s="326" t="str">
        <f t="shared" si="47"/>
        <v>C</v>
      </c>
      <c r="AC188" s="326" t="str">
        <f t="shared" si="57"/>
        <v>b</v>
      </c>
      <c r="AD188" s="326" t="str">
        <f t="shared" si="48"/>
        <v>*</v>
      </c>
      <c r="AE188" s="327">
        <f t="shared" si="49"/>
        <v>13</v>
      </c>
      <c r="AF188" s="324" t="e">
        <f t="shared" si="43"/>
        <v>#VALUE!</v>
      </c>
      <c r="AG188" s="328">
        <f>K7</f>
        <v>0</v>
      </c>
      <c r="AH188" s="328" t="e">
        <f t="shared" si="44"/>
        <v>#VALUE!</v>
      </c>
      <c r="AI188" s="324" t="e">
        <f t="shared" si="50"/>
        <v>#VALUE!</v>
      </c>
      <c r="AJ188" s="328">
        <f>AG179-AG182-AG185</f>
        <v>0</v>
      </c>
      <c r="AK188" s="328" t="str">
        <f t="shared" si="51"/>
        <v/>
      </c>
      <c r="AL188" s="324" t="str">
        <f>IF(AD188="*","Deberías haber restado de las ventas incrementales los costes operativos incrementales con desembolso y las amortizaciones","")</f>
        <v>Deberías haber restado de las ventas incrementales los costes operativos incrementales con desembolso y las amortizaciones</v>
      </c>
      <c r="AM188" s="326" t="str">
        <f t="shared" si="52"/>
        <v>b</v>
      </c>
    </row>
    <row r="189" spans="1:39" s="324" customFormat="1" ht="0.65" hidden="1" customHeight="1">
      <c r="A189" s="324" t="e">
        <f t="shared" si="33"/>
        <v>#VALUE!</v>
      </c>
      <c r="G189" s="326" t="s">
        <v>0</v>
      </c>
      <c r="H189" s="326" t="s">
        <v>76</v>
      </c>
      <c r="I189" s="326" t="s">
        <v>77</v>
      </c>
      <c r="J189" s="326" t="s">
        <v>78</v>
      </c>
      <c r="K189" s="326" t="s">
        <v>79</v>
      </c>
      <c r="L189" s="326"/>
      <c r="M189" s="326"/>
      <c r="N189" s="327"/>
      <c r="O189" s="326"/>
      <c r="P189" s="326"/>
      <c r="AA189" s="324">
        <f t="shared" si="46"/>
        <v>14</v>
      </c>
      <c r="AB189" s="326" t="str">
        <f t="shared" si="47"/>
        <v>C</v>
      </c>
      <c r="AC189" s="326" t="str">
        <f>IF(L5="","b","")</f>
        <v>b</v>
      </c>
      <c r="AD189" s="326" t="str">
        <f t="shared" si="48"/>
        <v>*</v>
      </c>
      <c r="AE189" s="327">
        <f t="shared" si="49"/>
        <v>14</v>
      </c>
      <c r="AF189" s="324" t="e">
        <f t="shared" si="43"/>
        <v>#VALUE!</v>
      </c>
      <c r="AG189" s="328">
        <f>L5</f>
        <v>0</v>
      </c>
      <c r="AH189" s="328" t="e">
        <f t="shared" si="44"/>
        <v>#VALUE!</v>
      </c>
      <c r="AI189" s="324" t="e">
        <f t="shared" si="50"/>
        <v>#VALUE!</v>
      </c>
      <c r="AJ189" s="328" t="e">
        <f>$D$22*AG186</f>
        <v>#VALUE!</v>
      </c>
      <c r="AK189" s="328" t="e">
        <f t="shared" si="51"/>
        <v>#VALUE!</v>
      </c>
      <c r="AL189" s="324" t="str">
        <f>IF(AD189="*","Deberías haber aplicado el tipo impositivo al BAII incremental del año en cuestión (con su signo)","")</f>
        <v>Deberías haber aplicado el tipo impositivo al BAII incremental del año en cuestión (con su signo)</v>
      </c>
      <c r="AM189" s="326" t="str">
        <f t="shared" si="52"/>
        <v>b</v>
      </c>
    </row>
    <row r="190" spans="1:39" s="324" customFormat="1" ht="0.65" hidden="1" customHeight="1">
      <c r="A190" s="324" t="e">
        <f t="shared" si="33"/>
        <v>#VALUE!</v>
      </c>
      <c r="G190" s="326">
        <v>2021</v>
      </c>
      <c r="H190" s="326"/>
      <c r="I190" s="326"/>
      <c r="J190" s="326"/>
      <c r="K190" s="326"/>
      <c r="L190" s="326"/>
      <c r="M190" s="326" t="s">
        <v>456</v>
      </c>
      <c r="N190" s="327" t="e">
        <f t="shared" ref="N190:N193" si="58">VLOOKUP(N63,$AA$176:$AB$224,2,FALSE)</f>
        <v>#VALUE!</v>
      </c>
      <c r="O190" s="326" t="s">
        <v>124</v>
      </c>
      <c r="P190" s="326" t="e">
        <f t="shared" ref="P190:P192" si="59">VLOOKUP(P63,$AA$176:$AB$224,2,FALSE)</f>
        <v>#VALUE!</v>
      </c>
      <c r="AA190" s="324">
        <f t="shared" si="46"/>
        <v>15</v>
      </c>
      <c r="AB190" s="326" t="str">
        <f t="shared" si="47"/>
        <v>C</v>
      </c>
      <c r="AC190" s="326" t="str">
        <f t="shared" ref="AC190:AC191" si="60">IF(L6="","b","")</f>
        <v>b</v>
      </c>
      <c r="AD190" s="326" t="str">
        <f t="shared" si="48"/>
        <v>*</v>
      </c>
      <c r="AE190" s="327">
        <f t="shared" si="49"/>
        <v>15</v>
      </c>
      <c r="AF190" s="324" t="e">
        <f t="shared" si="43"/>
        <v>#VALUE!</v>
      </c>
      <c r="AG190" s="328">
        <f>L6</f>
        <v>0</v>
      </c>
      <c r="AH190" s="328" t="e">
        <f t="shared" si="44"/>
        <v>#VALUE!</v>
      </c>
      <c r="AI190" s="324" t="e">
        <f t="shared" si="50"/>
        <v>#VALUE!</v>
      </c>
      <c r="AJ190" s="328" t="e">
        <f>$D$22*AG187</f>
        <v>#VALUE!</v>
      </c>
      <c r="AK190" s="328" t="e">
        <f t="shared" si="51"/>
        <v>#VALUE!</v>
      </c>
      <c r="AL190" s="324" t="str">
        <f>IF(AD190="*","Deberías haber aplicado el tipo impositivo al BAII incremental del año en cuestión (con su signo)","")</f>
        <v>Deberías haber aplicado el tipo impositivo al BAII incremental del año en cuestión (con su signo)</v>
      </c>
      <c r="AM190" s="326" t="str">
        <f t="shared" si="52"/>
        <v>b</v>
      </c>
    </row>
    <row r="191" spans="1:39" s="324" customFormat="1" ht="0.65" hidden="1" customHeight="1">
      <c r="A191" s="324" t="e">
        <f t="shared" si="33"/>
        <v>#VALUE!</v>
      </c>
      <c r="G191" s="326">
        <v>2022</v>
      </c>
      <c r="H191" s="326" t="e">
        <f t="shared" ref="H191:K193" si="61">VLOOKUP(H64,$AA$176:$AB$224,2,FALSE)</f>
        <v>#VALUE!</v>
      </c>
      <c r="I191" s="326" t="e">
        <f t="shared" si="61"/>
        <v>#VALUE!</v>
      </c>
      <c r="J191" s="326" t="e">
        <f t="shared" si="61"/>
        <v>#VALUE!</v>
      </c>
      <c r="K191" s="326" t="e">
        <f t="shared" si="61"/>
        <v>#VALUE!</v>
      </c>
      <c r="L191" s="326"/>
      <c r="M191" s="326" t="s">
        <v>457</v>
      </c>
      <c r="N191" s="327" t="e">
        <f t="shared" si="58"/>
        <v>#VALUE!</v>
      </c>
      <c r="O191" s="326" t="s">
        <v>125</v>
      </c>
      <c r="P191" s="326" t="e">
        <f t="shared" si="59"/>
        <v>#VALUE!</v>
      </c>
      <c r="AA191" s="324">
        <f t="shared" si="46"/>
        <v>16</v>
      </c>
      <c r="AB191" s="326" t="str">
        <f t="shared" si="47"/>
        <v>C</v>
      </c>
      <c r="AC191" s="326" t="str">
        <f t="shared" si="60"/>
        <v>b</v>
      </c>
      <c r="AD191" s="326" t="str">
        <f t="shared" si="48"/>
        <v>*</v>
      </c>
      <c r="AE191" s="327">
        <f t="shared" si="49"/>
        <v>16</v>
      </c>
      <c r="AF191" s="324" t="e">
        <f t="shared" si="43"/>
        <v>#VALUE!</v>
      </c>
      <c r="AG191" s="328">
        <f>L7</f>
        <v>0</v>
      </c>
      <c r="AH191" s="328" t="e">
        <f t="shared" si="44"/>
        <v>#VALUE!</v>
      </c>
      <c r="AI191" s="324" t="e">
        <f t="shared" si="50"/>
        <v>#VALUE!</v>
      </c>
      <c r="AJ191" s="328" t="e">
        <f>$D$22*AG188</f>
        <v>#VALUE!</v>
      </c>
      <c r="AK191" s="328" t="e">
        <f t="shared" si="51"/>
        <v>#VALUE!</v>
      </c>
      <c r="AL191" s="324" t="str">
        <f>IF(AD191="*","Deberías haber aplicado el tipo impositivo al BAII incremental del año en cuestión (con su signo)","")</f>
        <v>Deberías haber aplicado el tipo impositivo al BAII incremental del año en cuestión (con su signo)</v>
      </c>
      <c r="AM191" s="326" t="str">
        <f t="shared" si="52"/>
        <v>b</v>
      </c>
    </row>
    <row r="192" spans="1:39" s="324" customFormat="1" ht="0.65" hidden="1" customHeight="1">
      <c r="A192" s="324" t="e">
        <f t="shared" si="33"/>
        <v>#VALUE!</v>
      </c>
      <c r="G192" s="326">
        <v>2023</v>
      </c>
      <c r="H192" s="326" t="e">
        <f t="shared" si="61"/>
        <v>#VALUE!</v>
      </c>
      <c r="I192" s="326" t="e">
        <f t="shared" si="61"/>
        <v>#VALUE!</v>
      </c>
      <c r="J192" s="326" t="e">
        <f t="shared" si="61"/>
        <v>#VALUE!</v>
      </c>
      <c r="K192" s="326" t="e">
        <f t="shared" si="61"/>
        <v>#VALUE!</v>
      </c>
      <c r="L192" s="326"/>
      <c r="M192" s="326" t="s">
        <v>458</v>
      </c>
      <c r="N192" s="327" t="e">
        <f t="shared" si="58"/>
        <v>#VALUE!</v>
      </c>
      <c r="O192" s="326" t="s">
        <v>126</v>
      </c>
      <c r="P192" s="326" t="e">
        <f t="shared" si="59"/>
        <v>#VALUE!</v>
      </c>
      <c r="AA192" s="324">
        <f t="shared" si="46"/>
        <v>17</v>
      </c>
      <c r="AB192" s="326" t="str">
        <f t="shared" si="47"/>
        <v>C</v>
      </c>
      <c r="AC192" s="326" t="str">
        <f>IF(M5="","b","")</f>
        <v>b</v>
      </c>
      <c r="AD192" s="326" t="str">
        <f t="shared" si="48"/>
        <v>*</v>
      </c>
      <c r="AE192" s="327">
        <f t="shared" si="49"/>
        <v>17</v>
      </c>
      <c r="AF192" s="324" t="e">
        <f t="shared" si="43"/>
        <v>#VALUE!</v>
      </c>
      <c r="AG192" s="328">
        <f>M5</f>
        <v>0</v>
      </c>
      <c r="AH192" s="328" t="e">
        <f t="shared" si="44"/>
        <v>#VALUE!</v>
      </c>
      <c r="AI192" s="324" t="e">
        <f t="shared" si="50"/>
        <v>#VALUE!</v>
      </c>
      <c r="AJ192" s="328">
        <f>AG186-AG189</f>
        <v>0</v>
      </c>
      <c r="AK192" s="328" t="str">
        <f t="shared" si="51"/>
        <v/>
      </c>
      <c r="AL192" s="324" t="str">
        <f>IF(AD192="*","Deberías haber restado, con su signo, el aumento de impuestos del incremento de BAII","")</f>
        <v>Deberías haber restado, con su signo, el aumento de impuestos del incremento de BAII</v>
      </c>
      <c r="AM192" s="326" t="str">
        <f t="shared" si="52"/>
        <v>b</v>
      </c>
    </row>
    <row r="193" spans="1:39" s="324" customFormat="1" ht="0.65" hidden="1" customHeight="1">
      <c r="A193" s="324" t="e">
        <f t="shared" si="33"/>
        <v>#VALUE!</v>
      </c>
      <c r="G193" s="326">
        <v>2024</v>
      </c>
      <c r="H193" s="326" t="e">
        <f t="shared" si="61"/>
        <v>#VALUE!</v>
      </c>
      <c r="I193" s="326" t="e">
        <f t="shared" si="61"/>
        <v>#VALUE!</v>
      </c>
      <c r="J193" s="326" t="e">
        <f t="shared" si="61"/>
        <v>#VALUE!</v>
      </c>
      <c r="K193" s="326" t="e">
        <f t="shared" si="61"/>
        <v>#VALUE!</v>
      </c>
      <c r="L193" s="326"/>
      <c r="M193" s="326" t="s">
        <v>459</v>
      </c>
      <c r="N193" s="327" t="e">
        <f t="shared" si="58"/>
        <v>#VALUE!</v>
      </c>
      <c r="O193" s="326"/>
      <c r="P193" s="326"/>
      <c r="AA193" s="324">
        <f t="shared" si="46"/>
        <v>18</v>
      </c>
      <c r="AB193" s="326" t="str">
        <f t="shared" si="47"/>
        <v>C</v>
      </c>
      <c r="AC193" s="326" t="str">
        <f t="shared" ref="AC193:AC194" si="62">IF(M6="","b","")</f>
        <v>b</v>
      </c>
      <c r="AD193" s="326" t="str">
        <f t="shared" si="48"/>
        <v>*</v>
      </c>
      <c r="AE193" s="327">
        <f t="shared" si="49"/>
        <v>18</v>
      </c>
      <c r="AF193" s="324" t="e">
        <f t="shared" si="43"/>
        <v>#VALUE!</v>
      </c>
      <c r="AG193" s="328">
        <f>M6</f>
        <v>0</v>
      </c>
      <c r="AH193" s="328" t="e">
        <f t="shared" si="44"/>
        <v>#VALUE!</v>
      </c>
      <c r="AI193" s="324" t="e">
        <f t="shared" si="50"/>
        <v>#VALUE!</v>
      </c>
      <c r="AJ193" s="328">
        <f>AG187-AG190</f>
        <v>0</v>
      </c>
      <c r="AK193" s="328" t="str">
        <f t="shared" si="51"/>
        <v/>
      </c>
      <c r="AL193" s="324" t="str">
        <f>IF(AD193="*","Deberías haber restado, con su signo, el aumento de impuestos del incremento de BAII","")</f>
        <v>Deberías haber restado, con su signo, el aumento de impuestos del incremento de BAII</v>
      </c>
      <c r="AM193" s="326" t="str">
        <f t="shared" si="52"/>
        <v>b</v>
      </c>
    </row>
    <row r="194" spans="1:39" s="324" customFormat="1" ht="0.65" hidden="1" customHeight="1">
      <c r="A194" s="324" t="e">
        <f t="shared" si="33"/>
        <v>#VALUE!</v>
      </c>
      <c r="G194" s="326"/>
      <c r="H194" s="326"/>
      <c r="I194" s="326"/>
      <c r="J194" s="326"/>
      <c r="K194" s="326"/>
      <c r="L194" s="326"/>
      <c r="M194" s="326"/>
      <c r="N194" s="327"/>
      <c r="O194" s="326"/>
      <c r="P194" s="326"/>
      <c r="AA194" s="324">
        <f t="shared" si="46"/>
        <v>19</v>
      </c>
      <c r="AB194" s="326" t="str">
        <f t="shared" si="47"/>
        <v>C</v>
      </c>
      <c r="AC194" s="326" t="str">
        <f t="shared" si="62"/>
        <v>b</v>
      </c>
      <c r="AD194" s="326" t="str">
        <f t="shared" si="48"/>
        <v>*</v>
      </c>
      <c r="AE194" s="327">
        <f t="shared" si="49"/>
        <v>19</v>
      </c>
      <c r="AF194" s="324" t="e">
        <f t="shared" si="43"/>
        <v>#VALUE!</v>
      </c>
      <c r="AG194" s="328">
        <f>M7</f>
        <v>0</v>
      </c>
      <c r="AH194" s="328" t="e">
        <f t="shared" si="44"/>
        <v>#VALUE!</v>
      </c>
      <c r="AI194" s="324" t="e">
        <f t="shared" si="50"/>
        <v>#VALUE!</v>
      </c>
      <c r="AJ194" s="328">
        <f>AG188-AG191</f>
        <v>0</v>
      </c>
      <c r="AK194" s="328" t="str">
        <f t="shared" si="51"/>
        <v/>
      </c>
      <c r="AL194" s="324" t="str">
        <f>IF(AD194="*","Deberías haber restado, con su signo, el aumento de impuestos del incremento de BAII","")</f>
        <v>Deberías haber restado, con su signo, el aumento de impuestos del incremento de BAII</v>
      </c>
      <c r="AM194" s="326" t="str">
        <f t="shared" si="52"/>
        <v>b</v>
      </c>
    </row>
    <row r="195" spans="1:39" s="324" customFormat="1" ht="0.65" hidden="1" customHeight="1">
      <c r="A195" s="324" t="e">
        <f t="shared" si="33"/>
        <v>#VALUE!</v>
      </c>
      <c r="G195" s="326"/>
      <c r="H195" s="326"/>
      <c r="I195" s="326"/>
      <c r="J195" s="326"/>
      <c r="K195" s="326"/>
      <c r="L195" s="326"/>
      <c r="M195" s="326"/>
      <c r="N195" s="327"/>
      <c r="O195" s="326" t="s">
        <v>13</v>
      </c>
      <c r="P195" s="326" t="e">
        <f t="shared" ref="P195:P196" si="63">VLOOKUP(P68,$AA$176:$AB$224,2,FALSE)</f>
        <v>#VALUE!</v>
      </c>
      <c r="AA195" s="324">
        <f t="shared" si="46"/>
        <v>20</v>
      </c>
      <c r="AB195" s="326" t="str">
        <f t="shared" si="47"/>
        <v>C</v>
      </c>
      <c r="AC195" s="326" t="str">
        <f>IF(N5="","b","")</f>
        <v>b</v>
      </c>
      <c r="AD195" s="326" t="str">
        <f t="shared" si="48"/>
        <v>*</v>
      </c>
      <c r="AE195" s="327">
        <f t="shared" si="49"/>
        <v>20</v>
      </c>
      <c r="AF195" s="324" t="e">
        <f t="shared" si="43"/>
        <v>#VALUE!</v>
      </c>
      <c r="AG195" s="328">
        <f>N5</f>
        <v>0</v>
      </c>
      <c r="AH195" s="328" t="e">
        <f t="shared" si="44"/>
        <v>#VALUE!</v>
      </c>
      <c r="AI195" s="324" t="e">
        <f t="shared" si="50"/>
        <v>#VALUE!</v>
      </c>
      <c r="AJ195" s="328">
        <f>AG192+AG183</f>
        <v>0</v>
      </c>
      <c r="AK195" s="328" t="str">
        <f t="shared" si="51"/>
        <v/>
      </c>
      <c r="AL195" s="324" t="str">
        <f>IF(AD195="*","Deberías haber sumado, con su signo, la amortización incremental al incremento de BAIdI","")</f>
        <v>Deberías haber sumado, con su signo, la amortización incremental al incremento de BAIdI</v>
      </c>
      <c r="AM195" s="326" t="str">
        <f t="shared" si="52"/>
        <v>b</v>
      </c>
    </row>
    <row r="196" spans="1:39" s="324" customFormat="1" ht="0.65" hidden="1" customHeight="1">
      <c r="A196" s="324" t="e">
        <f t="shared" si="33"/>
        <v>#VALUE!</v>
      </c>
      <c r="G196" s="326"/>
      <c r="H196" s="326"/>
      <c r="I196" s="326"/>
      <c r="J196" s="326"/>
      <c r="K196" s="326"/>
      <c r="L196" s="326"/>
      <c r="M196" s="326"/>
      <c r="N196" s="326"/>
      <c r="O196" s="326" t="s">
        <v>28</v>
      </c>
      <c r="P196" s="326" t="e">
        <f t="shared" si="63"/>
        <v>#VALUE!</v>
      </c>
      <c r="AA196" s="324">
        <f t="shared" si="46"/>
        <v>21</v>
      </c>
      <c r="AB196" s="326" t="str">
        <f t="shared" si="47"/>
        <v>C</v>
      </c>
      <c r="AC196" s="326" t="str">
        <f t="shared" ref="AC196:AC197" si="64">IF(N6="","b","")</f>
        <v>b</v>
      </c>
      <c r="AD196" s="326" t="str">
        <f t="shared" si="48"/>
        <v>*</v>
      </c>
      <c r="AE196" s="327">
        <f t="shared" si="49"/>
        <v>21</v>
      </c>
      <c r="AF196" s="324" t="e">
        <f t="shared" si="43"/>
        <v>#VALUE!</v>
      </c>
      <c r="AG196" s="328">
        <f>N6</f>
        <v>0</v>
      </c>
      <c r="AH196" s="328" t="e">
        <f t="shared" si="44"/>
        <v>#VALUE!</v>
      </c>
      <c r="AI196" s="324" t="e">
        <f t="shared" si="50"/>
        <v>#VALUE!</v>
      </c>
      <c r="AJ196" s="328">
        <f>AG193+AG184</f>
        <v>0</v>
      </c>
      <c r="AK196" s="328" t="str">
        <f t="shared" si="51"/>
        <v/>
      </c>
      <c r="AL196" s="324" t="str">
        <f>IF(AD196="*","Deberías haber sumado, con su signo, la amortización incremental al incremento de BAIdI","")</f>
        <v>Deberías haber sumado, con su signo, la amortización incremental al incremento de BAIdI</v>
      </c>
      <c r="AM196" s="326" t="str">
        <f t="shared" si="52"/>
        <v>b</v>
      </c>
    </row>
    <row r="197" spans="1:39" s="324" customFormat="1" ht="0.65" hidden="1" customHeight="1">
      <c r="A197" s="324" t="e">
        <f t="shared" ref="A197:A225" si="65">1+A196</f>
        <v>#VALUE!</v>
      </c>
      <c r="G197" s="326"/>
      <c r="H197" s="326"/>
      <c r="I197" s="326"/>
      <c r="J197" s="326"/>
      <c r="K197" s="326"/>
      <c r="L197" s="326"/>
      <c r="M197" s="326"/>
      <c r="N197" s="326"/>
      <c r="O197" s="326" t="s">
        <v>29</v>
      </c>
      <c r="P197" s="326"/>
      <c r="AA197" s="324">
        <f t="shared" si="46"/>
        <v>22</v>
      </c>
      <c r="AB197" s="326" t="str">
        <f t="shared" si="47"/>
        <v>C</v>
      </c>
      <c r="AC197" s="326" t="str">
        <f t="shared" si="64"/>
        <v>b</v>
      </c>
      <c r="AD197" s="326" t="str">
        <f t="shared" si="48"/>
        <v>*</v>
      </c>
      <c r="AE197" s="327">
        <f t="shared" si="49"/>
        <v>22</v>
      </c>
      <c r="AF197" s="324" t="e">
        <f t="shared" si="43"/>
        <v>#VALUE!</v>
      </c>
      <c r="AG197" s="328">
        <f>N7</f>
        <v>0</v>
      </c>
      <c r="AH197" s="328" t="e">
        <f t="shared" si="44"/>
        <v>#VALUE!</v>
      </c>
      <c r="AI197" s="324" t="e">
        <f t="shared" si="50"/>
        <v>#VALUE!</v>
      </c>
      <c r="AJ197" s="328">
        <f>AG194+AG185</f>
        <v>0</v>
      </c>
      <c r="AK197" s="328" t="str">
        <f t="shared" si="51"/>
        <v/>
      </c>
      <c r="AL197" s="324" t="str">
        <f>IF(AD197="*","Deberías haber sumado, con su signo, la amortización incremental al incremento de BAIdI","")</f>
        <v>Deberías haber sumado, con su signo, la amortización incremental al incremento de BAIdI</v>
      </c>
      <c r="AM197" s="326" t="str">
        <f t="shared" si="52"/>
        <v>b</v>
      </c>
    </row>
    <row r="198" spans="1:39" s="324" customFormat="1" ht="0.65" hidden="1" customHeight="1">
      <c r="A198" s="324" t="e">
        <f t="shared" si="65"/>
        <v>#VALUE!</v>
      </c>
      <c r="G198" s="326"/>
      <c r="H198" s="326"/>
      <c r="I198" s="326"/>
      <c r="J198" s="326"/>
      <c r="K198" s="326"/>
      <c r="L198" s="326"/>
      <c r="M198" s="326"/>
      <c r="N198" s="326"/>
      <c r="O198" s="326" t="s">
        <v>30</v>
      </c>
      <c r="P198" s="326"/>
      <c r="AA198" s="324">
        <f t="shared" si="46"/>
        <v>23</v>
      </c>
      <c r="AB198" s="326" t="str">
        <f t="shared" si="47"/>
        <v>C</v>
      </c>
      <c r="AC198" s="326" t="str">
        <f>IF(H11="","b","")</f>
        <v>b</v>
      </c>
      <c r="AD198" s="326" t="str">
        <f t="shared" si="48"/>
        <v>*</v>
      </c>
      <c r="AE198" s="327">
        <f t="shared" si="49"/>
        <v>23</v>
      </c>
      <c r="AF198" s="324" t="e">
        <f t="shared" si="43"/>
        <v>#VALUE!</v>
      </c>
      <c r="AG198" s="328">
        <f>H11</f>
        <v>0</v>
      </c>
      <c r="AH198" s="328" t="e">
        <f t="shared" si="44"/>
        <v>#VALUE!</v>
      </c>
      <c r="AI198" s="324" t="e">
        <f t="shared" si="50"/>
        <v>#VALUE!</v>
      </c>
      <c r="AJ198" s="328" t="e">
        <f>AG177/360*$D$13</f>
        <v>#VALUE!</v>
      </c>
      <c r="AK198" s="328" t="e">
        <f t="shared" si="51"/>
        <v>#VALUE!</v>
      </c>
      <c r="AL198" s="324" t="e">
        <f>IF(AD198="*",CONCATENATE("Deberías haber dividido las ventas incrementales entre 360 y multiplicado el resultado por el número de días de plazo de cobro (",$D$13," días)"),"")</f>
        <v>#VALUE!</v>
      </c>
      <c r="AM198" s="326" t="str">
        <f t="shared" si="52"/>
        <v>b</v>
      </c>
    </row>
    <row r="199" spans="1:39" s="324" customFormat="1" ht="0.65" hidden="1" customHeight="1">
      <c r="A199" s="324" t="e">
        <f t="shared" si="65"/>
        <v>#VALUE!</v>
      </c>
      <c r="AA199" s="324">
        <f t="shared" si="46"/>
        <v>24</v>
      </c>
      <c r="AB199" s="326" t="str">
        <f t="shared" si="47"/>
        <v>C</v>
      </c>
      <c r="AC199" s="326" t="str">
        <f t="shared" ref="AC199:AC200" si="66">IF(H12="","b","")</f>
        <v>b</v>
      </c>
      <c r="AD199" s="326" t="str">
        <f t="shared" si="48"/>
        <v>*</v>
      </c>
      <c r="AE199" s="327">
        <f t="shared" si="49"/>
        <v>24</v>
      </c>
      <c r="AF199" s="324" t="e">
        <f t="shared" si="43"/>
        <v>#VALUE!</v>
      </c>
      <c r="AG199" s="328">
        <f>H12</f>
        <v>0</v>
      </c>
      <c r="AH199" s="328" t="e">
        <f t="shared" si="44"/>
        <v>#VALUE!</v>
      </c>
      <c r="AI199" s="324" t="e">
        <f t="shared" si="50"/>
        <v>#VALUE!</v>
      </c>
      <c r="AJ199" s="328" t="e">
        <f>AG178/360*$D$13</f>
        <v>#VALUE!</v>
      </c>
      <c r="AK199" s="328" t="e">
        <f t="shared" si="51"/>
        <v>#VALUE!</v>
      </c>
      <c r="AL199" s="324" t="e">
        <f>IF(AD199="*",CONCATENATE("Deberías haber dividido las ventas incrementales entre 360 y multiplicado el resultado por el número de días de plazo de cobro (",$D$13," días)"),"")</f>
        <v>#VALUE!</v>
      </c>
      <c r="AM199" s="326" t="str">
        <f t="shared" si="52"/>
        <v>b</v>
      </c>
    </row>
    <row r="200" spans="1:39" s="324" customFormat="1" ht="0.65" hidden="1" customHeight="1">
      <c r="A200" s="324" t="e">
        <f t="shared" si="65"/>
        <v>#VALUE!</v>
      </c>
      <c r="AA200" s="324">
        <f t="shared" si="46"/>
        <v>25</v>
      </c>
      <c r="AB200" s="326" t="str">
        <f t="shared" si="47"/>
        <v>C</v>
      </c>
      <c r="AC200" s="326" t="str">
        <f t="shared" si="66"/>
        <v>b</v>
      </c>
      <c r="AD200" s="326" t="str">
        <f t="shared" si="48"/>
        <v>*</v>
      </c>
      <c r="AE200" s="327">
        <f t="shared" si="49"/>
        <v>25</v>
      </c>
      <c r="AF200" s="324" t="e">
        <f t="shared" si="43"/>
        <v>#VALUE!</v>
      </c>
      <c r="AG200" s="328">
        <f>H13</f>
        <v>0</v>
      </c>
      <c r="AH200" s="328" t="e">
        <f t="shared" si="44"/>
        <v>#VALUE!</v>
      </c>
      <c r="AI200" s="324" t="e">
        <f t="shared" si="50"/>
        <v>#VALUE!</v>
      </c>
      <c r="AJ200" s="328" t="e">
        <f>AG179/360*$D$13</f>
        <v>#VALUE!</v>
      </c>
      <c r="AK200" s="328" t="e">
        <f t="shared" si="51"/>
        <v>#VALUE!</v>
      </c>
      <c r="AL200" s="324" t="e">
        <f>IF(AD200="*",CONCATENATE("Deberías haber dividido las ventas incrementales entre 360 y multiplicado el resultado por el número de días de plazo de cobro (",$D$13," días)"),"")</f>
        <v>#VALUE!</v>
      </c>
      <c r="AM200" s="326" t="str">
        <f t="shared" si="52"/>
        <v>b</v>
      </c>
    </row>
    <row r="201" spans="1:39" s="324" customFormat="1" ht="0.65" hidden="1" customHeight="1">
      <c r="A201" s="324" t="e">
        <f t="shared" si="65"/>
        <v>#VALUE!</v>
      </c>
      <c r="AA201" s="324">
        <f t="shared" si="46"/>
        <v>26</v>
      </c>
      <c r="AB201" s="326" t="str">
        <f t="shared" si="47"/>
        <v>C</v>
      </c>
      <c r="AC201" s="326" t="str">
        <f>IF(I11="","b","")</f>
        <v>b</v>
      </c>
      <c r="AD201" s="326" t="str">
        <f t="shared" si="48"/>
        <v>*</v>
      </c>
      <c r="AE201" s="327">
        <f t="shared" si="49"/>
        <v>26</v>
      </c>
      <c r="AF201" s="324" t="e">
        <f t="shared" si="43"/>
        <v>#VALUE!</v>
      </c>
      <c r="AG201" s="328">
        <f>I11</f>
        <v>0</v>
      </c>
      <c r="AH201" s="328" t="e">
        <f t="shared" si="44"/>
        <v>#VALUE!</v>
      </c>
      <c r="AI201" s="324" t="e">
        <f t="shared" si="50"/>
        <v>#VALUE!</v>
      </c>
      <c r="AJ201" s="328" t="e">
        <f>AG180/360*$D$14</f>
        <v>#VALUE!</v>
      </c>
      <c r="AK201" s="328" t="e">
        <f t="shared" si="51"/>
        <v>#VALUE!</v>
      </c>
      <c r="AL201" s="324" t="e">
        <f>IF(AD201="*",CONCATENATE("Deberías haber dividido los costes operativos incrementales con desembolso entre 360 y multiplicado el resultado por el número de días de plazo de pago (",$D$14," días)"),"")</f>
        <v>#VALUE!</v>
      </c>
      <c r="AM201" s="326" t="str">
        <f t="shared" si="52"/>
        <v>b</v>
      </c>
    </row>
    <row r="202" spans="1:39" s="324" customFormat="1" ht="0.65" hidden="1" customHeight="1">
      <c r="A202" s="324" t="e">
        <f t="shared" si="65"/>
        <v>#VALUE!</v>
      </c>
      <c r="AA202" s="324">
        <f t="shared" si="46"/>
        <v>27</v>
      </c>
      <c r="AB202" s="326" t="str">
        <f t="shared" si="47"/>
        <v>C</v>
      </c>
      <c r="AC202" s="326" t="str">
        <f t="shared" ref="AC202:AC203" si="67">IF(I12="","b","")</f>
        <v>b</v>
      </c>
      <c r="AD202" s="326" t="str">
        <f t="shared" si="48"/>
        <v>*</v>
      </c>
      <c r="AE202" s="327">
        <f t="shared" si="49"/>
        <v>27</v>
      </c>
      <c r="AF202" s="324" t="e">
        <f t="shared" si="43"/>
        <v>#VALUE!</v>
      </c>
      <c r="AG202" s="328">
        <f>I12</f>
        <v>0</v>
      </c>
      <c r="AH202" s="328" t="e">
        <f t="shared" si="44"/>
        <v>#VALUE!</v>
      </c>
      <c r="AI202" s="324" t="e">
        <f t="shared" si="50"/>
        <v>#VALUE!</v>
      </c>
      <c r="AJ202" s="328" t="e">
        <f>AG181/360*$D$14</f>
        <v>#VALUE!</v>
      </c>
      <c r="AK202" s="328" t="e">
        <f t="shared" si="51"/>
        <v>#VALUE!</v>
      </c>
      <c r="AL202" s="324" t="e">
        <f>IF(AD202="*",CONCATENATE("Deberías haber dividido los costes operativos incrementales con desembolso entre 360 y multiplicado el resultado por el número de días de plazo de pago (",$D$14," días)"),"")</f>
        <v>#VALUE!</v>
      </c>
      <c r="AM202" s="326" t="str">
        <f t="shared" si="52"/>
        <v>b</v>
      </c>
    </row>
    <row r="203" spans="1:39" s="324" customFormat="1" ht="0.65" hidden="1" customHeight="1">
      <c r="A203" s="324" t="e">
        <f t="shared" si="65"/>
        <v>#VALUE!</v>
      </c>
      <c r="AA203" s="324">
        <f t="shared" si="46"/>
        <v>28</v>
      </c>
      <c r="AB203" s="326" t="str">
        <f t="shared" si="47"/>
        <v>C</v>
      </c>
      <c r="AC203" s="326" t="str">
        <f t="shared" si="67"/>
        <v>b</v>
      </c>
      <c r="AD203" s="326" t="str">
        <f t="shared" si="48"/>
        <v>*</v>
      </c>
      <c r="AE203" s="327">
        <f t="shared" si="49"/>
        <v>28</v>
      </c>
      <c r="AF203" s="324" t="e">
        <f t="shared" si="43"/>
        <v>#VALUE!</v>
      </c>
      <c r="AG203" s="328">
        <f>I13</f>
        <v>0</v>
      </c>
      <c r="AH203" s="328" t="e">
        <f t="shared" si="44"/>
        <v>#VALUE!</v>
      </c>
      <c r="AI203" s="324" t="e">
        <f t="shared" si="50"/>
        <v>#VALUE!</v>
      </c>
      <c r="AJ203" s="328" t="e">
        <f>AG182/360*$D$14</f>
        <v>#VALUE!</v>
      </c>
      <c r="AK203" s="328" t="e">
        <f t="shared" si="51"/>
        <v>#VALUE!</v>
      </c>
      <c r="AL203" s="324" t="e">
        <f>IF(AD203="*",CONCATENATE("Deberías haber dividido los costes operativos incrementales con desembolso entre 360 y multiplicado el resultado por el número de días de plazo de pago (",$D$14," días)"),"")</f>
        <v>#VALUE!</v>
      </c>
      <c r="AM203" s="326" t="str">
        <f t="shared" si="52"/>
        <v>b</v>
      </c>
    </row>
    <row r="204" spans="1:39" s="324" customFormat="1" ht="0.65" hidden="1" customHeight="1">
      <c r="A204" s="324" t="e">
        <f t="shared" si="65"/>
        <v>#VALUE!</v>
      </c>
      <c r="AA204" s="324">
        <f t="shared" si="46"/>
        <v>29</v>
      </c>
      <c r="AB204" s="326" t="str">
        <f t="shared" si="47"/>
        <v>C</v>
      </c>
      <c r="AC204" s="326" t="str">
        <f>IF(J11="","b","")</f>
        <v>b</v>
      </c>
      <c r="AD204" s="326" t="str">
        <f t="shared" si="48"/>
        <v>*</v>
      </c>
      <c r="AE204" s="327">
        <f t="shared" si="49"/>
        <v>29</v>
      </c>
      <c r="AF204" s="324" t="e">
        <f t="shared" si="43"/>
        <v>#VALUE!</v>
      </c>
      <c r="AG204" s="328">
        <f>J11</f>
        <v>0</v>
      </c>
      <c r="AH204" s="328" t="e">
        <f t="shared" si="44"/>
        <v>#VALUE!</v>
      </c>
      <c r="AI204" s="324" t="e">
        <f t="shared" si="50"/>
        <v>#VALUE!</v>
      </c>
      <c r="AJ204" s="328">
        <f>AG198-AG201</f>
        <v>0</v>
      </c>
      <c r="AK204" s="328" t="str">
        <f t="shared" si="51"/>
        <v/>
      </c>
      <c r="AL204" s="324" t="str">
        <f>IF(AD204="*","Deberías haber restado, son su signo, el incremento de Proveedores del aumento de Clientes","")</f>
        <v>Deberías haber restado, son su signo, el incremento de Proveedores del aumento de Clientes</v>
      </c>
      <c r="AM204" s="326" t="str">
        <f t="shared" si="52"/>
        <v>b</v>
      </c>
    </row>
    <row r="205" spans="1:39" s="324" customFormat="1" ht="0.65" hidden="1" customHeight="1">
      <c r="A205" s="324" t="e">
        <f t="shared" si="65"/>
        <v>#VALUE!</v>
      </c>
      <c r="AA205" s="324">
        <f t="shared" si="46"/>
        <v>30</v>
      </c>
      <c r="AB205" s="326" t="str">
        <f t="shared" si="47"/>
        <v>C</v>
      </c>
      <c r="AC205" s="326" t="str">
        <f t="shared" ref="AC205:AC206" si="68">IF(J12="","b","")</f>
        <v>b</v>
      </c>
      <c r="AD205" s="326" t="str">
        <f t="shared" si="48"/>
        <v>*</v>
      </c>
      <c r="AE205" s="327">
        <f t="shared" si="49"/>
        <v>30</v>
      </c>
      <c r="AF205" s="324" t="e">
        <f t="shared" si="43"/>
        <v>#VALUE!</v>
      </c>
      <c r="AG205" s="328">
        <f>J12</f>
        <v>0</v>
      </c>
      <c r="AH205" s="328" t="e">
        <f t="shared" si="44"/>
        <v>#VALUE!</v>
      </c>
      <c r="AI205" s="324" t="e">
        <f t="shared" si="50"/>
        <v>#VALUE!</v>
      </c>
      <c r="AJ205" s="328">
        <f>AG199-AG202</f>
        <v>0</v>
      </c>
      <c r="AK205" s="328" t="str">
        <f t="shared" si="51"/>
        <v/>
      </c>
      <c r="AL205" s="324" t="str">
        <f>IF(AD205="*","Deberías haber restado, son su signo, el incremento de Proveedores del aumento de Clientes","")</f>
        <v>Deberías haber restado, son su signo, el incremento de Proveedores del aumento de Clientes</v>
      </c>
      <c r="AM205" s="326" t="str">
        <f t="shared" si="52"/>
        <v>b</v>
      </c>
    </row>
    <row r="206" spans="1:39" s="324" customFormat="1" ht="0.65" hidden="1" customHeight="1">
      <c r="A206" s="324" t="e">
        <f t="shared" si="65"/>
        <v>#VALUE!</v>
      </c>
      <c r="AA206" s="324">
        <f t="shared" si="46"/>
        <v>31</v>
      </c>
      <c r="AB206" s="326" t="str">
        <f t="shared" si="47"/>
        <v>C</v>
      </c>
      <c r="AC206" s="326" t="str">
        <f t="shared" si="68"/>
        <v>b</v>
      </c>
      <c r="AD206" s="326" t="str">
        <f t="shared" si="48"/>
        <v>*</v>
      </c>
      <c r="AE206" s="327">
        <f t="shared" si="49"/>
        <v>31</v>
      </c>
      <c r="AF206" s="324" t="e">
        <f t="shared" si="43"/>
        <v>#VALUE!</v>
      </c>
      <c r="AG206" s="328">
        <f>J13</f>
        <v>0</v>
      </c>
      <c r="AH206" s="328" t="e">
        <f t="shared" si="44"/>
        <v>#VALUE!</v>
      </c>
      <c r="AI206" s="324" t="e">
        <f t="shared" si="50"/>
        <v>#VALUE!</v>
      </c>
      <c r="AJ206" s="328">
        <f>AG200-AG203</f>
        <v>0</v>
      </c>
      <c r="AK206" s="328" t="str">
        <f t="shared" si="51"/>
        <v/>
      </c>
      <c r="AL206" s="324" t="str">
        <f>IF(AD206="*","Deberías haber restado, son su signo, el incremento de Proveedores del aumento de Clientes","")</f>
        <v>Deberías haber restado, son su signo, el incremento de Proveedores del aumento de Clientes</v>
      </c>
      <c r="AM206" s="326" t="str">
        <f t="shared" si="52"/>
        <v>b</v>
      </c>
    </row>
    <row r="207" spans="1:39" s="324" customFormat="1" ht="0.65" hidden="1" customHeight="1">
      <c r="A207" s="324" t="e">
        <f t="shared" si="65"/>
        <v>#VALUE!</v>
      </c>
      <c r="AA207" s="324">
        <f t="shared" si="46"/>
        <v>32</v>
      </c>
      <c r="AB207" s="326" t="str">
        <f t="shared" si="47"/>
        <v>C</v>
      </c>
      <c r="AC207" s="326" t="str">
        <f>IF(K11="","b","")</f>
        <v>b</v>
      </c>
      <c r="AD207" s="326" t="str">
        <f t="shared" si="48"/>
        <v>*</v>
      </c>
      <c r="AE207" s="327">
        <f t="shared" si="49"/>
        <v>32</v>
      </c>
      <c r="AF207" s="324" t="e">
        <f t="shared" si="43"/>
        <v>#VALUE!</v>
      </c>
      <c r="AG207" s="328">
        <f>K11</f>
        <v>0</v>
      </c>
      <c r="AH207" s="328" t="e">
        <f t="shared" si="44"/>
        <v>#VALUE!</v>
      </c>
      <c r="AI207" s="324" t="e">
        <f t="shared" si="50"/>
        <v>#VALUE!</v>
      </c>
      <c r="AJ207" s="328">
        <f>AG204</f>
        <v>0</v>
      </c>
      <c r="AK207" s="328" t="str">
        <f t="shared" si="51"/>
        <v/>
      </c>
      <c r="AL207" s="324" t="str">
        <f>IF(AD207="*","La inversión en fondo de maniobra del primer año debería coincidir con el saldo que aporta el proyecto, ya que en el desembolso inicial no hay inversión en dicho concepto (FM)","")</f>
        <v>La inversión en fondo de maniobra del primer año debería coincidir con el saldo que aporta el proyecto, ya que en el desembolso inicial no hay inversión en dicho concepto (FM)</v>
      </c>
      <c r="AM207" s="326" t="str">
        <f t="shared" si="52"/>
        <v>b</v>
      </c>
    </row>
    <row r="208" spans="1:39" s="324" customFormat="1" ht="0.65" hidden="1" customHeight="1">
      <c r="A208" s="324" t="e">
        <f t="shared" si="65"/>
        <v>#VALUE!</v>
      </c>
      <c r="AA208" s="324">
        <f t="shared" si="46"/>
        <v>33</v>
      </c>
      <c r="AB208" s="326" t="str">
        <f t="shared" si="47"/>
        <v>C</v>
      </c>
      <c r="AC208" s="326" t="str">
        <f t="shared" ref="AC208:AC209" si="69">IF(K12="","b","")</f>
        <v>b</v>
      </c>
      <c r="AD208" s="326" t="str">
        <f t="shared" si="48"/>
        <v>*</v>
      </c>
      <c r="AE208" s="327">
        <f t="shared" si="49"/>
        <v>33</v>
      </c>
      <c r="AF208" s="324" t="e">
        <f t="shared" si="43"/>
        <v>#VALUE!</v>
      </c>
      <c r="AG208" s="328">
        <f>K12</f>
        <v>0</v>
      </c>
      <c r="AH208" s="328" t="e">
        <f t="shared" si="44"/>
        <v>#VALUE!</v>
      </c>
      <c r="AI208" s="324" t="e">
        <f t="shared" si="50"/>
        <v>#VALUE!</v>
      </c>
      <c r="AJ208" s="328">
        <f>AG205-AG204</f>
        <v>0</v>
      </c>
      <c r="AK208" s="328" t="str">
        <f t="shared" si="51"/>
        <v/>
      </c>
      <c r="AL208" s="324" t="str">
        <f>IF(AD208="*","Deberías haber restado del saldo de fondo de maniobra que aporta el proyecto en este año el que aportó el año anterior","")</f>
        <v>Deberías haber restado del saldo de fondo de maniobra que aporta el proyecto en este año el que aportó el año anterior</v>
      </c>
      <c r="AM208" s="326" t="str">
        <f t="shared" si="52"/>
        <v>b</v>
      </c>
    </row>
    <row r="209" spans="1:39" s="324" customFormat="1" ht="0.65" hidden="1" customHeight="1">
      <c r="A209" s="324" t="e">
        <f t="shared" si="65"/>
        <v>#VALUE!</v>
      </c>
      <c r="AA209" s="324">
        <f t="shared" si="46"/>
        <v>34</v>
      </c>
      <c r="AB209" s="326" t="str">
        <f t="shared" si="47"/>
        <v>C</v>
      </c>
      <c r="AC209" s="326" t="str">
        <f t="shared" si="69"/>
        <v>b</v>
      </c>
      <c r="AD209" s="326" t="str">
        <f t="shared" si="48"/>
        <v>*</v>
      </c>
      <c r="AE209" s="327">
        <f t="shared" si="49"/>
        <v>34</v>
      </c>
      <c r="AF209" s="324" t="e">
        <f t="shared" si="43"/>
        <v>#VALUE!</v>
      </c>
      <c r="AG209" s="328">
        <f>K13</f>
        <v>0</v>
      </c>
      <c r="AH209" s="328" t="e">
        <f t="shared" si="44"/>
        <v>#VALUE!</v>
      </c>
      <c r="AI209" s="324" t="e">
        <f t="shared" si="50"/>
        <v>#VALUE!</v>
      </c>
      <c r="AJ209" s="328">
        <f>AG206-AG205</f>
        <v>0</v>
      </c>
      <c r="AK209" s="328" t="str">
        <f t="shared" si="51"/>
        <v/>
      </c>
      <c r="AL209" s="324" t="str">
        <f>IF(AD209="*","Deberías haber restado del saldo de fondo de maniobra que aporta el proyecto en este año el que aportó el año anterior","")</f>
        <v>Deberías haber restado del saldo de fondo de maniobra que aporta el proyecto en este año el que aportó el año anterior</v>
      </c>
      <c r="AM209" s="326" t="str">
        <f t="shared" si="52"/>
        <v>b</v>
      </c>
    </row>
    <row r="210" spans="1:39" s="324" customFormat="1" ht="0.65" hidden="1" customHeight="1">
      <c r="A210" s="324" t="e">
        <f t="shared" si="65"/>
        <v>#VALUE!</v>
      </c>
      <c r="AA210" s="324">
        <f t="shared" si="46"/>
        <v>35</v>
      </c>
      <c r="AB210" s="326" t="str">
        <f t="shared" si="47"/>
        <v>C</v>
      </c>
      <c r="AC210" s="326" t="str">
        <f>IF(O5="","b","")</f>
        <v>b</v>
      </c>
      <c r="AD210" s="326" t="str">
        <f t="shared" si="48"/>
        <v>*</v>
      </c>
      <c r="AE210" s="327">
        <f t="shared" si="49"/>
        <v>35</v>
      </c>
      <c r="AF210" s="324" t="e">
        <f t="shared" si="43"/>
        <v>#VALUE!</v>
      </c>
      <c r="AG210" s="328">
        <f>O5</f>
        <v>0</v>
      </c>
      <c r="AH210" s="328" t="e">
        <f t="shared" si="44"/>
        <v>#VALUE!</v>
      </c>
      <c r="AI210" s="324" t="e">
        <f t="shared" si="50"/>
        <v>#VALUE!</v>
      </c>
      <c r="AJ210" s="328">
        <f>AG195-AG207</f>
        <v>0</v>
      </c>
      <c r="AK210" s="328" t="str">
        <f t="shared" si="51"/>
        <v/>
      </c>
      <c r="AL210" s="324" t="str">
        <f>IF(AD210="*","Deberías haber restado, con su signo, la inversión en fondo de maniobra de la generación de fondos operativa incremental","")</f>
        <v>Deberías haber restado, con su signo, la inversión en fondo de maniobra de la generación de fondos operativa incremental</v>
      </c>
      <c r="AM210" s="326" t="str">
        <f t="shared" si="52"/>
        <v>b</v>
      </c>
    </row>
    <row r="211" spans="1:39" s="324" customFormat="1" ht="0.65" hidden="1" customHeight="1">
      <c r="A211" s="324" t="e">
        <f t="shared" si="65"/>
        <v>#VALUE!</v>
      </c>
      <c r="AA211" s="324">
        <f t="shared" si="46"/>
        <v>36</v>
      </c>
      <c r="AB211" s="326" t="str">
        <f t="shared" si="47"/>
        <v>C</v>
      </c>
      <c r="AC211" s="326" t="str">
        <f t="shared" ref="AC211:AC212" si="70">IF(O6="","b","")</f>
        <v>b</v>
      </c>
      <c r="AD211" s="326" t="str">
        <f t="shared" si="48"/>
        <v>*</v>
      </c>
      <c r="AE211" s="327">
        <f t="shared" si="49"/>
        <v>36</v>
      </c>
      <c r="AF211" s="324" t="e">
        <f t="shared" si="43"/>
        <v>#VALUE!</v>
      </c>
      <c r="AG211" s="328">
        <f>O6</f>
        <v>0</v>
      </c>
      <c r="AH211" s="328" t="e">
        <f t="shared" si="44"/>
        <v>#VALUE!</v>
      </c>
      <c r="AI211" s="324" t="e">
        <f t="shared" si="50"/>
        <v>#VALUE!</v>
      </c>
      <c r="AJ211" s="328">
        <f>AG196-AG208</f>
        <v>0</v>
      </c>
      <c r="AK211" s="328" t="str">
        <f t="shared" si="51"/>
        <v/>
      </c>
      <c r="AL211" s="324" t="str">
        <f>IF(AD211="*","Deberías haber restado, con su signo, la inversión en fondo de maniobra de la generación de fondos operativa incremental","")</f>
        <v>Deberías haber restado, con su signo, la inversión en fondo de maniobra de la generación de fondos operativa incremental</v>
      </c>
      <c r="AM211" s="326" t="str">
        <f t="shared" si="52"/>
        <v>b</v>
      </c>
    </row>
    <row r="212" spans="1:39" s="324" customFormat="1" ht="0.65" hidden="1" customHeight="1">
      <c r="A212" s="324" t="e">
        <f t="shared" si="65"/>
        <v>#VALUE!</v>
      </c>
      <c r="AA212" s="324">
        <f t="shared" si="46"/>
        <v>37</v>
      </c>
      <c r="AB212" s="326" t="str">
        <f t="shared" si="47"/>
        <v>C</v>
      </c>
      <c r="AC212" s="326" t="str">
        <f t="shared" si="70"/>
        <v>b</v>
      </c>
      <c r="AD212" s="326" t="str">
        <f t="shared" si="48"/>
        <v>*</v>
      </c>
      <c r="AE212" s="327">
        <f t="shared" si="49"/>
        <v>37</v>
      </c>
      <c r="AF212" s="324" t="e">
        <f t="shared" si="43"/>
        <v>#VALUE!</v>
      </c>
      <c r="AG212" s="328">
        <f>O7</f>
        <v>0</v>
      </c>
      <c r="AH212" s="328" t="e">
        <f t="shared" si="44"/>
        <v>#VALUE!</v>
      </c>
      <c r="AI212" s="324" t="e">
        <f t="shared" si="50"/>
        <v>#VALUE!</v>
      </c>
      <c r="AJ212" s="328">
        <f>AG197-AG209</f>
        <v>0</v>
      </c>
      <c r="AK212" s="328" t="str">
        <f t="shared" si="51"/>
        <v/>
      </c>
      <c r="AL212" s="324" t="str">
        <f>IF(AD212="*","Deberías haber restado, con su signo, la inversión en fondo de maniobra de la generación de fondos operativa incremental","")</f>
        <v>Deberías haber restado, con su signo, la inversión en fondo de maniobra de la generación de fondos operativa incremental</v>
      </c>
      <c r="AM212" s="326" t="str">
        <f t="shared" si="52"/>
        <v>b</v>
      </c>
    </row>
    <row r="213" spans="1:39" s="324" customFormat="1" ht="0.65" hidden="1" customHeight="1">
      <c r="A213" s="324" t="e">
        <f t="shared" si="65"/>
        <v>#VALUE!</v>
      </c>
      <c r="AA213" s="324">
        <f t="shared" si="46"/>
        <v>38</v>
      </c>
      <c r="AB213" s="326" t="str">
        <f t="shared" si="47"/>
        <v>C</v>
      </c>
      <c r="AC213" s="326" t="str">
        <f>IF(N11="","b","")</f>
        <v>b</v>
      </c>
      <c r="AD213" s="326" t="str">
        <f t="shared" si="48"/>
        <v>*</v>
      </c>
      <c r="AE213" s="327">
        <f t="shared" si="49"/>
        <v>38</v>
      </c>
      <c r="AF213" s="324" t="e">
        <f t="shared" si="43"/>
        <v>#VALUE!</v>
      </c>
      <c r="AG213" s="328">
        <f>N11</f>
        <v>0</v>
      </c>
      <c r="AH213" s="328" t="e">
        <f t="shared" si="44"/>
        <v>#VALUE!</v>
      </c>
      <c r="AI213" s="324" t="e">
        <f t="shared" si="50"/>
        <v>#VALUE!</v>
      </c>
      <c r="AJ213" s="328" t="e">
        <f>AH213</f>
        <v>#VALUE!</v>
      </c>
      <c r="AK213" s="328" t="e">
        <f t="shared" si="51"/>
        <v>#VALUE!</v>
      </c>
      <c r="AL213" s="324" t="str">
        <f>IF(AD213="*","El valor residual por liquidación de activo fijo es incorrecto","")</f>
        <v>El valor residual por liquidación de activo fijo es incorrecto</v>
      </c>
      <c r="AM213" s="326" t="str">
        <f t="shared" si="52"/>
        <v>b</v>
      </c>
    </row>
    <row r="214" spans="1:39" s="324" customFormat="1" ht="0.65" hidden="1" customHeight="1">
      <c r="A214" s="324" t="e">
        <f t="shared" si="65"/>
        <v>#VALUE!</v>
      </c>
      <c r="AA214" s="324">
        <f t="shared" si="46"/>
        <v>39</v>
      </c>
      <c r="AB214" s="326" t="str">
        <f t="shared" si="47"/>
        <v>C</v>
      </c>
      <c r="AC214" s="326" t="str">
        <f t="shared" ref="AC214:AC215" si="71">IF(N12="","b","")</f>
        <v>b</v>
      </c>
      <c r="AD214" s="326" t="str">
        <f t="shared" si="48"/>
        <v>*</v>
      </c>
      <c r="AE214" s="327">
        <f t="shared" si="49"/>
        <v>39</v>
      </c>
      <c r="AF214" s="324" t="e">
        <f t="shared" si="43"/>
        <v>#VALUE!</v>
      </c>
      <c r="AG214" s="328">
        <f>N12</f>
        <v>0</v>
      </c>
      <c r="AH214" s="328" t="e">
        <f t="shared" si="44"/>
        <v>#VALUE!</v>
      </c>
      <c r="AI214" s="324" t="e">
        <f t="shared" si="50"/>
        <v>#VALUE!</v>
      </c>
      <c r="AJ214" s="328">
        <f>AG206</f>
        <v>0</v>
      </c>
      <c r="AK214" s="328" t="str">
        <f t="shared" si="51"/>
        <v/>
      </c>
      <c r="AL214" s="324" t="str">
        <f>IF(AD214="*","El valor residual por liquidación de FM debería coincidir con el saldo que el proyecto aporta el último año de vida útil del proyecto","")</f>
        <v>El valor residual por liquidación de FM debería coincidir con el saldo que el proyecto aporta el último año de vida útil del proyecto</v>
      </c>
      <c r="AM214" s="326" t="str">
        <f t="shared" si="52"/>
        <v>b</v>
      </c>
    </row>
    <row r="215" spans="1:39" s="324" customFormat="1" ht="0.65" hidden="1" customHeight="1">
      <c r="A215" s="324" t="e">
        <f t="shared" si="65"/>
        <v>#VALUE!</v>
      </c>
      <c r="AA215" s="324">
        <f t="shared" si="46"/>
        <v>40</v>
      </c>
      <c r="AB215" s="326" t="str">
        <f t="shared" si="47"/>
        <v>C</v>
      </c>
      <c r="AC215" s="326" t="str">
        <f t="shared" si="71"/>
        <v>b</v>
      </c>
      <c r="AD215" s="326" t="str">
        <f t="shared" si="48"/>
        <v>*</v>
      </c>
      <c r="AE215" s="327">
        <f t="shared" si="49"/>
        <v>40</v>
      </c>
      <c r="AF215" s="324" t="e">
        <f t="shared" si="43"/>
        <v>#VALUE!</v>
      </c>
      <c r="AG215" s="328">
        <f>N13</f>
        <v>0</v>
      </c>
      <c r="AH215" s="328" t="e">
        <f t="shared" si="44"/>
        <v>#VALUE!</v>
      </c>
      <c r="AI215" s="324" t="e">
        <f t="shared" si="50"/>
        <v>#VALUE!</v>
      </c>
      <c r="AJ215" s="328">
        <f>AG213+AG214</f>
        <v>0</v>
      </c>
      <c r="AK215" s="328" t="str">
        <f t="shared" si="51"/>
        <v/>
      </c>
      <c r="AL215" s="324" t="str">
        <f>IF(AD215="*","Deberías sumar, con su signo, los valores residuales correspondientes a activo fijo y fondo de maniobra","")</f>
        <v>Deberías sumar, con su signo, los valores residuales correspondientes a activo fijo y fondo de maniobra</v>
      </c>
      <c r="AM215" s="326" t="str">
        <f t="shared" si="52"/>
        <v>b</v>
      </c>
    </row>
    <row r="216" spans="1:39" s="324" customFormat="1" ht="0.65" hidden="1" customHeight="1">
      <c r="A216" s="324" t="e">
        <f t="shared" si="65"/>
        <v>#VALUE!</v>
      </c>
      <c r="AA216" s="324">
        <f t="shared" si="46"/>
        <v>41</v>
      </c>
      <c r="AB216" s="326" t="str">
        <f t="shared" si="47"/>
        <v>C</v>
      </c>
      <c r="AC216" s="326" t="str">
        <f>IF(P4="","b","")</f>
        <v>b</v>
      </c>
      <c r="AD216" s="326" t="str">
        <f t="shared" si="48"/>
        <v>*</v>
      </c>
      <c r="AE216" s="327">
        <f t="shared" si="49"/>
        <v>41</v>
      </c>
      <c r="AF216" s="324" t="e">
        <f t="shared" si="43"/>
        <v>#VALUE!</v>
      </c>
      <c r="AG216" s="328">
        <f>P4</f>
        <v>0</v>
      </c>
      <c r="AH216" s="328" t="e">
        <f t="shared" si="44"/>
        <v>#VALUE!</v>
      </c>
      <c r="AI216" s="324" t="e">
        <f t="shared" si="50"/>
        <v>#VALUE!</v>
      </c>
      <c r="AJ216" s="328">
        <f>-AG176</f>
        <v>0</v>
      </c>
      <c r="AK216" s="328" t="str">
        <f t="shared" si="51"/>
        <v/>
      </c>
      <c r="AL216" s="324" t="str">
        <f>IF(AD216="*","La tesorería de inversión del momento cero debería coincidir con el cálculo realizado de desembolso inicial","")</f>
        <v>La tesorería de inversión del momento cero debería coincidir con el cálculo realizado de desembolso inicial</v>
      </c>
      <c r="AM216" s="326" t="str">
        <f t="shared" si="52"/>
        <v>b</v>
      </c>
    </row>
    <row r="217" spans="1:39" s="324" customFormat="1" ht="0.65" hidden="1" customHeight="1">
      <c r="A217" s="324" t="e">
        <f t="shared" si="65"/>
        <v>#VALUE!</v>
      </c>
      <c r="AA217" s="324">
        <f t="shared" si="46"/>
        <v>42</v>
      </c>
      <c r="AB217" s="326" t="str">
        <f t="shared" si="47"/>
        <v>C</v>
      </c>
      <c r="AC217" s="326" t="str">
        <f t="shared" ref="AC217:AC219" si="72">IF(P5="","b","")</f>
        <v>b</v>
      </c>
      <c r="AD217" s="326" t="str">
        <f t="shared" si="48"/>
        <v>*</v>
      </c>
      <c r="AE217" s="327">
        <f t="shared" si="49"/>
        <v>42</v>
      </c>
      <c r="AF217" s="324" t="e">
        <f t="shared" si="43"/>
        <v>#VALUE!</v>
      </c>
      <c r="AG217" s="328">
        <f>P5</f>
        <v>0</v>
      </c>
      <c r="AH217" s="328" t="e">
        <f t="shared" si="44"/>
        <v>#VALUE!</v>
      </c>
      <c r="AI217" s="324" t="e">
        <f t="shared" si="50"/>
        <v>#VALUE!</v>
      </c>
      <c r="AJ217" s="328">
        <f>AG210</f>
        <v>0</v>
      </c>
      <c r="AK217" s="328" t="str">
        <f t="shared" si="51"/>
        <v/>
      </c>
      <c r="AL217" s="324" t="str">
        <f>IF(AD217="*","La tesorería de inversión del año debería coincidir con la diferencia entre la generación de fondos operativa y la inversión necesaria en fondo de maniobra (todas ellas incrementales)","")</f>
        <v>La tesorería de inversión del año debería coincidir con la diferencia entre la generación de fondos operativa y la inversión necesaria en fondo de maniobra (todas ellas incrementales)</v>
      </c>
      <c r="AM217" s="326" t="str">
        <f t="shared" si="52"/>
        <v>b</v>
      </c>
    </row>
    <row r="218" spans="1:39" s="324" customFormat="1" ht="0.65" hidden="1" customHeight="1">
      <c r="A218" s="324" t="e">
        <f t="shared" si="65"/>
        <v>#VALUE!</v>
      </c>
      <c r="AA218" s="324">
        <f t="shared" si="46"/>
        <v>43</v>
      </c>
      <c r="AB218" s="326" t="str">
        <f t="shared" si="47"/>
        <v>C</v>
      </c>
      <c r="AC218" s="326" t="str">
        <f t="shared" si="72"/>
        <v>b</v>
      </c>
      <c r="AD218" s="326" t="str">
        <f t="shared" si="48"/>
        <v>*</v>
      </c>
      <c r="AE218" s="327">
        <f t="shared" si="49"/>
        <v>43</v>
      </c>
      <c r="AF218" s="324" t="e">
        <f t="shared" si="43"/>
        <v>#VALUE!</v>
      </c>
      <c r="AG218" s="328">
        <f>P6</f>
        <v>0</v>
      </c>
      <c r="AH218" s="328" t="e">
        <f t="shared" si="44"/>
        <v>#VALUE!</v>
      </c>
      <c r="AI218" s="324" t="e">
        <f t="shared" si="50"/>
        <v>#VALUE!</v>
      </c>
      <c r="AJ218" s="328">
        <f>AG211</f>
        <v>0</v>
      </c>
      <c r="AK218" s="328" t="str">
        <f t="shared" si="51"/>
        <v/>
      </c>
      <c r="AL218" s="324" t="str">
        <f>IF(AD218="*","La tesorería de inversión del año debería coincidir con la diferencia entre la generación de fondos operativa y la inversión necesaria en fondo de maniobra (todas ellas incrementales)","")</f>
        <v>La tesorería de inversión del año debería coincidir con la diferencia entre la generación de fondos operativa y la inversión necesaria en fondo de maniobra (todas ellas incrementales)</v>
      </c>
      <c r="AM218" s="326" t="str">
        <f t="shared" si="52"/>
        <v>b</v>
      </c>
    </row>
    <row r="219" spans="1:39" s="324" customFormat="1" ht="0.65" hidden="1" customHeight="1">
      <c r="A219" s="324" t="e">
        <f t="shared" si="65"/>
        <v>#VALUE!</v>
      </c>
      <c r="AA219" s="324">
        <f t="shared" si="46"/>
        <v>44</v>
      </c>
      <c r="AB219" s="326" t="str">
        <f t="shared" si="47"/>
        <v>C</v>
      </c>
      <c r="AC219" s="326" t="str">
        <f t="shared" si="72"/>
        <v>b</v>
      </c>
      <c r="AD219" s="326" t="str">
        <f t="shared" si="48"/>
        <v>*</v>
      </c>
      <c r="AE219" s="327">
        <f t="shared" si="49"/>
        <v>44</v>
      </c>
      <c r="AF219" s="324" t="e">
        <f t="shared" si="43"/>
        <v>#VALUE!</v>
      </c>
      <c r="AG219" s="328">
        <f>P7</f>
        <v>0</v>
      </c>
      <c r="AH219" s="328" t="e">
        <f t="shared" si="44"/>
        <v>#VALUE!</v>
      </c>
      <c r="AI219" s="324" t="e">
        <f t="shared" si="50"/>
        <v>#VALUE!</v>
      </c>
      <c r="AJ219" s="328">
        <f>AG212+AG215</f>
        <v>0</v>
      </c>
      <c r="AK219" s="328" t="str">
        <f t="shared" si="51"/>
        <v/>
      </c>
      <c r="AL219" s="324" t="str">
        <f>IF(AD219="*","Al final de la vida útil del proyecto, la tesorería de inversión del año debería coincidir con la diferencia entre la generación"&amp;" de fondos operativa y la inversión necesaria en fondo de maniobra (todas ellas incrementales) más el valor residual incremental","")</f>
        <v>Al final de la vida útil del proyecto, la tesorería de inversión del año debería coincidir con la diferencia entre la generación de fondos operativa y la inversión necesaria en fondo de maniobra (todas ellas incrementales) más el valor residual incremental</v>
      </c>
      <c r="AM219" s="326" t="str">
        <f t="shared" si="52"/>
        <v>b</v>
      </c>
    </row>
    <row r="220" spans="1:39" s="324" customFormat="1" ht="0.65" hidden="1" customHeight="1">
      <c r="A220" s="324" t="e">
        <f t="shared" si="65"/>
        <v>#VALUE!</v>
      </c>
      <c r="AA220" s="324">
        <f t="shared" si="46"/>
        <v>45</v>
      </c>
      <c r="AB220" s="326" t="str">
        <f t="shared" si="47"/>
        <v>C</v>
      </c>
      <c r="AC220" s="326" t="str">
        <f>IF(P10="","b","")</f>
        <v>b</v>
      </c>
      <c r="AD220" s="326" t="str">
        <f t="shared" si="48"/>
        <v>*</v>
      </c>
      <c r="AE220" s="327">
        <f t="shared" si="49"/>
        <v>45</v>
      </c>
      <c r="AF220" s="324" t="e">
        <f t="shared" si="43"/>
        <v>#VALUE!</v>
      </c>
      <c r="AG220" s="329">
        <f>P10</f>
        <v>0</v>
      </c>
      <c r="AH220" s="329" t="e">
        <f t="shared" si="44"/>
        <v>#VALUE!</v>
      </c>
      <c r="AI220" s="324" t="e">
        <f t="shared" si="50"/>
        <v>#VALUE!</v>
      </c>
      <c r="AJ220" s="329" t="e">
        <f>AH220</f>
        <v>#VALUE!</v>
      </c>
      <c r="AK220" s="328" t="e">
        <f t="shared" si="51"/>
        <v>#VALUE!</v>
      </c>
      <c r="AL220" s="324" t="str">
        <f>IF(AD220="*","El coste de los fondos ajenos es incorrecto","")</f>
        <v>El coste de los fondos ajenos es incorrecto</v>
      </c>
      <c r="AM220" s="326" t="str">
        <f t="shared" si="52"/>
        <v>b</v>
      </c>
    </row>
    <row r="221" spans="1:39" s="324" customFormat="1" ht="0.65" hidden="1" customHeight="1">
      <c r="A221" s="324" t="e">
        <f t="shared" si="65"/>
        <v>#VALUE!</v>
      </c>
      <c r="AA221" s="324">
        <f t="shared" si="46"/>
        <v>46</v>
      </c>
      <c r="AB221" s="326" t="str">
        <f t="shared" si="47"/>
        <v>C</v>
      </c>
      <c r="AC221" s="326" t="str">
        <f t="shared" ref="AC221:AC222" si="73">IF(P11="","b","")</f>
        <v>b</v>
      </c>
      <c r="AD221" s="326" t="str">
        <f t="shared" si="48"/>
        <v>*</v>
      </c>
      <c r="AE221" s="327">
        <f t="shared" si="49"/>
        <v>46</v>
      </c>
      <c r="AF221" s="324" t="e">
        <f t="shared" si="43"/>
        <v>#VALUE!</v>
      </c>
      <c r="AG221" s="329">
        <f>P11</f>
        <v>0</v>
      </c>
      <c r="AH221" s="329" t="e">
        <f t="shared" si="44"/>
        <v>#VALUE!</v>
      </c>
      <c r="AI221" s="324" t="e">
        <f t="shared" si="50"/>
        <v>#VALUE!</v>
      </c>
      <c r="AJ221" s="329" t="e">
        <f>AH221</f>
        <v>#VALUE!</v>
      </c>
      <c r="AK221" s="328" t="e">
        <f t="shared" si="51"/>
        <v>#VALUE!</v>
      </c>
      <c r="AL221" s="324" t="str">
        <f>IF(AD221="*","El coste de los fondos propios es incorrecto","")</f>
        <v>El coste de los fondos propios es incorrecto</v>
      </c>
      <c r="AM221" s="326" t="str">
        <f t="shared" si="52"/>
        <v>b</v>
      </c>
    </row>
    <row r="222" spans="1:39" s="324" customFormat="1" ht="0.65" hidden="1" customHeight="1">
      <c r="A222" s="324" t="e">
        <f t="shared" si="65"/>
        <v>#VALUE!</v>
      </c>
      <c r="AA222" s="324">
        <f t="shared" si="46"/>
        <v>47</v>
      </c>
      <c r="AB222" s="326" t="str">
        <f t="shared" si="47"/>
        <v>C</v>
      </c>
      <c r="AC222" s="326" t="str">
        <f t="shared" si="73"/>
        <v>b</v>
      </c>
      <c r="AD222" s="326" t="str">
        <f t="shared" si="48"/>
        <v>*</v>
      </c>
      <c r="AE222" s="327">
        <f t="shared" si="49"/>
        <v>47</v>
      </c>
      <c r="AF222" s="324" t="e">
        <f t="shared" si="43"/>
        <v>#VALUE!</v>
      </c>
      <c r="AG222" s="329">
        <f>P12</f>
        <v>0</v>
      </c>
      <c r="AH222" s="329" t="e">
        <f t="shared" si="44"/>
        <v>#VALUE!</v>
      </c>
      <c r="AI222" s="324" t="e">
        <f t="shared" si="50"/>
        <v>#VALUE!</v>
      </c>
      <c r="AJ222" s="324" t="e">
        <f>(AG220*D28+AG221*D29)/(D28+D29)</f>
        <v>#VALUE!</v>
      </c>
      <c r="AK222" s="328" t="e">
        <f t="shared" si="51"/>
        <v>#VALUE!</v>
      </c>
      <c r="AL222" s="324" t="str">
        <f>IF(AD222="*","Las ponderaciones dadas a tus estimaciones de coste de los fondos ajenos y propios son incorrectas","")</f>
        <v>Las ponderaciones dadas a tus estimaciones de coste de los fondos ajenos y propios son incorrectas</v>
      </c>
      <c r="AM222" s="326" t="str">
        <f t="shared" si="52"/>
        <v>b</v>
      </c>
    </row>
    <row r="223" spans="1:39" s="324" customFormat="1" ht="0.65" hidden="1" customHeight="1">
      <c r="A223" s="324" t="e">
        <f t="shared" si="65"/>
        <v>#VALUE!</v>
      </c>
      <c r="AA223" s="324">
        <f t="shared" si="46"/>
        <v>48</v>
      </c>
      <c r="AB223" s="326" t="str">
        <f t="shared" si="47"/>
        <v>C</v>
      </c>
      <c r="AC223" s="326" t="str">
        <f>IF(P15="","b","")</f>
        <v>b</v>
      </c>
      <c r="AD223" s="326" t="str">
        <f t="shared" si="48"/>
        <v>*</v>
      </c>
      <c r="AE223" s="327">
        <f t="shared" si="49"/>
        <v>48</v>
      </c>
      <c r="AF223" s="324" t="e">
        <f t="shared" si="43"/>
        <v>#VALUE!</v>
      </c>
      <c r="AG223" s="328">
        <f>P15</f>
        <v>0</v>
      </c>
      <c r="AH223" s="328" t="e">
        <f t="shared" si="44"/>
        <v>#VALUE!</v>
      </c>
      <c r="AI223" s="324" t="e">
        <f t="shared" si="50"/>
        <v>#VALUE!</v>
      </c>
      <c r="AJ223" s="328">
        <f>NPV(AG222,AG217:AG219)+AG216</f>
        <v>0</v>
      </c>
      <c r="AK223" s="328" t="str">
        <f t="shared" si="51"/>
        <v/>
      </c>
      <c r="AL223" s="324" t="str">
        <f>IF(AD223="*","El VAN que se obtendría a partir de tus resultados de flujos de caja y de coste de los fondos es distinto del calculado","")</f>
        <v>El VAN que se obtendría a partir de tus resultados de flujos de caja y de coste de los fondos es distinto del calculado</v>
      </c>
      <c r="AM223" s="326" t="str">
        <f t="shared" si="52"/>
        <v>b</v>
      </c>
    </row>
    <row r="224" spans="1:39" s="324" customFormat="1" ht="0.65" hidden="1" customHeight="1">
      <c r="A224" s="324" t="e">
        <f t="shared" si="65"/>
        <v>#VALUE!</v>
      </c>
      <c r="AA224" s="324">
        <f t="shared" si="46"/>
        <v>49</v>
      </c>
      <c r="AB224" s="326" t="str">
        <f t="shared" si="47"/>
        <v>C</v>
      </c>
      <c r="AC224" s="326" t="str">
        <f t="shared" ref="AC224" si="74">IF(P16="","b","")</f>
        <v>b</v>
      </c>
      <c r="AD224" s="326" t="str">
        <f t="shared" si="48"/>
        <v>*</v>
      </c>
      <c r="AE224" s="327">
        <f t="shared" si="49"/>
        <v>49</v>
      </c>
      <c r="AF224" s="324" t="e">
        <f t="shared" si="43"/>
        <v>#VALUE!</v>
      </c>
      <c r="AG224" s="329">
        <f>P16</f>
        <v>0</v>
      </c>
      <c r="AH224" s="329" t="e">
        <f t="shared" si="44"/>
        <v>#VALUE!</v>
      </c>
      <c r="AI224" s="324" t="e">
        <f t="shared" si="50"/>
        <v>#VALUE!</v>
      </c>
      <c r="AJ224" s="329" t="e">
        <f>IRR(AG216:AG219)</f>
        <v>#NUM!</v>
      </c>
      <c r="AK224" s="328" t="e">
        <f t="shared" si="51"/>
        <v>#NUM!</v>
      </c>
      <c r="AL224" s="324" t="str">
        <f>IF(AD224="*","La TRI que se obtendría a partir de tu estimación de tesorería de inversión aportada por el proyecto es distinta de la calculada","")</f>
        <v>La TRI que se obtendría a partir de tu estimación de tesorería de inversión aportada por el proyecto es distinta de la calculada</v>
      </c>
      <c r="AM224" s="326" t="str">
        <f t="shared" si="52"/>
        <v>b</v>
      </c>
    </row>
    <row r="225" spans="1:37" s="324" customFormat="1" ht="0.65" hidden="1" customHeight="1">
      <c r="A225" s="324" t="e">
        <f t="shared" si="65"/>
        <v>#VALUE!</v>
      </c>
      <c r="AH225" s="330" t="s">
        <v>207</v>
      </c>
      <c r="AI225" s="326">
        <f>COUNTIF(AI176:AI224,"ERROR")</f>
        <v>0</v>
      </c>
      <c r="AJ225" s="330" t="s">
        <v>207</v>
      </c>
      <c r="AK225" s="326">
        <f>COUNTIF(AK176:AK224,"ERROR")</f>
        <v>0</v>
      </c>
    </row>
    <row r="226" spans="1:37" s="324" customFormat="1" ht="0.65" hidden="1" customHeight="1"/>
    <row r="227" spans="1:37" s="324" customFormat="1" ht="0.65" hidden="1" customHeight="1"/>
    <row r="228" spans="1:37" s="324" customFormat="1" ht="0.65" hidden="1" customHeight="1"/>
    <row r="229" spans="1:37" s="324" customFormat="1" ht="0.65" hidden="1" customHeight="1"/>
    <row r="230" spans="1:37" s="324" customFormat="1" ht="0.65" hidden="1" customHeight="1"/>
    <row r="231" spans="1:37" s="324" customFormat="1" ht="0.65" hidden="1" customHeight="1">
      <c r="B231" s="324" t="s">
        <v>19</v>
      </c>
      <c r="D231" s="324" t="s">
        <v>336</v>
      </c>
      <c r="E231" s="324">
        <v>1</v>
      </c>
    </row>
    <row r="232" spans="1:37" s="324" customFormat="1" ht="0.65" hidden="1" customHeight="1">
      <c r="B232" s="324" t="s">
        <v>3951</v>
      </c>
      <c r="D232" s="324" t="s">
        <v>336</v>
      </c>
      <c r="E232" s="324" t="s">
        <v>486</v>
      </c>
      <c r="H232" s="324" t="s">
        <v>55</v>
      </c>
      <c r="I232" s="324" t="s">
        <v>55</v>
      </c>
      <c r="J232" s="324" t="s">
        <v>55</v>
      </c>
      <c r="K232" s="324" t="s">
        <v>55</v>
      </c>
      <c r="L232" s="324" t="s">
        <v>55</v>
      </c>
      <c r="M232" s="324" t="s">
        <v>55</v>
      </c>
      <c r="N232" s="324" t="s">
        <v>55</v>
      </c>
      <c r="O232" s="324" t="s">
        <v>55</v>
      </c>
      <c r="P232" s="324" t="s">
        <v>55</v>
      </c>
    </row>
    <row r="233" spans="1:37" s="324" customFormat="1" ht="0.65" hidden="1" customHeight="1">
      <c r="A233" s="324">
        <v>1001</v>
      </c>
      <c r="C233" s="324" t="s">
        <v>5</v>
      </c>
      <c r="D233" s="324">
        <v>2022</v>
      </c>
      <c r="G233" s="324" t="s">
        <v>0</v>
      </c>
      <c r="H233" s="324" t="s">
        <v>69</v>
      </c>
      <c r="I233" s="324" t="s">
        <v>70</v>
      </c>
      <c r="J233" s="324" t="s">
        <v>71</v>
      </c>
      <c r="K233" s="324" t="s">
        <v>72</v>
      </c>
      <c r="L233" s="324" t="s">
        <v>73</v>
      </c>
      <c r="M233" s="324" t="s">
        <v>74</v>
      </c>
      <c r="N233" s="324" t="s">
        <v>75</v>
      </c>
      <c r="O233" s="324" t="s">
        <v>80</v>
      </c>
      <c r="P233" s="324" t="s">
        <v>1</v>
      </c>
      <c r="U233" s="324" t="s">
        <v>151</v>
      </c>
      <c r="AD233" s="324" t="s">
        <v>455</v>
      </c>
    </row>
    <row r="234" spans="1:37" s="324" customFormat="1" ht="0.65" hidden="1" customHeight="1">
      <c r="A234" s="324">
        <v>1002</v>
      </c>
      <c r="G234" s="324">
        <v>2022</v>
      </c>
      <c r="H234" s="324">
        <v>0</v>
      </c>
      <c r="I234" s="324">
        <v>0</v>
      </c>
      <c r="J234" s="324">
        <v>0</v>
      </c>
      <c r="K234" s="324">
        <v>0</v>
      </c>
      <c r="L234" s="324">
        <v>0</v>
      </c>
      <c r="M234" s="324">
        <v>0</v>
      </c>
      <c r="N234" s="324">
        <v>0</v>
      </c>
      <c r="O234" s="324">
        <v>0</v>
      </c>
      <c r="P234" s="324">
        <v>-825000</v>
      </c>
      <c r="AD234" s="324" t="s">
        <v>487</v>
      </c>
    </row>
    <row r="235" spans="1:37" s="324" customFormat="1" ht="0.65" hidden="1" customHeight="1">
      <c r="A235" s="324">
        <v>1003</v>
      </c>
      <c r="C235" s="324" t="s">
        <v>32</v>
      </c>
      <c r="G235" s="324">
        <v>2023</v>
      </c>
      <c r="H235" s="324">
        <v>420000</v>
      </c>
      <c r="I235" s="324">
        <v>300000</v>
      </c>
      <c r="J235" s="324">
        <v>50000</v>
      </c>
      <c r="K235" s="324">
        <v>70000</v>
      </c>
      <c r="L235" s="324">
        <v>17500</v>
      </c>
      <c r="M235" s="324">
        <v>52500</v>
      </c>
      <c r="N235" s="324">
        <v>102500</v>
      </c>
      <c r="O235" s="324">
        <v>47500</v>
      </c>
      <c r="P235" s="324">
        <v>47500</v>
      </c>
      <c r="U235" s="324" t="s">
        <v>152</v>
      </c>
      <c r="Z235" s="324" t="s">
        <v>176</v>
      </c>
      <c r="AA235" s="324">
        <v>-210381.05281541136</v>
      </c>
      <c r="AF235" s="324" t="s">
        <v>247</v>
      </c>
    </row>
    <row r="236" spans="1:37" s="324" customFormat="1" ht="0.65" hidden="1" customHeight="1">
      <c r="A236" s="324">
        <v>1004</v>
      </c>
      <c r="C236" s="324" t="s">
        <v>488</v>
      </c>
      <c r="D236" s="324">
        <v>1000000</v>
      </c>
      <c r="E236" s="324" t="s">
        <v>55</v>
      </c>
      <c r="G236" s="324">
        <v>2024</v>
      </c>
      <c r="H236" s="324">
        <v>420000</v>
      </c>
      <c r="I236" s="324">
        <v>300000</v>
      </c>
      <c r="J236" s="324">
        <v>50000</v>
      </c>
      <c r="K236" s="324">
        <v>70000</v>
      </c>
      <c r="L236" s="324">
        <v>17500</v>
      </c>
      <c r="M236" s="324">
        <v>52500</v>
      </c>
      <c r="N236" s="324">
        <v>102500</v>
      </c>
      <c r="O236" s="324">
        <v>102500</v>
      </c>
      <c r="P236" s="324">
        <v>102500</v>
      </c>
      <c r="Y236" s="324" t="s">
        <v>139</v>
      </c>
      <c r="Z236" s="324" t="s">
        <v>174</v>
      </c>
      <c r="AF236" s="324" t="s">
        <v>248</v>
      </c>
    </row>
    <row r="237" spans="1:37" s="324" customFormat="1" ht="0.65" hidden="1" customHeight="1">
      <c r="A237" s="324">
        <v>1005</v>
      </c>
      <c r="C237" s="324" t="s">
        <v>6</v>
      </c>
      <c r="D237" s="324">
        <v>10</v>
      </c>
      <c r="G237" s="324">
        <v>2025</v>
      </c>
      <c r="H237" s="324">
        <v>420000</v>
      </c>
      <c r="I237" s="324">
        <v>300000</v>
      </c>
      <c r="J237" s="324">
        <v>100000</v>
      </c>
      <c r="K237" s="324">
        <v>20000</v>
      </c>
      <c r="L237" s="324">
        <v>5000</v>
      </c>
      <c r="M237" s="324">
        <v>15000</v>
      </c>
      <c r="N237" s="324">
        <v>115000</v>
      </c>
      <c r="O237" s="324">
        <v>115000</v>
      </c>
      <c r="P237" s="324">
        <v>570000</v>
      </c>
      <c r="T237" s="324" t="s">
        <v>187</v>
      </c>
      <c r="V237" s="324" t="s">
        <v>180</v>
      </c>
      <c r="X237" s="324" t="s">
        <v>177</v>
      </c>
      <c r="Y237" s="324" t="s">
        <v>173</v>
      </c>
      <c r="Z237" s="324" t="s">
        <v>175</v>
      </c>
      <c r="AA237" s="324" t="s">
        <v>172</v>
      </c>
      <c r="AD237" s="324" t="s">
        <v>177</v>
      </c>
      <c r="AE237" s="324" t="s">
        <v>246</v>
      </c>
      <c r="AF237" s="324" t="s">
        <v>249</v>
      </c>
      <c r="AG237" s="324" t="s">
        <v>462</v>
      </c>
    </row>
    <row r="238" spans="1:37" s="324" customFormat="1" ht="0.65" hidden="1" customHeight="1">
      <c r="A238" s="324">
        <v>1006</v>
      </c>
      <c r="C238" s="324" t="s">
        <v>489</v>
      </c>
      <c r="D238" s="324">
        <v>400000</v>
      </c>
      <c r="H238" s="324" t="s">
        <v>55</v>
      </c>
      <c r="I238" s="324" t="s">
        <v>55</v>
      </c>
      <c r="J238" s="324" t="s">
        <v>55</v>
      </c>
      <c r="K238" s="324" t="s">
        <v>55</v>
      </c>
      <c r="T238" s="324">
        <v>1</v>
      </c>
      <c r="U238" s="324" t="s">
        <v>153</v>
      </c>
      <c r="V238" s="324" t="s">
        <v>178</v>
      </c>
      <c r="W238" s="324" t="s">
        <v>55</v>
      </c>
      <c r="X238" s="324" t="s">
        <v>6</v>
      </c>
      <c r="Y238" s="324">
        <v>10</v>
      </c>
      <c r="Z238" s="324">
        <v>15</v>
      </c>
      <c r="AA238" s="324">
        <v>-211665.67031845078</v>
      </c>
      <c r="AB238" s="324" t="s">
        <v>55</v>
      </c>
      <c r="AC238" s="324">
        <v>1</v>
      </c>
      <c r="AD238" s="324" t="s">
        <v>55</v>
      </c>
      <c r="AE238" s="324" t="s">
        <v>55</v>
      </c>
      <c r="AF238" s="324" t="s">
        <v>55</v>
      </c>
      <c r="AG238" s="324" t="s">
        <v>55</v>
      </c>
    </row>
    <row r="239" spans="1:37" s="324" customFormat="1" ht="0.65" hidden="1" customHeight="1">
      <c r="A239" s="324">
        <v>1007</v>
      </c>
      <c r="G239" s="324" t="s">
        <v>0</v>
      </c>
      <c r="H239" s="324" t="s">
        <v>76</v>
      </c>
      <c r="I239" s="324" t="s">
        <v>77</v>
      </c>
      <c r="J239" s="324" t="s">
        <v>78</v>
      </c>
      <c r="K239" s="324" t="s">
        <v>79</v>
      </c>
      <c r="N239" s="324" t="s">
        <v>55</v>
      </c>
      <c r="P239" s="324" t="s">
        <v>55</v>
      </c>
      <c r="T239" s="324">
        <v>2</v>
      </c>
      <c r="U239" s="324" t="s">
        <v>154</v>
      </c>
      <c r="V239" s="324" t="s">
        <v>178</v>
      </c>
      <c r="W239" s="324" t="s">
        <v>55</v>
      </c>
      <c r="X239" s="324" t="s">
        <v>488</v>
      </c>
      <c r="Y239" s="324">
        <v>1000000</v>
      </c>
      <c r="Z239" s="324">
        <v>1100000</v>
      </c>
      <c r="AA239" s="324">
        <v>-289005.18548869202</v>
      </c>
      <c r="AB239" s="324" t="s">
        <v>55</v>
      </c>
    </row>
    <row r="240" spans="1:37" s="324" customFormat="1" ht="0.65" hidden="1" customHeight="1">
      <c r="A240" s="324">
        <v>1008</v>
      </c>
      <c r="C240" s="324" t="s">
        <v>34</v>
      </c>
      <c r="D240" s="324">
        <v>420000</v>
      </c>
      <c r="G240" s="324">
        <v>2022</v>
      </c>
      <c r="H240" s="324">
        <v>0</v>
      </c>
      <c r="I240" s="324">
        <v>0</v>
      </c>
      <c r="J240" s="324">
        <v>0</v>
      </c>
      <c r="K240" s="324">
        <v>0</v>
      </c>
      <c r="M240" s="324" t="s">
        <v>490</v>
      </c>
      <c r="N240" s="324">
        <v>825000</v>
      </c>
      <c r="O240" s="324" t="s">
        <v>124</v>
      </c>
      <c r="P240" s="324">
        <v>3.7499999999999999E-2</v>
      </c>
      <c r="T240" s="324">
        <v>3</v>
      </c>
      <c r="U240" s="324" t="s">
        <v>155</v>
      </c>
      <c r="V240" s="324" t="s">
        <v>178</v>
      </c>
      <c r="W240" s="324" t="s">
        <v>55</v>
      </c>
      <c r="X240" s="324" t="s">
        <v>489</v>
      </c>
      <c r="Y240" s="324">
        <v>400000</v>
      </c>
      <c r="Z240" s="324">
        <v>360000</v>
      </c>
      <c r="AA240" s="324">
        <v>-235569.63130638041</v>
      </c>
      <c r="AB240" s="324" t="s">
        <v>55</v>
      </c>
      <c r="AC240" s="324">
        <v>2</v>
      </c>
      <c r="AD240" s="324" t="s">
        <v>55</v>
      </c>
      <c r="AE240" s="324" t="s">
        <v>55</v>
      </c>
      <c r="AF240" s="324" t="s">
        <v>55</v>
      </c>
      <c r="AG240" s="324" t="s">
        <v>55</v>
      </c>
    </row>
    <row r="241" spans="1:33" s="324" customFormat="1" ht="0.65" hidden="1" customHeight="1">
      <c r="A241" s="324">
        <v>1009</v>
      </c>
      <c r="C241" s="324" t="s">
        <v>35</v>
      </c>
      <c r="D241" s="324">
        <v>300000</v>
      </c>
      <c r="G241" s="324">
        <v>2023</v>
      </c>
      <c r="H241" s="324">
        <v>105000</v>
      </c>
      <c r="I241" s="324">
        <v>50000</v>
      </c>
      <c r="J241" s="324">
        <v>55000</v>
      </c>
      <c r="K241" s="324">
        <v>55000</v>
      </c>
      <c r="M241" s="324" t="s">
        <v>491</v>
      </c>
      <c r="N241" s="324">
        <v>400000</v>
      </c>
      <c r="O241" s="324" t="s">
        <v>125</v>
      </c>
      <c r="P241" s="324">
        <v>8.249999999999999E-2</v>
      </c>
      <c r="T241" s="324">
        <v>4</v>
      </c>
      <c r="U241" s="324" t="s">
        <v>156</v>
      </c>
      <c r="V241" s="324" t="s">
        <v>179</v>
      </c>
      <c r="W241" s="324" t="s">
        <v>55</v>
      </c>
      <c r="X241" s="324" t="s">
        <v>492</v>
      </c>
      <c r="Y241" s="324">
        <v>200000</v>
      </c>
      <c r="Z241" s="324">
        <v>220000.00000000003</v>
      </c>
      <c r="AA241" s="324">
        <v>-195381.05281541133</v>
      </c>
      <c r="AB241" s="324" t="s">
        <v>55</v>
      </c>
    </row>
    <row r="242" spans="1:33" s="324" customFormat="1" ht="0.65" hidden="1" customHeight="1">
      <c r="A242" s="324">
        <v>1010</v>
      </c>
      <c r="G242" s="324">
        <v>2024</v>
      </c>
      <c r="H242" s="324">
        <v>105000</v>
      </c>
      <c r="I242" s="324">
        <v>50000</v>
      </c>
      <c r="J242" s="324">
        <v>55000</v>
      </c>
      <c r="K242" s="324">
        <v>0</v>
      </c>
      <c r="M242" s="324" t="s">
        <v>493</v>
      </c>
      <c r="N242" s="324">
        <v>55000</v>
      </c>
      <c r="O242" s="324" t="s">
        <v>126</v>
      </c>
      <c r="P242" s="324">
        <v>5.9999999999999991E-2</v>
      </c>
      <c r="T242" s="324">
        <v>5</v>
      </c>
      <c r="U242" s="324" t="s">
        <v>157</v>
      </c>
      <c r="V242" s="324" t="s">
        <v>178</v>
      </c>
      <c r="W242" s="324" t="s">
        <v>55</v>
      </c>
      <c r="X242" s="324" t="s">
        <v>6</v>
      </c>
      <c r="Y242" s="324">
        <v>2</v>
      </c>
      <c r="Z242" s="324">
        <v>1</v>
      </c>
      <c r="AA242" s="324">
        <v>-211048.55014542205</v>
      </c>
      <c r="AB242" s="324" t="s">
        <v>55</v>
      </c>
      <c r="AC242" s="324">
        <v>3</v>
      </c>
      <c r="AD242" s="324" t="s">
        <v>55</v>
      </c>
      <c r="AE242" s="324" t="s">
        <v>55</v>
      </c>
      <c r="AF242" s="324" t="s">
        <v>55</v>
      </c>
      <c r="AG242" s="324" t="s">
        <v>55</v>
      </c>
    </row>
    <row r="243" spans="1:33" s="324" customFormat="1" ht="0.65" hidden="1" customHeight="1">
      <c r="A243" s="324">
        <v>1011</v>
      </c>
      <c r="C243" s="324" t="s">
        <v>7</v>
      </c>
      <c r="D243" s="324">
        <v>90</v>
      </c>
      <c r="G243" s="324">
        <v>2025</v>
      </c>
      <c r="H243" s="324">
        <v>105000</v>
      </c>
      <c r="I243" s="324">
        <v>50000</v>
      </c>
      <c r="J243" s="324">
        <v>55000</v>
      </c>
      <c r="K243" s="324">
        <v>0</v>
      </c>
      <c r="M243" s="324" t="s">
        <v>494</v>
      </c>
      <c r="N243" s="324">
        <v>455000</v>
      </c>
      <c r="T243" s="324">
        <v>6</v>
      </c>
      <c r="U243" s="324" t="s">
        <v>158</v>
      </c>
      <c r="V243" s="324" t="s">
        <v>179</v>
      </c>
      <c r="W243" s="324" t="s">
        <v>55</v>
      </c>
      <c r="X243" s="324" t="s">
        <v>495</v>
      </c>
      <c r="Y243" s="324">
        <v>100000</v>
      </c>
      <c r="Z243" s="324">
        <v>110000.00000000001</v>
      </c>
      <c r="AA243" s="324">
        <v>-210172.79364844802</v>
      </c>
      <c r="AB243" s="324" t="s">
        <v>55</v>
      </c>
    </row>
    <row r="244" spans="1:33" s="324" customFormat="1" ht="0.65" hidden="1" customHeight="1">
      <c r="A244" s="324">
        <v>1012</v>
      </c>
      <c r="C244" s="324" t="s">
        <v>8</v>
      </c>
      <c r="D244" s="324">
        <v>60</v>
      </c>
      <c r="T244" s="324">
        <v>7</v>
      </c>
      <c r="U244" s="324" t="s">
        <v>159</v>
      </c>
      <c r="V244" s="324" t="s">
        <v>178</v>
      </c>
      <c r="W244" s="324" t="s">
        <v>55</v>
      </c>
      <c r="X244" s="324" t="s">
        <v>492</v>
      </c>
      <c r="Y244" s="324">
        <v>200000</v>
      </c>
      <c r="Z244" s="324">
        <v>180000</v>
      </c>
      <c r="AA244" s="324">
        <v>-225381.05281541136</v>
      </c>
      <c r="AB244" s="324" t="s">
        <v>55</v>
      </c>
      <c r="AC244" s="324">
        <v>4</v>
      </c>
      <c r="AD244" s="324" t="s">
        <v>55</v>
      </c>
      <c r="AE244" s="324" t="s">
        <v>55</v>
      </c>
      <c r="AF244" s="324" t="s">
        <v>55</v>
      </c>
      <c r="AG244" s="324" t="s">
        <v>55</v>
      </c>
    </row>
    <row r="245" spans="1:33" s="324" customFormat="1" ht="0.65" hidden="1" customHeight="1">
      <c r="A245" s="324">
        <v>1013</v>
      </c>
      <c r="O245" s="324" t="s">
        <v>13</v>
      </c>
      <c r="P245" s="324">
        <v>-210381.05281541136</v>
      </c>
      <c r="T245" s="324">
        <v>8</v>
      </c>
      <c r="U245" s="324" t="s">
        <v>160</v>
      </c>
      <c r="V245" s="324" t="s">
        <v>178</v>
      </c>
      <c r="W245" s="324" t="s">
        <v>55</v>
      </c>
      <c r="X245" s="324" t="s">
        <v>489</v>
      </c>
      <c r="Y245" s="324">
        <v>100000</v>
      </c>
      <c r="Z245" s="324">
        <v>110000.00000000001</v>
      </c>
      <c r="AA245" s="324">
        <v>-216678.19743815361</v>
      </c>
      <c r="AB245" s="324" t="s">
        <v>55</v>
      </c>
    </row>
    <row r="246" spans="1:33" s="324" customFormat="1" ht="0.65" hidden="1" customHeight="1">
      <c r="A246" s="324">
        <v>1014</v>
      </c>
      <c r="C246" s="324" t="s">
        <v>33</v>
      </c>
      <c r="O246" s="324" t="s">
        <v>28</v>
      </c>
      <c r="P246" s="324">
        <v>-4.8576778446782765E-2</v>
      </c>
      <c r="T246" s="324">
        <v>9</v>
      </c>
      <c r="U246" s="324" t="s">
        <v>161</v>
      </c>
      <c r="V246" s="324" t="s">
        <v>179</v>
      </c>
      <c r="W246" s="324" t="s">
        <v>55</v>
      </c>
      <c r="X246" s="324" t="s">
        <v>34</v>
      </c>
      <c r="Y246" s="324">
        <v>420000</v>
      </c>
      <c r="Z246" s="324">
        <v>462000.00000000006</v>
      </c>
      <c r="AA246" s="324">
        <v>-127270.83431288904</v>
      </c>
      <c r="AB246" s="324" t="s">
        <v>55</v>
      </c>
      <c r="AC246" s="324">
        <v>5</v>
      </c>
      <c r="AD246" s="324" t="s">
        <v>55</v>
      </c>
      <c r="AE246" s="324" t="s">
        <v>55</v>
      </c>
      <c r="AF246" s="324" t="s">
        <v>55</v>
      </c>
      <c r="AG246" s="324" t="s">
        <v>55</v>
      </c>
    </row>
    <row r="247" spans="1:33" s="324" customFormat="1" ht="0.65" hidden="1" customHeight="1">
      <c r="A247" s="324">
        <v>1015</v>
      </c>
      <c r="C247" s="324" t="s">
        <v>492</v>
      </c>
      <c r="D247" s="324">
        <v>200000</v>
      </c>
      <c r="K247" s="324" t="s">
        <v>127</v>
      </c>
      <c r="L247" s="324" t="s">
        <v>36</v>
      </c>
      <c r="M247" s="324" t="s">
        <v>55</v>
      </c>
      <c r="T247" s="324">
        <v>10</v>
      </c>
      <c r="U247" s="324" t="s">
        <v>162</v>
      </c>
      <c r="V247" s="324" t="s">
        <v>178</v>
      </c>
      <c r="W247" s="324" t="s">
        <v>55</v>
      </c>
      <c r="X247" s="324" t="s">
        <v>7</v>
      </c>
      <c r="Y247" s="324">
        <v>90</v>
      </c>
      <c r="Z247" s="324">
        <v>120</v>
      </c>
      <c r="AA247" s="324">
        <v>-214013.24583380911</v>
      </c>
      <c r="AB247" s="324" t="s">
        <v>55</v>
      </c>
    </row>
    <row r="248" spans="1:33" s="324" customFormat="1" ht="0.65" hidden="1" customHeight="1">
      <c r="A248" s="324">
        <v>1016</v>
      </c>
      <c r="C248" s="324" t="s">
        <v>495</v>
      </c>
      <c r="D248" s="324">
        <v>100000</v>
      </c>
      <c r="E248" s="324" t="s">
        <v>55</v>
      </c>
      <c r="K248" s="324" t="s">
        <v>496</v>
      </c>
      <c r="L248" s="324" t="s">
        <v>424</v>
      </c>
      <c r="T248" s="324">
        <v>11</v>
      </c>
      <c r="U248" s="324" t="s">
        <v>163</v>
      </c>
      <c r="V248" s="324" t="s">
        <v>179</v>
      </c>
      <c r="W248" s="324" t="s">
        <v>55</v>
      </c>
      <c r="X248" s="324" t="s">
        <v>35</v>
      </c>
      <c r="Y248" s="324">
        <v>300000</v>
      </c>
      <c r="Z248" s="324">
        <v>270000</v>
      </c>
      <c r="AA248" s="324">
        <v>-150757.16866943854</v>
      </c>
      <c r="AB248" s="324" t="s">
        <v>55</v>
      </c>
      <c r="AC248" s="324">
        <v>6</v>
      </c>
      <c r="AD248" s="324" t="s">
        <v>55</v>
      </c>
      <c r="AE248" s="324" t="s">
        <v>55</v>
      </c>
      <c r="AF248" s="324" t="s">
        <v>55</v>
      </c>
      <c r="AG248" s="324" t="s">
        <v>55</v>
      </c>
    </row>
    <row r="249" spans="1:33" s="324" customFormat="1" ht="0.65" hidden="1" customHeight="1">
      <c r="A249" s="324">
        <v>1017</v>
      </c>
      <c r="C249" s="324" t="s">
        <v>6</v>
      </c>
      <c r="D249" s="324">
        <v>2</v>
      </c>
      <c r="K249" s="324" t="s">
        <v>410</v>
      </c>
      <c r="L249" s="324">
        <v>0</v>
      </c>
      <c r="M249" s="324" t="s">
        <v>337</v>
      </c>
      <c r="T249" s="324">
        <v>12</v>
      </c>
      <c r="U249" s="324" t="s">
        <v>164</v>
      </c>
      <c r="V249" s="324" t="s">
        <v>178</v>
      </c>
      <c r="W249" s="324" t="s">
        <v>55</v>
      </c>
      <c r="X249" s="324" t="s">
        <v>8</v>
      </c>
      <c r="Y249" s="324">
        <v>60</v>
      </c>
      <c r="Z249" s="324">
        <v>30</v>
      </c>
      <c r="AA249" s="324">
        <v>-212975.47639998115</v>
      </c>
      <c r="AB249" s="324" t="s">
        <v>55</v>
      </c>
    </row>
    <row r="250" spans="1:33" s="324" customFormat="1" ht="0.65" hidden="1" customHeight="1">
      <c r="A250" s="324">
        <v>1018</v>
      </c>
      <c r="C250" s="324" t="s">
        <v>489</v>
      </c>
      <c r="D250" s="324">
        <v>100000</v>
      </c>
      <c r="N250" s="324" t="s">
        <v>55</v>
      </c>
      <c r="T250" s="324">
        <v>13</v>
      </c>
      <c r="U250" s="324" t="s">
        <v>165</v>
      </c>
      <c r="V250" s="324" t="s">
        <v>178</v>
      </c>
      <c r="W250" s="324" t="s">
        <v>55</v>
      </c>
      <c r="X250" s="324" t="s">
        <v>10</v>
      </c>
      <c r="Y250" s="324">
        <v>350000</v>
      </c>
      <c r="Z250" s="324">
        <v>385000.00000000006</v>
      </c>
      <c r="AA250" s="324">
        <v>-213312.74465488936</v>
      </c>
      <c r="AB250" s="324" t="s">
        <v>55</v>
      </c>
      <c r="AC250" s="324">
        <v>7</v>
      </c>
      <c r="AD250" s="324" t="s">
        <v>55</v>
      </c>
      <c r="AE250" s="324" t="s">
        <v>55</v>
      </c>
      <c r="AF250" s="324" t="s">
        <v>55</v>
      </c>
      <c r="AG250" s="324" t="s">
        <v>55</v>
      </c>
    </row>
    <row r="251" spans="1:33" s="324" customFormat="1" ht="0.65" hidden="1" customHeight="1">
      <c r="A251" s="324">
        <v>1019</v>
      </c>
      <c r="K251" s="324" t="s">
        <v>413</v>
      </c>
      <c r="L251" s="324">
        <v>33</v>
      </c>
      <c r="M251" s="324" t="s">
        <v>55</v>
      </c>
      <c r="T251" s="324">
        <v>14</v>
      </c>
      <c r="U251" s="324" t="s">
        <v>166</v>
      </c>
      <c r="V251" s="324" t="s">
        <v>179</v>
      </c>
      <c r="W251" s="324" t="s">
        <v>55</v>
      </c>
      <c r="X251" s="324" t="s">
        <v>12</v>
      </c>
      <c r="Y251" s="324">
        <v>2.2499999999999999E-2</v>
      </c>
      <c r="Z251" s="324">
        <v>1.2499999999999999E-2</v>
      </c>
      <c r="AA251" s="324">
        <v>-202465.14212207831</v>
      </c>
      <c r="AB251" s="324" t="s">
        <v>55</v>
      </c>
    </row>
    <row r="252" spans="1:33" s="324" customFormat="1" ht="0.65" hidden="1" customHeight="1">
      <c r="A252" s="324">
        <v>1020</v>
      </c>
      <c r="C252" s="324" t="s">
        <v>4</v>
      </c>
      <c r="D252" s="324">
        <v>0.25</v>
      </c>
      <c r="K252" s="324" t="s">
        <v>479</v>
      </c>
      <c r="N252" s="324" t="s">
        <v>466</v>
      </c>
      <c r="T252" s="324">
        <v>15</v>
      </c>
      <c r="U252" s="324" t="s">
        <v>167</v>
      </c>
      <c r="V252" s="324" t="s">
        <v>178</v>
      </c>
      <c r="W252" s="324" t="s">
        <v>55</v>
      </c>
      <c r="X252" s="324" t="s">
        <v>11</v>
      </c>
      <c r="Y252" s="324">
        <v>420000</v>
      </c>
      <c r="Z252" s="324">
        <v>462000.00000000006</v>
      </c>
      <c r="AA252" s="324">
        <v>-215062.2492872072</v>
      </c>
      <c r="AB252" s="324" t="s">
        <v>55</v>
      </c>
      <c r="AC252" s="324">
        <v>8</v>
      </c>
      <c r="AD252" s="324" t="s">
        <v>55</v>
      </c>
      <c r="AE252" s="324" t="s">
        <v>55</v>
      </c>
      <c r="AF252" s="324" t="s">
        <v>55</v>
      </c>
      <c r="AG252" s="324" t="s">
        <v>55</v>
      </c>
    </row>
    <row r="253" spans="1:33" s="324" customFormat="1" ht="0.65" hidden="1" customHeight="1">
      <c r="A253" s="324">
        <v>1021</v>
      </c>
      <c r="D253" s="324" t="s">
        <v>9</v>
      </c>
      <c r="K253" s="324" t="s">
        <v>409</v>
      </c>
      <c r="L253" s="324" t="s">
        <v>38</v>
      </c>
      <c r="M253" s="324" t="s">
        <v>55</v>
      </c>
      <c r="N253" s="324" t="s">
        <v>467</v>
      </c>
      <c r="O253" s="324" t="s">
        <v>468</v>
      </c>
      <c r="T253" s="324">
        <v>16</v>
      </c>
      <c r="U253" s="324" t="s">
        <v>168</v>
      </c>
      <c r="V253" s="324" t="s">
        <v>181</v>
      </c>
      <c r="W253" s="324" t="s">
        <v>55</v>
      </c>
      <c r="X253" s="324" t="s">
        <v>3</v>
      </c>
      <c r="Y253" s="324">
        <v>7000000</v>
      </c>
      <c r="Z253" s="324">
        <v>7700000.0000000009</v>
      </c>
      <c r="AA253" s="324">
        <v>-207570.40876629759</v>
      </c>
      <c r="AB253" s="324" t="s">
        <v>55</v>
      </c>
    </row>
    <row r="254" spans="1:33" s="324" customFormat="1" ht="0.65" hidden="1" customHeight="1">
      <c r="A254" s="324">
        <v>1022</v>
      </c>
      <c r="N254" s="324" t="s">
        <v>469</v>
      </c>
      <c r="O254" s="324" t="s">
        <v>470</v>
      </c>
      <c r="T254" s="324">
        <v>17</v>
      </c>
      <c r="U254" s="324" t="s">
        <v>169</v>
      </c>
      <c r="V254" s="324" t="s">
        <v>178</v>
      </c>
      <c r="W254" s="324" t="s">
        <v>55</v>
      </c>
      <c r="X254" s="324" t="s">
        <v>2</v>
      </c>
      <c r="Y254" s="324">
        <v>7000000</v>
      </c>
      <c r="Z254" s="324">
        <v>3500000</v>
      </c>
      <c r="AA254" s="324">
        <v>-227677.7133251988</v>
      </c>
      <c r="AB254" s="324" t="s">
        <v>55</v>
      </c>
      <c r="AC254" s="324">
        <v>9</v>
      </c>
      <c r="AD254" s="324" t="s">
        <v>55</v>
      </c>
      <c r="AE254" s="324" t="s">
        <v>55</v>
      </c>
      <c r="AF254" s="324" t="s">
        <v>55</v>
      </c>
      <c r="AG254" s="324" t="s">
        <v>55</v>
      </c>
    </row>
    <row r="255" spans="1:33" s="324" customFormat="1" ht="0.65" hidden="1" customHeight="1">
      <c r="A255" s="324">
        <v>1023</v>
      </c>
      <c r="C255" s="324" t="s">
        <v>10</v>
      </c>
      <c r="D255" s="324">
        <v>350000</v>
      </c>
      <c r="N255" s="324" t="s">
        <v>471</v>
      </c>
      <c r="O255" s="324" t="s">
        <v>472</v>
      </c>
      <c r="T255" s="324">
        <v>18</v>
      </c>
      <c r="U255" s="324" t="s">
        <v>170</v>
      </c>
      <c r="V255" s="324" t="s">
        <v>181</v>
      </c>
      <c r="W255" s="324" t="s">
        <v>55</v>
      </c>
      <c r="X255" s="324" t="s">
        <v>4</v>
      </c>
      <c r="Y255" s="324">
        <v>0.25</v>
      </c>
      <c r="Z255" s="324">
        <v>0.3</v>
      </c>
      <c r="AA255" s="324">
        <v>-203834.30797272711</v>
      </c>
      <c r="AB255" s="324" t="s">
        <v>55</v>
      </c>
    </row>
    <row r="256" spans="1:33" s="324" customFormat="1" ht="0.65" hidden="1" customHeight="1">
      <c r="A256" s="324">
        <v>1024</v>
      </c>
      <c r="C256" s="324" t="s">
        <v>11</v>
      </c>
      <c r="D256" s="324">
        <v>420000</v>
      </c>
      <c r="I256" s="324" t="s">
        <v>320</v>
      </c>
      <c r="K256" s="324" t="s">
        <v>497</v>
      </c>
      <c r="L256" s="324" t="s">
        <v>498</v>
      </c>
      <c r="M256" s="324" t="s">
        <v>55</v>
      </c>
      <c r="T256" s="324">
        <v>19</v>
      </c>
      <c r="U256" s="324" t="s">
        <v>171</v>
      </c>
      <c r="V256" s="324" t="s">
        <v>181</v>
      </c>
      <c r="W256" s="324" t="s">
        <v>55</v>
      </c>
      <c r="X256" s="324" t="s">
        <v>14</v>
      </c>
      <c r="Y256" s="324" t="s">
        <v>16</v>
      </c>
      <c r="Z256" s="324">
        <v>4</v>
      </c>
      <c r="AA256" s="324">
        <v>-160716.78013038752</v>
      </c>
      <c r="AB256" s="324" t="s">
        <v>55</v>
      </c>
      <c r="AC256" s="324">
        <v>10</v>
      </c>
      <c r="AD256" s="324" t="s">
        <v>55</v>
      </c>
      <c r="AE256" s="324" t="s">
        <v>55</v>
      </c>
      <c r="AF256" s="324" t="s">
        <v>55</v>
      </c>
      <c r="AG256" s="324" t="s">
        <v>55</v>
      </c>
    </row>
    <row r="257" spans="1:33" s="324" customFormat="1" ht="0.65" hidden="1" customHeight="1">
      <c r="A257" s="324">
        <v>1025</v>
      </c>
      <c r="C257" s="324" t="s">
        <v>12</v>
      </c>
      <c r="D257" s="324">
        <v>2.2499999999999999E-2</v>
      </c>
    </row>
    <row r="258" spans="1:33" s="324" customFormat="1" ht="0.65" hidden="1" customHeight="1">
      <c r="A258" s="324">
        <v>1026</v>
      </c>
      <c r="C258" s="324" t="s">
        <v>2</v>
      </c>
      <c r="D258" s="324">
        <v>7000000</v>
      </c>
      <c r="I258" s="324" t="s">
        <v>318</v>
      </c>
      <c r="K258" s="324" t="s">
        <v>497</v>
      </c>
      <c r="L258" s="324" t="s">
        <v>498</v>
      </c>
      <c r="M258" s="324" t="s">
        <v>499</v>
      </c>
      <c r="AC258" s="324">
        <v>11</v>
      </c>
      <c r="AD258" s="324" t="s">
        <v>55</v>
      </c>
      <c r="AE258" s="324" t="s">
        <v>55</v>
      </c>
      <c r="AF258" s="324" t="s">
        <v>55</v>
      </c>
      <c r="AG258" s="324" t="s">
        <v>55</v>
      </c>
    </row>
    <row r="259" spans="1:33" s="324" customFormat="1" ht="0.65" hidden="1" customHeight="1">
      <c r="A259" s="324">
        <v>1027</v>
      </c>
      <c r="C259" s="324" t="s">
        <v>3</v>
      </c>
      <c r="D259" s="324">
        <v>7000000</v>
      </c>
      <c r="U259" s="324" t="s">
        <v>127</v>
      </c>
      <c r="V259" s="324" t="s">
        <v>36</v>
      </c>
      <c r="W259" s="324" t="s">
        <v>55</v>
      </c>
    </row>
    <row r="260" spans="1:33" s="324" customFormat="1" ht="0.65" hidden="1" customHeight="1">
      <c r="A260" s="324">
        <v>1028</v>
      </c>
      <c r="AC260" s="324">
        <v>12</v>
      </c>
      <c r="AD260" s="324" t="s">
        <v>55</v>
      </c>
      <c r="AE260" s="324" t="s">
        <v>55</v>
      </c>
      <c r="AF260" s="324" t="s">
        <v>55</v>
      </c>
      <c r="AG260" s="324" t="s">
        <v>55</v>
      </c>
    </row>
    <row r="261" spans="1:33" s="324" customFormat="1" ht="0.65" hidden="1" customHeight="1">
      <c r="A261" s="324">
        <v>1029</v>
      </c>
      <c r="C261" s="324" t="s">
        <v>14</v>
      </c>
      <c r="D261" s="324" t="s">
        <v>16</v>
      </c>
      <c r="V261" s="324">
        <v>0</v>
      </c>
    </row>
    <row r="262" spans="1:33" s="324" customFormat="1" ht="0.65" hidden="1" customHeight="1">
      <c r="A262" s="324">
        <v>1030</v>
      </c>
      <c r="G262" s="324" t="s">
        <v>128</v>
      </c>
      <c r="M262" s="324" t="s">
        <v>500</v>
      </c>
      <c r="AC262" s="324">
        <v>13</v>
      </c>
      <c r="AD262" s="324" t="s">
        <v>55</v>
      </c>
      <c r="AE262" s="324" t="s">
        <v>55</v>
      </c>
      <c r="AF262" s="324" t="s">
        <v>55</v>
      </c>
      <c r="AG262" s="324" t="s">
        <v>55</v>
      </c>
    </row>
    <row r="263" spans="1:33" s="324" customFormat="1" ht="0.65" hidden="1" customHeight="1">
      <c r="A263" s="324">
        <v>1031</v>
      </c>
      <c r="B263" s="324" t="s">
        <v>460</v>
      </c>
      <c r="F263" s="324">
        <v>1</v>
      </c>
      <c r="I263" s="324" t="s">
        <v>129</v>
      </c>
      <c r="J263" s="324">
        <v>1</v>
      </c>
      <c r="K263" s="324" t="s">
        <v>501</v>
      </c>
      <c r="U263" s="324" t="s">
        <v>204</v>
      </c>
      <c r="V263" s="324">
        <v>12</v>
      </c>
      <c r="W263" s="324" t="s">
        <v>55</v>
      </c>
    </row>
    <row r="264" spans="1:33" s="324" customFormat="1" ht="0.65" hidden="1" customHeight="1">
      <c r="A264" s="324">
        <v>1032</v>
      </c>
      <c r="F264" s="324">
        <v>1.5</v>
      </c>
      <c r="I264" s="324" t="s">
        <v>138</v>
      </c>
      <c r="J264" s="324">
        <v>1.5</v>
      </c>
      <c r="K264" s="324" t="s">
        <v>502</v>
      </c>
      <c r="Z264" s="324" t="s">
        <v>291</v>
      </c>
      <c r="AC264" s="324">
        <v>14</v>
      </c>
      <c r="AD264" s="324" t="s">
        <v>55</v>
      </c>
      <c r="AE264" s="324" t="s">
        <v>55</v>
      </c>
      <c r="AF264" s="324" t="s">
        <v>55</v>
      </c>
      <c r="AG264" s="324" t="s">
        <v>55</v>
      </c>
    </row>
    <row r="265" spans="1:33" s="324" customFormat="1" ht="0.65" hidden="1" customHeight="1">
      <c r="A265" s="324">
        <v>1033</v>
      </c>
      <c r="F265" s="324">
        <v>1.5</v>
      </c>
      <c r="I265" s="324" t="s">
        <v>130</v>
      </c>
      <c r="J265" s="324">
        <v>1.5</v>
      </c>
      <c r="K265" s="324" t="s">
        <v>502</v>
      </c>
      <c r="W265" s="324" t="s">
        <v>139</v>
      </c>
      <c r="X265" s="324" t="s">
        <v>174</v>
      </c>
      <c r="Z265" s="324" t="s">
        <v>503</v>
      </c>
      <c r="AA265" s="324">
        <v>-2594.4235845698167</v>
      </c>
      <c r="AB265" s="324">
        <v>-2594.4235845698167</v>
      </c>
    </row>
    <row r="266" spans="1:33" s="324" customFormat="1" ht="0.65" hidden="1" customHeight="1">
      <c r="A266" s="324">
        <v>1034</v>
      </c>
      <c r="F266" s="324">
        <v>1</v>
      </c>
      <c r="I266" s="324" t="s">
        <v>131</v>
      </c>
      <c r="J266" s="324">
        <v>1</v>
      </c>
      <c r="K266" s="324" t="s">
        <v>501</v>
      </c>
      <c r="V266" s="324" t="s">
        <v>177</v>
      </c>
      <c r="W266" s="324" t="s">
        <v>173</v>
      </c>
      <c r="X266" s="324" t="s">
        <v>175</v>
      </c>
      <c r="Z266" s="324">
        <v>-2594.4235845698167</v>
      </c>
      <c r="AA266" s="324">
        <v>-2594.4235845698167</v>
      </c>
      <c r="AB266" s="324">
        <v>-2594.4235845698167</v>
      </c>
      <c r="AC266" s="324">
        <v>15</v>
      </c>
      <c r="AD266" s="324" t="s">
        <v>55</v>
      </c>
      <c r="AE266" s="324" t="s">
        <v>55</v>
      </c>
      <c r="AF266" s="324" t="s">
        <v>55</v>
      </c>
      <c r="AG266" s="324" t="s">
        <v>55</v>
      </c>
    </row>
    <row r="267" spans="1:33" s="324" customFormat="1" ht="0.65" hidden="1" customHeight="1">
      <c r="A267" s="324">
        <v>1035</v>
      </c>
      <c r="F267" s="324">
        <v>1</v>
      </c>
      <c r="I267" s="324" t="s">
        <v>132</v>
      </c>
      <c r="J267" s="324">
        <v>1</v>
      </c>
      <c r="K267" s="324" t="s">
        <v>501</v>
      </c>
      <c r="T267" s="324">
        <v>12</v>
      </c>
      <c r="U267" s="324" t="s">
        <v>164</v>
      </c>
      <c r="V267" s="324" t="s">
        <v>8</v>
      </c>
      <c r="W267" s="324">
        <v>60</v>
      </c>
      <c r="X267" s="324">
        <v>30</v>
      </c>
      <c r="Z267" s="324">
        <v>-2594.4235845698167</v>
      </c>
      <c r="AA267" s="324">
        <v>-2594.4235845698167</v>
      </c>
      <c r="AB267" s="324">
        <v>-2594.4235845698167</v>
      </c>
    </row>
    <row r="268" spans="1:33" s="324" customFormat="1" ht="0.65" hidden="1" customHeight="1">
      <c r="A268" s="324">
        <v>1036</v>
      </c>
      <c r="F268" s="324">
        <v>0.5</v>
      </c>
      <c r="I268" s="324" t="s">
        <v>133</v>
      </c>
      <c r="J268" s="324">
        <v>0.5</v>
      </c>
      <c r="K268" s="324" t="s">
        <v>504</v>
      </c>
      <c r="V268" s="324" t="s">
        <v>13</v>
      </c>
      <c r="W268" s="324">
        <v>-210381.05281541136</v>
      </c>
      <c r="X268" s="324">
        <v>-212975.47639998142</v>
      </c>
      <c r="Z268" s="324">
        <v>-2594.4235845698167</v>
      </c>
      <c r="AA268" s="324">
        <v>-2594.4235845698167</v>
      </c>
      <c r="AB268" s="324">
        <v>-2594.4235845698167</v>
      </c>
      <c r="AC268" s="324">
        <v>16</v>
      </c>
      <c r="AD268" s="324" t="s">
        <v>55</v>
      </c>
      <c r="AE268" s="324" t="s">
        <v>55</v>
      </c>
      <c r="AF268" s="324" t="s">
        <v>55</v>
      </c>
      <c r="AG268" s="324" t="s">
        <v>55</v>
      </c>
    </row>
    <row r="269" spans="1:33" s="324" customFormat="1" ht="0.65" hidden="1" customHeight="1">
      <c r="A269" s="324">
        <v>1037</v>
      </c>
      <c r="F269" s="324">
        <v>0.5</v>
      </c>
      <c r="I269" s="324" t="s">
        <v>134</v>
      </c>
      <c r="J269" s="324">
        <v>0.5</v>
      </c>
      <c r="K269" s="324" t="s">
        <v>504</v>
      </c>
      <c r="V269" s="324" t="s">
        <v>505</v>
      </c>
      <c r="X269" s="324">
        <v>-2594.4235845698167</v>
      </c>
      <c r="Z269" s="324">
        <v>-2594.4235845698167</v>
      </c>
      <c r="AA269" s="324">
        <v>-2594.4235845698167</v>
      </c>
      <c r="AB269" s="324">
        <v>-2594.4235845698167</v>
      </c>
    </row>
    <row r="270" spans="1:33" s="324" customFormat="1" ht="0.65" hidden="1" customHeight="1">
      <c r="A270" s="324">
        <v>1038</v>
      </c>
      <c r="F270" s="324">
        <v>1</v>
      </c>
      <c r="I270" s="324" t="s">
        <v>135</v>
      </c>
      <c r="J270" s="324">
        <v>1</v>
      </c>
      <c r="K270" s="324" t="s">
        <v>501</v>
      </c>
      <c r="Z270" s="324">
        <v>-2594.4235845698167</v>
      </c>
      <c r="AA270" s="324">
        <v>-2594.4235845698167</v>
      </c>
      <c r="AB270" s="324">
        <v>-2594.4235845698167</v>
      </c>
      <c r="AC270" s="324">
        <v>17</v>
      </c>
      <c r="AD270" s="324" t="s">
        <v>55</v>
      </c>
      <c r="AE270" s="324" t="s">
        <v>55</v>
      </c>
      <c r="AF270" s="324" t="s">
        <v>55</v>
      </c>
      <c r="AG270" s="324" t="s">
        <v>55</v>
      </c>
    </row>
    <row r="271" spans="1:33" s="324" customFormat="1" ht="0.65" hidden="1" customHeight="1">
      <c r="A271" s="324">
        <v>1039</v>
      </c>
      <c r="F271" s="324">
        <v>0.5</v>
      </c>
      <c r="I271" s="324" t="s">
        <v>13</v>
      </c>
      <c r="J271" s="324">
        <v>0.5</v>
      </c>
      <c r="K271" s="324" t="s">
        <v>504</v>
      </c>
    </row>
    <row r="272" spans="1:33" s="324" customFormat="1" ht="0.65" hidden="1" customHeight="1">
      <c r="A272" s="324">
        <v>1040</v>
      </c>
      <c r="F272" s="324">
        <v>0.5</v>
      </c>
      <c r="I272" s="324" t="s">
        <v>28</v>
      </c>
      <c r="J272" s="324">
        <v>0.5</v>
      </c>
      <c r="K272" s="324" t="s">
        <v>504</v>
      </c>
      <c r="U272" s="324" t="s">
        <v>196</v>
      </c>
      <c r="AC272" s="324">
        <v>18</v>
      </c>
      <c r="AD272" s="324" t="s">
        <v>55</v>
      </c>
      <c r="AE272" s="324" t="s">
        <v>55</v>
      </c>
      <c r="AF272" s="324" t="s">
        <v>55</v>
      </c>
      <c r="AG272" s="324" t="s">
        <v>55</v>
      </c>
    </row>
    <row r="273" spans="1:42" s="324" customFormat="1" ht="0.65" hidden="1" customHeight="1">
      <c r="A273" s="324">
        <v>1041</v>
      </c>
      <c r="F273" s="324">
        <v>1</v>
      </c>
      <c r="I273" s="324" t="s">
        <v>136</v>
      </c>
      <c r="J273" s="324">
        <v>1</v>
      </c>
      <c r="K273" s="324" t="s">
        <v>501</v>
      </c>
    </row>
    <row r="274" spans="1:42" s="324" customFormat="1" ht="0.65" hidden="1" customHeight="1">
      <c r="A274" s="324">
        <v>1042</v>
      </c>
      <c r="F274" s="324">
        <v>10</v>
      </c>
      <c r="I274" s="324" t="s">
        <v>137</v>
      </c>
      <c r="J274" s="324">
        <v>10</v>
      </c>
      <c r="K274" s="324" t="s">
        <v>506</v>
      </c>
      <c r="AC274" s="324">
        <v>19</v>
      </c>
      <c r="AD274" s="324" t="s">
        <v>55</v>
      </c>
      <c r="AE274" s="324" t="s">
        <v>55</v>
      </c>
      <c r="AF274" s="324" t="s">
        <v>55</v>
      </c>
      <c r="AG274" s="324" t="s">
        <v>55</v>
      </c>
    </row>
    <row r="275" spans="1:42" s="324" customFormat="1" ht="0.65" hidden="1" customHeight="1">
      <c r="A275" s="324">
        <v>1043</v>
      </c>
    </row>
    <row r="276" spans="1:42" s="324" customFormat="1" ht="0.65" hidden="1" customHeight="1">
      <c r="A276" s="324">
        <v>1044</v>
      </c>
      <c r="AC276" s="324">
        <v>20</v>
      </c>
      <c r="AD276" s="324" t="s">
        <v>55</v>
      </c>
      <c r="AE276" s="324" t="s">
        <v>55</v>
      </c>
      <c r="AF276" s="324" t="s">
        <v>55</v>
      </c>
      <c r="AG276" s="324" t="s">
        <v>55</v>
      </c>
    </row>
    <row r="277" spans="1:42" s="324" customFormat="1" ht="0.65" hidden="1" customHeight="1">
      <c r="A277" s="324">
        <v>1045</v>
      </c>
    </row>
    <row r="278" spans="1:42" s="324" customFormat="1" ht="0.65" hidden="1" customHeight="1">
      <c r="A278" s="324">
        <v>1046</v>
      </c>
    </row>
    <row r="279" spans="1:42" s="324" customFormat="1" ht="0.65" hidden="1" customHeight="1">
      <c r="A279" s="324">
        <v>1047</v>
      </c>
      <c r="G279" s="324">
        <v>1</v>
      </c>
      <c r="H279" s="324">
        <v>2</v>
      </c>
      <c r="I279" s="324">
        <v>3</v>
      </c>
      <c r="J279" s="324">
        <v>4</v>
      </c>
      <c r="K279" s="324">
        <v>5</v>
      </c>
      <c r="L279" s="324">
        <v>6</v>
      </c>
      <c r="M279" s="324">
        <v>7</v>
      </c>
      <c r="N279" s="324">
        <v>8</v>
      </c>
      <c r="O279" s="324">
        <v>9</v>
      </c>
      <c r="P279" s="324">
        <v>10</v>
      </c>
    </row>
    <row r="280" spans="1:42" s="324" customFormat="1" ht="0.65" hidden="1" customHeight="1">
      <c r="A280" s="324">
        <v>1048</v>
      </c>
      <c r="G280" s="324" t="s">
        <v>212</v>
      </c>
      <c r="H280" s="324" t="s">
        <v>213</v>
      </c>
      <c r="I280" s="324" t="s">
        <v>214</v>
      </c>
      <c r="J280" s="324" t="s">
        <v>215</v>
      </c>
      <c r="K280" s="324" t="s">
        <v>216</v>
      </c>
      <c r="L280" s="324" t="s">
        <v>218</v>
      </c>
      <c r="M280" s="324" t="s">
        <v>219</v>
      </c>
      <c r="N280" s="324" t="s">
        <v>220</v>
      </c>
      <c r="O280" s="324" t="s">
        <v>221</v>
      </c>
      <c r="P280" s="324" t="s">
        <v>222</v>
      </c>
    </row>
    <row r="281" spans="1:42" s="324" customFormat="1" ht="0.65" hidden="1" customHeight="1">
      <c r="A281" s="324">
        <v>1049</v>
      </c>
      <c r="G281" s="324">
        <v>55000</v>
      </c>
      <c r="H281" s="324">
        <v>110000</v>
      </c>
      <c r="I281" s="324" t="s">
        <v>55</v>
      </c>
      <c r="J281" s="324" t="s">
        <v>55</v>
      </c>
      <c r="K281" s="324" t="s">
        <v>55</v>
      </c>
      <c r="L281" s="324" t="s">
        <v>55</v>
      </c>
      <c r="M281" s="324" t="s">
        <v>55</v>
      </c>
      <c r="N281" s="324" t="s">
        <v>55</v>
      </c>
      <c r="O281" s="324" t="s">
        <v>499</v>
      </c>
      <c r="P281" s="324" t="s">
        <v>507</v>
      </c>
    </row>
    <row r="282" spans="1:42" s="324" customFormat="1" ht="0.65" hidden="1" customHeight="1">
      <c r="A282" s="324">
        <v>1050</v>
      </c>
      <c r="G282" s="324" t="s">
        <v>267</v>
      </c>
      <c r="H282" s="324" t="s">
        <v>268</v>
      </c>
      <c r="I282" s="324" t="s">
        <v>55</v>
      </c>
      <c r="J282" s="324" t="s">
        <v>55</v>
      </c>
      <c r="K282" s="324" t="s">
        <v>55</v>
      </c>
      <c r="L282" s="324" t="s">
        <v>55</v>
      </c>
      <c r="M282" s="324" t="s">
        <v>55</v>
      </c>
      <c r="N282" s="324" t="s">
        <v>55</v>
      </c>
      <c r="O282" s="324" t="s">
        <v>55</v>
      </c>
      <c r="P282" s="324" t="s">
        <v>55</v>
      </c>
    </row>
    <row r="283" spans="1:42" s="324" customFormat="1" ht="0.65" hidden="1" customHeight="1">
      <c r="A283" s="324">
        <v>1051</v>
      </c>
    </row>
    <row r="284" spans="1:42" s="324" customFormat="1" ht="0.65" hidden="1" customHeight="1">
      <c r="A284" s="324">
        <v>1052</v>
      </c>
      <c r="B284" s="324">
        <v>2</v>
      </c>
      <c r="C284" s="324">
        <v>3</v>
      </c>
      <c r="D284" s="324">
        <v>4</v>
      </c>
      <c r="E284" s="324">
        <v>5</v>
      </c>
      <c r="F284" s="324">
        <v>6</v>
      </c>
      <c r="G284" s="324">
        <v>7</v>
      </c>
      <c r="H284" s="324">
        <v>8</v>
      </c>
      <c r="I284" s="324">
        <v>9</v>
      </c>
      <c r="J284" s="324">
        <v>10</v>
      </c>
      <c r="K284" s="324">
        <v>11</v>
      </c>
      <c r="L284" s="324">
        <v>12</v>
      </c>
      <c r="M284" s="324">
        <v>13</v>
      </c>
      <c r="N284" s="324">
        <v>14</v>
      </c>
      <c r="O284" s="324">
        <v>15</v>
      </c>
      <c r="P284" s="324">
        <v>16</v>
      </c>
      <c r="Q284" s="324">
        <v>17</v>
      </c>
      <c r="R284" s="324">
        <v>18</v>
      </c>
      <c r="S284" s="324">
        <v>19</v>
      </c>
      <c r="T284" s="324">
        <v>20</v>
      </c>
      <c r="U284" s="324">
        <v>21</v>
      </c>
      <c r="V284" s="324">
        <v>22</v>
      </c>
      <c r="W284" s="324">
        <v>23</v>
      </c>
      <c r="X284" s="324">
        <v>24</v>
      </c>
      <c r="Y284" s="324">
        <v>25</v>
      </c>
      <c r="Z284" s="324">
        <v>26</v>
      </c>
      <c r="AA284" s="324">
        <v>27</v>
      </c>
      <c r="AB284" s="324">
        <v>28</v>
      </c>
      <c r="AC284" s="324">
        <v>29</v>
      </c>
      <c r="AD284" s="324">
        <v>30</v>
      </c>
      <c r="AE284" s="324">
        <v>31</v>
      </c>
      <c r="AF284" s="324">
        <v>32</v>
      </c>
      <c r="AG284" s="324">
        <v>33</v>
      </c>
      <c r="AH284" s="324">
        <v>34</v>
      </c>
      <c r="AI284" s="324">
        <v>35</v>
      </c>
      <c r="AJ284" s="324">
        <v>36</v>
      </c>
      <c r="AK284" s="324">
        <v>37</v>
      </c>
      <c r="AL284" s="324">
        <v>38</v>
      </c>
      <c r="AM284" s="324">
        <v>39</v>
      </c>
      <c r="AN284" s="324">
        <v>40</v>
      </c>
      <c r="AO284" s="324">
        <v>41</v>
      </c>
      <c r="AP284" s="324">
        <v>42</v>
      </c>
    </row>
    <row r="285" spans="1:42" s="324" customFormat="1" ht="0.65" hidden="1" customHeight="1">
      <c r="A285" s="324">
        <v>1053</v>
      </c>
    </row>
    <row r="286" spans="1:42" s="324" customFormat="1" ht="0.65" hidden="1" customHeight="1">
      <c r="A286" s="324">
        <v>1054</v>
      </c>
      <c r="B286" s="324">
        <v>1000000</v>
      </c>
      <c r="C286" s="324">
        <v>1000000</v>
      </c>
      <c r="D286" s="324">
        <v>1</v>
      </c>
      <c r="G286" s="324" t="s">
        <v>0</v>
      </c>
      <c r="H286" s="324" t="s">
        <v>69</v>
      </c>
      <c r="I286" s="324" t="s">
        <v>70</v>
      </c>
      <c r="J286" s="324" t="s">
        <v>71</v>
      </c>
      <c r="K286" s="324" t="s">
        <v>72</v>
      </c>
      <c r="L286" s="324" t="s">
        <v>73</v>
      </c>
      <c r="M286" s="324" t="s">
        <v>74</v>
      </c>
      <c r="N286" s="324" t="s">
        <v>75</v>
      </c>
      <c r="O286" s="324" t="s">
        <v>80</v>
      </c>
      <c r="P286" s="324" t="s">
        <v>1</v>
      </c>
    </row>
    <row r="287" spans="1:42" s="324" customFormat="1" ht="0.65" hidden="1" customHeight="1">
      <c r="A287" s="324">
        <v>1055</v>
      </c>
      <c r="B287" s="324">
        <v>10</v>
      </c>
      <c r="C287" s="324">
        <v>10</v>
      </c>
      <c r="D287" s="324">
        <v>1</v>
      </c>
      <c r="G287" s="324">
        <v>2022</v>
      </c>
      <c r="P287" s="324">
        <v>41</v>
      </c>
    </row>
    <row r="288" spans="1:42" s="324" customFormat="1" ht="0.65" hidden="1" customHeight="1">
      <c r="A288" s="324">
        <v>1056</v>
      </c>
      <c r="B288" s="324">
        <v>400000</v>
      </c>
      <c r="C288" s="324">
        <v>400000</v>
      </c>
      <c r="D288" s="324">
        <v>1</v>
      </c>
      <c r="G288" s="324">
        <v>2023</v>
      </c>
      <c r="H288" s="324">
        <v>2</v>
      </c>
      <c r="I288" s="324">
        <v>5</v>
      </c>
      <c r="J288" s="324">
        <v>8</v>
      </c>
      <c r="K288" s="324">
        <v>11</v>
      </c>
      <c r="L288" s="324">
        <v>14</v>
      </c>
      <c r="M288" s="324">
        <v>17</v>
      </c>
      <c r="N288" s="324">
        <v>20</v>
      </c>
      <c r="O288" s="324">
        <v>35</v>
      </c>
      <c r="P288" s="324">
        <v>42</v>
      </c>
    </row>
    <row r="289" spans="1:16" s="324" customFormat="1" ht="0.65" hidden="1" customHeight="1">
      <c r="A289" s="324">
        <v>1057</v>
      </c>
      <c r="G289" s="324">
        <v>2024</v>
      </c>
      <c r="H289" s="324">
        <v>3</v>
      </c>
      <c r="I289" s="324">
        <v>6</v>
      </c>
      <c r="J289" s="324">
        <v>9</v>
      </c>
      <c r="K289" s="324">
        <v>12</v>
      </c>
      <c r="L289" s="324">
        <v>15</v>
      </c>
      <c r="M289" s="324">
        <v>18</v>
      </c>
      <c r="N289" s="324">
        <v>21</v>
      </c>
      <c r="O289" s="324">
        <v>36</v>
      </c>
      <c r="P289" s="324">
        <v>43</v>
      </c>
    </row>
    <row r="290" spans="1:16" s="324" customFormat="1" ht="0.65" hidden="1" customHeight="1">
      <c r="A290" s="324">
        <v>1058</v>
      </c>
      <c r="B290" s="324">
        <v>420000</v>
      </c>
      <c r="C290" s="324">
        <v>420000</v>
      </c>
      <c r="D290" s="324">
        <v>1</v>
      </c>
      <c r="G290" s="324">
        <v>2025</v>
      </c>
      <c r="H290" s="324">
        <v>4</v>
      </c>
      <c r="I290" s="324">
        <v>7</v>
      </c>
      <c r="J290" s="324">
        <v>10</v>
      </c>
      <c r="K290" s="324">
        <v>13</v>
      </c>
      <c r="L290" s="324">
        <v>16</v>
      </c>
      <c r="M290" s="324">
        <v>19</v>
      </c>
      <c r="N290" s="324">
        <v>22</v>
      </c>
      <c r="O290" s="324">
        <v>37</v>
      </c>
      <c r="P290" s="324">
        <v>44</v>
      </c>
    </row>
    <row r="291" spans="1:16" s="324" customFormat="1" ht="0.65" hidden="1" customHeight="1">
      <c r="A291" s="324">
        <v>1059</v>
      </c>
      <c r="B291" s="324">
        <v>300000</v>
      </c>
      <c r="C291" s="324">
        <v>300000</v>
      </c>
      <c r="D291" s="324">
        <v>1</v>
      </c>
    </row>
    <row r="292" spans="1:16" s="324" customFormat="1" ht="0.65" hidden="1" customHeight="1">
      <c r="A292" s="324">
        <v>1060</v>
      </c>
      <c r="G292" s="324" t="s">
        <v>0</v>
      </c>
      <c r="H292" s="324" t="s">
        <v>76</v>
      </c>
      <c r="I292" s="324" t="s">
        <v>77</v>
      </c>
      <c r="J292" s="324" t="s">
        <v>78</v>
      </c>
      <c r="K292" s="324" t="s">
        <v>79</v>
      </c>
    </row>
    <row r="293" spans="1:16" s="324" customFormat="1" ht="0.65" hidden="1" customHeight="1">
      <c r="A293" s="324">
        <v>1061</v>
      </c>
      <c r="B293" s="324">
        <v>90</v>
      </c>
      <c r="C293" s="324">
        <v>90</v>
      </c>
      <c r="D293" s="324">
        <v>1</v>
      </c>
      <c r="G293" s="324">
        <v>2022</v>
      </c>
      <c r="M293" s="324" t="s">
        <v>490</v>
      </c>
      <c r="N293" s="324">
        <v>1</v>
      </c>
      <c r="O293" s="324" t="s">
        <v>124</v>
      </c>
      <c r="P293" s="324">
        <v>45</v>
      </c>
    </row>
    <row r="294" spans="1:16" s="324" customFormat="1" ht="0.65" hidden="1" customHeight="1">
      <c r="A294" s="324">
        <v>1062</v>
      </c>
      <c r="B294" s="324">
        <v>60</v>
      </c>
      <c r="C294" s="324">
        <v>60</v>
      </c>
      <c r="D294" s="324">
        <v>1</v>
      </c>
      <c r="G294" s="324">
        <v>2023</v>
      </c>
      <c r="H294" s="324">
        <v>23</v>
      </c>
      <c r="I294" s="324">
        <v>26</v>
      </c>
      <c r="J294" s="324">
        <v>29</v>
      </c>
      <c r="K294" s="324">
        <v>32</v>
      </c>
      <c r="M294" s="324" t="s">
        <v>491</v>
      </c>
      <c r="N294" s="324">
        <v>38</v>
      </c>
      <c r="O294" s="324" t="s">
        <v>125</v>
      </c>
      <c r="P294" s="324">
        <v>46</v>
      </c>
    </row>
    <row r="295" spans="1:16" s="324" customFormat="1" ht="0.65" hidden="1" customHeight="1">
      <c r="A295" s="324">
        <v>1063</v>
      </c>
      <c r="G295" s="324">
        <v>2024</v>
      </c>
      <c r="H295" s="324">
        <v>24</v>
      </c>
      <c r="I295" s="324">
        <v>27</v>
      </c>
      <c r="J295" s="324">
        <v>30</v>
      </c>
      <c r="K295" s="324">
        <v>33</v>
      </c>
      <c r="M295" s="324" t="s">
        <v>493</v>
      </c>
      <c r="N295" s="324">
        <v>39</v>
      </c>
      <c r="O295" s="324" t="s">
        <v>126</v>
      </c>
      <c r="P295" s="324">
        <v>47</v>
      </c>
    </row>
    <row r="296" spans="1:16" s="324" customFormat="1" ht="0.65" hidden="1" customHeight="1">
      <c r="A296" s="324">
        <v>1064</v>
      </c>
      <c r="G296" s="324">
        <v>2025</v>
      </c>
      <c r="H296" s="324">
        <v>25</v>
      </c>
      <c r="I296" s="324">
        <v>28</v>
      </c>
      <c r="J296" s="324">
        <v>31</v>
      </c>
      <c r="K296" s="324">
        <v>34</v>
      </c>
      <c r="M296" s="324" t="s">
        <v>494</v>
      </c>
      <c r="N296" s="324">
        <v>40</v>
      </c>
    </row>
    <row r="297" spans="1:16" s="324" customFormat="1" ht="0.65" hidden="1" customHeight="1">
      <c r="A297" s="324">
        <v>1065</v>
      </c>
      <c r="B297" s="324">
        <v>200000</v>
      </c>
      <c r="C297" s="324">
        <v>200000</v>
      </c>
      <c r="D297" s="324">
        <v>1</v>
      </c>
    </row>
    <row r="298" spans="1:16" s="324" customFormat="1" ht="0.65" hidden="1" customHeight="1">
      <c r="A298" s="324">
        <v>1066</v>
      </c>
      <c r="B298" s="324">
        <v>100000</v>
      </c>
      <c r="C298" s="324">
        <v>100000</v>
      </c>
      <c r="D298" s="324">
        <v>1</v>
      </c>
      <c r="O298" s="324" t="s">
        <v>13</v>
      </c>
      <c r="P298" s="324">
        <v>48</v>
      </c>
    </row>
    <row r="299" spans="1:16" s="324" customFormat="1" ht="0.65" hidden="1" customHeight="1">
      <c r="A299" s="324">
        <v>1067</v>
      </c>
      <c r="B299" s="324">
        <v>2</v>
      </c>
      <c r="C299" s="324">
        <v>2</v>
      </c>
      <c r="D299" s="324">
        <v>1</v>
      </c>
      <c r="O299" s="324" t="s">
        <v>28</v>
      </c>
      <c r="P299" s="324">
        <v>49</v>
      </c>
    </row>
    <row r="300" spans="1:16" s="324" customFormat="1" ht="0.65" hidden="1" customHeight="1">
      <c r="A300" s="324">
        <v>1068</v>
      </c>
      <c r="B300" s="324">
        <v>100000</v>
      </c>
      <c r="C300" s="324">
        <v>100000</v>
      </c>
      <c r="D300" s="324">
        <v>1</v>
      </c>
      <c r="O300" s="324" t="s">
        <v>29</v>
      </c>
      <c r="P300" s="324">
        <v>50</v>
      </c>
    </row>
    <row r="301" spans="1:16" s="324" customFormat="1" ht="0.65" hidden="1" customHeight="1">
      <c r="A301" s="324">
        <v>1069</v>
      </c>
      <c r="O301" s="324" t="s">
        <v>30</v>
      </c>
      <c r="P301" s="324">
        <v>51</v>
      </c>
    </row>
    <row r="302" spans="1:16" s="324" customFormat="1" ht="0.65" hidden="1" customHeight="1">
      <c r="A302" s="324">
        <v>1070</v>
      </c>
      <c r="B302" s="324">
        <v>0.25</v>
      </c>
      <c r="C302" s="324">
        <v>0.25</v>
      </c>
      <c r="D302" s="324">
        <v>1</v>
      </c>
    </row>
    <row r="303" spans="1:16" s="324" customFormat="1" ht="0.65" hidden="1" customHeight="1">
      <c r="A303" s="324">
        <v>1071</v>
      </c>
    </row>
    <row r="304" spans="1:16" s="324" customFormat="1" ht="0.65" hidden="1" customHeight="1">
      <c r="A304" s="324">
        <v>1072</v>
      </c>
    </row>
    <row r="305" spans="1:31" s="324" customFormat="1" ht="0.65" hidden="1" customHeight="1">
      <c r="A305" s="324">
        <v>1073</v>
      </c>
      <c r="B305" s="324">
        <v>350000</v>
      </c>
      <c r="C305" s="324">
        <v>350000</v>
      </c>
      <c r="D305" s="324">
        <v>1</v>
      </c>
    </row>
    <row r="306" spans="1:31" s="324" customFormat="1" ht="0.65" hidden="1" customHeight="1">
      <c r="A306" s="324">
        <v>1074</v>
      </c>
      <c r="B306" s="324">
        <v>420000</v>
      </c>
      <c r="C306" s="324">
        <v>420000</v>
      </c>
      <c r="D306" s="324">
        <v>1</v>
      </c>
      <c r="K306" s="324" t="s">
        <v>475</v>
      </c>
      <c r="M306" s="324" t="s">
        <v>212</v>
      </c>
      <c r="N306" s="324" t="s">
        <v>213</v>
      </c>
      <c r="O306" s="324" t="s">
        <v>214</v>
      </c>
      <c r="P306" s="324" t="s">
        <v>215</v>
      </c>
      <c r="Q306" s="324" t="s">
        <v>216</v>
      </c>
      <c r="R306" s="324" t="s">
        <v>218</v>
      </c>
      <c r="S306" s="324" t="s">
        <v>219</v>
      </c>
      <c r="T306" s="324" t="s">
        <v>220</v>
      </c>
      <c r="U306" s="324" t="s">
        <v>473</v>
      </c>
      <c r="V306" s="324" t="s">
        <v>474</v>
      </c>
      <c r="X306" s="324" t="s">
        <v>223</v>
      </c>
      <c r="Y306" s="324" t="s">
        <v>224</v>
      </c>
      <c r="Z306" s="324" t="s">
        <v>225</v>
      </c>
      <c r="AA306" s="324" t="s">
        <v>226</v>
      </c>
      <c r="AB306" s="324" t="s">
        <v>227</v>
      </c>
      <c r="AC306" s="324" t="s">
        <v>228</v>
      </c>
      <c r="AD306" s="324" t="s">
        <v>229</v>
      </c>
      <c r="AE306" s="324" t="s">
        <v>230</v>
      </c>
    </row>
    <row r="307" spans="1:31" s="324" customFormat="1" ht="0.65" hidden="1" customHeight="1">
      <c r="A307" s="324">
        <v>1075</v>
      </c>
      <c r="B307" s="324">
        <v>2.2499999999999999E-2</v>
      </c>
      <c r="C307" s="324">
        <v>2.2499999999999999E-2</v>
      </c>
      <c r="D307" s="324">
        <v>1</v>
      </c>
      <c r="F307" s="324">
        <v>1</v>
      </c>
      <c r="G307" s="324">
        <v>1</v>
      </c>
      <c r="H307" s="324" t="s">
        <v>490</v>
      </c>
      <c r="I307" s="324">
        <v>825000</v>
      </c>
      <c r="J307" s="324">
        <v>825000</v>
      </c>
      <c r="K307" s="324" t="s">
        <v>508</v>
      </c>
      <c r="M307" s="324">
        <v>1000000</v>
      </c>
      <c r="N307" s="324">
        <v>800000</v>
      </c>
      <c r="O307" s="324">
        <v>775000</v>
      </c>
      <c r="P307" s="324">
        <v>1200000</v>
      </c>
      <c r="U307" s="324" t="s">
        <v>508</v>
      </c>
      <c r="V307" s="324" t="s">
        <v>509</v>
      </c>
      <c r="X307" s="324" t="s">
        <v>231</v>
      </c>
      <c r="Y307" s="324" t="s">
        <v>250</v>
      </c>
      <c r="Z307" s="324" t="s">
        <v>251</v>
      </c>
      <c r="AA307" s="324" t="s">
        <v>232</v>
      </c>
    </row>
    <row r="308" spans="1:31" s="324" customFormat="1" ht="0.65" hidden="1" customHeight="1">
      <c r="A308" s="324">
        <v>1076</v>
      </c>
      <c r="B308" s="324">
        <v>7000000</v>
      </c>
      <c r="C308" s="324">
        <v>7000000</v>
      </c>
      <c r="D308" s="324">
        <v>1</v>
      </c>
      <c r="F308" s="324">
        <v>1</v>
      </c>
      <c r="G308" s="324">
        <v>2</v>
      </c>
      <c r="H308" s="324" t="s">
        <v>510</v>
      </c>
      <c r="I308" s="324">
        <v>420000</v>
      </c>
      <c r="J308" s="324">
        <v>420000</v>
      </c>
      <c r="K308" s="324" t="s">
        <v>511</v>
      </c>
      <c r="M308" s="324">
        <v>315000</v>
      </c>
      <c r="N308" s="324">
        <v>105000</v>
      </c>
      <c r="U308" s="324" t="s">
        <v>511</v>
      </c>
      <c r="V308" s="324" t="s">
        <v>512</v>
      </c>
      <c r="X308" s="324" t="s">
        <v>233</v>
      </c>
    </row>
    <row r="309" spans="1:31" s="324" customFormat="1" ht="0.65" hidden="1" customHeight="1">
      <c r="A309" s="324">
        <v>1077</v>
      </c>
      <c r="B309" s="324">
        <v>7000000</v>
      </c>
      <c r="C309" s="324">
        <v>7000000</v>
      </c>
      <c r="D309" s="324">
        <v>1</v>
      </c>
      <c r="F309" s="324">
        <v>1</v>
      </c>
      <c r="G309" s="324">
        <v>3</v>
      </c>
      <c r="H309" s="324" t="s">
        <v>513</v>
      </c>
      <c r="I309" s="324">
        <v>420000</v>
      </c>
      <c r="J309" s="324">
        <v>420000</v>
      </c>
      <c r="K309" s="324" t="s">
        <v>511</v>
      </c>
      <c r="M309" s="324">
        <v>315000</v>
      </c>
      <c r="N309" s="324">
        <v>105000</v>
      </c>
      <c r="O309" s="324">
        <v>840000</v>
      </c>
      <c r="U309" s="324" t="s">
        <v>511</v>
      </c>
      <c r="V309" s="324" t="s">
        <v>514</v>
      </c>
      <c r="X309" s="324" t="s">
        <v>233</v>
      </c>
      <c r="Y309" s="324" t="s">
        <v>252</v>
      </c>
      <c r="Z309" s="324" t="s">
        <v>234</v>
      </c>
    </row>
    <row r="310" spans="1:31" s="324" customFormat="1" ht="0.65" hidden="1" customHeight="1">
      <c r="A310" s="324">
        <v>1078</v>
      </c>
      <c r="F310" s="324">
        <v>1</v>
      </c>
      <c r="G310" s="324">
        <v>4</v>
      </c>
      <c r="H310" s="324" t="s">
        <v>515</v>
      </c>
      <c r="I310" s="324">
        <v>420000</v>
      </c>
      <c r="J310" s="324">
        <v>420000</v>
      </c>
      <c r="K310" s="324" t="s">
        <v>511</v>
      </c>
      <c r="M310" s="324">
        <v>315000</v>
      </c>
      <c r="N310" s="324">
        <v>105000</v>
      </c>
      <c r="O310" s="324">
        <v>1260000</v>
      </c>
      <c r="U310" s="324" t="s">
        <v>511</v>
      </c>
      <c r="V310" s="324" t="s">
        <v>516</v>
      </c>
      <c r="X310" s="324" t="s">
        <v>233</v>
      </c>
      <c r="Y310" s="324" t="s">
        <v>252</v>
      </c>
      <c r="Z310" s="324" t="s">
        <v>235</v>
      </c>
    </row>
    <row r="311" spans="1:31" s="324" customFormat="1" ht="0.65" hidden="1" customHeight="1">
      <c r="A311" s="324">
        <v>1079</v>
      </c>
      <c r="C311" s="324" t="s">
        <v>422</v>
      </c>
      <c r="D311" s="324">
        <v>28</v>
      </c>
      <c r="F311" s="324">
        <v>1</v>
      </c>
      <c r="G311" s="324">
        <v>5</v>
      </c>
      <c r="H311" s="324" t="s">
        <v>517</v>
      </c>
      <c r="I311" s="324">
        <v>300000</v>
      </c>
      <c r="J311" s="324">
        <v>300000</v>
      </c>
      <c r="K311" s="324" t="s">
        <v>518</v>
      </c>
      <c r="M311" s="324">
        <v>250000</v>
      </c>
      <c r="N311" s="324">
        <v>50000</v>
      </c>
      <c r="U311" s="324" t="s">
        <v>518</v>
      </c>
      <c r="V311" s="324" t="s">
        <v>519</v>
      </c>
      <c r="X311" s="324" t="s">
        <v>236</v>
      </c>
      <c r="Y311" s="324" t="s">
        <v>253</v>
      </c>
    </row>
    <row r="312" spans="1:31" s="324" customFormat="1" ht="0.65" hidden="1" customHeight="1">
      <c r="A312" s="324">
        <v>1080</v>
      </c>
      <c r="C312" s="324" t="s">
        <v>423</v>
      </c>
      <c r="D312" s="324" t="s">
        <v>520</v>
      </c>
      <c r="F312" s="324">
        <v>1</v>
      </c>
      <c r="G312" s="324">
        <v>6</v>
      </c>
      <c r="H312" s="324" t="s">
        <v>521</v>
      </c>
      <c r="I312" s="324">
        <v>300000</v>
      </c>
      <c r="J312" s="324">
        <v>300000</v>
      </c>
      <c r="K312" s="324" t="s">
        <v>518</v>
      </c>
      <c r="M312" s="324">
        <v>250000</v>
      </c>
      <c r="N312" s="324">
        <v>50000</v>
      </c>
      <c r="O312" s="324">
        <v>600000</v>
      </c>
      <c r="U312" s="324" t="s">
        <v>518</v>
      </c>
      <c r="V312" s="324" t="s">
        <v>522</v>
      </c>
      <c r="X312" s="324" t="s">
        <v>236</v>
      </c>
      <c r="Y312" s="324" t="s">
        <v>253</v>
      </c>
      <c r="Z312" s="324" t="s">
        <v>237</v>
      </c>
    </row>
    <row r="313" spans="1:31" s="324" customFormat="1" ht="0.65" hidden="1" customHeight="1">
      <c r="A313" s="324">
        <v>1081</v>
      </c>
      <c r="F313" s="324">
        <v>1</v>
      </c>
      <c r="G313" s="324">
        <v>7</v>
      </c>
      <c r="H313" s="324" t="s">
        <v>523</v>
      </c>
      <c r="I313" s="324">
        <v>300000</v>
      </c>
      <c r="J313" s="324">
        <v>300000</v>
      </c>
      <c r="K313" s="324" t="s">
        <v>518</v>
      </c>
      <c r="M313" s="324">
        <v>250000</v>
      </c>
      <c r="N313" s="324">
        <v>50000</v>
      </c>
      <c r="O313" s="324">
        <v>900000</v>
      </c>
      <c r="U313" s="324" t="s">
        <v>518</v>
      </c>
      <c r="V313" s="324" t="s">
        <v>524</v>
      </c>
      <c r="X313" s="324" t="s">
        <v>236</v>
      </c>
      <c r="Y313" s="324" t="s">
        <v>253</v>
      </c>
      <c r="Z313" s="324" t="s">
        <v>238</v>
      </c>
    </row>
    <row r="314" spans="1:31" s="324" customFormat="1" ht="0.65" hidden="1" customHeight="1">
      <c r="A314" s="324">
        <v>1082</v>
      </c>
      <c r="B314" s="324">
        <v>2022</v>
      </c>
      <c r="C314" s="324">
        <v>2022</v>
      </c>
      <c r="D314" s="324">
        <v>1</v>
      </c>
      <c r="F314" s="324">
        <v>1</v>
      </c>
      <c r="G314" s="324">
        <v>8</v>
      </c>
      <c r="H314" s="324" t="s">
        <v>525</v>
      </c>
      <c r="I314" s="324">
        <v>50000</v>
      </c>
      <c r="J314" s="324">
        <v>50000</v>
      </c>
      <c r="K314" s="324" t="s">
        <v>526</v>
      </c>
      <c r="M314" s="324">
        <v>100000</v>
      </c>
      <c r="N314" s="324">
        <v>150000</v>
      </c>
      <c r="O314" s="324">
        <v>0</v>
      </c>
      <c r="P314" s="324">
        <v>-50000</v>
      </c>
      <c r="U314" s="324" t="s">
        <v>526</v>
      </c>
      <c r="V314" s="324" t="s">
        <v>527</v>
      </c>
      <c r="X314" s="324" t="s">
        <v>239</v>
      </c>
      <c r="Y314" s="324" t="s">
        <v>240</v>
      </c>
      <c r="Z314" s="324" t="s">
        <v>241</v>
      </c>
      <c r="AA314" s="324" t="s">
        <v>242</v>
      </c>
    </row>
    <row r="315" spans="1:31" s="324" customFormat="1" ht="0.65" hidden="1" customHeight="1">
      <c r="A315" s="324">
        <v>1083</v>
      </c>
      <c r="B315" s="324">
        <v>2023</v>
      </c>
      <c r="C315" s="324">
        <v>2023</v>
      </c>
      <c r="D315" s="324">
        <v>1</v>
      </c>
      <c r="F315" s="324">
        <v>1</v>
      </c>
      <c r="G315" s="324">
        <v>9</v>
      </c>
      <c r="H315" s="324" t="s">
        <v>528</v>
      </c>
      <c r="I315" s="324">
        <v>50000</v>
      </c>
      <c r="J315" s="324">
        <v>50000</v>
      </c>
      <c r="K315" s="324" t="s">
        <v>526</v>
      </c>
      <c r="M315" s="324">
        <v>100000</v>
      </c>
      <c r="N315" s="324">
        <v>150000</v>
      </c>
      <c r="O315" s="324">
        <v>0</v>
      </c>
      <c r="P315" s="324">
        <v>-50000</v>
      </c>
      <c r="U315" s="324" t="s">
        <v>526</v>
      </c>
      <c r="V315" s="324" t="s">
        <v>529</v>
      </c>
      <c r="X315" s="324" t="s">
        <v>239</v>
      </c>
      <c r="Y315" s="324" t="s">
        <v>240</v>
      </c>
      <c r="Z315" s="324" t="s">
        <v>241</v>
      </c>
      <c r="AA315" s="324" t="s">
        <v>242</v>
      </c>
    </row>
    <row r="316" spans="1:31" s="324" customFormat="1" ht="0.65" hidden="1" customHeight="1">
      <c r="A316" s="324">
        <v>1084</v>
      </c>
      <c r="B316" s="324">
        <v>2024</v>
      </c>
      <c r="C316" s="324">
        <v>2024</v>
      </c>
      <c r="D316" s="324">
        <v>1</v>
      </c>
      <c r="F316" s="324">
        <v>1</v>
      </c>
      <c r="G316" s="324">
        <v>10</v>
      </c>
      <c r="H316" s="324" t="s">
        <v>530</v>
      </c>
      <c r="I316" s="324">
        <v>100000</v>
      </c>
      <c r="J316" s="324">
        <v>100000</v>
      </c>
      <c r="K316" s="324" t="s">
        <v>531</v>
      </c>
      <c r="M316" s="324">
        <v>100000</v>
      </c>
      <c r="N316" s="324">
        <v>150000</v>
      </c>
      <c r="O316" s="324">
        <v>0</v>
      </c>
      <c r="P316" s="324">
        <v>-50000</v>
      </c>
      <c r="Q316" s="324">
        <v>50000</v>
      </c>
      <c r="U316" s="324" t="s">
        <v>531</v>
      </c>
      <c r="V316" s="324" t="s">
        <v>532</v>
      </c>
      <c r="X316" s="324" t="s">
        <v>239</v>
      </c>
      <c r="Y316" s="324" t="s">
        <v>240</v>
      </c>
      <c r="Z316" s="324" t="s">
        <v>241</v>
      </c>
      <c r="AA316" s="324" t="s">
        <v>242</v>
      </c>
      <c r="AB316" s="324" t="s">
        <v>254</v>
      </c>
    </row>
    <row r="317" spans="1:31" s="324" customFormat="1" ht="0.65" hidden="1" customHeight="1">
      <c r="A317" s="324">
        <v>1085</v>
      </c>
      <c r="B317" s="324">
        <v>2025</v>
      </c>
      <c r="C317" s="324">
        <v>2025</v>
      </c>
      <c r="D317" s="324">
        <v>1</v>
      </c>
      <c r="F317" s="324">
        <v>1</v>
      </c>
      <c r="G317" s="324">
        <v>11</v>
      </c>
      <c r="H317" s="324" t="s">
        <v>533</v>
      </c>
      <c r="I317" s="324">
        <v>70000</v>
      </c>
      <c r="J317" s="324">
        <v>70000</v>
      </c>
      <c r="K317" s="324" t="s">
        <v>534</v>
      </c>
      <c r="M317" s="324">
        <v>170000</v>
      </c>
      <c r="N317" s="324">
        <v>120000</v>
      </c>
      <c r="O317" s="324">
        <v>670000</v>
      </c>
      <c r="U317" s="324" t="s">
        <v>534</v>
      </c>
      <c r="V317" s="324" t="s">
        <v>535</v>
      </c>
      <c r="X317" s="324" t="s">
        <v>243</v>
      </c>
      <c r="Y317" s="324" t="s">
        <v>255</v>
      </c>
      <c r="Z317" s="324" t="s">
        <v>341</v>
      </c>
    </row>
    <row r="318" spans="1:31" s="324" customFormat="1" ht="0.65" hidden="1" customHeight="1">
      <c r="A318" s="324">
        <v>1086</v>
      </c>
      <c r="F318" s="324">
        <v>1</v>
      </c>
      <c r="G318" s="324">
        <v>12</v>
      </c>
      <c r="H318" s="324" t="s">
        <v>536</v>
      </c>
      <c r="I318" s="324">
        <v>70000</v>
      </c>
      <c r="J318" s="324">
        <v>70000</v>
      </c>
      <c r="K318" s="324" t="s">
        <v>534</v>
      </c>
      <c r="M318" s="324">
        <v>170000</v>
      </c>
      <c r="N318" s="324">
        <v>120000</v>
      </c>
      <c r="O318" s="324">
        <v>670000</v>
      </c>
      <c r="U318" s="324" t="s">
        <v>534</v>
      </c>
      <c r="V318" s="324" t="s">
        <v>537</v>
      </c>
      <c r="X318" s="324" t="s">
        <v>243</v>
      </c>
      <c r="Y318" s="324" t="s">
        <v>255</v>
      </c>
      <c r="Z318" s="324" t="s">
        <v>341</v>
      </c>
    </row>
    <row r="319" spans="1:31" s="324" customFormat="1" ht="0.65" hidden="1" customHeight="1">
      <c r="A319" s="324">
        <v>1087</v>
      </c>
      <c r="F319" s="324">
        <v>1</v>
      </c>
      <c r="G319" s="324">
        <v>13</v>
      </c>
      <c r="H319" s="324" t="s">
        <v>538</v>
      </c>
      <c r="I319" s="324">
        <v>20000</v>
      </c>
      <c r="J319" s="324">
        <v>20000</v>
      </c>
      <c r="K319" s="324" t="s">
        <v>539</v>
      </c>
      <c r="M319" s="324">
        <v>170000</v>
      </c>
      <c r="N319" s="324">
        <v>120000</v>
      </c>
      <c r="O319" s="324">
        <v>620000</v>
      </c>
      <c r="U319" s="324" t="s">
        <v>539</v>
      </c>
      <c r="V319" s="324" t="s">
        <v>540</v>
      </c>
      <c r="X319" s="324" t="s">
        <v>243</v>
      </c>
      <c r="Y319" s="324" t="s">
        <v>255</v>
      </c>
      <c r="Z319" s="324" t="s">
        <v>341</v>
      </c>
    </row>
    <row r="320" spans="1:31" s="324" customFormat="1" ht="0.65" hidden="1" customHeight="1">
      <c r="A320" s="324">
        <v>1088</v>
      </c>
      <c r="B320" s="324">
        <v>2022</v>
      </c>
      <c r="C320" s="324">
        <v>2022</v>
      </c>
      <c r="D320" s="324">
        <v>1</v>
      </c>
      <c r="F320" s="324">
        <v>1</v>
      </c>
      <c r="G320" s="324">
        <v>14</v>
      </c>
      <c r="H320" s="324" t="s">
        <v>541</v>
      </c>
      <c r="I320" s="324">
        <v>17500</v>
      </c>
      <c r="J320" s="324">
        <v>17500</v>
      </c>
      <c r="K320" s="324" t="s">
        <v>542</v>
      </c>
      <c r="M320" s="324">
        <v>0</v>
      </c>
      <c r="N320" s="324">
        <v>21000</v>
      </c>
      <c r="O320" s="324">
        <v>52500</v>
      </c>
      <c r="U320" s="324" t="s">
        <v>542</v>
      </c>
      <c r="V320" s="324" t="s">
        <v>543</v>
      </c>
      <c r="X320" s="324" t="s">
        <v>279</v>
      </c>
      <c r="Y320" s="324" t="s">
        <v>280</v>
      </c>
      <c r="Z320" s="324" t="s">
        <v>342</v>
      </c>
    </row>
    <row r="321" spans="1:26" s="324" customFormat="1" ht="0.65" hidden="1" customHeight="1">
      <c r="A321" s="324">
        <v>1089</v>
      </c>
      <c r="B321" s="324">
        <v>2023</v>
      </c>
      <c r="C321" s="324">
        <v>2023</v>
      </c>
      <c r="D321" s="324">
        <v>1</v>
      </c>
      <c r="F321" s="324">
        <v>1</v>
      </c>
      <c r="G321" s="324">
        <v>15</v>
      </c>
      <c r="H321" s="324" t="s">
        <v>544</v>
      </c>
      <c r="I321" s="324">
        <v>17500</v>
      </c>
      <c r="J321" s="324">
        <v>17500</v>
      </c>
      <c r="K321" s="324" t="s">
        <v>542</v>
      </c>
      <c r="M321" s="324">
        <v>0</v>
      </c>
      <c r="N321" s="324">
        <v>21000</v>
      </c>
      <c r="O321" s="324">
        <v>52500</v>
      </c>
      <c r="U321" s="324" t="s">
        <v>542</v>
      </c>
      <c r="V321" s="324" t="s">
        <v>545</v>
      </c>
      <c r="X321" s="324" t="s">
        <v>279</v>
      </c>
      <c r="Y321" s="324" t="s">
        <v>280</v>
      </c>
      <c r="Z321" s="324" t="s">
        <v>342</v>
      </c>
    </row>
    <row r="322" spans="1:26" s="324" customFormat="1" ht="0.65" hidden="1" customHeight="1">
      <c r="A322" s="324">
        <v>1090</v>
      </c>
      <c r="B322" s="324">
        <v>2024</v>
      </c>
      <c r="C322" s="324">
        <v>2024</v>
      </c>
      <c r="D322" s="324">
        <v>1</v>
      </c>
      <c r="F322" s="324">
        <v>1</v>
      </c>
      <c r="G322" s="324">
        <v>16</v>
      </c>
      <c r="H322" s="324" t="s">
        <v>546</v>
      </c>
      <c r="I322" s="324">
        <v>5000</v>
      </c>
      <c r="J322" s="324">
        <v>5000</v>
      </c>
      <c r="K322" s="324" t="s">
        <v>547</v>
      </c>
      <c r="M322" s="324">
        <v>0</v>
      </c>
      <c r="N322" s="324">
        <v>6000</v>
      </c>
      <c r="O322" s="324">
        <v>15000</v>
      </c>
      <c r="U322" s="324" t="s">
        <v>547</v>
      </c>
      <c r="V322" s="324" t="s">
        <v>548</v>
      </c>
      <c r="X322" s="324" t="s">
        <v>279</v>
      </c>
      <c r="Y322" s="324" t="s">
        <v>280</v>
      </c>
      <c r="Z322" s="324" t="s">
        <v>342</v>
      </c>
    </row>
    <row r="323" spans="1:26" s="324" customFormat="1" ht="0.65" hidden="1" customHeight="1">
      <c r="A323" s="324">
        <v>1091</v>
      </c>
      <c r="B323" s="324">
        <v>2025</v>
      </c>
      <c r="C323" s="324">
        <v>2025</v>
      </c>
      <c r="D323" s="324">
        <v>1</v>
      </c>
      <c r="F323" s="324">
        <v>1</v>
      </c>
      <c r="G323" s="324">
        <v>17</v>
      </c>
      <c r="H323" s="324" t="s">
        <v>549</v>
      </c>
      <c r="I323" s="324">
        <v>52500</v>
      </c>
      <c r="J323" s="324">
        <v>52500</v>
      </c>
      <c r="K323" s="324" t="s">
        <v>550</v>
      </c>
      <c r="M323" s="324">
        <v>87500</v>
      </c>
      <c r="U323" s="324" t="s">
        <v>550</v>
      </c>
      <c r="V323" s="324" t="s">
        <v>551</v>
      </c>
      <c r="X323" s="324" t="s">
        <v>256</v>
      </c>
    </row>
    <row r="324" spans="1:26" s="324" customFormat="1" ht="0.65" hidden="1" customHeight="1">
      <c r="A324" s="324">
        <v>1092</v>
      </c>
      <c r="F324" s="324">
        <v>1</v>
      </c>
      <c r="G324" s="324">
        <v>18</v>
      </c>
      <c r="H324" s="324" t="s">
        <v>552</v>
      </c>
      <c r="I324" s="324">
        <v>52500</v>
      </c>
      <c r="J324" s="324">
        <v>52500</v>
      </c>
      <c r="K324" s="324" t="s">
        <v>550</v>
      </c>
      <c r="M324" s="324">
        <v>87500</v>
      </c>
      <c r="U324" s="324" t="s">
        <v>550</v>
      </c>
      <c r="V324" s="324" t="s">
        <v>553</v>
      </c>
      <c r="X324" s="324" t="s">
        <v>256</v>
      </c>
    </row>
    <row r="325" spans="1:26" s="324" customFormat="1" ht="0.65" hidden="1" customHeight="1">
      <c r="A325" s="324">
        <v>1093</v>
      </c>
      <c r="B325" s="324">
        <v>0</v>
      </c>
      <c r="C325" s="324">
        <v>0</v>
      </c>
      <c r="D325" s="324">
        <v>1</v>
      </c>
      <c r="F325" s="324">
        <v>1</v>
      </c>
      <c r="G325" s="324">
        <v>19</v>
      </c>
      <c r="H325" s="324" t="s">
        <v>554</v>
      </c>
      <c r="I325" s="324">
        <v>15000</v>
      </c>
      <c r="J325" s="324">
        <v>15000</v>
      </c>
      <c r="K325" s="324" t="s">
        <v>555</v>
      </c>
      <c r="M325" s="324">
        <v>25000</v>
      </c>
      <c r="U325" s="324" t="s">
        <v>555</v>
      </c>
      <c r="V325" s="324" t="s">
        <v>556</v>
      </c>
      <c r="X325" s="324" t="s">
        <v>256</v>
      </c>
    </row>
    <row r="326" spans="1:26" s="324" customFormat="1" ht="0.65" hidden="1" customHeight="1">
      <c r="A326" s="324">
        <v>1094</v>
      </c>
      <c r="B326" s="324">
        <v>0</v>
      </c>
      <c r="C326" s="324">
        <v>0</v>
      </c>
      <c r="D326" s="324">
        <v>1</v>
      </c>
      <c r="F326" s="324">
        <v>1</v>
      </c>
      <c r="G326" s="324">
        <v>20</v>
      </c>
      <c r="H326" s="324" t="s">
        <v>557</v>
      </c>
      <c r="I326" s="324">
        <v>102500</v>
      </c>
      <c r="J326" s="324">
        <v>102500</v>
      </c>
      <c r="K326" s="324" t="s">
        <v>558</v>
      </c>
      <c r="M326" s="324">
        <v>52500</v>
      </c>
      <c r="N326" s="324">
        <v>2500</v>
      </c>
      <c r="U326" s="324" t="s">
        <v>558</v>
      </c>
      <c r="V326" s="324" t="s">
        <v>559</v>
      </c>
      <c r="X326" s="324" t="s">
        <v>257</v>
      </c>
      <c r="Y326" s="324" t="s">
        <v>258</v>
      </c>
    </row>
    <row r="327" spans="1:26" s="324" customFormat="1" ht="0.65" hidden="1" customHeight="1">
      <c r="A327" s="324">
        <v>1095</v>
      </c>
      <c r="B327" s="324">
        <v>0</v>
      </c>
      <c r="C327" s="324">
        <v>0</v>
      </c>
      <c r="D327" s="324">
        <v>1</v>
      </c>
      <c r="F327" s="324">
        <v>1</v>
      </c>
      <c r="G327" s="324">
        <v>21</v>
      </c>
      <c r="H327" s="324" t="s">
        <v>560</v>
      </c>
      <c r="I327" s="324">
        <v>102500</v>
      </c>
      <c r="J327" s="324">
        <v>102500</v>
      </c>
      <c r="K327" s="324" t="s">
        <v>558</v>
      </c>
      <c r="M327" s="324">
        <v>52500</v>
      </c>
      <c r="N327" s="324">
        <v>2500</v>
      </c>
      <c r="U327" s="324" t="s">
        <v>558</v>
      </c>
      <c r="V327" s="324" t="s">
        <v>561</v>
      </c>
      <c r="X327" s="324" t="s">
        <v>257</v>
      </c>
      <c r="Y327" s="324" t="s">
        <v>258</v>
      </c>
    </row>
    <row r="328" spans="1:26" s="324" customFormat="1" ht="0.65" hidden="1" customHeight="1">
      <c r="A328" s="324">
        <v>1096</v>
      </c>
      <c r="F328" s="324">
        <v>1</v>
      </c>
      <c r="G328" s="324">
        <v>22</v>
      </c>
      <c r="H328" s="324" t="s">
        <v>562</v>
      </c>
      <c r="I328" s="324">
        <v>115000</v>
      </c>
      <c r="J328" s="324">
        <v>115000</v>
      </c>
      <c r="K328" s="324" t="s">
        <v>563</v>
      </c>
      <c r="M328" s="324">
        <v>15000</v>
      </c>
      <c r="N328" s="324">
        <v>-85000</v>
      </c>
      <c r="U328" s="324" t="s">
        <v>563</v>
      </c>
      <c r="V328" s="324" t="s">
        <v>564</v>
      </c>
      <c r="X328" s="324" t="s">
        <v>257</v>
      </c>
      <c r="Y328" s="324" t="s">
        <v>258</v>
      </c>
    </row>
    <row r="329" spans="1:26" s="324" customFormat="1" ht="0.65" hidden="1" customHeight="1">
      <c r="A329" s="324">
        <v>1097</v>
      </c>
      <c r="F329" s="324">
        <v>1</v>
      </c>
      <c r="G329" s="324">
        <v>23</v>
      </c>
      <c r="H329" s="324" t="s">
        <v>565</v>
      </c>
      <c r="I329" s="324">
        <v>105000</v>
      </c>
      <c r="J329" s="324">
        <v>105000</v>
      </c>
      <c r="K329" s="324" t="s">
        <v>566</v>
      </c>
      <c r="M329" s="324">
        <v>315000</v>
      </c>
      <c r="N329" s="324">
        <v>70000</v>
      </c>
      <c r="O329" s="324">
        <v>420000</v>
      </c>
      <c r="U329" s="324" t="s">
        <v>566</v>
      </c>
      <c r="V329" s="324" t="s">
        <v>567</v>
      </c>
      <c r="X329" s="324" t="s">
        <v>259</v>
      </c>
      <c r="Y329" s="324" t="s">
        <v>260</v>
      </c>
      <c r="Z329" s="324" t="s">
        <v>343</v>
      </c>
    </row>
    <row r="330" spans="1:26" s="324" customFormat="1" ht="0.65" hidden="1" customHeight="1">
      <c r="A330" s="324">
        <v>1098</v>
      </c>
      <c r="F330" s="324">
        <v>1</v>
      </c>
      <c r="G330" s="324">
        <v>24</v>
      </c>
      <c r="H330" s="324" t="s">
        <v>568</v>
      </c>
      <c r="I330" s="324">
        <v>105000</v>
      </c>
      <c r="J330" s="324">
        <v>105000</v>
      </c>
      <c r="K330" s="324" t="s">
        <v>566</v>
      </c>
      <c r="M330" s="324">
        <v>315000</v>
      </c>
      <c r="N330" s="324">
        <v>70000</v>
      </c>
      <c r="O330" s="324">
        <v>210000</v>
      </c>
      <c r="U330" s="324" t="s">
        <v>566</v>
      </c>
      <c r="V330" s="324" t="s">
        <v>569</v>
      </c>
      <c r="X330" s="324" t="s">
        <v>259</v>
      </c>
      <c r="Y330" s="324" t="s">
        <v>260</v>
      </c>
      <c r="Z330" s="324" t="s">
        <v>261</v>
      </c>
    </row>
    <row r="331" spans="1:26" s="324" customFormat="1" ht="0.65" hidden="1" customHeight="1">
      <c r="A331" s="324">
        <v>1099</v>
      </c>
      <c r="F331" s="324">
        <v>1</v>
      </c>
      <c r="G331" s="324">
        <v>25</v>
      </c>
      <c r="H331" s="324" t="s">
        <v>570</v>
      </c>
      <c r="I331" s="324">
        <v>105000</v>
      </c>
      <c r="J331" s="324">
        <v>105000</v>
      </c>
      <c r="K331" s="324" t="s">
        <v>566</v>
      </c>
      <c r="M331" s="324">
        <v>315000</v>
      </c>
      <c r="N331" s="324">
        <v>70000</v>
      </c>
      <c r="O331" s="324">
        <v>315000</v>
      </c>
      <c r="U331" s="324" t="s">
        <v>566</v>
      </c>
      <c r="V331" s="324" t="s">
        <v>571</v>
      </c>
      <c r="X331" s="324" t="s">
        <v>259</v>
      </c>
      <c r="Y331" s="324" t="s">
        <v>260</v>
      </c>
      <c r="Z331" s="324" t="s">
        <v>261</v>
      </c>
    </row>
    <row r="332" spans="1:26" s="324" customFormat="1" ht="0.65" hidden="1" customHeight="1">
      <c r="A332" s="324">
        <v>1100</v>
      </c>
      <c r="F332" s="324">
        <v>1</v>
      </c>
      <c r="G332" s="324">
        <v>26</v>
      </c>
      <c r="H332" s="324" t="s">
        <v>572</v>
      </c>
      <c r="I332" s="324">
        <v>50000</v>
      </c>
      <c r="J332" s="324">
        <v>50000</v>
      </c>
      <c r="K332" s="324" t="s">
        <v>573</v>
      </c>
      <c r="M332" s="324">
        <v>250000</v>
      </c>
      <c r="N332" s="324">
        <v>75000</v>
      </c>
      <c r="O332" s="324">
        <v>300000</v>
      </c>
      <c r="U332" s="324" t="s">
        <v>573</v>
      </c>
      <c r="V332" s="324" t="s">
        <v>574</v>
      </c>
      <c r="X332" s="324" t="s">
        <v>262</v>
      </c>
      <c r="Y332" s="324" t="s">
        <v>263</v>
      </c>
      <c r="Z332" s="324" t="s">
        <v>344</v>
      </c>
    </row>
    <row r="333" spans="1:26" s="324" customFormat="1" ht="0.65" hidden="1" customHeight="1">
      <c r="A333" s="324">
        <v>1101</v>
      </c>
      <c r="F333" s="324">
        <v>1</v>
      </c>
      <c r="G333" s="324">
        <v>27</v>
      </c>
      <c r="H333" s="324" t="s">
        <v>575</v>
      </c>
      <c r="I333" s="324">
        <v>50000</v>
      </c>
      <c r="J333" s="324">
        <v>50000</v>
      </c>
      <c r="K333" s="324" t="s">
        <v>573</v>
      </c>
      <c r="M333" s="324">
        <v>250000</v>
      </c>
      <c r="N333" s="324">
        <v>75000</v>
      </c>
      <c r="O333" s="324">
        <v>100000</v>
      </c>
      <c r="U333" s="324" t="s">
        <v>573</v>
      </c>
      <c r="V333" s="324" t="s">
        <v>576</v>
      </c>
      <c r="X333" s="324" t="s">
        <v>262</v>
      </c>
      <c r="Y333" s="324" t="s">
        <v>263</v>
      </c>
      <c r="Z333" s="324" t="s">
        <v>264</v>
      </c>
    </row>
    <row r="334" spans="1:26" s="324" customFormat="1" ht="0.65" hidden="1" customHeight="1">
      <c r="A334" s="324">
        <v>1102</v>
      </c>
      <c r="F334" s="324">
        <v>1</v>
      </c>
      <c r="G334" s="324">
        <v>28</v>
      </c>
      <c r="H334" s="324" t="s">
        <v>577</v>
      </c>
      <c r="I334" s="324">
        <v>50000</v>
      </c>
      <c r="J334" s="324">
        <v>50000</v>
      </c>
      <c r="K334" s="324" t="s">
        <v>573</v>
      </c>
      <c r="M334" s="324">
        <v>250000</v>
      </c>
      <c r="N334" s="324">
        <v>75000</v>
      </c>
      <c r="O334" s="324">
        <v>150000</v>
      </c>
      <c r="U334" s="324" t="s">
        <v>573</v>
      </c>
      <c r="V334" s="324" t="s">
        <v>578</v>
      </c>
      <c r="X334" s="324" t="s">
        <v>262</v>
      </c>
      <c r="Y334" s="324" t="s">
        <v>263</v>
      </c>
      <c r="Z334" s="324" t="s">
        <v>264</v>
      </c>
    </row>
    <row r="335" spans="1:26" s="324" customFormat="1" ht="0.65" hidden="1" customHeight="1">
      <c r="A335" s="324">
        <v>1103</v>
      </c>
      <c r="F335" s="324">
        <v>1</v>
      </c>
      <c r="G335" s="324">
        <v>29</v>
      </c>
      <c r="H335" s="324" t="s">
        <v>579</v>
      </c>
      <c r="I335" s="324">
        <v>55000</v>
      </c>
      <c r="J335" s="324">
        <v>55000</v>
      </c>
      <c r="K335" s="324" t="s">
        <v>580</v>
      </c>
      <c r="M335" s="324">
        <v>155000</v>
      </c>
      <c r="N335" s="324">
        <v>0</v>
      </c>
      <c r="O335" s="324">
        <v>105000</v>
      </c>
      <c r="U335" s="324" t="s">
        <v>580</v>
      </c>
      <c r="V335" s="324" t="s">
        <v>581</v>
      </c>
      <c r="X335" s="324" t="s">
        <v>265</v>
      </c>
      <c r="Y335" s="324" t="s">
        <v>266</v>
      </c>
      <c r="Z335" s="324" t="s">
        <v>281</v>
      </c>
    </row>
    <row r="336" spans="1:26" s="324" customFormat="1" ht="0.65" hidden="1" customHeight="1">
      <c r="A336" s="324">
        <v>1104</v>
      </c>
      <c r="F336" s="324">
        <v>1</v>
      </c>
      <c r="G336" s="324">
        <v>30</v>
      </c>
      <c r="H336" s="324" t="s">
        <v>582</v>
      </c>
      <c r="I336" s="324">
        <v>55000</v>
      </c>
      <c r="J336" s="324">
        <v>55000</v>
      </c>
      <c r="K336" s="324" t="s">
        <v>580</v>
      </c>
      <c r="M336" s="324">
        <v>155000</v>
      </c>
      <c r="N336" s="324">
        <v>0</v>
      </c>
      <c r="O336" s="324">
        <v>105000</v>
      </c>
      <c r="U336" s="324" t="s">
        <v>580</v>
      </c>
      <c r="V336" s="324" t="s">
        <v>583</v>
      </c>
      <c r="X336" s="324" t="s">
        <v>265</v>
      </c>
      <c r="Y336" s="324" t="s">
        <v>266</v>
      </c>
      <c r="Z336" s="324" t="s">
        <v>281</v>
      </c>
    </row>
    <row r="337" spans="1:28" s="324" customFormat="1" ht="0.65" hidden="1" customHeight="1">
      <c r="A337" s="324">
        <v>1105</v>
      </c>
      <c r="F337" s="324">
        <v>1</v>
      </c>
      <c r="G337" s="324">
        <v>31</v>
      </c>
      <c r="H337" s="324" t="s">
        <v>584</v>
      </c>
      <c r="I337" s="324">
        <v>55000</v>
      </c>
      <c r="J337" s="324">
        <v>55000</v>
      </c>
      <c r="K337" s="324" t="s">
        <v>580</v>
      </c>
      <c r="M337" s="324">
        <v>155000</v>
      </c>
      <c r="N337" s="324">
        <v>0</v>
      </c>
      <c r="O337" s="324">
        <v>105000</v>
      </c>
      <c r="U337" s="324" t="s">
        <v>580</v>
      </c>
      <c r="V337" s="324" t="s">
        <v>585</v>
      </c>
      <c r="X337" s="324" t="s">
        <v>265</v>
      </c>
      <c r="Y337" s="324" t="s">
        <v>266</v>
      </c>
      <c r="Z337" s="324" t="s">
        <v>281</v>
      </c>
    </row>
    <row r="338" spans="1:28" s="324" customFormat="1" ht="0.65" hidden="1" customHeight="1">
      <c r="A338" s="324">
        <v>1106</v>
      </c>
      <c r="F338" s="324">
        <v>1</v>
      </c>
      <c r="G338" s="324">
        <v>32</v>
      </c>
      <c r="H338" s="324" t="s">
        <v>586</v>
      </c>
      <c r="I338" s="324">
        <v>55000</v>
      </c>
      <c r="J338" s="324">
        <v>55000</v>
      </c>
      <c r="K338" s="324" t="s">
        <v>587</v>
      </c>
      <c r="U338" s="324" t="s">
        <v>587</v>
      </c>
      <c r="V338" s="324" t="s">
        <v>588</v>
      </c>
    </row>
    <row r="339" spans="1:28" s="324" customFormat="1" ht="0.65" hidden="1" customHeight="1">
      <c r="A339" s="324">
        <v>1107</v>
      </c>
      <c r="F339" s="324">
        <v>1</v>
      </c>
      <c r="G339" s="324">
        <v>33</v>
      </c>
      <c r="H339" s="324" t="s">
        <v>589</v>
      </c>
      <c r="I339" s="324">
        <v>0</v>
      </c>
      <c r="J339" s="324">
        <v>0</v>
      </c>
      <c r="K339" s="324" t="s">
        <v>499</v>
      </c>
      <c r="M339" s="324">
        <v>55000</v>
      </c>
      <c r="N339" s="324">
        <v>110000</v>
      </c>
      <c r="U339" s="324" t="s">
        <v>499</v>
      </c>
      <c r="V339" s="324" t="s">
        <v>507</v>
      </c>
      <c r="X339" s="324" t="s">
        <v>267</v>
      </c>
      <c r="Y339" s="324" t="s">
        <v>268</v>
      </c>
    </row>
    <row r="340" spans="1:28" s="324" customFormat="1" ht="0.65" hidden="1" customHeight="1">
      <c r="A340" s="324">
        <v>1108</v>
      </c>
      <c r="F340" s="324">
        <v>1</v>
      </c>
      <c r="G340" s="324">
        <v>34</v>
      </c>
      <c r="H340" s="324" t="s">
        <v>590</v>
      </c>
      <c r="I340" s="324">
        <v>0</v>
      </c>
      <c r="J340" s="324">
        <v>0</v>
      </c>
      <c r="K340" s="324" t="s">
        <v>499</v>
      </c>
      <c r="M340" s="324">
        <v>55000</v>
      </c>
      <c r="N340" s="324">
        <v>110000</v>
      </c>
      <c r="U340" s="324" t="s">
        <v>499</v>
      </c>
      <c r="V340" s="324" t="s">
        <v>591</v>
      </c>
      <c r="X340" s="324" t="s">
        <v>267</v>
      </c>
      <c r="Y340" s="324" t="s">
        <v>268</v>
      </c>
    </row>
    <row r="341" spans="1:28" s="324" customFormat="1" ht="0.65" hidden="1" customHeight="1">
      <c r="A341" s="324">
        <v>1109</v>
      </c>
      <c r="F341" s="324">
        <v>1</v>
      </c>
      <c r="G341" s="324">
        <v>35</v>
      </c>
      <c r="H341" s="324" t="s">
        <v>592</v>
      </c>
      <c r="I341" s="324">
        <v>47500</v>
      </c>
      <c r="J341" s="324">
        <v>47500</v>
      </c>
      <c r="K341" s="324" t="s">
        <v>593</v>
      </c>
      <c r="M341" s="324">
        <v>157500</v>
      </c>
      <c r="N341" s="324">
        <v>102500</v>
      </c>
      <c r="U341" s="324" t="s">
        <v>593</v>
      </c>
      <c r="V341" s="324" t="s">
        <v>594</v>
      </c>
      <c r="X341" s="324" t="s">
        <v>269</v>
      </c>
      <c r="Y341" s="324" t="s">
        <v>282</v>
      </c>
    </row>
    <row r="342" spans="1:28" s="324" customFormat="1" ht="0.65" hidden="1" customHeight="1">
      <c r="A342" s="324">
        <v>1110</v>
      </c>
      <c r="F342" s="324">
        <v>1</v>
      </c>
      <c r="G342" s="324">
        <v>36</v>
      </c>
      <c r="H342" s="324" t="s">
        <v>595</v>
      </c>
      <c r="I342" s="324">
        <v>102500</v>
      </c>
      <c r="J342" s="324">
        <v>102500</v>
      </c>
      <c r="K342" s="324" t="s">
        <v>596</v>
      </c>
      <c r="M342" s="324">
        <v>47500</v>
      </c>
      <c r="U342" s="324" t="s">
        <v>596</v>
      </c>
      <c r="V342" s="324" t="s">
        <v>597</v>
      </c>
      <c r="X342" s="324" t="s">
        <v>270</v>
      </c>
    </row>
    <row r="343" spans="1:28" s="324" customFormat="1" ht="0.65" hidden="1" customHeight="1">
      <c r="A343" s="324">
        <v>1111</v>
      </c>
      <c r="F343" s="324">
        <v>1</v>
      </c>
      <c r="G343" s="324">
        <v>37</v>
      </c>
      <c r="H343" s="324" t="s">
        <v>598</v>
      </c>
      <c r="I343" s="324">
        <v>115000</v>
      </c>
      <c r="J343" s="324">
        <v>115000</v>
      </c>
      <c r="K343" s="324" t="s">
        <v>599</v>
      </c>
      <c r="M343" s="324">
        <v>60000</v>
      </c>
      <c r="U343" s="324" t="s">
        <v>599</v>
      </c>
      <c r="V343" s="324" t="s">
        <v>600</v>
      </c>
      <c r="X343" s="324" t="s">
        <v>270</v>
      </c>
    </row>
    <row r="344" spans="1:28" s="324" customFormat="1" ht="0.65" hidden="1" customHeight="1">
      <c r="A344" s="324">
        <v>1112</v>
      </c>
      <c r="F344" s="324">
        <v>1</v>
      </c>
      <c r="G344" s="324">
        <v>38</v>
      </c>
      <c r="H344" s="324" t="s">
        <v>491</v>
      </c>
      <c r="I344" s="324">
        <v>400000</v>
      </c>
      <c r="J344" s="324">
        <v>400000</v>
      </c>
      <c r="K344" s="324" t="s">
        <v>601</v>
      </c>
      <c r="M344" s="324">
        <v>300000</v>
      </c>
      <c r="N344" s="324">
        <v>225000</v>
      </c>
      <c r="O344" s="324">
        <v>455000</v>
      </c>
      <c r="P344" s="324">
        <v>475000</v>
      </c>
      <c r="Q344" s="324">
        <v>325000</v>
      </c>
      <c r="U344" s="324" t="s">
        <v>601</v>
      </c>
      <c r="V344" s="324" t="s">
        <v>602</v>
      </c>
      <c r="X344" s="324" t="s">
        <v>271</v>
      </c>
      <c r="Y344" s="324" t="s">
        <v>272</v>
      </c>
      <c r="Z344" s="324" t="s">
        <v>273</v>
      </c>
      <c r="AA344" s="324" t="s">
        <v>283</v>
      </c>
      <c r="AB344" s="324" t="s">
        <v>345</v>
      </c>
    </row>
    <row r="345" spans="1:28" s="324" customFormat="1" ht="0.65" hidden="1" customHeight="1">
      <c r="A345" s="324">
        <v>1113</v>
      </c>
      <c r="F345" s="324">
        <v>1</v>
      </c>
      <c r="G345" s="324">
        <v>39</v>
      </c>
      <c r="H345" s="324" t="s">
        <v>493</v>
      </c>
      <c r="I345" s="324">
        <v>55000</v>
      </c>
      <c r="J345" s="324">
        <v>55000</v>
      </c>
      <c r="K345" s="324" t="s">
        <v>603</v>
      </c>
      <c r="M345" s="324">
        <v>0</v>
      </c>
      <c r="U345" s="324" t="s">
        <v>603</v>
      </c>
      <c r="V345" s="324" t="s">
        <v>604</v>
      </c>
      <c r="X345" s="324" t="s">
        <v>289</v>
      </c>
    </row>
    <row r="346" spans="1:28" s="324" customFormat="1" ht="0.65" hidden="1" customHeight="1">
      <c r="A346" s="324">
        <v>1114</v>
      </c>
      <c r="F346" s="324">
        <v>1</v>
      </c>
      <c r="G346" s="324">
        <v>40</v>
      </c>
      <c r="H346" s="324" t="s">
        <v>494</v>
      </c>
      <c r="I346" s="324">
        <v>455000</v>
      </c>
      <c r="J346" s="324">
        <v>455000</v>
      </c>
      <c r="K346" s="324" t="s">
        <v>605</v>
      </c>
      <c r="M346" s="324">
        <v>345000</v>
      </c>
      <c r="N346" s="324">
        <v>400000</v>
      </c>
      <c r="O346" s="324">
        <v>55000</v>
      </c>
      <c r="U346" s="324" t="s">
        <v>605</v>
      </c>
      <c r="V346" s="324" t="s">
        <v>606</v>
      </c>
      <c r="X346" s="324" t="s">
        <v>274</v>
      </c>
      <c r="Y346" s="324" t="s">
        <v>284</v>
      </c>
      <c r="Z346" s="324" t="s">
        <v>285</v>
      </c>
    </row>
    <row r="347" spans="1:28" s="324" customFormat="1" ht="0.65" hidden="1" customHeight="1">
      <c r="A347" s="324">
        <v>1115</v>
      </c>
      <c r="F347" s="324">
        <v>1</v>
      </c>
      <c r="G347" s="324">
        <v>41</v>
      </c>
      <c r="H347" s="324" t="s">
        <v>607</v>
      </c>
      <c r="I347" s="324">
        <v>-825000</v>
      </c>
      <c r="J347" s="324">
        <v>-825000</v>
      </c>
      <c r="K347" s="324" t="s">
        <v>608</v>
      </c>
      <c r="M347" s="324">
        <v>825000</v>
      </c>
      <c r="U347" s="324" t="s">
        <v>608</v>
      </c>
      <c r="V347" s="324" t="s">
        <v>609</v>
      </c>
      <c r="X347" s="324" t="s">
        <v>275</v>
      </c>
    </row>
    <row r="348" spans="1:28" s="324" customFormat="1" ht="0.65" hidden="1" customHeight="1">
      <c r="A348" s="324">
        <v>1116</v>
      </c>
      <c r="F348" s="324">
        <v>1</v>
      </c>
      <c r="G348" s="324">
        <v>42</v>
      </c>
      <c r="H348" s="324" t="s">
        <v>610</v>
      </c>
      <c r="I348" s="324">
        <v>47500</v>
      </c>
      <c r="J348" s="324">
        <v>47500</v>
      </c>
      <c r="K348" s="324" t="s">
        <v>593</v>
      </c>
      <c r="U348" s="324" t="s">
        <v>593</v>
      </c>
      <c r="V348" s="324" t="s">
        <v>594</v>
      </c>
    </row>
    <row r="349" spans="1:28" s="324" customFormat="1" ht="0.65" hidden="1" customHeight="1">
      <c r="A349" s="324">
        <v>1117</v>
      </c>
      <c r="F349" s="324">
        <v>1</v>
      </c>
      <c r="G349" s="324">
        <v>43</v>
      </c>
      <c r="H349" s="324" t="s">
        <v>611</v>
      </c>
      <c r="I349" s="324">
        <v>102500</v>
      </c>
      <c r="J349" s="324">
        <v>102500</v>
      </c>
      <c r="K349" s="324" t="s">
        <v>596</v>
      </c>
      <c r="U349" s="324" t="s">
        <v>596</v>
      </c>
      <c r="V349" s="324" t="s">
        <v>597</v>
      </c>
    </row>
    <row r="350" spans="1:28" s="324" customFormat="1" ht="0.65" hidden="1" customHeight="1">
      <c r="A350" s="324">
        <v>1118</v>
      </c>
      <c r="F350" s="324">
        <v>1</v>
      </c>
      <c r="G350" s="324">
        <v>44</v>
      </c>
      <c r="H350" s="324" t="s">
        <v>612</v>
      </c>
      <c r="I350" s="324">
        <v>570000</v>
      </c>
      <c r="J350" s="324">
        <v>570000</v>
      </c>
      <c r="K350" s="324" t="s">
        <v>613</v>
      </c>
      <c r="M350" s="324">
        <v>115000</v>
      </c>
      <c r="N350" s="324">
        <v>-340000</v>
      </c>
      <c r="U350" s="324" t="s">
        <v>613</v>
      </c>
      <c r="V350" s="324" t="s">
        <v>614</v>
      </c>
      <c r="X350" s="324" t="s">
        <v>276</v>
      </c>
      <c r="Y350" s="324" t="s">
        <v>346</v>
      </c>
    </row>
    <row r="351" spans="1:28" s="324" customFormat="1" ht="0.65" hidden="1" customHeight="1">
      <c r="A351" s="324">
        <v>1119</v>
      </c>
      <c r="F351" s="324">
        <v>1</v>
      </c>
      <c r="G351" s="324">
        <v>45</v>
      </c>
      <c r="H351" s="324" t="s">
        <v>414</v>
      </c>
      <c r="I351" s="324">
        <v>3.7499999999999999E-2</v>
      </c>
      <c r="J351" s="324">
        <v>3.7499999999999999E-2</v>
      </c>
      <c r="K351" s="324" t="s">
        <v>615</v>
      </c>
      <c r="M351" s="324">
        <v>0.05</v>
      </c>
      <c r="N351" s="324">
        <v>350000</v>
      </c>
      <c r="O351" s="324">
        <v>1.2500000000000001E-2</v>
      </c>
      <c r="P351" s="324">
        <v>6.25E-2</v>
      </c>
      <c r="U351" s="324" t="s">
        <v>615</v>
      </c>
      <c r="V351" s="324" t="s">
        <v>616</v>
      </c>
      <c r="X351" s="324" t="s">
        <v>277</v>
      </c>
      <c r="Y351" s="324" t="s">
        <v>347</v>
      </c>
      <c r="Z351" s="324" t="s">
        <v>348</v>
      </c>
      <c r="AA351" s="324" t="s">
        <v>349</v>
      </c>
    </row>
    <row r="352" spans="1:28" s="324" customFormat="1" ht="0.65" hidden="1" customHeight="1">
      <c r="A352" s="324">
        <v>1120</v>
      </c>
      <c r="F352" s="324">
        <v>1</v>
      </c>
      <c r="G352" s="324">
        <v>46</v>
      </c>
      <c r="H352" s="324" t="s">
        <v>415</v>
      </c>
      <c r="I352" s="324">
        <v>8.249999999999999E-2</v>
      </c>
      <c r="J352" s="324">
        <v>8.249999999999999E-2</v>
      </c>
      <c r="K352" s="324" t="s">
        <v>617</v>
      </c>
      <c r="M352" s="324">
        <v>0.06</v>
      </c>
      <c r="N352" s="324">
        <v>420000</v>
      </c>
      <c r="O352" s="324">
        <v>3.7499999999999999E-2</v>
      </c>
      <c r="U352" s="324" t="s">
        <v>617</v>
      </c>
      <c r="V352" s="324" t="s">
        <v>618</v>
      </c>
      <c r="X352" s="324" t="s">
        <v>278</v>
      </c>
      <c r="Y352" s="324" t="s">
        <v>350</v>
      </c>
      <c r="Z352" s="324" t="s">
        <v>351</v>
      </c>
    </row>
    <row r="353" spans="1:28" s="324" customFormat="1" ht="0.65" hidden="1" customHeight="1">
      <c r="A353" s="324">
        <v>1121</v>
      </c>
      <c r="F353" s="324">
        <v>1</v>
      </c>
      <c r="G353" s="324">
        <v>47</v>
      </c>
      <c r="H353" s="324" t="s">
        <v>416</v>
      </c>
      <c r="I353" s="324">
        <v>0.06</v>
      </c>
      <c r="J353" s="324">
        <v>5.9999999999999991E-2</v>
      </c>
      <c r="K353" s="324" t="s">
        <v>619</v>
      </c>
      <c r="U353" s="324" t="s">
        <v>619</v>
      </c>
      <c r="V353" s="324" t="s">
        <v>620</v>
      </c>
    </row>
    <row r="354" spans="1:28" s="324" customFormat="1" ht="0.65" hidden="1" customHeight="1">
      <c r="A354" s="324">
        <v>1122</v>
      </c>
      <c r="F354" s="324">
        <v>1</v>
      </c>
      <c r="G354" s="324">
        <v>48</v>
      </c>
      <c r="H354" s="324" t="s">
        <v>13</v>
      </c>
      <c r="I354" s="324">
        <v>-210381.05281541136</v>
      </c>
      <c r="J354" s="324">
        <v>-210381.05281541136</v>
      </c>
      <c r="K354" s="324" t="s">
        <v>621</v>
      </c>
      <c r="M354" s="324">
        <v>-173592.745200573</v>
      </c>
      <c r="N354" s="324">
        <v>-244291.67773685686</v>
      </c>
      <c r="O354" s="324">
        <v>-198472.6913352939</v>
      </c>
      <c r="P354" s="324">
        <v>614618.94718458864</v>
      </c>
      <c r="Q354" s="324">
        <v>1439618.9471845888</v>
      </c>
      <c r="U354" s="324" t="s">
        <v>621</v>
      </c>
      <c r="V354" s="324" t="s">
        <v>622</v>
      </c>
      <c r="X354" s="324" t="s">
        <v>286</v>
      </c>
      <c r="Y354" s="324" t="s">
        <v>287</v>
      </c>
      <c r="Z354" s="324" t="s">
        <v>288</v>
      </c>
      <c r="AA354" s="324" t="s">
        <v>352</v>
      </c>
      <c r="AB354" s="324" t="s">
        <v>353</v>
      </c>
    </row>
    <row r="355" spans="1:28" s="324" customFormat="1" ht="0.65" hidden="1" customHeight="1">
      <c r="A355" s="324">
        <v>1123</v>
      </c>
      <c r="F355" s="324">
        <v>1</v>
      </c>
      <c r="G355" s="324">
        <v>49</v>
      </c>
      <c r="H355" s="324" t="s">
        <v>28</v>
      </c>
      <c r="I355" s="324">
        <v>-4.8576778446782765E-2</v>
      </c>
      <c r="J355" s="324">
        <v>-4.8576778446782765E-2</v>
      </c>
      <c r="K355" s="324" t="s">
        <v>623</v>
      </c>
      <c r="U355" s="324" t="s">
        <v>623</v>
      </c>
      <c r="V355" s="324" t="s">
        <v>624</v>
      </c>
    </row>
    <row r="356" spans="1:28" s="324" customFormat="1" ht="0.65" hidden="1" customHeight="1">
      <c r="A356" s="324">
        <v>1124</v>
      </c>
      <c r="M356" s="324">
        <v>1</v>
      </c>
      <c r="N356" s="324">
        <v>2</v>
      </c>
      <c r="O356" s="324">
        <v>3</v>
      </c>
      <c r="P356" s="324">
        <v>4</v>
      </c>
      <c r="Q356" s="324">
        <v>5</v>
      </c>
      <c r="R356" s="324">
        <v>6</v>
      </c>
      <c r="S356" s="324">
        <v>7</v>
      </c>
      <c r="T356" s="324">
        <v>8</v>
      </c>
      <c r="U356" s="324">
        <v>9</v>
      </c>
      <c r="V356" s="324">
        <v>10</v>
      </c>
    </row>
    <row r="357" spans="1:28" s="324" customFormat="1" ht="0.65" hidden="1" customHeight="1">
      <c r="A357" s="324">
        <v>1125</v>
      </c>
    </row>
    <row r="358" spans="1:28" s="324" customFormat="1" ht="0.65" hidden="1" customHeight="1">
      <c r="A358" s="324">
        <v>1126</v>
      </c>
    </row>
    <row r="359" spans="1:28" s="324" customFormat="1" ht="0.65" hidden="1" customHeight="1">
      <c r="A359" s="324">
        <v>1127</v>
      </c>
      <c r="K359" s="324" t="s">
        <v>211</v>
      </c>
    </row>
    <row r="360" spans="1:28" s="324" customFormat="1" ht="0.65" hidden="1" customHeight="1">
      <c r="A360" s="324">
        <v>1128</v>
      </c>
    </row>
    <row r="361" spans="1:28" s="324" customFormat="1" ht="0.65" hidden="1" customHeight="1">
      <c r="A361" s="324">
        <v>1129</v>
      </c>
    </row>
    <row r="362" spans="1:28" s="324" customFormat="1" ht="0.65" hidden="1" customHeight="1">
      <c r="A362" s="324">
        <v>1130</v>
      </c>
    </row>
    <row r="363" spans="1:28" s="324" customFormat="1" ht="0.65" hidden="1" customHeight="1">
      <c r="A363" s="324">
        <v>1131</v>
      </c>
    </row>
    <row r="364" spans="1:28" s="324" customFormat="1" ht="0.65" hidden="1" customHeight="1">
      <c r="A364" s="324">
        <v>1132</v>
      </c>
    </row>
    <row r="365" spans="1:28" s="324" customFormat="1" ht="0.65" hidden="1" customHeight="1">
      <c r="A365" s="324">
        <v>1133</v>
      </c>
    </row>
    <row r="366" spans="1:28" s="324" customFormat="1" ht="0.65" hidden="1" customHeight="1">
      <c r="A366" s="324">
        <v>1134</v>
      </c>
    </row>
    <row r="367" spans="1:28" s="324" customFormat="1" ht="0.65" hidden="1" customHeight="1">
      <c r="A367" s="324">
        <v>1135</v>
      </c>
    </row>
    <row r="368" spans="1:28" s="324" customFormat="1" ht="0.65" hidden="1" customHeight="1">
      <c r="A368" s="324">
        <v>1136</v>
      </c>
    </row>
    <row r="369" spans="1:32" s="324" customFormat="1" ht="0.65" hidden="1" customHeight="1">
      <c r="A369" s="324">
        <v>1137</v>
      </c>
    </row>
    <row r="370" spans="1:32" s="324" customFormat="1" ht="0.65" hidden="1" customHeight="1">
      <c r="A370" s="324">
        <v>1138</v>
      </c>
    </row>
    <row r="371" spans="1:32" s="324" customFormat="1" ht="0.65" hidden="1" customHeight="1">
      <c r="A371" s="324">
        <v>1139</v>
      </c>
    </row>
    <row r="372" spans="1:32" s="324" customFormat="1" ht="0.65" hidden="1" customHeight="1">
      <c r="A372" s="324">
        <v>1140</v>
      </c>
    </row>
    <row r="373" spans="1:32" s="324" customFormat="1" ht="0.65" hidden="1" customHeight="1">
      <c r="A373" s="324">
        <v>1141</v>
      </c>
    </row>
    <row r="374" spans="1:32" s="324" customFormat="1" ht="0.65" hidden="1" customHeight="1">
      <c r="A374" s="324">
        <v>1142</v>
      </c>
    </row>
    <row r="375" spans="1:32" s="324" customFormat="1" ht="0.65" hidden="1" customHeight="1">
      <c r="A375" s="324">
        <v>1143</v>
      </c>
    </row>
    <row r="376" spans="1:32" s="324" customFormat="1" ht="0.65" hidden="1" customHeight="1">
      <c r="A376" s="324">
        <v>1144</v>
      </c>
      <c r="U376" s="324" t="s">
        <v>625</v>
      </c>
    </row>
    <row r="377" spans="1:32" s="324" customFormat="1" ht="0.65" hidden="1" customHeight="1">
      <c r="A377" s="324">
        <v>1145</v>
      </c>
      <c r="G377" s="324" t="s">
        <v>0</v>
      </c>
      <c r="H377" s="324" t="s">
        <v>69</v>
      </c>
      <c r="I377" s="324" t="s">
        <v>70</v>
      </c>
      <c r="J377" s="324" t="s">
        <v>71</v>
      </c>
      <c r="K377" s="324" t="s">
        <v>72</v>
      </c>
      <c r="L377" s="324" t="s">
        <v>73</v>
      </c>
      <c r="M377" s="324" t="s">
        <v>74</v>
      </c>
      <c r="N377" s="324" t="s">
        <v>75</v>
      </c>
      <c r="O377" s="324" t="s">
        <v>80</v>
      </c>
      <c r="P377" s="324" t="s">
        <v>1</v>
      </c>
      <c r="V377" s="324" t="s">
        <v>182</v>
      </c>
      <c r="W377" s="324" t="s">
        <v>183</v>
      </c>
      <c r="X377" s="324" t="s">
        <v>184</v>
      </c>
      <c r="Y377" s="324" t="s">
        <v>185</v>
      </c>
    </row>
    <row r="378" spans="1:32" s="324" customFormat="1" ht="0.65" hidden="1" customHeight="1">
      <c r="A378" s="324">
        <v>1146</v>
      </c>
      <c r="G378" s="324">
        <v>2022</v>
      </c>
      <c r="H378" s="324">
        <v>0</v>
      </c>
      <c r="I378" s="324">
        <v>0</v>
      </c>
      <c r="J378" s="324">
        <v>0</v>
      </c>
      <c r="K378" s="324">
        <v>0</v>
      </c>
      <c r="L378" s="324">
        <v>0</v>
      </c>
      <c r="M378" s="324">
        <v>0</v>
      </c>
      <c r="N378" s="324">
        <v>0</v>
      </c>
      <c r="O378" s="324">
        <v>0</v>
      </c>
      <c r="P378" s="324">
        <v>-825000</v>
      </c>
      <c r="T378" s="324">
        <v>1</v>
      </c>
      <c r="U378" s="324" t="s">
        <v>153</v>
      </c>
      <c r="V378" s="324" t="s">
        <v>178</v>
      </c>
      <c r="W378" s="324">
        <v>-211665.67031845101</v>
      </c>
      <c r="X378" s="324">
        <v>-1284.6175030396553</v>
      </c>
      <c r="Y378" s="324">
        <v>-1284.6175030394224</v>
      </c>
      <c r="AA378" s="324" t="s">
        <v>188</v>
      </c>
      <c r="AB378" s="324" t="s">
        <v>626</v>
      </c>
      <c r="AD378" s="324">
        <v>-825000</v>
      </c>
      <c r="AE378" s="324">
        <v>-210381.05281541136</v>
      </c>
      <c r="AF378" s="324">
        <v>-825000</v>
      </c>
    </row>
    <row r="379" spans="1:32" s="324" customFormat="1" ht="0.65" hidden="1" customHeight="1">
      <c r="A379" s="324">
        <v>1147</v>
      </c>
      <c r="G379" s="324">
        <v>2023</v>
      </c>
      <c r="H379" s="324">
        <v>420000</v>
      </c>
      <c r="I379" s="324">
        <v>300000</v>
      </c>
      <c r="J379" s="324">
        <v>50000</v>
      </c>
      <c r="K379" s="324">
        <v>70000</v>
      </c>
      <c r="L379" s="324">
        <v>17500</v>
      </c>
      <c r="M379" s="324">
        <v>52500</v>
      </c>
      <c r="N379" s="324">
        <v>102500</v>
      </c>
      <c r="O379" s="324">
        <v>47500</v>
      </c>
      <c r="P379" s="324">
        <v>47500</v>
      </c>
      <c r="T379" s="324">
        <v>2</v>
      </c>
      <c r="U379" s="324" t="s">
        <v>154</v>
      </c>
      <c r="V379" s="324" t="s">
        <v>178</v>
      </c>
      <c r="W379" s="324">
        <v>-289005.18548869214</v>
      </c>
      <c r="X379" s="324">
        <v>-78624.132673280779</v>
      </c>
      <c r="Y379" s="324">
        <v>-78624.132673280634</v>
      </c>
      <c r="AA379" s="324" t="s">
        <v>197</v>
      </c>
      <c r="AB379" s="324" t="s">
        <v>627</v>
      </c>
      <c r="AD379" s="324">
        <v>47500</v>
      </c>
      <c r="AF379" s="324">
        <v>47500</v>
      </c>
    </row>
    <row r="380" spans="1:32" s="324" customFormat="1" ht="0.65" hidden="1" customHeight="1">
      <c r="A380" s="324">
        <v>1148</v>
      </c>
      <c r="G380" s="324">
        <v>2024</v>
      </c>
      <c r="H380" s="324">
        <v>420000</v>
      </c>
      <c r="I380" s="324">
        <v>300000</v>
      </c>
      <c r="J380" s="324">
        <v>50000</v>
      </c>
      <c r="K380" s="324">
        <v>70000</v>
      </c>
      <c r="L380" s="324">
        <v>17500</v>
      </c>
      <c r="M380" s="324">
        <v>52500</v>
      </c>
      <c r="N380" s="324">
        <v>102500</v>
      </c>
      <c r="O380" s="324">
        <v>102500</v>
      </c>
      <c r="P380" s="324">
        <v>102500</v>
      </c>
      <c r="T380" s="324">
        <v>3</v>
      </c>
      <c r="U380" s="324" t="s">
        <v>155</v>
      </c>
      <c r="V380" s="324" t="s">
        <v>178</v>
      </c>
      <c r="W380" s="324">
        <v>-235569.6313063805</v>
      </c>
      <c r="X380" s="324">
        <v>-25188.578490969143</v>
      </c>
      <c r="Y380" s="324">
        <v>-25188.578490969048</v>
      </c>
      <c r="AA380" s="324" t="s">
        <v>191</v>
      </c>
      <c r="AB380" s="324" t="s">
        <v>628</v>
      </c>
      <c r="AD380" s="324">
        <v>102500</v>
      </c>
      <c r="AF380" s="324">
        <v>102500</v>
      </c>
    </row>
    <row r="381" spans="1:32" s="324" customFormat="1" ht="0.65" hidden="1" customHeight="1">
      <c r="A381" s="324">
        <v>1149</v>
      </c>
      <c r="G381" s="324">
        <v>2025</v>
      </c>
      <c r="H381" s="324">
        <v>420000</v>
      </c>
      <c r="I381" s="324">
        <v>300000</v>
      </c>
      <c r="J381" s="324">
        <v>100000</v>
      </c>
      <c r="K381" s="324">
        <v>20000</v>
      </c>
      <c r="L381" s="324">
        <v>5000</v>
      </c>
      <c r="M381" s="324">
        <v>15000</v>
      </c>
      <c r="N381" s="324">
        <v>115000</v>
      </c>
      <c r="O381" s="324">
        <v>115000</v>
      </c>
      <c r="P381" s="324">
        <v>570000</v>
      </c>
      <c r="T381" s="324">
        <v>4</v>
      </c>
      <c r="U381" s="324" t="s">
        <v>156</v>
      </c>
      <c r="V381" s="324" t="s">
        <v>179</v>
      </c>
      <c r="W381" s="324">
        <v>-195381.05281541136</v>
      </c>
      <c r="X381" s="324">
        <v>15000</v>
      </c>
      <c r="Y381" s="324">
        <v>15000.000000000022</v>
      </c>
      <c r="AA381" s="324" t="s">
        <v>198</v>
      </c>
      <c r="AB381" s="324" t="s">
        <v>629</v>
      </c>
      <c r="AD381" s="324">
        <v>570000</v>
      </c>
      <c r="AF381" s="324">
        <v>570000</v>
      </c>
    </row>
    <row r="382" spans="1:32" s="324" customFormat="1" ht="0.65" hidden="1" customHeight="1">
      <c r="A382" s="324">
        <v>1150</v>
      </c>
      <c r="T382" s="324">
        <v>5</v>
      </c>
      <c r="U382" s="324" t="s">
        <v>157</v>
      </c>
      <c r="V382" s="324" t="s">
        <v>178</v>
      </c>
      <c r="W382" s="324">
        <v>-211048.55014542211</v>
      </c>
      <c r="X382" s="324">
        <v>-667.49733001075219</v>
      </c>
      <c r="Y382" s="324">
        <v>-667.49733001067943</v>
      </c>
      <c r="AA382" s="324" t="s">
        <v>192</v>
      </c>
      <c r="AB382" s="324" t="s">
        <v>630</v>
      </c>
      <c r="AD382" s="324">
        <v>5.9999999999999991E-2</v>
      </c>
      <c r="AF382" s="324">
        <v>5.9999999999999991E-2</v>
      </c>
    </row>
    <row r="383" spans="1:32" s="324" customFormat="1" ht="0.65" hidden="1" customHeight="1">
      <c r="A383" s="324">
        <v>1151</v>
      </c>
      <c r="G383" s="324" t="s">
        <v>0</v>
      </c>
      <c r="H383" s="324" t="s">
        <v>76</v>
      </c>
      <c r="I383" s="324" t="s">
        <v>77</v>
      </c>
      <c r="J383" s="324" t="s">
        <v>78</v>
      </c>
      <c r="K383" s="324" t="s">
        <v>79</v>
      </c>
      <c r="T383" s="324">
        <v>6</v>
      </c>
      <c r="U383" s="324" t="s">
        <v>158</v>
      </c>
      <c r="V383" s="324" t="s">
        <v>179</v>
      </c>
      <c r="W383" s="324">
        <v>-210172.79364844807</v>
      </c>
      <c r="X383" s="324">
        <v>208.25916696328204</v>
      </c>
      <c r="Y383" s="324">
        <v>208.25916696333297</v>
      </c>
      <c r="AA383" s="324" t="s">
        <v>193</v>
      </c>
      <c r="AB383" s="324" t="s">
        <v>631</v>
      </c>
      <c r="AD383" s="324">
        <v>-210381.05281541136</v>
      </c>
      <c r="AF383" s="324">
        <v>-210381.05281541136</v>
      </c>
    </row>
    <row r="384" spans="1:32" s="324" customFormat="1" ht="0.65" hidden="1" customHeight="1">
      <c r="A384" s="324">
        <v>1152</v>
      </c>
      <c r="G384" s="324">
        <v>2022</v>
      </c>
      <c r="H384" s="324">
        <v>0</v>
      </c>
      <c r="I384" s="324">
        <v>0</v>
      </c>
      <c r="J384" s="324">
        <v>0</v>
      </c>
      <c r="K384" s="324">
        <v>0</v>
      </c>
      <c r="M384" s="324" t="s">
        <v>490</v>
      </c>
      <c r="N384" s="324">
        <v>825000</v>
      </c>
      <c r="O384" s="324" t="s">
        <v>124</v>
      </c>
      <c r="P384" s="324">
        <v>3.7499999999999999E-2</v>
      </c>
      <c r="T384" s="324">
        <v>7</v>
      </c>
      <c r="U384" s="324" t="s">
        <v>159</v>
      </c>
      <c r="V384" s="324" t="s">
        <v>178</v>
      </c>
      <c r="W384" s="324">
        <v>-225381.05281541136</v>
      </c>
      <c r="X384" s="324">
        <v>-15000</v>
      </c>
      <c r="Y384" s="324">
        <v>-15000</v>
      </c>
      <c r="AA384" s="324" t="s">
        <v>194</v>
      </c>
      <c r="AB384" s="324" t="s">
        <v>632</v>
      </c>
      <c r="AF384" s="324">
        <v>-210381.05281541136</v>
      </c>
    </row>
    <row r="385" spans="1:30" s="324" customFormat="1" ht="0.65" hidden="1" customHeight="1">
      <c r="A385" s="324">
        <v>1153</v>
      </c>
      <c r="G385" s="324">
        <v>2023</v>
      </c>
      <c r="H385" s="324">
        <v>105000</v>
      </c>
      <c r="I385" s="324">
        <v>50000</v>
      </c>
      <c r="J385" s="324">
        <v>55000</v>
      </c>
      <c r="K385" s="324">
        <v>55000</v>
      </c>
      <c r="M385" s="324" t="s">
        <v>491</v>
      </c>
      <c r="N385" s="324">
        <v>400000</v>
      </c>
      <c r="O385" s="324" t="s">
        <v>125</v>
      </c>
      <c r="P385" s="324">
        <v>8.249999999999999E-2</v>
      </c>
      <c r="T385" s="324">
        <v>8</v>
      </c>
      <c r="U385" s="324" t="s">
        <v>160</v>
      </c>
      <c r="V385" s="324" t="s">
        <v>178</v>
      </c>
      <c r="W385" s="324">
        <v>-216678.19743815367</v>
      </c>
      <c r="X385" s="324">
        <v>-6297.1446227423148</v>
      </c>
      <c r="Y385" s="324">
        <v>-6297.1446227422712</v>
      </c>
      <c r="AA385" s="324" t="s">
        <v>195</v>
      </c>
      <c r="AB385" s="324" t="s">
        <v>633</v>
      </c>
    </row>
    <row r="386" spans="1:30" s="324" customFormat="1" ht="0.65" hidden="1" customHeight="1">
      <c r="A386" s="324">
        <v>1154</v>
      </c>
      <c r="G386" s="324">
        <v>2024</v>
      </c>
      <c r="H386" s="324">
        <v>105000</v>
      </c>
      <c r="I386" s="324">
        <v>50000</v>
      </c>
      <c r="J386" s="324">
        <v>55000</v>
      </c>
      <c r="K386" s="324">
        <v>0</v>
      </c>
      <c r="M386" s="324" t="s">
        <v>493</v>
      </c>
      <c r="N386" s="324">
        <v>55000</v>
      </c>
      <c r="O386" s="324" t="s">
        <v>126</v>
      </c>
      <c r="P386" s="324">
        <v>0.06</v>
      </c>
      <c r="T386" s="324">
        <v>9</v>
      </c>
      <c r="U386" s="324" t="s">
        <v>161</v>
      </c>
      <c r="V386" s="324" t="s">
        <v>179</v>
      </c>
      <c r="W386" s="324">
        <v>-127270.83431288914</v>
      </c>
      <c r="X386" s="324">
        <v>83110.218502522213</v>
      </c>
      <c r="Y386" s="324">
        <v>83110.218502522315</v>
      </c>
      <c r="AA386" s="324" t="s">
        <v>199</v>
      </c>
      <c r="AB386" s="324" t="s">
        <v>634</v>
      </c>
      <c r="AD386" s="324">
        <v>-825000</v>
      </c>
    </row>
    <row r="387" spans="1:30" s="324" customFormat="1" ht="0.65" hidden="1" customHeight="1">
      <c r="A387" s="324">
        <v>1155</v>
      </c>
      <c r="G387" s="324">
        <v>2025</v>
      </c>
      <c r="H387" s="324">
        <v>105000</v>
      </c>
      <c r="I387" s="324">
        <v>50000</v>
      </c>
      <c r="J387" s="324">
        <v>55000</v>
      </c>
      <c r="K387" s="324">
        <v>0</v>
      </c>
      <c r="M387" s="324" t="s">
        <v>494</v>
      </c>
      <c r="N387" s="324">
        <v>455000</v>
      </c>
      <c r="T387" s="324">
        <v>10</v>
      </c>
      <c r="U387" s="324" t="s">
        <v>162</v>
      </c>
      <c r="V387" s="324" t="s">
        <v>178</v>
      </c>
      <c r="W387" s="324">
        <v>-214013.24583380925</v>
      </c>
      <c r="X387" s="324">
        <v>-3632.1930183978984</v>
      </c>
      <c r="Y387" s="324">
        <v>-3632.193018397742</v>
      </c>
      <c r="AA387" s="324" t="s">
        <v>200</v>
      </c>
      <c r="AB387" s="324" t="s">
        <v>635</v>
      </c>
      <c r="AD387" s="324">
        <v>47500</v>
      </c>
    </row>
    <row r="388" spans="1:30" s="324" customFormat="1" ht="0.65" hidden="1" customHeight="1">
      <c r="A388" s="324">
        <v>1156</v>
      </c>
      <c r="T388" s="324">
        <v>11</v>
      </c>
      <c r="U388" s="324" t="s">
        <v>163</v>
      </c>
      <c r="V388" s="324" t="s">
        <v>179</v>
      </c>
      <c r="W388" s="324">
        <v>-150757.16866943857</v>
      </c>
      <c r="X388" s="324">
        <v>59623.884145972785</v>
      </c>
      <c r="Y388" s="324">
        <v>59623.884145972843</v>
      </c>
      <c r="AA388" s="324" t="s">
        <v>201</v>
      </c>
      <c r="AB388" s="324" t="s">
        <v>636</v>
      </c>
      <c r="AD388" s="324">
        <v>102500</v>
      </c>
    </row>
    <row r="389" spans="1:30" s="324" customFormat="1" ht="0.65" hidden="1" customHeight="1">
      <c r="A389" s="324">
        <v>1157</v>
      </c>
      <c r="O389" s="324" t="s">
        <v>13</v>
      </c>
      <c r="P389" s="324">
        <v>-210381.05281541136</v>
      </c>
      <c r="T389" s="324">
        <v>12</v>
      </c>
      <c r="U389" s="324" t="s">
        <v>164</v>
      </c>
      <c r="V389" s="324" t="s">
        <v>178</v>
      </c>
      <c r="W389" s="324">
        <v>-212975.47639998142</v>
      </c>
      <c r="X389" s="324">
        <v>-2594.4235845700605</v>
      </c>
      <c r="Y389" s="324">
        <v>-2594.4235845698167</v>
      </c>
      <c r="AA389" s="324" t="s">
        <v>196</v>
      </c>
      <c r="AB389" s="324" t="s">
        <v>503</v>
      </c>
      <c r="AD389" s="324">
        <v>115000</v>
      </c>
    </row>
    <row r="390" spans="1:30" s="324" customFormat="1" ht="0.65" hidden="1" customHeight="1">
      <c r="A390" s="324">
        <v>1158</v>
      </c>
      <c r="O390" s="324" t="s">
        <v>28</v>
      </c>
      <c r="P390" s="324">
        <v>-4.8576778446782765E-2</v>
      </c>
      <c r="T390" s="324">
        <v>13</v>
      </c>
      <c r="U390" s="324" t="s">
        <v>165</v>
      </c>
      <c r="V390" s="324" t="s">
        <v>178</v>
      </c>
      <c r="W390" s="324">
        <v>-213312.74465488957</v>
      </c>
      <c r="X390" s="324">
        <v>-2931.6918394782115</v>
      </c>
      <c r="Y390" s="324">
        <v>-2931.6918394780114</v>
      </c>
      <c r="Z390" s="324">
        <v>6.1874999999999999E-2</v>
      </c>
      <c r="AA390" s="324" t="s">
        <v>202</v>
      </c>
      <c r="AB390" s="324" t="s">
        <v>637</v>
      </c>
      <c r="AD390" s="324">
        <v>545000</v>
      </c>
    </row>
    <row r="391" spans="1:30" s="324" customFormat="1" ht="0.65" hidden="1" customHeight="1">
      <c r="A391" s="324">
        <v>1159</v>
      </c>
      <c r="O391" s="324" t="s">
        <v>29</v>
      </c>
      <c r="P391" s="324">
        <v>-0.25500733674595316</v>
      </c>
      <c r="T391" s="324">
        <v>14</v>
      </c>
      <c r="U391" s="324" t="s">
        <v>166</v>
      </c>
      <c r="V391" s="324" t="s">
        <v>179</v>
      </c>
      <c r="W391" s="324">
        <v>-202465.14212207857</v>
      </c>
      <c r="X391" s="324">
        <v>7915.9106933327857</v>
      </c>
      <c r="Y391" s="324">
        <v>7915.9106933330258</v>
      </c>
      <c r="Z391" s="324">
        <v>5.5E-2</v>
      </c>
      <c r="AA391" s="324" t="s">
        <v>189</v>
      </c>
      <c r="AB391" s="324" t="s">
        <v>638</v>
      </c>
      <c r="AD391" s="324">
        <v>5.9999999999999991E-2</v>
      </c>
    </row>
    <row r="392" spans="1:30" s="324" customFormat="1" ht="0.65" hidden="1" customHeight="1">
      <c r="A392" s="324">
        <v>1160</v>
      </c>
      <c r="O392" s="324" t="s">
        <v>30</v>
      </c>
      <c r="P392" s="324" t="s">
        <v>639</v>
      </c>
      <c r="T392" s="324">
        <v>15</v>
      </c>
      <c r="U392" s="324" t="s">
        <v>167</v>
      </c>
      <c r="V392" s="324" t="s">
        <v>178</v>
      </c>
      <c r="W392" s="324">
        <v>-215062.24928720738</v>
      </c>
      <c r="X392" s="324">
        <v>-4681.1964717960218</v>
      </c>
      <c r="Y392" s="324">
        <v>-4681.1964717958326</v>
      </c>
      <c r="Z392" s="324">
        <v>6.3E-2</v>
      </c>
      <c r="AA392" s="324" t="s">
        <v>190</v>
      </c>
      <c r="AB392" s="324" t="s">
        <v>640</v>
      </c>
      <c r="AD392" s="324">
        <v>-160716.78013038763</v>
      </c>
    </row>
    <row r="393" spans="1:30" s="324" customFormat="1" ht="0.65" hidden="1" customHeight="1">
      <c r="A393" s="324">
        <v>1161</v>
      </c>
      <c r="T393" s="324">
        <v>16</v>
      </c>
      <c r="U393" s="324" t="s">
        <v>168</v>
      </c>
      <c r="V393" s="324" t="s">
        <v>181</v>
      </c>
      <c r="W393" s="324">
        <v>-207570.40876629774</v>
      </c>
      <c r="X393" s="324">
        <v>2810.6440491136163</v>
      </c>
      <c r="Y393" s="324">
        <v>2810.6440491137669</v>
      </c>
      <c r="Z393" s="324">
        <v>5.8214285714285705E-2</v>
      </c>
      <c r="AA393" s="324" t="s">
        <v>427</v>
      </c>
      <c r="AB393" s="324" t="s">
        <v>641</v>
      </c>
      <c r="AD393" s="324">
        <v>-160716.78013038763</v>
      </c>
    </row>
    <row r="394" spans="1:30" s="324" customFormat="1" ht="0.65" hidden="1" customHeight="1">
      <c r="A394" s="324">
        <v>1162</v>
      </c>
      <c r="P394" s="324">
        <v>1</v>
      </c>
      <c r="T394" s="324">
        <v>17</v>
      </c>
      <c r="U394" s="324" t="s">
        <v>169</v>
      </c>
      <c r="V394" s="324" t="s">
        <v>178</v>
      </c>
      <c r="W394" s="324">
        <v>-227677.71332519897</v>
      </c>
      <c r="X394" s="324">
        <v>-17296.660509787616</v>
      </c>
      <c r="Y394" s="324">
        <v>-17296.660509787427</v>
      </c>
      <c r="Z394" s="324">
        <v>7.1249999999999994E-2</v>
      </c>
      <c r="AA394" s="324" t="s">
        <v>425</v>
      </c>
      <c r="AB394" s="324" t="s">
        <v>642</v>
      </c>
    </row>
    <row r="395" spans="1:30" s="324" customFormat="1" ht="0.65" hidden="1" customHeight="1">
      <c r="A395" s="324">
        <v>1163</v>
      </c>
      <c r="H395" s="324">
        <v>1</v>
      </c>
      <c r="I395" s="324">
        <v>1</v>
      </c>
      <c r="J395" s="324">
        <v>1</v>
      </c>
      <c r="K395" s="324">
        <v>1</v>
      </c>
      <c r="L395" s="324">
        <v>1</v>
      </c>
      <c r="M395" s="324">
        <v>1</v>
      </c>
      <c r="N395" s="324">
        <v>1</v>
      </c>
      <c r="O395" s="324">
        <v>1</v>
      </c>
      <c r="P395" s="324">
        <v>1</v>
      </c>
      <c r="T395" s="324">
        <v>18</v>
      </c>
      <c r="U395" s="324" t="s">
        <v>170</v>
      </c>
      <c r="V395" s="324" t="s">
        <v>181</v>
      </c>
      <c r="W395" s="324">
        <v>-203834.30797272723</v>
      </c>
      <c r="X395" s="324">
        <v>6546.7448426841293</v>
      </c>
      <c r="Y395" s="324">
        <v>6546.7448426843366</v>
      </c>
      <c r="Z395" s="324">
        <v>5.874999999999999E-2</v>
      </c>
      <c r="AA395" s="324" t="s">
        <v>203</v>
      </c>
      <c r="AB395" s="324" t="s">
        <v>643</v>
      </c>
    </row>
    <row r="396" spans="1:30" s="324" customFormat="1" ht="0.65" hidden="1" customHeight="1">
      <c r="A396" s="324">
        <v>1164</v>
      </c>
      <c r="H396" s="324">
        <v>1</v>
      </c>
      <c r="I396" s="324">
        <v>1</v>
      </c>
      <c r="J396" s="324">
        <v>1</v>
      </c>
      <c r="K396" s="324">
        <v>1</v>
      </c>
      <c r="L396" s="324">
        <v>1</v>
      </c>
      <c r="M396" s="324">
        <v>1</v>
      </c>
      <c r="N396" s="324">
        <v>1</v>
      </c>
      <c r="O396" s="324">
        <v>1</v>
      </c>
      <c r="P396" s="324">
        <v>1</v>
      </c>
      <c r="T396" s="324">
        <v>19</v>
      </c>
      <c r="U396" s="324" t="s">
        <v>171</v>
      </c>
      <c r="V396" s="324" t="s">
        <v>181</v>
      </c>
      <c r="W396" s="324">
        <v>-160716.78013038763</v>
      </c>
      <c r="X396" s="324">
        <v>49664.272685023723</v>
      </c>
      <c r="Y396" s="324">
        <v>49664.27268502384</v>
      </c>
      <c r="AA396" s="324" t="s">
        <v>426</v>
      </c>
      <c r="AB396" s="324" t="s">
        <v>644</v>
      </c>
    </row>
    <row r="397" spans="1:30" s="324" customFormat="1" ht="0.65" hidden="1" customHeight="1">
      <c r="A397" s="324">
        <v>1165</v>
      </c>
      <c r="H397" s="324">
        <v>1</v>
      </c>
      <c r="I397" s="324">
        <v>1</v>
      </c>
      <c r="J397" s="324">
        <v>1</v>
      </c>
      <c r="K397" s="324">
        <v>1</v>
      </c>
      <c r="L397" s="324">
        <v>1</v>
      </c>
      <c r="M397" s="324">
        <v>1</v>
      </c>
      <c r="N397" s="324">
        <v>1</v>
      </c>
      <c r="O397" s="324">
        <v>1</v>
      </c>
      <c r="P397" s="324">
        <v>1</v>
      </c>
    </row>
    <row r="398" spans="1:30" s="324" customFormat="1" ht="0.65" hidden="1" customHeight="1">
      <c r="A398" s="324">
        <v>1166</v>
      </c>
    </row>
    <row r="399" spans="1:30" s="324" customFormat="1" ht="0.65" hidden="1" customHeight="1">
      <c r="A399" s="324">
        <v>1167</v>
      </c>
      <c r="X399" s="324" t="s">
        <v>186</v>
      </c>
      <c r="Y399" s="324">
        <v>-2.5029294192790985E-9</v>
      </c>
    </row>
    <row r="400" spans="1:30" s="324" customFormat="1" ht="0.65" hidden="1" customHeight="1">
      <c r="A400" s="324">
        <v>1168</v>
      </c>
      <c r="N400" s="324">
        <v>1</v>
      </c>
      <c r="P400" s="324">
        <v>1</v>
      </c>
    </row>
    <row r="401" spans="1:39" s="324" customFormat="1" ht="0.65" hidden="1" customHeight="1">
      <c r="A401" s="324">
        <v>1169</v>
      </c>
      <c r="H401" s="324">
        <v>1</v>
      </c>
      <c r="I401" s="324">
        <v>1</v>
      </c>
      <c r="J401" s="324">
        <v>1</v>
      </c>
      <c r="K401" s="324">
        <v>1</v>
      </c>
      <c r="N401" s="324">
        <v>1</v>
      </c>
      <c r="P401" s="324">
        <v>1</v>
      </c>
    </row>
    <row r="402" spans="1:39" s="324" customFormat="1" ht="0.65" hidden="1" customHeight="1">
      <c r="A402" s="324">
        <v>1170</v>
      </c>
      <c r="H402" s="324">
        <v>1</v>
      </c>
      <c r="I402" s="324">
        <v>1</v>
      </c>
      <c r="J402" s="324">
        <v>1</v>
      </c>
      <c r="K402" s="324">
        <v>1</v>
      </c>
      <c r="N402" s="324">
        <v>1</v>
      </c>
      <c r="P402" s="324">
        <v>1</v>
      </c>
    </row>
    <row r="403" spans="1:39" s="324" customFormat="1" ht="0.65" hidden="1" customHeight="1">
      <c r="A403" s="324">
        <v>1171</v>
      </c>
      <c r="H403" s="324">
        <v>1</v>
      </c>
      <c r="I403" s="324">
        <v>1</v>
      </c>
      <c r="J403" s="324">
        <v>1</v>
      </c>
      <c r="K403" s="324">
        <v>1</v>
      </c>
      <c r="N403" s="324">
        <v>1</v>
      </c>
    </row>
    <row r="404" spans="1:39" s="324" customFormat="1" ht="0.65" hidden="1" customHeight="1">
      <c r="A404" s="324">
        <v>1172</v>
      </c>
      <c r="AI404" s="324">
        <v>1E-4</v>
      </c>
      <c r="AJ404" s="324" t="s">
        <v>244</v>
      </c>
    </row>
    <row r="405" spans="1:39" s="324" customFormat="1" ht="0.65" hidden="1" customHeight="1">
      <c r="A405" s="324">
        <v>1173</v>
      </c>
      <c r="P405" s="324">
        <v>1</v>
      </c>
      <c r="AC405" s="324" t="s">
        <v>463</v>
      </c>
      <c r="AD405" s="324" t="s">
        <v>208</v>
      </c>
      <c r="AG405" s="324" t="s">
        <v>210</v>
      </c>
      <c r="AH405" s="324" t="s">
        <v>209</v>
      </c>
      <c r="AI405" s="324" t="s">
        <v>206</v>
      </c>
      <c r="AJ405" s="324" t="s">
        <v>245</v>
      </c>
      <c r="AK405" s="324" t="s">
        <v>206</v>
      </c>
      <c r="AL405" s="324" t="s">
        <v>205</v>
      </c>
    </row>
    <row r="406" spans="1:39" s="324" customFormat="1" ht="0.65" hidden="1" customHeight="1">
      <c r="A406" s="324">
        <v>1174</v>
      </c>
      <c r="P406" s="324">
        <v>1</v>
      </c>
      <c r="AA406" s="324">
        <v>1</v>
      </c>
      <c r="AB406" s="324" t="s">
        <v>645</v>
      </c>
      <c r="AC406" s="324" t="s">
        <v>55</v>
      </c>
      <c r="AD406" s="324" t="s">
        <v>55</v>
      </c>
      <c r="AE406" s="324">
        <v>0</v>
      </c>
      <c r="AF406" s="324" t="s">
        <v>490</v>
      </c>
      <c r="AG406" s="324">
        <v>825000</v>
      </c>
      <c r="AH406" s="324">
        <v>825000</v>
      </c>
      <c r="AI406" s="324" t="s">
        <v>55</v>
      </c>
      <c r="AJ406" s="324">
        <v>825000</v>
      </c>
      <c r="AK406" s="324" t="s">
        <v>55</v>
      </c>
      <c r="AL406" s="324" t="s">
        <v>55</v>
      </c>
      <c r="AM406" s="324" t="s">
        <v>55</v>
      </c>
    </row>
    <row r="407" spans="1:39" s="324" customFormat="1" ht="0.65" hidden="1" customHeight="1">
      <c r="A407" s="324">
        <v>1175</v>
      </c>
      <c r="AA407" s="324">
        <v>2</v>
      </c>
      <c r="AB407" s="324" t="s">
        <v>645</v>
      </c>
      <c r="AC407" s="324" t="s">
        <v>55</v>
      </c>
      <c r="AD407" s="324" t="s">
        <v>55</v>
      </c>
      <c r="AE407" s="324">
        <v>0</v>
      </c>
      <c r="AF407" s="324" t="s">
        <v>510</v>
      </c>
      <c r="AG407" s="324">
        <v>420000</v>
      </c>
      <c r="AH407" s="324">
        <v>420000</v>
      </c>
      <c r="AI407" s="324" t="s">
        <v>55</v>
      </c>
      <c r="AJ407" s="324">
        <v>420000</v>
      </c>
      <c r="AK407" s="324" t="s">
        <v>55</v>
      </c>
      <c r="AL407" s="324" t="s">
        <v>55</v>
      </c>
      <c r="AM407" s="324" t="s">
        <v>55</v>
      </c>
    </row>
    <row r="408" spans="1:39" s="324" customFormat="1" ht="0.65" hidden="1" customHeight="1">
      <c r="A408" s="324">
        <v>1176</v>
      </c>
      <c r="G408" s="324" t="s">
        <v>411</v>
      </c>
      <c r="H408" s="324">
        <v>49</v>
      </c>
      <c r="AA408" s="324">
        <v>3</v>
      </c>
      <c r="AB408" s="324" t="s">
        <v>645</v>
      </c>
      <c r="AC408" s="324" t="s">
        <v>55</v>
      </c>
      <c r="AD408" s="324" t="s">
        <v>55</v>
      </c>
      <c r="AE408" s="324">
        <v>0</v>
      </c>
      <c r="AF408" s="324" t="s">
        <v>513</v>
      </c>
      <c r="AG408" s="324">
        <v>420000</v>
      </c>
      <c r="AH408" s="324">
        <v>420000</v>
      </c>
      <c r="AI408" s="324" t="s">
        <v>55</v>
      </c>
      <c r="AJ408" s="324">
        <v>420000</v>
      </c>
      <c r="AK408" s="324" t="s">
        <v>55</v>
      </c>
      <c r="AL408" s="324" t="s">
        <v>55</v>
      </c>
      <c r="AM408" s="324" t="s">
        <v>55</v>
      </c>
    </row>
    <row r="409" spans="1:39" s="324" customFormat="1" ht="0.65" hidden="1" customHeight="1">
      <c r="A409" s="324">
        <v>1177</v>
      </c>
      <c r="G409" s="324" t="s">
        <v>412</v>
      </c>
      <c r="AA409" s="324">
        <v>4</v>
      </c>
      <c r="AB409" s="324" t="s">
        <v>645</v>
      </c>
      <c r="AC409" s="324" t="s">
        <v>55</v>
      </c>
      <c r="AD409" s="324" t="s">
        <v>55</v>
      </c>
      <c r="AE409" s="324">
        <v>0</v>
      </c>
      <c r="AF409" s="324" t="s">
        <v>515</v>
      </c>
      <c r="AG409" s="324">
        <v>420000</v>
      </c>
      <c r="AH409" s="324">
        <v>420000</v>
      </c>
      <c r="AI409" s="324" t="s">
        <v>55</v>
      </c>
      <c r="AJ409" s="324">
        <v>420000</v>
      </c>
      <c r="AK409" s="324" t="s">
        <v>55</v>
      </c>
      <c r="AL409" s="324" t="s">
        <v>55</v>
      </c>
      <c r="AM409" s="324" t="s">
        <v>55</v>
      </c>
    </row>
    <row r="410" spans="1:39" s="324" customFormat="1" ht="0.65" hidden="1" customHeight="1">
      <c r="A410" s="324">
        <v>1178</v>
      </c>
      <c r="AA410" s="324">
        <v>5</v>
      </c>
      <c r="AB410" s="324" t="s">
        <v>645</v>
      </c>
      <c r="AC410" s="324" t="s">
        <v>55</v>
      </c>
      <c r="AD410" s="324" t="s">
        <v>55</v>
      </c>
      <c r="AE410" s="324">
        <v>0</v>
      </c>
      <c r="AF410" s="324" t="s">
        <v>517</v>
      </c>
      <c r="AG410" s="324">
        <v>300000</v>
      </c>
      <c r="AH410" s="324">
        <v>300000</v>
      </c>
      <c r="AI410" s="324" t="s">
        <v>55</v>
      </c>
      <c r="AJ410" s="324">
        <v>300000</v>
      </c>
      <c r="AK410" s="324" t="s">
        <v>55</v>
      </c>
      <c r="AL410" s="324" t="s">
        <v>55</v>
      </c>
      <c r="AM410" s="324" t="s">
        <v>55</v>
      </c>
    </row>
    <row r="411" spans="1:39" s="324" customFormat="1" ht="0.65" hidden="1" customHeight="1">
      <c r="A411" s="324">
        <v>1179</v>
      </c>
      <c r="AA411" s="324">
        <v>6</v>
      </c>
      <c r="AB411" s="324" t="s">
        <v>645</v>
      </c>
      <c r="AC411" s="324" t="s">
        <v>55</v>
      </c>
      <c r="AD411" s="324" t="s">
        <v>55</v>
      </c>
      <c r="AE411" s="324">
        <v>0</v>
      </c>
      <c r="AF411" s="324" t="s">
        <v>521</v>
      </c>
      <c r="AG411" s="324">
        <v>300000</v>
      </c>
      <c r="AH411" s="324">
        <v>300000</v>
      </c>
      <c r="AI411" s="324" t="s">
        <v>55</v>
      </c>
      <c r="AJ411" s="324">
        <v>300000</v>
      </c>
      <c r="AK411" s="324" t="s">
        <v>55</v>
      </c>
      <c r="AL411" s="324" t="s">
        <v>55</v>
      </c>
      <c r="AM411" s="324" t="s">
        <v>55</v>
      </c>
    </row>
    <row r="412" spans="1:39" s="324" customFormat="1" ht="0.65" hidden="1" customHeight="1">
      <c r="A412" s="324">
        <v>1180</v>
      </c>
      <c r="AA412" s="324">
        <v>7</v>
      </c>
      <c r="AB412" s="324" t="s">
        <v>645</v>
      </c>
      <c r="AC412" s="324" t="s">
        <v>55</v>
      </c>
      <c r="AD412" s="324" t="s">
        <v>55</v>
      </c>
      <c r="AE412" s="324">
        <v>0</v>
      </c>
      <c r="AF412" s="324" t="s">
        <v>523</v>
      </c>
      <c r="AG412" s="324">
        <v>300000</v>
      </c>
      <c r="AH412" s="324">
        <v>300000</v>
      </c>
      <c r="AI412" s="324" t="s">
        <v>55</v>
      </c>
      <c r="AJ412" s="324">
        <v>300000</v>
      </c>
      <c r="AK412" s="324" t="s">
        <v>55</v>
      </c>
      <c r="AL412" s="324" t="s">
        <v>55</v>
      </c>
      <c r="AM412" s="324" t="s">
        <v>55</v>
      </c>
    </row>
    <row r="413" spans="1:39" s="324" customFormat="1" ht="0.65" hidden="1" customHeight="1">
      <c r="A413" s="324">
        <v>1181</v>
      </c>
      <c r="G413" s="324" t="s">
        <v>0</v>
      </c>
      <c r="H413" s="324" t="s">
        <v>69</v>
      </c>
      <c r="I413" s="324" t="s">
        <v>70</v>
      </c>
      <c r="J413" s="324" t="s">
        <v>71</v>
      </c>
      <c r="K413" s="324" t="s">
        <v>72</v>
      </c>
      <c r="L413" s="324" t="s">
        <v>73</v>
      </c>
      <c r="M413" s="324" t="s">
        <v>74</v>
      </c>
      <c r="N413" s="324" t="s">
        <v>75</v>
      </c>
      <c r="O413" s="324" t="s">
        <v>80</v>
      </c>
      <c r="P413" s="324" t="s">
        <v>1</v>
      </c>
      <c r="AA413" s="324">
        <v>8</v>
      </c>
      <c r="AB413" s="324" t="s">
        <v>645</v>
      </c>
      <c r="AC413" s="324" t="s">
        <v>55</v>
      </c>
      <c r="AD413" s="324" t="s">
        <v>55</v>
      </c>
      <c r="AE413" s="324">
        <v>0</v>
      </c>
      <c r="AF413" s="324" t="s">
        <v>525</v>
      </c>
      <c r="AG413" s="324">
        <v>50000</v>
      </c>
      <c r="AH413" s="324">
        <v>50000</v>
      </c>
      <c r="AI413" s="324" t="s">
        <v>55</v>
      </c>
      <c r="AJ413" s="324">
        <v>50000</v>
      </c>
      <c r="AK413" s="324" t="s">
        <v>55</v>
      </c>
      <c r="AL413" s="324" t="s">
        <v>55</v>
      </c>
      <c r="AM413" s="324" t="s">
        <v>55</v>
      </c>
    </row>
    <row r="414" spans="1:39" s="324" customFormat="1" ht="0.65" hidden="1" customHeight="1">
      <c r="A414" s="324">
        <v>1182</v>
      </c>
      <c r="G414" s="324">
        <v>2021</v>
      </c>
      <c r="P414" s="324" t="s">
        <v>645</v>
      </c>
      <c r="AA414" s="324">
        <v>9</v>
      </c>
      <c r="AB414" s="324" t="s">
        <v>645</v>
      </c>
      <c r="AC414" s="324" t="s">
        <v>55</v>
      </c>
      <c r="AD414" s="324" t="s">
        <v>55</v>
      </c>
      <c r="AE414" s="324">
        <v>0</v>
      </c>
      <c r="AF414" s="324" t="s">
        <v>528</v>
      </c>
      <c r="AG414" s="324">
        <v>50000</v>
      </c>
      <c r="AH414" s="324">
        <v>50000</v>
      </c>
      <c r="AI414" s="324" t="s">
        <v>55</v>
      </c>
      <c r="AJ414" s="324">
        <v>50000</v>
      </c>
      <c r="AK414" s="324" t="s">
        <v>55</v>
      </c>
      <c r="AL414" s="324" t="s">
        <v>55</v>
      </c>
      <c r="AM414" s="324" t="s">
        <v>55</v>
      </c>
    </row>
    <row r="415" spans="1:39" s="324" customFormat="1" ht="0.65" hidden="1" customHeight="1">
      <c r="A415" s="324">
        <v>1183</v>
      </c>
      <c r="G415" s="324">
        <v>2022</v>
      </c>
      <c r="H415" s="324" t="s">
        <v>645</v>
      </c>
      <c r="I415" s="324" t="s">
        <v>645</v>
      </c>
      <c r="J415" s="324" t="s">
        <v>645</v>
      </c>
      <c r="K415" s="324" t="s">
        <v>645</v>
      </c>
      <c r="L415" s="324" t="s">
        <v>645</v>
      </c>
      <c r="M415" s="324" t="s">
        <v>645</v>
      </c>
      <c r="N415" s="324" t="s">
        <v>645</v>
      </c>
      <c r="O415" s="324" t="s">
        <v>645</v>
      </c>
      <c r="P415" s="324" t="s">
        <v>645</v>
      </c>
      <c r="AA415" s="324">
        <v>10</v>
      </c>
      <c r="AB415" s="324" t="s">
        <v>645</v>
      </c>
      <c r="AC415" s="324" t="s">
        <v>55</v>
      </c>
      <c r="AD415" s="324" t="s">
        <v>55</v>
      </c>
      <c r="AE415" s="324">
        <v>0</v>
      </c>
      <c r="AF415" s="324" t="s">
        <v>530</v>
      </c>
      <c r="AG415" s="324">
        <v>100000</v>
      </c>
      <c r="AH415" s="324">
        <v>100000</v>
      </c>
      <c r="AI415" s="324" t="s">
        <v>55</v>
      </c>
      <c r="AJ415" s="324">
        <v>100000</v>
      </c>
      <c r="AK415" s="324" t="s">
        <v>55</v>
      </c>
      <c r="AL415" s="324" t="s">
        <v>55</v>
      </c>
      <c r="AM415" s="324" t="s">
        <v>55</v>
      </c>
    </row>
    <row r="416" spans="1:39" s="324" customFormat="1" ht="0.65" hidden="1" customHeight="1">
      <c r="A416" s="324">
        <v>1184</v>
      </c>
      <c r="G416" s="324">
        <v>2023</v>
      </c>
      <c r="H416" s="324" t="s">
        <v>645</v>
      </c>
      <c r="I416" s="324" t="s">
        <v>645</v>
      </c>
      <c r="J416" s="324" t="s">
        <v>645</v>
      </c>
      <c r="K416" s="324" t="s">
        <v>645</v>
      </c>
      <c r="L416" s="324" t="s">
        <v>645</v>
      </c>
      <c r="M416" s="324" t="s">
        <v>645</v>
      </c>
      <c r="N416" s="324" t="s">
        <v>645</v>
      </c>
      <c r="O416" s="324" t="s">
        <v>645</v>
      </c>
      <c r="P416" s="324" t="s">
        <v>645</v>
      </c>
      <c r="AA416" s="324">
        <v>11</v>
      </c>
      <c r="AB416" s="324" t="s">
        <v>645</v>
      </c>
      <c r="AC416" s="324" t="s">
        <v>55</v>
      </c>
      <c r="AD416" s="324" t="s">
        <v>55</v>
      </c>
      <c r="AE416" s="324">
        <v>0</v>
      </c>
      <c r="AF416" s="324" t="s">
        <v>533</v>
      </c>
      <c r="AG416" s="324">
        <v>70000</v>
      </c>
      <c r="AH416" s="324">
        <v>70000</v>
      </c>
      <c r="AI416" s="324" t="s">
        <v>55</v>
      </c>
      <c r="AJ416" s="324">
        <v>70000</v>
      </c>
      <c r="AK416" s="324" t="s">
        <v>55</v>
      </c>
      <c r="AL416" s="324" t="s">
        <v>55</v>
      </c>
      <c r="AM416" s="324" t="s">
        <v>55</v>
      </c>
    </row>
    <row r="417" spans="1:39" s="324" customFormat="1" ht="0.65" hidden="1" customHeight="1">
      <c r="A417" s="324">
        <v>1185</v>
      </c>
      <c r="G417" s="324">
        <v>2024</v>
      </c>
      <c r="H417" s="324" t="s">
        <v>645</v>
      </c>
      <c r="I417" s="324" t="s">
        <v>645</v>
      </c>
      <c r="J417" s="324" t="s">
        <v>645</v>
      </c>
      <c r="K417" s="324" t="s">
        <v>645</v>
      </c>
      <c r="L417" s="324" t="s">
        <v>645</v>
      </c>
      <c r="M417" s="324" t="s">
        <v>645</v>
      </c>
      <c r="N417" s="324" t="s">
        <v>645</v>
      </c>
      <c r="O417" s="324" t="s">
        <v>645</v>
      </c>
      <c r="P417" s="324" t="s">
        <v>645</v>
      </c>
      <c r="AA417" s="324">
        <v>12</v>
      </c>
      <c r="AB417" s="324" t="s">
        <v>645</v>
      </c>
      <c r="AC417" s="324" t="s">
        <v>55</v>
      </c>
      <c r="AD417" s="324" t="s">
        <v>55</v>
      </c>
      <c r="AE417" s="324">
        <v>0</v>
      </c>
      <c r="AF417" s="324" t="s">
        <v>536</v>
      </c>
      <c r="AG417" s="324">
        <v>70000</v>
      </c>
      <c r="AH417" s="324">
        <v>70000</v>
      </c>
      <c r="AI417" s="324" t="s">
        <v>55</v>
      </c>
      <c r="AJ417" s="324">
        <v>70000</v>
      </c>
      <c r="AK417" s="324" t="s">
        <v>55</v>
      </c>
      <c r="AL417" s="324" t="s">
        <v>55</v>
      </c>
      <c r="AM417" s="324" t="s">
        <v>55</v>
      </c>
    </row>
    <row r="418" spans="1:39" s="324" customFormat="1" ht="0.65" hidden="1" customHeight="1">
      <c r="A418" s="324">
        <v>1186</v>
      </c>
      <c r="AA418" s="324">
        <v>13</v>
      </c>
      <c r="AB418" s="324" t="s">
        <v>645</v>
      </c>
      <c r="AC418" s="324" t="s">
        <v>55</v>
      </c>
      <c r="AD418" s="324" t="s">
        <v>55</v>
      </c>
      <c r="AE418" s="324">
        <v>0</v>
      </c>
      <c r="AF418" s="324" t="s">
        <v>538</v>
      </c>
      <c r="AG418" s="324">
        <v>20000</v>
      </c>
      <c r="AH418" s="324">
        <v>20000</v>
      </c>
      <c r="AI418" s="324" t="s">
        <v>55</v>
      </c>
      <c r="AJ418" s="324">
        <v>20000</v>
      </c>
      <c r="AK418" s="324" t="s">
        <v>55</v>
      </c>
      <c r="AL418" s="324" t="s">
        <v>55</v>
      </c>
      <c r="AM418" s="324" t="s">
        <v>55</v>
      </c>
    </row>
    <row r="419" spans="1:39" s="324" customFormat="1" ht="0.65" hidden="1" customHeight="1">
      <c r="A419" s="324">
        <v>1187</v>
      </c>
      <c r="G419" s="324" t="s">
        <v>0</v>
      </c>
      <c r="H419" s="324" t="s">
        <v>76</v>
      </c>
      <c r="I419" s="324" t="s">
        <v>77</v>
      </c>
      <c r="J419" s="324" t="s">
        <v>78</v>
      </c>
      <c r="K419" s="324" t="s">
        <v>79</v>
      </c>
      <c r="AA419" s="324">
        <v>14</v>
      </c>
      <c r="AB419" s="324" t="s">
        <v>645</v>
      </c>
      <c r="AC419" s="324" t="s">
        <v>55</v>
      </c>
      <c r="AD419" s="324" t="s">
        <v>55</v>
      </c>
      <c r="AE419" s="324">
        <v>0</v>
      </c>
      <c r="AF419" s="324" t="s">
        <v>541</v>
      </c>
      <c r="AG419" s="324">
        <v>17500</v>
      </c>
      <c r="AH419" s="324">
        <v>17500</v>
      </c>
      <c r="AI419" s="324" t="s">
        <v>55</v>
      </c>
      <c r="AJ419" s="324">
        <v>17500</v>
      </c>
      <c r="AK419" s="324" t="s">
        <v>55</v>
      </c>
      <c r="AL419" s="324" t="s">
        <v>55</v>
      </c>
      <c r="AM419" s="324" t="s">
        <v>55</v>
      </c>
    </row>
    <row r="420" spans="1:39" s="324" customFormat="1" ht="0.65" hidden="1" customHeight="1">
      <c r="A420" s="324">
        <v>1188</v>
      </c>
      <c r="G420" s="324">
        <v>2021</v>
      </c>
      <c r="M420" s="324" t="s">
        <v>456</v>
      </c>
      <c r="N420" s="324" t="s">
        <v>645</v>
      </c>
      <c r="O420" s="324" t="s">
        <v>124</v>
      </c>
      <c r="P420" s="324" t="s">
        <v>645</v>
      </c>
      <c r="AA420" s="324">
        <v>15</v>
      </c>
      <c r="AB420" s="324" t="s">
        <v>645</v>
      </c>
      <c r="AC420" s="324" t="s">
        <v>55</v>
      </c>
      <c r="AD420" s="324" t="s">
        <v>55</v>
      </c>
      <c r="AE420" s="324">
        <v>0</v>
      </c>
      <c r="AF420" s="324" t="s">
        <v>544</v>
      </c>
      <c r="AG420" s="324">
        <v>17500</v>
      </c>
      <c r="AH420" s="324">
        <v>17500</v>
      </c>
      <c r="AI420" s="324" t="s">
        <v>55</v>
      </c>
      <c r="AJ420" s="324">
        <v>17500</v>
      </c>
      <c r="AK420" s="324" t="s">
        <v>55</v>
      </c>
      <c r="AL420" s="324" t="s">
        <v>55</v>
      </c>
      <c r="AM420" s="324" t="s">
        <v>55</v>
      </c>
    </row>
    <row r="421" spans="1:39" s="324" customFormat="1" ht="0.65" hidden="1" customHeight="1">
      <c r="A421" s="324">
        <v>1189</v>
      </c>
      <c r="G421" s="324">
        <v>2022</v>
      </c>
      <c r="H421" s="324" t="s">
        <v>645</v>
      </c>
      <c r="I421" s="324" t="s">
        <v>645</v>
      </c>
      <c r="J421" s="324" t="s">
        <v>645</v>
      </c>
      <c r="K421" s="324" t="s">
        <v>645</v>
      </c>
      <c r="M421" s="324" t="s">
        <v>457</v>
      </c>
      <c r="N421" s="324" t="s">
        <v>645</v>
      </c>
      <c r="O421" s="324" t="s">
        <v>125</v>
      </c>
      <c r="P421" s="324" t="s">
        <v>645</v>
      </c>
      <c r="AA421" s="324">
        <v>16</v>
      </c>
      <c r="AB421" s="324" t="s">
        <v>645</v>
      </c>
      <c r="AC421" s="324" t="s">
        <v>55</v>
      </c>
      <c r="AD421" s="324" t="s">
        <v>55</v>
      </c>
      <c r="AE421" s="324">
        <v>0</v>
      </c>
      <c r="AF421" s="324" t="s">
        <v>546</v>
      </c>
      <c r="AG421" s="324">
        <v>5000</v>
      </c>
      <c r="AH421" s="324">
        <v>5000</v>
      </c>
      <c r="AI421" s="324" t="s">
        <v>55</v>
      </c>
      <c r="AJ421" s="324">
        <v>5000</v>
      </c>
      <c r="AK421" s="324" t="s">
        <v>55</v>
      </c>
      <c r="AL421" s="324" t="s">
        <v>55</v>
      </c>
      <c r="AM421" s="324" t="s">
        <v>55</v>
      </c>
    </row>
    <row r="422" spans="1:39" s="324" customFormat="1" ht="0.65" hidden="1" customHeight="1">
      <c r="A422" s="324">
        <v>1190</v>
      </c>
      <c r="G422" s="324">
        <v>2023</v>
      </c>
      <c r="H422" s="324" t="s">
        <v>645</v>
      </c>
      <c r="I422" s="324" t="s">
        <v>645</v>
      </c>
      <c r="J422" s="324" t="s">
        <v>645</v>
      </c>
      <c r="K422" s="324" t="s">
        <v>645</v>
      </c>
      <c r="M422" s="324" t="s">
        <v>458</v>
      </c>
      <c r="N422" s="324" t="s">
        <v>645</v>
      </c>
      <c r="O422" s="324" t="s">
        <v>126</v>
      </c>
      <c r="P422" s="324" t="s">
        <v>645</v>
      </c>
      <c r="AA422" s="324">
        <v>17</v>
      </c>
      <c r="AB422" s="324" t="s">
        <v>645</v>
      </c>
      <c r="AC422" s="324" t="s">
        <v>55</v>
      </c>
      <c r="AD422" s="324" t="s">
        <v>55</v>
      </c>
      <c r="AE422" s="324">
        <v>0</v>
      </c>
      <c r="AF422" s="324" t="s">
        <v>549</v>
      </c>
      <c r="AG422" s="324">
        <v>52500</v>
      </c>
      <c r="AH422" s="324">
        <v>52500</v>
      </c>
      <c r="AI422" s="324" t="s">
        <v>55</v>
      </c>
      <c r="AJ422" s="324">
        <v>52500</v>
      </c>
      <c r="AK422" s="324" t="s">
        <v>55</v>
      </c>
      <c r="AL422" s="324" t="s">
        <v>55</v>
      </c>
      <c r="AM422" s="324" t="s">
        <v>55</v>
      </c>
    </row>
    <row r="423" spans="1:39" s="324" customFormat="1" ht="0.65" hidden="1" customHeight="1">
      <c r="A423" s="324">
        <v>1191</v>
      </c>
      <c r="G423" s="324">
        <v>2024</v>
      </c>
      <c r="H423" s="324" t="s">
        <v>645</v>
      </c>
      <c r="I423" s="324" t="s">
        <v>645</v>
      </c>
      <c r="J423" s="324" t="s">
        <v>645</v>
      </c>
      <c r="K423" s="324" t="s">
        <v>645</v>
      </c>
      <c r="M423" s="324" t="s">
        <v>459</v>
      </c>
      <c r="N423" s="324" t="s">
        <v>645</v>
      </c>
      <c r="AA423" s="324">
        <v>18</v>
      </c>
      <c r="AB423" s="324" t="s">
        <v>645</v>
      </c>
      <c r="AC423" s="324" t="s">
        <v>55</v>
      </c>
      <c r="AD423" s="324" t="s">
        <v>55</v>
      </c>
      <c r="AE423" s="324">
        <v>0</v>
      </c>
      <c r="AF423" s="324" t="s">
        <v>552</v>
      </c>
      <c r="AG423" s="324">
        <v>52500</v>
      </c>
      <c r="AH423" s="324">
        <v>52500</v>
      </c>
      <c r="AI423" s="324" t="s">
        <v>55</v>
      </c>
      <c r="AJ423" s="324">
        <v>52500</v>
      </c>
      <c r="AK423" s="324" t="s">
        <v>55</v>
      </c>
      <c r="AL423" s="324" t="s">
        <v>55</v>
      </c>
      <c r="AM423" s="324" t="s">
        <v>55</v>
      </c>
    </row>
    <row r="424" spans="1:39" s="324" customFormat="1" ht="0.65" hidden="1" customHeight="1">
      <c r="A424" s="324">
        <v>1192</v>
      </c>
      <c r="AA424" s="324">
        <v>19</v>
      </c>
      <c r="AB424" s="324" t="s">
        <v>645</v>
      </c>
      <c r="AC424" s="324" t="s">
        <v>55</v>
      </c>
      <c r="AD424" s="324" t="s">
        <v>55</v>
      </c>
      <c r="AE424" s="324">
        <v>0</v>
      </c>
      <c r="AF424" s="324" t="s">
        <v>554</v>
      </c>
      <c r="AG424" s="324">
        <v>15000</v>
      </c>
      <c r="AH424" s="324">
        <v>15000</v>
      </c>
      <c r="AI424" s="324" t="s">
        <v>55</v>
      </c>
      <c r="AJ424" s="324">
        <v>15000</v>
      </c>
      <c r="AK424" s="324" t="s">
        <v>55</v>
      </c>
      <c r="AL424" s="324" t="s">
        <v>55</v>
      </c>
      <c r="AM424" s="324" t="s">
        <v>55</v>
      </c>
    </row>
    <row r="425" spans="1:39" s="324" customFormat="1" ht="0.65" hidden="1" customHeight="1">
      <c r="A425" s="324">
        <v>1193</v>
      </c>
      <c r="O425" s="324" t="s">
        <v>13</v>
      </c>
      <c r="P425" s="324" t="s">
        <v>645</v>
      </c>
      <c r="AA425" s="324">
        <v>20</v>
      </c>
      <c r="AB425" s="324" t="s">
        <v>645</v>
      </c>
      <c r="AC425" s="324" t="s">
        <v>55</v>
      </c>
      <c r="AD425" s="324" t="s">
        <v>55</v>
      </c>
      <c r="AE425" s="324">
        <v>0</v>
      </c>
      <c r="AF425" s="324" t="s">
        <v>557</v>
      </c>
      <c r="AG425" s="324">
        <v>102500</v>
      </c>
      <c r="AH425" s="324">
        <v>102500</v>
      </c>
      <c r="AI425" s="324" t="s">
        <v>55</v>
      </c>
      <c r="AJ425" s="324">
        <v>102500</v>
      </c>
      <c r="AK425" s="324" t="s">
        <v>55</v>
      </c>
      <c r="AL425" s="324" t="s">
        <v>55</v>
      </c>
      <c r="AM425" s="324" t="s">
        <v>55</v>
      </c>
    </row>
    <row r="426" spans="1:39" s="324" customFormat="1" ht="0.65" hidden="1" customHeight="1">
      <c r="A426" s="324">
        <v>1194</v>
      </c>
      <c r="O426" s="324" t="s">
        <v>28</v>
      </c>
      <c r="P426" s="324" t="s">
        <v>645</v>
      </c>
      <c r="AA426" s="324">
        <v>21</v>
      </c>
      <c r="AB426" s="324" t="s">
        <v>645</v>
      </c>
      <c r="AC426" s="324" t="s">
        <v>55</v>
      </c>
      <c r="AD426" s="324" t="s">
        <v>55</v>
      </c>
      <c r="AE426" s="324">
        <v>0</v>
      </c>
      <c r="AF426" s="324" t="s">
        <v>560</v>
      </c>
      <c r="AG426" s="324">
        <v>102500</v>
      </c>
      <c r="AH426" s="324">
        <v>102500</v>
      </c>
      <c r="AI426" s="324" t="s">
        <v>55</v>
      </c>
      <c r="AJ426" s="324">
        <v>102500</v>
      </c>
      <c r="AK426" s="324" t="s">
        <v>55</v>
      </c>
      <c r="AL426" s="324" t="s">
        <v>55</v>
      </c>
      <c r="AM426" s="324" t="s">
        <v>55</v>
      </c>
    </row>
    <row r="427" spans="1:39" s="324" customFormat="1" ht="0.65" hidden="1" customHeight="1">
      <c r="A427" s="324">
        <v>1195</v>
      </c>
      <c r="O427" s="324" t="s">
        <v>29</v>
      </c>
      <c r="AA427" s="324">
        <v>22</v>
      </c>
      <c r="AB427" s="324" t="s">
        <v>645</v>
      </c>
      <c r="AC427" s="324" t="s">
        <v>55</v>
      </c>
      <c r="AD427" s="324" t="s">
        <v>55</v>
      </c>
      <c r="AE427" s="324">
        <v>0</v>
      </c>
      <c r="AF427" s="324" t="s">
        <v>562</v>
      </c>
      <c r="AG427" s="324">
        <v>115000</v>
      </c>
      <c r="AH427" s="324">
        <v>115000</v>
      </c>
      <c r="AI427" s="324" t="s">
        <v>55</v>
      </c>
      <c r="AJ427" s="324">
        <v>115000</v>
      </c>
      <c r="AK427" s="324" t="s">
        <v>55</v>
      </c>
      <c r="AL427" s="324" t="s">
        <v>55</v>
      </c>
      <c r="AM427" s="324" t="s">
        <v>55</v>
      </c>
    </row>
    <row r="428" spans="1:39" s="324" customFormat="1" ht="0.65" hidden="1" customHeight="1">
      <c r="A428" s="324">
        <v>1196</v>
      </c>
      <c r="O428" s="324" t="s">
        <v>30</v>
      </c>
      <c r="AA428" s="324">
        <v>23</v>
      </c>
      <c r="AB428" s="324" t="s">
        <v>645</v>
      </c>
      <c r="AC428" s="324" t="s">
        <v>55</v>
      </c>
      <c r="AD428" s="324" t="s">
        <v>55</v>
      </c>
      <c r="AE428" s="324">
        <v>0</v>
      </c>
      <c r="AF428" s="324" t="s">
        <v>565</v>
      </c>
      <c r="AG428" s="324">
        <v>105000</v>
      </c>
      <c r="AH428" s="324">
        <v>105000</v>
      </c>
      <c r="AI428" s="324" t="s">
        <v>55</v>
      </c>
      <c r="AJ428" s="324">
        <v>105000</v>
      </c>
      <c r="AK428" s="324" t="s">
        <v>55</v>
      </c>
      <c r="AL428" s="324" t="s">
        <v>55</v>
      </c>
      <c r="AM428" s="324" t="s">
        <v>55</v>
      </c>
    </row>
    <row r="429" spans="1:39" s="324" customFormat="1" ht="0.65" hidden="1" customHeight="1">
      <c r="A429" s="324">
        <v>1197</v>
      </c>
      <c r="AA429" s="324">
        <v>24</v>
      </c>
      <c r="AB429" s="324" t="s">
        <v>645</v>
      </c>
      <c r="AC429" s="324" t="s">
        <v>55</v>
      </c>
      <c r="AD429" s="324" t="s">
        <v>55</v>
      </c>
      <c r="AE429" s="324">
        <v>0</v>
      </c>
      <c r="AF429" s="324" t="s">
        <v>568</v>
      </c>
      <c r="AG429" s="324">
        <v>105000</v>
      </c>
      <c r="AH429" s="324">
        <v>105000</v>
      </c>
      <c r="AI429" s="324" t="s">
        <v>55</v>
      </c>
      <c r="AJ429" s="324">
        <v>105000</v>
      </c>
      <c r="AK429" s="324" t="s">
        <v>55</v>
      </c>
      <c r="AL429" s="324" t="s">
        <v>55</v>
      </c>
      <c r="AM429" s="324" t="s">
        <v>55</v>
      </c>
    </row>
    <row r="430" spans="1:39" s="324" customFormat="1" ht="0.65" hidden="1" customHeight="1">
      <c r="A430" s="324">
        <v>1198</v>
      </c>
      <c r="AA430" s="324">
        <v>25</v>
      </c>
      <c r="AB430" s="324" t="s">
        <v>645</v>
      </c>
      <c r="AC430" s="324" t="s">
        <v>55</v>
      </c>
      <c r="AD430" s="324" t="s">
        <v>55</v>
      </c>
      <c r="AE430" s="324">
        <v>0</v>
      </c>
      <c r="AF430" s="324" t="s">
        <v>570</v>
      </c>
      <c r="AG430" s="324">
        <v>105000</v>
      </c>
      <c r="AH430" s="324">
        <v>105000</v>
      </c>
      <c r="AI430" s="324" t="s">
        <v>55</v>
      </c>
      <c r="AJ430" s="324">
        <v>105000</v>
      </c>
      <c r="AK430" s="324" t="s">
        <v>55</v>
      </c>
      <c r="AL430" s="324" t="s">
        <v>55</v>
      </c>
      <c r="AM430" s="324" t="s">
        <v>55</v>
      </c>
    </row>
    <row r="431" spans="1:39" s="324" customFormat="1" ht="0.65" hidden="1" customHeight="1">
      <c r="A431" s="324">
        <v>1199</v>
      </c>
      <c r="AA431" s="324">
        <v>26</v>
      </c>
      <c r="AB431" s="324" t="s">
        <v>645</v>
      </c>
      <c r="AC431" s="324" t="s">
        <v>55</v>
      </c>
      <c r="AD431" s="324" t="s">
        <v>55</v>
      </c>
      <c r="AE431" s="324">
        <v>0</v>
      </c>
      <c r="AF431" s="324" t="s">
        <v>572</v>
      </c>
      <c r="AG431" s="324">
        <v>50000</v>
      </c>
      <c r="AH431" s="324">
        <v>50000</v>
      </c>
      <c r="AI431" s="324" t="s">
        <v>55</v>
      </c>
      <c r="AJ431" s="324">
        <v>50000</v>
      </c>
      <c r="AK431" s="324" t="s">
        <v>55</v>
      </c>
      <c r="AL431" s="324" t="s">
        <v>55</v>
      </c>
      <c r="AM431" s="324" t="s">
        <v>55</v>
      </c>
    </row>
    <row r="432" spans="1:39" s="324" customFormat="1" ht="0.65" hidden="1" customHeight="1">
      <c r="A432" s="324">
        <v>1200</v>
      </c>
      <c r="AA432" s="324">
        <v>27</v>
      </c>
      <c r="AB432" s="324" t="s">
        <v>645</v>
      </c>
      <c r="AC432" s="324" t="s">
        <v>55</v>
      </c>
      <c r="AD432" s="324" t="s">
        <v>55</v>
      </c>
      <c r="AE432" s="324">
        <v>0</v>
      </c>
      <c r="AF432" s="324" t="s">
        <v>575</v>
      </c>
      <c r="AG432" s="324">
        <v>50000</v>
      </c>
      <c r="AH432" s="324">
        <v>50000</v>
      </c>
      <c r="AI432" s="324" t="s">
        <v>55</v>
      </c>
      <c r="AJ432" s="324">
        <v>50000</v>
      </c>
      <c r="AK432" s="324" t="s">
        <v>55</v>
      </c>
      <c r="AL432" s="324" t="s">
        <v>55</v>
      </c>
      <c r="AM432" s="324" t="s">
        <v>55</v>
      </c>
    </row>
    <row r="433" spans="1:39" s="324" customFormat="1" ht="0.65" hidden="1" customHeight="1">
      <c r="A433" s="324">
        <v>1201</v>
      </c>
      <c r="AA433" s="324">
        <v>28</v>
      </c>
      <c r="AB433" s="324" t="s">
        <v>645</v>
      </c>
      <c r="AC433" s="324" t="s">
        <v>55</v>
      </c>
      <c r="AD433" s="324" t="s">
        <v>55</v>
      </c>
      <c r="AE433" s="324">
        <v>0</v>
      </c>
      <c r="AF433" s="324" t="s">
        <v>577</v>
      </c>
      <c r="AG433" s="324">
        <v>50000</v>
      </c>
      <c r="AH433" s="324">
        <v>50000</v>
      </c>
      <c r="AI433" s="324" t="s">
        <v>55</v>
      </c>
      <c r="AJ433" s="324">
        <v>50000</v>
      </c>
      <c r="AK433" s="324" t="s">
        <v>55</v>
      </c>
      <c r="AL433" s="324" t="s">
        <v>55</v>
      </c>
      <c r="AM433" s="324" t="s">
        <v>55</v>
      </c>
    </row>
    <row r="434" spans="1:39" s="324" customFormat="1" ht="0.65" hidden="1" customHeight="1">
      <c r="A434" s="324">
        <v>1202</v>
      </c>
      <c r="AA434" s="324">
        <v>29</v>
      </c>
      <c r="AB434" s="324" t="s">
        <v>645</v>
      </c>
      <c r="AC434" s="324" t="s">
        <v>55</v>
      </c>
      <c r="AD434" s="324" t="s">
        <v>55</v>
      </c>
      <c r="AE434" s="324">
        <v>0</v>
      </c>
      <c r="AF434" s="324" t="s">
        <v>579</v>
      </c>
      <c r="AG434" s="324">
        <v>55000</v>
      </c>
      <c r="AH434" s="324">
        <v>55000</v>
      </c>
      <c r="AI434" s="324" t="s">
        <v>55</v>
      </c>
      <c r="AJ434" s="324">
        <v>55000</v>
      </c>
      <c r="AK434" s="324" t="s">
        <v>55</v>
      </c>
      <c r="AL434" s="324" t="s">
        <v>55</v>
      </c>
      <c r="AM434" s="324" t="s">
        <v>55</v>
      </c>
    </row>
    <row r="435" spans="1:39" s="324" customFormat="1" ht="0.65" hidden="1" customHeight="1">
      <c r="A435" s="324">
        <v>1203</v>
      </c>
      <c r="AA435" s="324">
        <v>30</v>
      </c>
      <c r="AB435" s="324" t="s">
        <v>645</v>
      </c>
      <c r="AC435" s="324" t="s">
        <v>55</v>
      </c>
      <c r="AD435" s="324" t="s">
        <v>55</v>
      </c>
      <c r="AE435" s="324">
        <v>0</v>
      </c>
      <c r="AF435" s="324" t="s">
        <v>582</v>
      </c>
      <c r="AG435" s="324">
        <v>55000</v>
      </c>
      <c r="AH435" s="324">
        <v>55000</v>
      </c>
      <c r="AI435" s="324" t="s">
        <v>55</v>
      </c>
      <c r="AJ435" s="324">
        <v>55000</v>
      </c>
      <c r="AK435" s="324" t="s">
        <v>55</v>
      </c>
      <c r="AL435" s="324" t="s">
        <v>55</v>
      </c>
      <c r="AM435" s="324" t="s">
        <v>55</v>
      </c>
    </row>
    <row r="436" spans="1:39" s="324" customFormat="1" ht="0.65" hidden="1" customHeight="1">
      <c r="A436" s="324">
        <v>1204</v>
      </c>
      <c r="AA436" s="324">
        <v>31</v>
      </c>
      <c r="AB436" s="324" t="s">
        <v>645</v>
      </c>
      <c r="AC436" s="324" t="s">
        <v>55</v>
      </c>
      <c r="AD436" s="324" t="s">
        <v>55</v>
      </c>
      <c r="AE436" s="324">
        <v>0</v>
      </c>
      <c r="AF436" s="324" t="s">
        <v>584</v>
      </c>
      <c r="AG436" s="324">
        <v>55000</v>
      </c>
      <c r="AH436" s="324">
        <v>55000</v>
      </c>
      <c r="AI436" s="324" t="s">
        <v>55</v>
      </c>
      <c r="AJ436" s="324">
        <v>55000</v>
      </c>
      <c r="AK436" s="324" t="s">
        <v>55</v>
      </c>
      <c r="AL436" s="324" t="s">
        <v>55</v>
      </c>
      <c r="AM436" s="324" t="s">
        <v>55</v>
      </c>
    </row>
    <row r="437" spans="1:39" s="324" customFormat="1" ht="0.65" hidden="1" customHeight="1">
      <c r="A437" s="324">
        <v>1205</v>
      </c>
      <c r="AA437" s="324">
        <v>32</v>
      </c>
      <c r="AB437" s="324" t="s">
        <v>645</v>
      </c>
      <c r="AC437" s="324" t="s">
        <v>55</v>
      </c>
      <c r="AD437" s="324" t="s">
        <v>55</v>
      </c>
      <c r="AE437" s="324">
        <v>0</v>
      </c>
      <c r="AF437" s="324" t="s">
        <v>586</v>
      </c>
      <c r="AG437" s="324">
        <v>55000</v>
      </c>
      <c r="AH437" s="324">
        <v>55000</v>
      </c>
      <c r="AI437" s="324" t="s">
        <v>55</v>
      </c>
      <c r="AJ437" s="324">
        <v>55000</v>
      </c>
      <c r="AK437" s="324" t="s">
        <v>55</v>
      </c>
      <c r="AL437" s="324" t="s">
        <v>55</v>
      </c>
      <c r="AM437" s="324" t="s">
        <v>55</v>
      </c>
    </row>
    <row r="438" spans="1:39" s="324" customFormat="1" ht="0.65" hidden="1" customHeight="1">
      <c r="A438" s="324">
        <v>1206</v>
      </c>
      <c r="AA438" s="324">
        <v>33</v>
      </c>
      <c r="AB438" s="324" t="s">
        <v>645</v>
      </c>
      <c r="AC438" s="324" t="s">
        <v>55</v>
      </c>
      <c r="AD438" s="324" t="s">
        <v>55</v>
      </c>
      <c r="AE438" s="324">
        <v>0</v>
      </c>
      <c r="AF438" s="324" t="s">
        <v>589</v>
      </c>
      <c r="AG438" s="324">
        <v>0</v>
      </c>
      <c r="AH438" s="324">
        <v>0</v>
      </c>
      <c r="AI438" s="324" t="s">
        <v>55</v>
      </c>
      <c r="AJ438" s="324">
        <v>0</v>
      </c>
      <c r="AK438" s="324" t="s">
        <v>55</v>
      </c>
      <c r="AL438" s="324" t="s">
        <v>55</v>
      </c>
      <c r="AM438" s="324" t="s">
        <v>55</v>
      </c>
    </row>
    <row r="439" spans="1:39" s="324" customFormat="1" ht="0.65" hidden="1" customHeight="1">
      <c r="A439" s="324">
        <v>1207</v>
      </c>
      <c r="AA439" s="324">
        <v>34</v>
      </c>
      <c r="AB439" s="324" t="s">
        <v>645</v>
      </c>
      <c r="AC439" s="324" t="s">
        <v>55</v>
      </c>
      <c r="AD439" s="324" t="s">
        <v>55</v>
      </c>
      <c r="AE439" s="324">
        <v>0</v>
      </c>
      <c r="AF439" s="324" t="s">
        <v>590</v>
      </c>
      <c r="AG439" s="324">
        <v>0</v>
      </c>
      <c r="AH439" s="324">
        <v>0</v>
      </c>
      <c r="AI439" s="324" t="s">
        <v>55</v>
      </c>
      <c r="AJ439" s="324">
        <v>0</v>
      </c>
      <c r="AK439" s="324" t="s">
        <v>55</v>
      </c>
      <c r="AL439" s="324" t="s">
        <v>55</v>
      </c>
      <c r="AM439" s="324" t="s">
        <v>55</v>
      </c>
    </row>
    <row r="440" spans="1:39" s="324" customFormat="1" ht="0.65" hidden="1" customHeight="1">
      <c r="A440" s="324">
        <v>1208</v>
      </c>
      <c r="AA440" s="324">
        <v>35</v>
      </c>
      <c r="AB440" s="324" t="s">
        <v>645</v>
      </c>
      <c r="AC440" s="324" t="s">
        <v>55</v>
      </c>
      <c r="AD440" s="324" t="s">
        <v>55</v>
      </c>
      <c r="AE440" s="324">
        <v>0</v>
      </c>
      <c r="AF440" s="324" t="s">
        <v>592</v>
      </c>
      <c r="AG440" s="324">
        <v>47500</v>
      </c>
      <c r="AH440" s="324">
        <v>47500</v>
      </c>
      <c r="AI440" s="324" t="s">
        <v>55</v>
      </c>
      <c r="AJ440" s="324">
        <v>47500</v>
      </c>
      <c r="AK440" s="324" t="s">
        <v>55</v>
      </c>
      <c r="AL440" s="324" t="s">
        <v>55</v>
      </c>
      <c r="AM440" s="324" t="s">
        <v>55</v>
      </c>
    </row>
    <row r="441" spans="1:39" s="324" customFormat="1" ht="0.65" hidden="1" customHeight="1">
      <c r="A441" s="324">
        <v>1209</v>
      </c>
      <c r="AA441" s="324">
        <v>36</v>
      </c>
      <c r="AB441" s="324" t="s">
        <v>645</v>
      </c>
      <c r="AC441" s="324" t="s">
        <v>55</v>
      </c>
      <c r="AD441" s="324" t="s">
        <v>55</v>
      </c>
      <c r="AE441" s="324">
        <v>0</v>
      </c>
      <c r="AF441" s="324" t="s">
        <v>595</v>
      </c>
      <c r="AG441" s="324">
        <v>102500</v>
      </c>
      <c r="AH441" s="324">
        <v>102500</v>
      </c>
      <c r="AI441" s="324" t="s">
        <v>55</v>
      </c>
      <c r="AJ441" s="324">
        <v>102500</v>
      </c>
      <c r="AK441" s="324" t="s">
        <v>55</v>
      </c>
      <c r="AL441" s="324" t="s">
        <v>55</v>
      </c>
      <c r="AM441" s="324" t="s">
        <v>55</v>
      </c>
    </row>
    <row r="442" spans="1:39" s="324" customFormat="1" ht="0.65" hidden="1" customHeight="1">
      <c r="A442" s="324">
        <v>1210</v>
      </c>
      <c r="AA442" s="324">
        <v>37</v>
      </c>
      <c r="AB442" s="324" t="s">
        <v>645</v>
      </c>
      <c r="AC442" s="324" t="s">
        <v>55</v>
      </c>
      <c r="AD442" s="324" t="s">
        <v>55</v>
      </c>
      <c r="AE442" s="324">
        <v>0</v>
      </c>
      <c r="AF442" s="324" t="s">
        <v>598</v>
      </c>
      <c r="AG442" s="324">
        <v>115000</v>
      </c>
      <c r="AH442" s="324">
        <v>115000</v>
      </c>
      <c r="AI442" s="324" t="s">
        <v>55</v>
      </c>
      <c r="AJ442" s="324">
        <v>115000</v>
      </c>
      <c r="AK442" s="324" t="s">
        <v>55</v>
      </c>
      <c r="AL442" s="324" t="s">
        <v>55</v>
      </c>
      <c r="AM442" s="324" t="s">
        <v>55</v>
      </c>
    </row>
    <row r="443" spans="1:39" s="324" customFormat="1" ht="0.65" hidden="1" customHeight="1">
      <c r="A443" s="324">
        <v>1211</v>
      </c>
      <c r="AA443" s="324">
        <v>38</v>
      </c>
      <c r="AB443" s="324" t="s">
        <v>645</v>
      </c>
      <c r="AC443" s="324" t="s">
        <v>55</v>
      </c>
      <c r="AD443" s="324" t="s">
        <v>55</v>
      </c>
      <c r="AE443" s="324">
        <v>0</v>
      </c>
      <c r="AF443" s="324" t="s">
        <v>491</v>
      </c>
      <c r="AG443" s="324">
        <v>400000</v>
      </c>
      <c r="AH443" s="324">
        <v>400000</v>
      </c>
      <c r="AI443" s="324" t="s">
        <v>55</v>
      </c>
      <c r="AJ443" s="324">
        <v>400000</v>
      </c>
      <c r="AK443" s="324" t="s">
        <v>55</v>
      </c>
      <c r="AL443" s="324" t="s">
        <v>55</v>
      </c>
      <c r="AM443" s="324" t="s">
        <v>55</v>
      </c>
    </row>
    <row r="444" spans="1:39" s="324" customFormat="1" ht="0.65" hidden="1" customHeight="1">
      <c r="A444" s="324">
        <v>1212</v>
      </c>
      <c r="AA444" s="324">
        <v>39</v>
      </c>
      <c r="AB444" s="324" t="s">
        <v>645</v>
      </c>
      <c r="AC444" s="324" t="s">
        <v>55</v>
      </c>
      <c r="AD444" s="324" t="s">
        <v>55</v>
      </c>
      <c r="AE444" s="324">
        <v>0</v>
      </c>
      <c r="AF444" s="324" t="s">
        <v>493</v>
      </c>
      <c r="AG444" s="324">
        <v>55000</v>
      </c>
      <c r="AH444" s="324">
        <v>55000</v>
      </c>
      <c r="AI444" s="324" t="s">
        <v>55</v>
      </c>
      <c r="AJ444" s="324">
        <v>55000</v>
      </c>
      <c r="AK444" s="324" t="s">
        <v>55</v>
      </c>
      <c r="AL444" s="324" t="s">
        <v>55</v>
      </c>
      <c r="AM444" s="324" t="s">
        <v>55</v>
      </c>
    </row>
    <row r="445" spans="1:39" s="324" customFormat="1" ht="0.65" hidden="1" customHeight="1">
      <c r="A445" s="324">
        <v>1213</v>
      </c>
      <c r="AA445" s="324">
        <v>40</v>
      </c>
      <c r="AB445" s="324" t="s">
        <v>645</v>
      </c>
      <c r="AC445" s="324" t="s">
        <v>55</v>
      </c>
      <c r="AD445" s="324" t="s">
        <v>55</v>
      </c>
      <c r="AE445" s="324">
        <v>0</v>
      </c>
      <c r="AF445" s="324" t="s">
        <v>494</v>
      </c>
      <c r="AG445" s="324">
        <v>455000</v>
      </c>
      <c r="AH445" s="324">
        <v>455000</v>
      </c>
      <c r="AI445" s="324" t="s">
        <v>55</v>
      </c>
      <c r="AJ445" s="324">
        <v>455000</v>
      </c>
      <c r="AK445" s="324" t="s">
        <v>55</v>
      </c>
      <c r="AL445" s="324" t="s">
        <v>55</v>
      </c>
      <c r="AM445" s="324" t="s">
        <v>55</v>
      </c>
    </row>
    <row r="446" spans="1:39" s="324" customFormat="1" ht="0.65" hidden="1" customHeight="1">
      <c r="A446" s="324">
        <v>1214</v>
      </c>
      <c r="AA446" s="324">
        <v>41</v>
      </c>
      <c r="AB446" s="324" t="s">
        <v>645</v>
      </c>
      <c r="AC446" s="324" t="s">
        <v>55</v>
      </c>
      <c r="AD446" s="324" t="s">
        <v>55</v>
      </c>
      <c r="AE446" s="324">
        <v>0</v>
      </c>
      <c r="AF446" s="324" t="s">
        <v>607</v>
      </c>
      <c r="AG446" s="324">
        <v>-825000</v>
      </c>
      <c r="AH446" s="324">
        <v>-825000</v>
      </c>
      <c r="AI446" s="324" t="s">
        <v>55</v>
      </c>
      <c r="AJ446" s="324">
        <v>-825000</v>
      </c>
      <c r="AK446" s="324" t="s">
        <v>55</v>
      </c>
      <c r="AL446" s="324" t="s">
        <v>55</v>
      </c>
      <c r="AM446" s="324" t="s">
        <v>55</v>
      </c>
    </row>
    <row r="447" spans="1:39" s="324" customFormat="1" ht="0.65" hidden="1" customHeight="1">
      <c r="A447" s="324">
        <v>1215</v>
      </c>
      <c r="AA447" s="324">
        <v>42</v>
      </c>
      <c r="AB447" s="324" t="s">
        <v>645</v>
      </c>
      <c r="AC447" s="324" t="s">
        <v>55</v>
      </c>
      <c r="AD447" s="324" t="s">
        <v>55</v>
      </c>
      <c r="AE447" s="324">
        <v>0</v>
      </c>
      <c r="AF447" s="324" t="s">
        <v>610</v>
      </c>
      <c r="AG447" s="324">
        <v>47500</v>
      </c>
      <c r="AH447" s="324">
        <v>47500</v>
      </c>
      <c r="AI447" s="324" t="s">
        <v>55</v>
      </c>
      <c r="AJ447" s="324">
        <v>47500</v>
      </c>
      <c r="AK447" s="324" t="s">
        <v>55</v>
      </c>
      <c r="AL447" s="324" t="s">
        <v>55</v>
      </c>
      <c r="AM447" s="324" t="s">
        <v>55</v>
      </c>
    </row>
    <row r="448" spans="1:39" s="324" customFormat="1" ht="0.65" hidden="1" customHeight="1">
      <c r="A448" s="324">
        <v>1216</v>
      </c>
      <c r="AA448" s="324">
        <v>43</v>
      </c>
      <c r="AB448" s="324" t="s">
        <v>645</v>
      </c>
      <c r="AC448" s="324" t="s">
        <v>55</v>
      </c>
      <c r="AD448" s="324" t="s">
        <v>55</v>
      </c>
      <c r="AE448" s="324">
        <v>0</v>
      </c>
      <c r="AF448" s="324" t="s">
        <v>611</v>
      </c>
      <c r="AG448" s="324">
        <v>102500</v>
      </c>
      <c r="AH448" s="324">
        <v>102500</v>
      </c>
      <c r="AI448" s="324" t="s">
        <v>55</v>
      </c>
      <c r="AJ448" s="324">
        <v>102500</v>
      </c>
      <c r="AK448" s="324" t="s">
        <v>55</v>
      </c>
      <c r="AL448" s="324" t="s">
        <v>55</v>
      </c>
      <c r="AM448" s="324" t="s">
        <v>55</v>
      </c>
    </row>
    <row r="449" spans="1:39" s="324" customFormat="1" ht="0.65" hidden="1" customHeight="1">
      <c r="A449" s="324">
        <v>1217</v>
      </c>
      <c r="AA449" s="324">
        <v>44</v>
      </c>
      <c r="AB449" s="324" t="s">
        <v>645</v>
      </c>
      <c r="AC449" s="324" t="s">
        <v>55</v>
      </c>
      <c r="AD449" s="324" t="s">
        <v>55</v>
      </c>
      <c r="AE449" s="324">
        <v>0</v>
      </c>
      <c r="AF449" s="324" t="s">
        <v>612</v>
      </c>
      <c r="AG449" s="324">
        <v>570000</v>
      </c>
      <c r="AH449" s="324">
        <v>570000</v>
      </c>
      <c r="AI449" s="324" t="s">
        <v>55</v>
      </c>
      <c r="AJ449" s="324">
        <v>570000</v>
      </c>
      <c r="AK449" s="324" t="s">
        <v>55</v>
      </c>
      <c r="AL449" s="324" t="s">
        <v>55</v>
      </c>
      <c r="AM449" s="324" t="s">
        <v>55</v>
      </c>
    </row>
    <row r="450" spans="1:39" s="324" customFormat="1" ht="0.65" hidden="1" customHeight="1">
      <c r="A450" s="324">
        <v>1218</v>
      </c>
      <c r="AA450" s="324">
        <v>45</v>
      </c>
      <c r="AB450" s="324" t="s">
        <v>645</v>
      </c>
      <c r="AC450" s="324" t="s">
        <v>55</v>
      </c>
      <c r="AD450" s="324" t="s">
        <v>55</v>
      </c>
      <c r="AE450" s="324">
        <v>0</v>
      </c>
      <c r="AF450" s="324" t="s">
        <v>124</v>
      </c>
      <c r="AG450" s="324">
        <v>3.7499999999999999E-2</v>
      </c>
      <c r="AH450" s="324">
        <v>3.7499999999999999E-2</v>
      </c>
      <c r="AI450" s="324" t="s">
        <v>55</v>
      </c>
      <c r="AJ450" s="324">
        <v>3.7499999999999999E-2</v>
      </c>
      <c r="AK450" s="324" t="s">
        <v>55</v>
      </c>
      <c r="AL450" s="324" t="s">
        <v>55</v>
      </c>
      <c r="AM450" s="324" t="s">
        <v>55</v>
      </c>
    </row>
    <row r="451" spans="1:39" s="324" customFormat="1" ht="0.65" hidden="1" customHeight="1">
      <c r="A451" s="324">
        <v>1219</v>
      </c>
      <c r="AA451" s="324">
        <v>46</v>
      </c>
      <c r="AB451" s="324" t="s">
        <v>645</v>
      </c>
      <c r="AC451" s="324" t="s">
        <v>55</v>
      </c>
      <c r="AD451" s="324" t="s">
        <v>55</v>
      </c>
      <c r="AE451" s="324">
        <v>0</v>
      </c>
      <c r="AF451" s="324" t="s">
        <v>125</v>
      </c>
      <c r="AG451" s="324">
        <v>8.249999999999999E-2</v>
      </c>
      <c r="AH451" s="324">
        <v>8.249999999999999E-2</v>
      </c>
      <c r="AI451" s="324" t="s">
        <v>55</v>
      </c>
      <c r="AJ451" s="324">
        <v>8.249999999999999E-2</v>
      </c>
      <c r="AK451" s="324" t="s">
        <v>55</v>
      </c>
      <c r="AL451" s="324" t="s">
        <v>55</v>
      </c>
      <c r="AM451" s="324" t="s">
        <v>55</v>
      </c>
    </row>
    <row r="452" spans="1:39" s="324" customFormat="1" ht="0.65" hidden="1" customHeight="1">
      <c r="A452" s="324">
        <v>1220</v>
      </c>
      <c r="AA452" s="324">
        <v>47</v>
      </c>
      <c r="AB452" s="324" t="s">
        <v>645</v>
      </c>
      <c r="AC452" s="324" t="s">
        <v>55</v>
      </c>
      <c r="AD452" s="324" t="s">
        <v>55</v>
      </c>
      <c r="AE452" s="324">
        <v>0</v>
      </c>
      <c r="AF452" s="324" t="s">
        <v>126</v>
      </c>
      <c r="AG452" s="324">
        <v>5.9999999999999991E-2</v>
      </c>
      <c r="AH452" s="324">
        <v>0.06</v>
      </c>
      <c r="AI452" s="324" t="s">
        <v>55</v>
      </c>
      <c r="AJ452" s="324">
        <v>5.9999999999999991E-2</v>
      </c>
      <c r="AK452" s="324" t="s">
        <v>55</v>
      </c>
      <c r="AL452" s="324" t="s">
        <v>55</v>
      </c>
      <c r="AM452" s="324" t="s">
        <v>55</v>
      </c>
    </row>
    <row r="453" spans="1:39" s="324" customFormat="1" ht="0.65" hidden="1" customHeight="1">
      <c r="A453" s="324">
        <v>1221</v>
      </c>
      <c r="AA453" s="324">
        <v>48</v>
      </c>
      <c r="AB453" s="324" t="s">
        <v>645</v>
      </c>
      <c r="AC453" s="324" t="s">
        <v>55</v>
      </c>
      <c r="AD453" s="324" t="s">
        <v>55</v>
      </c>
      <c r="AE453" s="324">
        <v>0</v>
      </c>
      <c r="AF453" s="324" t="s">
        <v>13</v>
      </c>
      <c r="AG453" s="324">
        <v>-210381.05281541136</v>
      </c>
      <c r="AH453" s="324">
        <v>-210381.05281541136</v>
      </c>
      <c r="AI453" s="324" t="s">
        <v>55</v>
      </c>
      <c r="AJ453" s="324">
        <v>-210381.05281541136</v>
      </c>
      <c r="AK453" s="324" t="s">
        <v>55</v>
      </c>
      <c r="AL453" s="324" t="s">
        <v>55</v>
      </c>
      <c r="AM453" s="324" t="s">
        <v>55</v>
      </c>
    </row>
    <row r="454" spans="1:39" s="324" customFormat="1" ht="0.65" hidden="1" customHeight="1">
      <c r="A454" s="324">
        <v>1222</v>
      </c>
      <c r="AA454" s="324">
        <v>49</v>
      </c>
      <c r="AB454" s="324" t="s">
        <v>645</v>
      </c>
      <c r="AC454" s="324" t="s">
        <v>55</v>
      </c>
      <c r="AD454" s="324" t="s">
        <v>55</v>
      </c>
      <c r="AE454" s="324">
        <v>0</v>
      </c>
      <c r="AF454" s="324" t="s">
        <v>28</v>
      </c>
      <c r="AG454" s="324">
        <v>-4.8576778446782765E-2</v>
      </c>
      <c r="AH454" s="324">
        <v>-4.8576778446782765E-2</v>
      </c>
      <c r="AI454" s="324" t="s">
        <v>55</v>
      </c>
      <c r="AJ454" s="324">
        <v>-4.8576778446782765E-2</v>
      </c>
      <c r="AK454" s="324" t="s">
        <v>55</v>
      </c>
      <c r="AL454" s="324" t="s">
        <v>55</v>
      </c>
      <c r="AM454" s="324" t="s">
        <v>55</v>
      </c>
    </row>
    <row r="455" spans="1:39" s="324" customFormat="1" ht="0.65" hidden="1" customHeight="1">
      <c r="A455" s="324">
        <v>1223</v>
      </c>
      <c r="AH455" s="324" t="s">
        <v>207</v>
      </c>
      <c r="AI455" s="324">
        <v>0</v>
      </c>
      <c r="AJ455" s="324" t="s">
        <v>207</v>
      </c>
      <c r="AK455" s="324">
        <v>0</v>
      </c>
    </row>
    <row r="456" spans="1:39" s="324" customFormat="1" ht="0.65" hidden="1" customHeight="1"/>
    <row r="457" spans="1:39" s="324" customFormat="1" ht="0.65" hidden="1" customHeight="1"/>
    <row r="458" spans="1:39" s="324" customFormat="1" ht="0.65" hidden="1" customHeight="1"/>
    <row r="459" spans="1:39" s="324" customFormat="1" ht="0.65" hidden="1" customHeight="1">
      <c r="B459" s="324" t="s">
        <v>19</v>
      </c>
      <c r="D459" s="324" t="s">
        <v>336</v>
      </c>
      <c r="E459" s="324">
        <v>2</v>
      </c>
    </row>
    <row r="460" spans="1:39" s="324" customFormat="1" ht="0.65" hidden="1" customHeight="1">
      <c r="B460" s="324" t="s">
        <v>3951</v>
      </c>
      <c r="D460" s="324" t="s">
        <v>336</v>
      </c>
      <c r="E460" s="324" t="s">
        <v>486</v>
      </c>
      <c r="H460" s="324" t="s">
        <v>55</v>
      </c>
      <c r="I460" s="324" t="s">
        <v>55</v>
      </c>
      <c r="J460" s="324" t="s">
        <v>55</v>
      </c>
      <c r="K460" s="324" t="s">
        <v>55</v>
      </c>
      <c r="L460" s="324" t="s">
        <v>55</v>
      </c>
      <c r="M460" s="324" t="s">
        <v>55</v>
      </c>
      <c r="N460" s="324" t="s">
        <v>55</v>
      </c>
      <c r="O460" s="324" t="s">
        <v>55</v>
      </c>
      <c r="P460" s="324" t="s">
        <v>55</v>
      </c>
    </row>
    <row r="461" spans="1:39" s="324" customFormat="1" ht="0.65" hidden="1" customHeight="1">
      <c r="A461" s="324">
        <v>2001</v>
      </c>
      <c r="C461" s="324" t="s">
        <v>5</v>
      </c>
      <c r="D461" s="324">
        <v>2022</v>
      </c>
      <c r="G461" s="324" t="s">
        <v>0</v>
      </c>
      <c r="H461" s="324" t="s">
        <v>69</v>
      </c>
      <c r="I461" s="324" t="s">
        <v>70</v>
      </c>
      <c r="J461" s="324" t="s">
        <v>71</v>
      </c>
      <c r="K461" s="324" t="s">
        <v>72</v>
      </c>
      <c r="L461" s="324" t="s">
        <v>73</v>
      </c>
      <c r="M461" s="324" t="s">
        <v>74</v>
      </c>
      <c r="N461" s="324" t="s">
        <v>75</v>
      </c>
      <c r="O461" s="324" t="s">
        <v>80</v>
      </c>
      <c r="P461" s="324" t="s">
        <v>1</v>
      </c>
      <c r="U461" s="324" t="s">
        <v>151</v>
      </c>
      <c r="AD461" s="324" t="s">
        <v>455</v>
      </c>
    </row>
    <row r="462" spans="1:39" s="324" customFormat="1" ht="0.65" hidden="1" customHeight="1">
      <c r="A462" s="324">
        <v>2002</v>
      </c>
      <c r="G462" s="324">
        <v>2022</v>
      </c>
      <c r="H462" s="324">
        <v>0</v>
      </c>
      <c r="I462" s="324">
        <v>0</v>
      </c>
      <c r="J462" s="324">
        <v>0</v>
      </c>
      <c r="K462" s="324">
        <v>0</v>
      </c>
      <c r="L462" s="324">
        <v>0</v>
      </c>
      <c r="M462" s="324">
        <v>0</v>
      </c>
      <c r="N462" s="324">
        <v>0</v>
      </c>
      <c r="O462" s="324">
        <v>0</v>
      </c>
      <c r="P462" s="324">
        <v>-543750</v>
      </c>
      <c r="AD462" s="324" t="s">
        <v>487</v>
      </c>
    </row>
    <row r="463" spans="1:39" s="324" customFormat="1" ht="0.65" hidden="1" customHeight="1">
      <c r="A463" s="324">
        <v>2003</v>
      </c>
      <c r="C463" s="324" t="s">
        <v>32</v>
      </c>
      <c r="G463" s="324">
        <v>2023</v>
      </c>
      <c r="H463" s="324">
        <v>360000</v>
      </c>
      <c r="I463" s="324">
        <v>240000</v>
      </c>
      <c r="J463" s="324">
        <v>30000</v>
      </c>
      <c r="K463" s="324">
        <v>90000</v>
      </c>
      <c r="L463" s="324">
        <v>22500</v>
      </c>
      <c r="M463" s="324">
        <v>67500</v>
      </c>
      <c r="N463" s="324">
        <v>97500</v>
      </c>
      <c r="O463" s="324">
        <v>107500</v>
      </c>
      <c r="P463" s="324">
        <v>107500</v>
      </c>
      <c r="U463" s="324" t="s">
        <v>152</v>
      </c>
      <c r="Z463" s="324" t="s">
        <v>176</v>
      </c>
      <c r="AA463" s="324">
        <v>52565.582461407641</v>
      </c>
      <c r="AF463" s="324" t="s">
        <v>247</v>
      </c>
    </row>
    <row r="464" spans="1:39" s="324" customFormat="1" ht="0.65" hidden="1" customHeight="1">
      <c r="A464" s="324">
        <v>2004</v>
      </c>
      <c r="C464" s="324" t="s">
        <v>488</v>
      </c>
      <c r="D464" s="324">
        <v>600000</v>
      </c>
      <c r="E464" s="324" t="s">
        <v>55</v>
      </c>
      <c r="G464" s="324">
        <v>2024</v>
      </c>
      <c r="H464" s="324">
        <v>360000</v>
      </c>
      <c r="I464" s="324">
        <v>240000</v>
      </c>
      <c r="J464" s="324">
        <v>30000</v>
      </c>
      <c r="K464" s="324">
        <v>90000</v>
      </c>
      <c r="L464" s="324">
        <v>22500</v>
      </c>
      <c r="M464" s="324">
        <v>67500</v>
      </c>
      <c r="N464" s="324">
        <v>97500</v>
      </c>
      <c r="O464" s="324">
        <v>97500</v>
      </c>
      <c r="P464" s="324">
        <v>97500</v>
      </c>
      <c r="Y464" s="324" t="s">
        <v>139</v>
      </c>
      <c r="Z464" s="324" t="s">
        <v>174</v>
      </c>
      <c r="AF464" s="324" t="s">
        <v>248</v>
      </c>
    </row>
    <row r="465" spans="1:33" s="324" customFormat="1" ht="0.65" hidden="1" customHeight="1">
      <c r="A465" s="324">
        <v>2005</v>
      </c>
      <c r="C465" s="324" t="s">
        <v>6</v>
      </c>
      <c r="D465" s="324">
        <v>10</v>
      </c>
      <c r="G465" s="324">
        <v>2025</v>
      </c>
      <c r="H465" s="324">
        <v>360000</v>
      </c>
      <c r="I465" s="324">
        <v>240000</v>
      </c>
      <c r="J465" s="324">
        <v>30000</v>
      </c>
      <c r="K465" s="324">
        <v>90000</v>
      </c>
      <c r="L465" s="324">
        <v>22500</v>
      </c>
      <c r="M465" s="324">
        <v>67500</v>
      </c>
      <c r="N465" s="324">
        <v>97500</v>
      </c>
      <c r="O465" s="324">
        <v>97500</v>
      </c>
      <c r="P465" s="324">
        <v>475625</v>
      </c>
      <c r="T465" s="324" t="s">
        <v>187</v>
      </c>
      <c r="V465" s="324" t="s">
        <v>180</v>
      </c>
      <c r="X465" s="324" t="s">
        <v>177</v>
      </c>
      <c r="Y465" s="324" t="s">
        <v>173</v>
      </c>
      <c r="Z465" s="324" t="s">
        <v>175</v>
      </c>
      <c r="AA465" s="324" t="s">
        <v>172</v>
      </c>
      <c r="AD465" s="324" t="s">
        <v>177</v>
      </c>
      <c r="AE465" s="324" t="s">
        <v>246</v>
      </c>
      <c r="AF465" s="324" t="s">
        <v>249</v>
      </c>
      <c r="AG465" s="324" t="s">
        <v>462</v>
      </c>
    </row>
    <row r="466" spans="1:33" s="324" customFormat="1" ht="0.65" hidden="1" customHeight="1">
      <c r="A466" s="324">
        <v>2006</v>
      </c>
      <c r="C466" s="324" t="s">
        <v>489</v>
      </c>
      <c r="D466" s="324">
        <v>400000</v>
      </c>
      <c r="H466" s="324" t="s">
        <v>55</v>
      </c>
      <c r="I466" s="324" t="s">
        <v>55</v>
      </c>
      <c r="J466" s="324" t="s">
        <v>55</v>
      </c>
      <c r="K466" s="324" t="s">
        <v>55</v>
      </c>
      <c r="T466" s="324">
        <v>1</v>
      </c>
      <c r="U466" s="324" t="s">
        <v>153</v>
      </c>
      <c r="V466" s="324" t="s">
        <v>178</v>
      </c>
      <c r="W466" s="324" t="s">
        <v>55</v>
      </c>
      <c r="X466" s="324" t="s">
        <v>6</v>
      </c>
      <c r="Y466" s="324">
        <v>10</v>
      </c>
      <c r="Z466" s="324">
        <v>15</v>
      </c>
      <c r="AA466" s="324">
        <v>51864.176924307074</v>
      </c>
      <c r="AB466" s="324" t="s">
        <v>55</v>
      </c>
      <c r="AC466" s="324">
        <v>1</v>
      </c>
      <c r="AD466" s="324" t="s">
        <v>55</v>
      </c>
      <c r="AE466" s="324" t="s">
        <v>55</v>
      </c>
      <c r="AF466" s="324" t="s">
        <v>55</v>
      </c>
      <c r="AG466" s="324" t="s">
        <v>55</v>
      </c>
    </row>
    <row r="467" spans="1:33" s="324" customFormat="1" ht="0.65" hidden="1" customHeight="1">
      <c r="A467" s="324">
        <v>2007</v>
      </c>
      <c r="G467" s="324" t="s">
        <v>0</v>
      </c>
      <c r="H467" s="324" t="s">
        <v>76</v>
      </c>
      <c r="I467" s="324" t="s">
        <v>77</v>
      </c>
      <c r="J467" s="324" t="s">
        <v>78</v>
      </c>
      <c r="K467" s="324" t="s">
        <v>79</v>
      </c>
      <c r="N467" s="324" t="s">
        <v>55</v>
      </c>
      <c r="P467" s="324" t="s">
        <v>55</v>
      </c>
      <c r="T467" s="324">
        <v>2</v>
      </c>
      <c r="U467" s="324" t="s">
        <v>154</v>
      </c>
      <c r="V467" s="324" t="s">
        <v>178</v>
      </c>
      <c r="W467" s="324" t="s">
        <v>55</v>
      </c>
      <c r="X467" s="324" t="s">
        <v>488</v>
      </c>
      <c r="Y467" s="324">
        <v>600000</v>
      </c>
      <c r="Z467" s="324">
        <v>660000</v>
      </c>
      <c r="AA467" s="324">
        <v>5595.7228369770455</v>
      </c>
      <c r="AB467" s="324" t="s">
        <v>55</v>
      </c>
    </row>
    <row r="468" spans="1:33" s="324" customFormat="1" ht="0.65" hidden="1" customHeight="1">
      <c r="A468" s="324">
        <v>2008</v>
      </c>
      <c r="C468" s="324" t="s">
        <v>34</v>
      </c>
      <c r="D468" s="324">
        <v>360000</v>
      </c>
      <c r="G468" s="324">
        <v>2022</v>
      </c>
      <c r="H468" s="324">
        <v>0</v>
      </c>
      <c r="I468" s="324">
        <v>0</v>
      </c>
      <c r="J468" s="324">
        <v>0</v>
      </c>
      <c r="K468" s="324">
        <v>0</v>
      </c>
      <c r="M468" s="324" t="s">
        <v>490</v>
      </c>
      <c r="N468" s="324">
        <v>543750</v>
      </c>
      <c r="O468" s="324" t="s">
        <v>124</v>
      </c>
      <c r="P468" s="324">
        <v>4.4999999999999998E-2</v>
      </c>
      <c r="T468" s="324">
        <v>3</v>
      </c>
      <c r="U468" s="324" t="s">
        <v>155</v>
      </c>
      <c r="V468" s="324" t="s">
        <v>178</v>
      </c>
      <c r="W468" s="324" t="s">
        <v>55</v>
      </c>
      <c r="X468" s="324" t="s">
        <v>489</v>
      </c>
      <c r="Y468" s="324">
        <v>400000</v>
      </c>
      <c r="Z468" s="324">
        <v>360000</v>
      </c>
      <c r="AA468" s="324">
        <v>26926.145032529221</v>
      </c>
      <c r="AB468" s="324" t="s">
        <v>55</v>
      </c>
      <c r="AC468" s="324">
        <v>2</v>
      </c>
      <c r="AD468" s="324" t="s">
        <v>55</v>
      </c>
      <c r="AE468" s="324" t="s">
        <v>55</v>
      </c>
      <c r="AF468" s="324" t="s">
        <v>55</v>
      </c>
      <c r="AG468" s="324" t="s">
        <v>55</v>
      </c>
    </row>
    <row r="469" spans="1:33" s="324" customFormat="1" ht="0.65" hidden="1" customHeight="1">
      <c r="A469" s="324">
        <v>2009</v>
      </c>
      <c r="C469" s="324" t="s">
        <v>35</v>
      </c>
      <c r="D469" s="324">
        <v>240000</v>
      </c>
      <c r="G469" s="324">
        <v>2023</v>
      </c>
      <c r="H469" s="324">
        <v>30000</v>
      </c>
      <c r="I469" s="324">
        <v>40000</v>
      </c>
      <c r="J469" s="324">
        <v>-10000</v>
      </c>
      <c r="K469" s="324">
        <v>-10000</v>
      </c>
      <c r="M469" s="324" t="s">
        <v>491</v>
      </c>
      <c r="N469" s="324">
        <v>388125</v>
      </c>
      <c r="O469" s="324" t="s">
        <v>125</v>
      </c>
      <c r="P469" s="324">
        <v>0.08</v>
      </c>
      <c r="T469" s="324">
        <v>4</v>
      </c>
      <c r="U469" s="324" t="s">
        <v>156</v>
      </c>
      <c r="V469" s="324" t="s">
        <v>179</v>
      </c>
      <c r="W469" s="324" t="s">
        <v>55</v>
      </c>
      <c r="X469" s="324" t="s">
        <v>492</v>
      </c>
      <c r="Y469" s="324">
        <v>45000</v>
      </c>
      <c r="Z469" s="324">
        <v>49500.000000000007</v>
      </c>
      <c r="AA469" s="324">
        <v>55940.582461407648</v>
      </c>
      <c r="AB469" s="324" t="s">
        <v>55</v>
      </c>
    </row>
    <row r="470" spans="1:33" s="324" customFormat="1" ht="0.65" hidden="1" customHeight="1">
      <c r="A470" s="324">
        <v>2010</v>
      </c>
      <c r="G470" s="324">
        <v>2024</v>
      </c>
      <c r="H470" s="324">
        <v>30000</v>
      </c>
      <c r="I470" s="324">
        <v>40000</v>
      </c>
      <c r="J470" s="324">
        <v>-10000</v>
      </c>
      <c r="K470" s="324">
        <v>0</v>
      </c>
      <c r="M470" s="324" t="s">
        <v>493</v>
      </c>
      <c r="N470" s="324">
        <v>-10000</v>
      </c>
      <c r="O470" s="324" t="s">
        <v>126</v>
      </c>
      <c r="P470" s="324">
        <v>5.3749999999999999E-2</v>
      </c>
      <c r="T470" s="324">
        <v>5</v>
      </c>
      <c r="U470" s="324" t="s">
        <v>157</v>
      </c>
      <c r="V470" s="324" t="s">
        <v>178</v>
      </c>
      <c r="W470" s="324" t="s">
        <v>55</v>
      </c>
      <c r="X470" s="324" t="s">
        <v>6</v>
      </c>
      <c r="Y470" s="324">
        <v>3</v>
      </c>
      <c r="Z470" s="324">
        <v>2</v>
      </c>
      <c r="AA470" s="324">
        <v>52039.528308582201</v>
      </c>
      <c r="AB470" s="324" t="s">
        <v>55</v>
      </c>
      <c r="AC470" s="324">
        <v>3</v>
      </c>
      <c r="AD470" s="324" t="s">
        <v>55</v>
      </c>
      <c r="AE470" s="324" t="s">
        <v>55</v>
      </c>
      <c r="AF470" s="324" t="s">
        <v>55</v>
      </c>
      <c r="AG470" s="324" t="s">
        <v>55</v>
      </c>
    </row>
    <row r="471" spans="1:33" s="324" customFormat="1" ht="0.65" hidden="1" customHeight="1">
      <c r="A471" s="324">
        <v>2011</v>
      </c>
      <c r="C471" s="324" t="s">
        <v>7</v>
      </c>
      <c r="D471" s="324">
        <v>30</v>
      </c>
      <c r="G471" s="324">
        <v>2025</v>
      </c>
      <c r="H471" s="324">
        <v>30000</v>
      </c>
      <c r="I471" s="324">
        <v>40000</v>
      </c>
      <c r="J471" s="324">
        <v>-10000</v>
      </c>
      <c r="K471" s="324">
        <v>0</v>
      </c>
      <c r="M471" s="324" t="s">
        <v>494</v>
      </c>
      <c r="N471" s="324">
        <v>378125</v>
      </c>
      <c r="T471" s="324">
        <v>6</v>
      </c>
      <c r="U471" s="324" t="s">
        <v>158</v>
      </c>
      <c r="V471" s="324" t="s">
        <v>179</v>
      </c>
      <c r="W471" s="324" t="s">
        <v>55</v>
      </c>
      <c r="X471" s="324" t="s">
        <v>495</v>
      </c>
      <c r="Y471" s="324">
        <v>90000</v>
      </c>
      <c r="Z471" s="324">
        <v>99000.000000000015</v>
      </c>
      <c r="AA471" s="324">
        <v>52787.413823676674</v>
      </c>
      <c r="AB471" s="324" t="s">
        <v>55</v>
      </c>
    </row>
    <row r="472" spans="1:33" s="324" customFormat="1" ht="0.65" hidden="1" customHeight="1">
      <c r="A472" s="324">
        <v>2012</v>
      </c>
      <c r="C472" s="324" t="s">
        <v>8</v>
      </c>
      <c r="D472" s="324">
        <v>60</v>
      </c>
      <c r="T472" s="324">
        <v>7</v>
      </c>
      <c r="U472" s="324" t="s">
        <v>159</v>
      </c>
      <c r="V472" s="324" t="s">
        <v>178</v>
      </c>
      <c r="W472" s="324" t="s">
        <v>55</v>
      </c>
      <c r="X472" s="324" t="s">
        <v>492</v>
      </c>
      <c r="Y472" s="324">
        <v>45000</v>
      </c>
      <c r="Z472" s="324">
        <v>40500</v>
      </c>
      <c r="AA472" s="324">
        <v>49190.582461407641</v>
      </c>
      <c r="AB472" s="324" t="s">
        <v>55</v>
      </c>
      <c r="AC472" s="324">
        <v>4</v>
      </c>
      <c r="AD472" s="324" t="s">
        <v>55</v>
      </c>
      <c r="AE472" s="324" t="s">
        <v>55</v>
      </c>
      <c r="AF472" s="324" t="s">
        <v>55</v>
      </c>
      <c r="AG472" s="324" t="s">
        <v>55</v>
      </c>
    </row>
    <row r="473" spans="1:33" s="324" customFormat="1" ht="0.65" hidden="1" customHeight="1">
      <c r="A473" s="324">
        <v>2013</v>
      </c>
      <c r="O473" s="324" t="s">
        <v>13</v>
      </c>
      <c r="P473" s="324">
        <v>52565.582461407641</v>
      </c>
      <c r="T473" s="324">
        <v>8</v>
      </c>
      <c r="U473" s="324" t="s">
        <v>160</v>
      </c>
      <c r="V473" s="324" t="s">
        <v>178</v>
      </c>
      <c r="W473" s="324" t="s">
        <v>55</v>
      </c>
      <c r="X473" s="324" t="s">
        <v>489</v>
      </c>
      <c r="Y473" s="324">
        <v>22500</v>
      </c>
      <c r="Z473" s="324">
        <v>24750.000000000004</v>
      </c>
      <c r="AA473" s="324">
        <v>51123.36410603323</v>
      </c>
      <c r="AB473" s="324" t="s">
        <v>55</v>
      </c>
    </row>
    <row r="474" spans="1:33" s="324" customFormat="1" ht="0.65" hidden="1" customHeight="1">
      <c r="A474" s="324">
        <v>2014</v>
      </c>
      <c r="C474" s="324" t="s">
        <v>33</v>
      </c>
      <c r="O474" s="324" t="s">
        <v>28</v>
      </c>
      <c r="P474" s="324">
        <v>9.3380333972086005E-2</v>
      </c>
      <c r="T474" s="324">
        <v>9</v>
      </c>
      <c r="U474" s="324" t="s">
        <v>161</v>
      </c>
      <c r="V474" s="324" t="s">
        <v>179</v>
      </c>
      <c r="W474" s="324" t="s">
        <v>55</v>
      </c>
      <c r="X474" s="324" t="s">
        <v>34</v>
      </c>
      <c r="Y474" s="324">
        <v>360000</v>
      </c>
      <c r="Z474" s="324">
        <v>396000.00000000006</v>
      </c>
      <c r="AA474" s="324">
        <v>125296.62207364252</v>
      </c>
      <c r="AB474" s="324" t="s">
        <v>55</v>
      </c>
      <c r="AC474" s="324">
        <v>5</v>
      </c>
      <c r="AD474" s="324" t="s">
        <v>55</v>
      </c>
      <c r="AE474" s="324" t="s">
        <v>55</v>
      </c>
      <c r="AF474" s="324" t="s">
        <v>55</v>
      </c>
      <c r="AG474" s="324" t="s">
        <v>55</v>
      </c>
    </row>
    <row r="475" spans="1:33" s="324" customFormat="1" ht="0.65" hidden="1" customHeight="1">
      <c r="A475" s="324">
        <v>2015</v>
      </c>
      <c r="C475" s="324" t="s">
        <v>492</v>
      </c>
      <c r="D475" s="324">
        <v>45000</v>
      </c>
      <c r="K475" s="324" t="s">
        <v>127</v>
      </c>
      <c r="L475" s="324" t="s">
        <v>36</v>
      </c>
      <c r="M475" s="324" t="s">
        <v>55</v>
      </c>
      <c r="T475" s="324">
        <v>10</v>
      </c>
      <c r="U475" s="324" t="s">
        <v>162</v>
      </c>
      <c r="V475" s="324" t="s">
        <v>178</v>
      </c>
      <c r="W475" s="324" t="s">
        <v>55</v>
      </c>
      <c r="X475" s="324" t="s">
        <v>7</v>
      </c>
      <c r="Y475" s="324">
        <v>30</v>
      </c>
      <c r="Z475" s="324">
        <v>60</v>
      </c>
      <c r="AA475" s="324">
        <v>49735.269000606349</v>
      </c>
      <c r="AB475" s="324" t="s">
        <v>55</v>
      </c>
    </row>
    <row r="476" spans="1:33" s="324" customFormat="1" ht="0.65" hidden="1" customHeight="1">
      <c r="A476" s="324">
        <v>2016</v>
      </c>
      <c r="C476" s="324" t="s">
        <v>495</v>
      </c>
      <c r="D476" s="324">
        <v>90000</v>
      </c>
      <c r="E476" s="324" t="s">
        <v>55</v>
      </c>
      <c r="K476" s="324" t="s">
        <v>496</v>
      </c>
      <c r="L476" s="324" t="s">
        <v>424</v>
      </c>
      <c r="T476" s="324">
        <v>11</v>
      </c>
      <c r="U476" s="324" t="s">
        <v>163</v>
      </c>
      <c r="V476" s="324" t="s">
        <v>179</v>
      </c>
      <c r="W476" s="324" t="s">
        <v>55</v>
      </c>
      <c r="X476" s="324" t="s">
        <v>35</v>
      </c>
      <c r="Y476" s="324">
        <v>240000</v>
      </c>
      <c r="Z476" s="324">
        <v>216000</v>
      </c>
      <c r="AA476" s="324">
        <v>100864.25463884405</v>
      </c>
      <c r="AB476" s="324" t="s">
        <v>55</v>
      </c>
      <c r="AC476" s="324">
        <v>6</v>
      </c>
      <c r="AD476" s="324" t="s">
        <v>55</v>
      </c>
      <c r="AE476" s="324" t="s">
        <v>55</v>
      </c>
      <c r="AF476" s="324" t="s">
        <v>55</v>
      </c>
      <c r="AG476" s="324" t="s">
        <v>55</v>
      </c>
    </row>
    <row r="477" spans="1:33" s="324" customFormat="1" ht="0.65" hidden="1" customHeight="1">
      <c r="A477" s="324">
        <v>2017</v>
      </c>
      <c r="C477" s="324" t="s">
        <v>6</v>
      </c>
      <c r="D477" s="324">
        <v>3</v>
      </c>
      <c r="K477" s="324" t="s">
        <v>410</v>
      </c>
      <c r="L477" s="324">
        <v>0</v>
      </c>
      <c r="M477" s="324" t="s">
        <v>337</v>
      </c>
      <c r="T477" s="324">
        <v>12</v>
      </c>
      <c r="U477" s="324" t="s">
        <v>164</v>
      </c>
      <c r="V477" s="324" t="s">
        <v>178</v>
      </c>
      <c r="W477" s="324" t="s">
        <v>55</v>
      </c>
      <c r="X477" s="324" t="s">
        <v>8</v>
      </c>
      <c r="Y477" s="324">
        <v>60</v>
      </c>
      <c r="Z477" s="324">
        <v>30</v>
      </c>
      <c r="AA477" s="324">
        <v>50678.706820873442</v>
      </c>
      <c r="AB477" s="324" t="s">
        <v>55</v>
      </c>
    </row>
    <row r="478" spans="1:33" s="324" customFormat="1" ht="0.65" hidden="1" customHeight="1">
      <c r="A478" s="324">
        <v>2018</v>
      </c>
      <c r="C478" s="324" t="s">
        <v>489</v>
      </c>
      <c r="D478" s="324">
        <v>22500</v>
      </c>
      <c r="N478" s="324" t="s">
        <v>55</v>
      </c>
      <c r="T478" s="324">
        <v>13</v>
      </c>
      <c r="U478" s="324" t="s">
        <v>165</v>
      </c>
      <c r="V478" s="324" t="s">
        <v>178</v>
      </c>
      <c r="W478" s="324" t="s">
        <v>55</v>
      </c>
      <c r="X478" s="324" t="s">
        <v>10</v>
      </c>
      <c r="Y478" s="324">
        <v>720000</v>
      </c>
      <c r="Z478" s="324">
        <v>792000.00000000012</v>
      </c>
      <c r="AA478" s="324">
        <v>47799.199842270049</v>
      </c>
      <c r="AB478" s="324" t="s">
        <v>55</v>
      </c>
      <c r="AC478" s="324">
        <v>7</v>
      </c>
      <c r="AD478" s="324" t="s">
        <v>55</v>
      </c>
      <c r="AE478" s="324" t="s">
        <v>55</v>
      </c>
      <c r="AF478" s="324" t="s">
        <v>55</v>
      </c>
      <c r="AG478" s="324" t="s">
        <v>55</v>
      </c>
    </row>
    <row r="479" spans="1:33" s="324" customFormat="1" ht="0.65" hidden="1" customHeight="1">
      <c r="A479" s="324">
        <v>2019</v>
      </c>
      <c r="K479" s="324" t="s">
        <v>413</v>
      </c>
      <c r="L479" s="324">
        <v>33</v>
      </c>
      <c r="M479" s="324" t="s">
        <v>55</v>
      </c>
      <c r="T479" s="324">
        <v>14</v>
      </c>
      <c r="U479" s="324" t="s">
        <v>166</v>
      </c>
      <c r="V479" s="324" t="s">
        <v>179</v>
      </c>
      <c r="W479" s="324" t="s">
        <v>55</v>
      </c>
      <c r="X479" s="324" t="s">
        <v>12</v>
      </c>
      <c r="Y479" s="324">
        <v>0.02</v>
      </c>
      <c r="Z479" s="324">
        <v>0.01</v>
      </c>
      <c r="AA479" s="324">
        <v>56133.281980465588</v>
      </c>
      <c r="AB479" s="324" t="s">
        <v>55</v>
      </c>
    </row>
    <row r="480" spans="1:33" s="324" customFormat="1" ht="0.65" hidden="1" customHeight="1">
      <c r="A480" s="324">
        <v>2020</v>
      </c>
      <c r="C480" s="324" t="s">
        <v>4</v>
      </c>
      <c r="D480" s="324">
        <v>0.25</v>
      </c>
      <c r="K480" s="324" t="s">
        <v>479</v>
      </c>
      <c r="N480" s="324" t="s">
        <v>466</v>
      </c>
      <c r="T480" s="324">
        <v>15</v>
      </c>
      <c r="U480" s="324" t="s">
        <v>167</v>
      </c>
      <c r="V480" s="324" t="s">
        <v>178</v>
      </c>
      <c r="W480" s="324" t="s">
        <v>55</v>
      </c>
      <c r="X480" s="324" t="s">
        <v>11</v>
      </c>
      <c r="Y480" s="324">
        <v>240000</v>
      </c>
      <c r="Z480" s="324">
        <v>264000</v>
      </c>
      <c r="AA480" s="324">
        <v>50440.139621944552</v>
      </c>
      <c r="AB480" s="324" t="s">
        <v>55</v>
      </c>
      <c r="AC480" s="324">
        <v>8</v>
      </c>
      <c r="AD480" s="324" t="s">
        <v>55</v>
      </c>
      <c r="AE480" s="324" t="s">
        <v>55</v>
      </c>
      <c r="AF480" s="324" t="s">
        <v>55</v>
      </c>
      <c r="AG480" s="324" t="s">
        <v>55</v>
      </c>
    </row>
    <row r="481" spans="1:33" s="324" customFormat="1" ht="0.65" hidden="1" customHeight="1">
      <c r="A481" s="324">
        <v>2021</v>
      </c>
      <c r="D481" s="324" t="s">
        <v>9</v>
      </c>
      <c r="K481" s="324" t="s">
        <v>409</v>
      </c>
      <c r="L481" s="324" t="s">
        <v>38</v>
      </c>
      <c r="M481" s="324" t="s">
        <v>55</v>
      </c>
      <c r="N481" s="324" t="s">
        <v>467</v>
      </c>
      <c r="O481" s="324" t="s">
        <v>468</v>
      </c>
      <c r="T481" s="324">
        <v>16</v>
      </c>
      <c r="U481" s="324" t="s">
        <v>168</v>
      </c>
      <c r="V481" s="324" t="s">
        <v>181</v>
      </c>
      <c r="W481" s="324" t="s">
        <v>55</v>
      </c>
      <c r="X481" s="324" t="s">
        <v>3</v>
      </c>
      <c r="Y481" s="324">
        <v>4000000</v>
      </c>
      <c r="Z481" s="324">
        <v>4400000</v>
      </c>
      <c r="AA481" s="324">
        <v>53736.808894880662</v>
      </c>
      <c r="AB481" s="324" t="s">
        <v>55</v>
      </c>
    </row>
    <row r="482" spans="1:33" s="324" customFormat="1" ht="0.65" hidden="1" customHeight="1">
      <c r="A482" s="324">
        <v>2022</v>
      </c>
      <c r="N482" s="324" t="s">
        <v>469</v>
      </c>
      <c r="O482" s="324" t="s">
        <v>470</v>
      </c>
      <c r="T482" s="324">
        <v>17</v>
      </c>
      <c r="U482" s="324" t="s">
        <v>169</v>
      </c>
      <c r="V482" s="324" t="s">
        <v>178</v>
      </c>
      <c r="W482" s="324" t="s">
        <v>55</v>
      </c>
      <c r="X482" s="324" t="s">
        <v>2</v>
      </c>
      <c r="Y482" s="324">
        <v>12000000</v>
      </c>
      <c r="Z482" s="324">
        <v>6000000</v>
      </c>
      <c r="AA482" s="324">
        <v>34344.84785159288</v>
      </c>
      <c r="AB482" s="324" t="s">
        <v>55</v>
      </c>
      <c r="AC482" s="324">
        <v>9</v>
      </c>
      <c r="AD482" s="324" t="s">
        <v>55</v>
      </c>
      <c r="AE482" s="324" t="s">
        <v>55</v>
      </c>
      <c r="AF482" s="324" t="s">
        <v>55</v>
      </c>
      <c r="AG482" s="324" t="s">
        <v>55</v>
      </c>
    </row>
    <row r="483" spans="1:33" s="324" customFormat="1" ht="0.65" hidden="1" customHeight="1">
      <c r="A483" s="324">
        <v>2023</v>
      </c>
      <c r="C483" s="324" t="s">
        <v>10</v>
      </c>
      <c r="D483" s="324">
        <v>720000</v>
      </c>
      <c r="N483" s="324" t="s">
        <v>471</v>
      </c>
      <c r="O483" s="324" t="s">
        <v>472</v>
      </c>
      <c r="T483" s="324">
        <v>18</v>
      </c>
      <c r="U483" s="324" t="s">
        <v>170</v>
      </c>
      <c r="V483" s="324" t="s">
        <v>181</v>
      </c>
      <c r="W483" s="324" t="s">
        <v>55</v>
      </c>
      <c r="X483" s="324" t="s">
        <v>4</v>
      </c>
      <c r="Y483" s="324">
        <v>0.25</v>
      </c>
      <c r="Z483" s="324">
        <v>0.3</v>
      </c>
      <c r="AA483" s="324">
        <v>47632.637930395198</v>
      </c>
      <c r="AB483" s="324" t="s">
        <v>55</v>
      </c>
    </row>
    <row r="484" spans="1:33" s="324" customFormat="1" ht="0.65" hidden="1" customHeight="1">
      <c r="A484" s="324">
        <v>2024</v>
      </c>
      <c r="C484" s="324" t="s">
        <v>11</v>
      </c>
      <c r="D484" s="324">
        <v>240000</v>
      </c>
      <c r="I484" s="324" t="s">
        <v>320</v>
      </c>
      <c r="K484" s="324" t="s">
        <v>497</v>
      </c>
      <c r="L484" s="324" t="s">
        <v>498</v>
      </c>
      <c r="M484" s="324" t="s">
        <v>55</v>
      </c>
      <c r="T484" s="324">
        <v>19</v>
      </c>
      <c r="U484" s="324" t="s">
        <v>171</v>
      </c>
      <c r="V484" s="324" t="s">
        <v>181</v>
      </c>
      <c r="W484" s="324" t="s">
        <v>55</v>
      </c>
      <c r="X484" s="324" t="s">
        <v>14</v>
      </c>
      <c r="Y484" s="324" t="s">
        <v>16</v>
      </c>
      <c r="Z484" s="324">
        <v>4</v>
      </c>
      <c r="AA484" s="324">
        <v>109076.38779687928</v>
      </c>
      <c r="AB484" s="324" t="s">
        <v>55</v>
      </c>
      <c r="AC484" s="324">
        <v>10</v>
      </c>
      <c r="AD484" s="324" t="s">
        <v>55</v>
      </c>
      <c r="AE484" s="324" t="s">
        <v>55</v>
      </c>
      <c r="AF484" s="324" t="s">
        <v>55</v>
      </c>
      <c r="AG484" s="324" t="s">
        <v>55</v>
      </c>
    </row>
    <row r="485" spans="1:33" s="324" customFormat="1" ht="0.65" hidden="1" customHeight="1">
      <c r="A485" s="324">
        <v>2025</v>
      </c>
      <c r="C485" s="324" t="s">
        <v>12</v>
      </c>
      <c r="D485" s="324">
        <v>0.02</v>
      </c>
    </row>
    <row r="486" spans="1:33" s="324" customFormat="1" ht="0.65" hidden="1" customHeight="1">
      <c r="A486" s="324">
        <v>2026</v>
      </c>
      <c r="C486" s="324" t="s">
        <v>2</v>
      </c>
      <c r="D486" s="324">
        <v>12000000</v>
      </c>
      <c r="I486" s="324" t="s">
        <v>318</v>
      </c>
      <c r="K486" s="324" t="s">
        <v>497</v>
      </c>
      <c r="L486" s="324" t="s">
        <v>498</v>
      </c>
      <c r="M486" s="324" t="s">
        <v>968</v>
      </c>
      <c r="AC486" s="324">
        <v>11</v>
      </c>
      <c r="AD486" s="324" t="s">
        <v>55</v>
      </c>
      <c r="AE486" s="324" t="s">
        <v>55</v>
      </c>
      <c r="AF486" s="324" t="s">
        <v>55</v>
      </c>
      <c r="AG486" s="324" t="s">
        <v>55</v>
      </c>
    </row>
    <row r="487" spans="1:33" s="324" customFormat="1" ht="0.65" hidden="1" customHeight="1">
      <c r="A487" s="324">
        <v>2027</v>
      </c>
      <c r="C487" s="324" t="s">
        <v>3</v>
      </c>
      <c r="D487" s="324">
        <v>4000000</v>
      </c>
      <c r="U487" s="324" t="s">
        <v>127</v>
      </c>
      <c r="V487" s="324" t="s">
        <v>36</v>
      </c>
      <c r="W487" s="324" t="s">
        <v>55</v>
      </c>
    </row>
    <row r="488" spans="1:33" s="324" customFormat="1" ht="0.65" hidden="1" customHeight="1">
      <c r="A488" s="324">
        <v>2028</v>
      </c>
      <c r="AC488" s="324">
        <v>12</v>
      </c>
      <c r="AD488" s="324" t="s">
        <v>55</v>
      </c>
      <c r="AE488" s="324" t="s">
        <v>55</v>
      </c>
      <c r="AF488" s="324" t="s">
        <v>55</v>
      </c>
      <c r="AG488" s="324" t="s">
        <v>55</v>
      </c>
    </row>
    <row r="489" spans="1:33" s="324" customFormat="1" ht="0.65" hidden="1" customHeight="1">
      <c r="A489" s="324">
        <v>2029</v>
      </c>
      <c r="C489" s="324" t="s">
        <v>14</v>
      </c>
      <c r="D489" s="324" t="s">
        <v>16</v>
      </c>
      <c r="V489" s="324">
        <v>0</v>
      </c>
    </row>
    <row r="490" spans="1:33" s="324" customFormat="1" ht="0.65" hidden="1" customHeight="1">
      <c r="A490" s="324">
        <v>2030</v>
      </c>
      <c r="G490" s="324" t="s">
        <v>128</v>
      </c>
      <c r="M490" s="324" t="s">
        <v>500</v>
      </c>
      <c r="AC490" s="324">
        <v>13</v>
      </c>
      <c r="AD490" s="324" t="s">
        <v>55</v>
      </c>
      <c r="AE490" s="324" t="s">
        <v>55</v>
      </c>
      <c r="AF490" s="324" t="s">
        <v>55</v>
      </c>
      <c r="AG490" s="324" t="s">
        <v>55</v>
      </c>
    </row>
    <row r="491" spans="1:33" s="324" customFormat="1" ht="0.65" hidden="1" customHeight="1">
      <c r="A491" s="324">
        <v>2031</v>
      </c>
      <c r="B491" s="324" t="s">
        <v>460</v>
      </c>
      <c r="F491" s="324">
        <v>1</v>
      </c>
      <c r="I491" s="324" t="s">
        <v>129</v>
      </c>
      <c r="J491" s="324">
        <v>1</v>
      </c>
      <c r="K491" s="324" t="s">
        <v>501</v>
      </c>
      <c r="U491" s="324" t="s">
        <v>204</v>
      </c>
      <c r="V491" s="324">
        <v>12</v>
      </c>
      <c r="W491" s="324" t="s">
        <v>55</v>
      </c>
    </row>
    <row r="492" spans="1:33" s="324" customFormat="1" ht="0.65" hidden="1" customHeight="1">
      <c r="A492" s="324">
        <v>2032</v>
      </c>
      <c r="F492" s="324">
        <v>1.5</v>
      </c>
      <c r="I492" s="324" t="s">
        <v>138</v>
      </c>
      <c r="J492" s="324">
        <v>1.5</v>
      </c>
      <c r="K492" s="324" t="s">
        <v>502</v>
      </c>
      <c r="Z492" s="324" t="s">
        <v>291</v>
      </c>
      <c r="AC492" s="324">
        <v>14</v>
      </c>
      <c r="AD492" s="324" t="s">
        <v>55</v>
      </c>
      <c r="AE492" s="324" t="s">
        <v>55</v>
      </c>
      <c r="AF492" s="324" t="s">
        <v>55</v>
      </c>
      <c r="AG492" s="324" t="s">
        <v>55</v>
      </c>
    </row>
    <row r="493" spans="1:33" s="324" customFormat="1" ht="0.65" hidden="1" customHeight="1">
      <c r="A493" s="324">
        <v>2033</v>
      </c>
      <c r="F493" s="324">
        <v>1.5</v>
      </c>
      <c r="I493" s="324" t="s">
        <v>130</v>
      </c>
      <c r="J493" s="324">
        <v>1.5</v>
      </c>
      <c r="K493" s="324" t="s">
        <v>502</v>
      </c>
      <c r="W493" s="324" t="s">
        <v>139</v>
      </c>
      <c r="X493" s="324" t="s">
        <v>174</v>
      </c>
      <c r="Z493" s="324" t="s">
        <v>969</v>
      </c>
      <c r="AA493" s="324">
        <v>-1886.8756405341992</v>
      </c>
      <c r="AB493" s="324">
        <v>-1886.8756405341992</v>
      </c>
    </row>
    <row r="494" spans="1:33" s="324" customFormat="1" ht="0.65" hidden="1" customHeight="1">
      <c r="A494" s="324">
        <v>2034</v>
      </c>
      <c r="F494" s="324">
        <v>1</v>
      </c>
      <c r="I494" s="324" t="s">
        <v>131</v>
      </c>
      <c r="J494" s="324">
        <v>1</v>
      </c>
      <c r="K494" s="324" t="s">
        <v>501</v>
      </c>
      <c r="V494" s="324" t="s">
        <v>177</v>
      </c>
      <c r="W494" s="324" t="s">
        <v>173</v>
      </c>
      <c r="X494" s="324" t="s">
        <v>175</v>
      </c>
      <c r="Z494" s="324">
        <v>-1886.8756405341992</v>
      </c>
      <c r="AA494" s="324">
        <v>-1886.8756405341992</v>
      </c>
      <c r="AB494" s="324">
        <v>-1886.8756405341992</v>
      </c>
      <c r="AC494" s="324">
        <v>15</v>
      </c>
      <c r="AD494" s="324" t="s">
        <v>55</v>
      </c>
      <c r="AE494" s="324" t="s">
        <v>55</v>
      </c>
      <c r="AF494" s="324" t="s">
        <v>55</v>
      </c>
      <c r="AG494" s="324" t="s">
        <v>55</v>
      </c>
    </row>
    <row r="495" spans="1:33" s="324" customFormat="1" ht="0.65" hidden="1" customHeight="1">
      <c r="A495" s="324">
        <v>2035</v>
      </c>
      <c r="F495" s="324">
        <v>1</v>
      </c>
      <c r="I495" s="324" t="s">
        <v>132</v>
      </c>
      <c r="J495" s="324">
        <v>1</v>
      </c>
      <c r="K495" s="324" t="s">
        <v>501</v>
      </c>
      <c r="T495" s="324">
        <v>12</v>
      </c>
      <c r="U495" s="324" t="s">
        <v>164</v>
      </c>
      <c r="V495" s="324" t="s">
        <v>8</v>
      </c>
      <c r="W495" s="324">
        <v>60</v>
      </c>
      <c r="X495" s="324">
        <v>30</v>
      </c>
      <c r="Z495" s="324">
        <v>-1886.8756405341992</v>
      </c>
      <c r="AA495" s="324">
        <v>-1886.8756405341992</v>
      </c>
      <c r="AB495" s="324">
        <v>-1886.8756405341992</v>
      </c>
    </row>
    <row r="496" spans="1:33" s="324" customFormat="1" ht="0.65" hidden="1" customHeight="1">
      <c r="A496" s="324">
        <v>2036</v>
      </c>
      <c r="F496" s="324">
        <v>0.5</v>
      </c>
      <c r="I496" s="324" t="s">
        <v>133</v>
      </c>
      <c r="J496" s="324">
        <v>0.5</v>
      </c>
      <c r="K496" s="324" t="s">
        <v>504</v>
      </c>
      <c r="V496" s="324" t="s">
        <v>13</v>
      </c>
      <c r="W496" s="324">
        <v>52565.582461407641</v>
      </c>
      <c r="X496" s="324">
        <v>50678.706820873544</v>
      </c>
      <c r="Z496" s="324">
        <v>-1886.8756405341992</v>
      </c>
      <c r="AA496" s="324">
        <v>-1886.8756405341992</v>
      </c>
      <c r="AB496" s="324">
        <v>-1886.8756405341992</v>
      </c>
      <c r="AC496" s="324">
        <v>16</v>
      </c>
      <c r="AD496" s="324" t="s">
        <v>55</v>
      </c>
      <c r="AE496" s="324" t="s">
        <v>55</v>
      </c>
      <c r="AF496" s="324" t="s">
        <v>55</v>
      </c>
      <c r="AG496" s="324" t="s">
        <v>55</v>
      </c>
    </row>
    <row r="497" spans="1:42" s="324" customFormat="1" ht="0.65" hidden="1" customHeight="1">
      <c r="A497" s="324">
        <v>2037</v>
      </c>
      <c r="F497" s="324">
        <v>0.5</v>
      </c>
      <c r="I497" s="324" t="s">
        <v>134</v>
      </c>
      <c r="J497" s="324">
        <v>0.5</v>
      </c>
      <c r="K497" s="324" t="s">
        <v>504</v>
      </c>
      <c r="V497" s="324" t="s">
        <v>505</v>
      </c>
      <c r="X497" s="324">
        <v>-1886.8756405341992</v>
      </c>
      <c r="Z497" s="324">
        <v>-1886.8756405341992</v>
      </c>
      <c r="AA497" s="324">
        <v>-1886.8756405341992</v>
      </c>
      <c r="AB497" s="324">
        <v>-1886.8756405341992</v>
      </c>
    </row>
    <row r="498" spans="1:42" s="324" customFormat="1" ht="0.65" hidden="1" customHeight="1">
      <c r="A498" s="324">
        <v>2038</v>
      </c>
      <c r="F498" s="324">
        <v>1</v>
      </c>
      <c r="I498" s="324" t="s">
        <v>135</v>
      </c>
      <c r="J498" s="324">
        <v>1</v>
      </c>
      <c r="K498" s="324" t="s">
        <v>501</v>
      </c>
      <c r="Z498" s="324">
        <v>-1886.8756405341992</v>
      </c>
      <c r="AA498" s="324">
        <v>-1886.8756405341992</v>
      </c>
      <c r="AB498" s="324">
        <v>-1886.8756405341992</v>
      </c>
      <c r="AC498" s="324">
        <v>17</v>
      </c>
      <c r="AD498" s="324" t="s">
        <v>55</v>
      </c>
      <c r="AE498" s="324" t="s">
        <v>55</v>
      </c>
      <c r="AF498" s="324" t="s">
        <v>55</v>
      </c>
      <c r="AG498" s="324" t="s">
        <v>55</v>
      </c>
    </row>
    <row r="499" spans="1:42" s="324" customFormat="1" ht="0.65" hidden="1" customHeight="1">
      <c r="A499" s="324">
        <v>2039</v>
      </c>
      <c r="F499" s="324">
        <v>0.5</v>
      </c>
      <c r="I499" s="324" t="s">
        <v>13</v>
      </c>
      <c r="J499" s="324">
        <v>0.5</v>
      </c>
      <c r="K499" s="324" t="s">
        <v>504</v>
      </c>
    </row>
    <row r="500" spans="1:42" s="324" customFormat="1" ht="0.65" hidden="1" customHeight="1">
      <c r="A500" s="324">
        <v>2040</v>
      </c>
      <c r="F500" s="324">
        <v>0.5</v>
      </c>
      <c r="I500" s="324" t="s">
        <v>28</v>
      </c>
      <c r="J500" s="324">
        <v>0.5</v>
      </c>
      <c r="K500" s="324" t="s">
        <v>504</v>
      </c>
      <c r="U500" s="324" t="s">
        <v>196</v>
      </c>
      <c r="AC500" s="324">
        <v>18</v>
      </c>
      <c r="AD500" s="324" t="s">
        <v>55</v>
      </c>
      <c r="AE500" s="324" t="s">
        <v>55</v>
      </c>
      <c r="AF500" s="324" t="s">
        <v>55</v>
      </c>
      <c r="AG500" s="324" t="s">
        <v>55</v>
      </c>
    </row>
    <row r="501" spans="1:42" s="324" customFormat="1" ht="0.65" hidden="1" customHeight="1">
      <c r="A501" s="324">
        <v>2041</v>
      </c>
      <c r="F501" s="324">
        <v>1</v>
      </c>
      <c r="I501" s="324" t="s">
        <v>136</v>
      </c>
      <c r="J501" s="324">
        <v>1</v>
      </c>
      <c r="K501" s="324" t="s">
        <v>501</v>
      </c>
    </row>
    <row r="502" spans="1:42" s="324" customFormat="1" ht="0.65" hidden="1" customHeight="1">
      <c r="A502" s="324">
        <v>2042</v>
      </c>
      <c r="F502" s="324">
        <v>10</v>
      </c>
      <c r="I502" s="324" t="s">
        <v>137</v>
      </c>
      <c r="J502" s="324">
        <v>10</v>
      </c>
      <c r="K502" s="324" t="s">
        <v>506</v>
      </c>
      <c r="AC502" s="324">
        <v>19</v>
      </c>
      <c r="AD502" s="324" t="s">
        <v>55</v>
      </c>
      <c r="AE502" s="324" t="s">
        <v>55</v>
      </c>
      <c r="AF502" s="324" t="s">
        <v>55</v>
      </c>
      <c r="AG502" s="324" t="s">
        <v>55</v>
      </c>
    </row>
    <row r="503" spans="1:42" s="324" customFormat="1" ht="0.65" hidden="1" customHeight="1">
      <c r="A503" s="324">
        <v>2043</v>
      </c>
    </row>
    <row r="504" spans="1:42" s="324" customFormat="1" ht="0.65" hidden="1" customHeight="1">
      <c r="A504" s="324">
        <v>2044</v>
      </c>
      <c r="AC504" s="324">
        <v>20</v>
      </c>
      <c r="AD504" s="324" t="s">
        <v>55</v>
      </c>
      <c r="AE504" s="324" t="s">
        <v>55</v>
      </c>
      <c r="AF504" s="324" t="s">
        <v>55</v>
      </c>
      <c r="AG504" s="324" t="s">
        <v>55</v>
      </c>
    </row>
    <row r="505" spans="1:42" s="324" customFormat="1" ht="0.65" hidden="1" customHeight="1">
      <c r="A505" s="324">
        <v>2045</v>
      </c>
    </row>
    <row r="506" spans="1:42" s="324" customFormat="1" ht="0.65" hidden="1" customHeight="1">
      <c r="A506" s="324">
        <v>2046</v>
      </c>
    </row>
    <row r="507" spans="1:42" s="324" customFormat="1" ht="0.65" hidden="1" customHeight="1">
      <c r="A507" s="324">
        <v>2047</v>
      </c>
      <c r="G507" s="324">
        <v>1</v>
      </c>
      <c r="H507" s="324">
        <v>2</v>
      </c>
      <c r="I507" s="324">
        <v>3</v>
      </c>
      <c r="J507" s="324">
        <v>4</v>
      </c>
      <c r="K507" s="324">
        <v>5</v>
      </c>
      <c r="L507" s="324">
        <v>6</v>
      </c>
      <c r="M507" s="324">
        <v>7</v>
      </c>
      <c r="N507" s="324">
        <v>8</v>
      </c>
      <c r="O507" s="324">
        <v>9</v>
      </c>
      <c r="P507" s="324">
        <v>10</v>
      </c>
    </row>
    <row r="508" spans="1:42" s="324" customFormat="1" ht="0.65" hidden="1" customHeight="1">
      <c r="A508" s="324">
        <v>2048</v>
      </c>
      <c r="G508" s="324" t="s">
        <v>212</v>
      </c>
      <c r="H508" s="324" t="s">
        <v>213</v>
      </c>
      <c r="I508" s="324" t="s">
        <v>214</v>
      </c>
      <c r="J508" s="324" t="s">
        <v>215</v>
      </c>
      <c r="K508" s="324" t="s">
        <v>216</v>
      </c>
      <c r="L508" s="324" t="s">
        <v>218</v>
      </c>
      <c r="M508" s="324" t="s">
        <v>219</v>
      </c>
      <c r="N508" s="324" t="s">
        <v>220</v>
      </c>
      <c r="O508" s="324" t="s">
        <v>221</v>
      </c>
      <c r="P508" s="324" t="s">
        <v>222</v>
      </c>
    </row>
    <row r="509" spans="1:42" s="324" customFormat="1" ht="0.65" hidden="1" customHeight="1">
      <c r="A509" s="324">
        <v>2049</v>
      </c>
      <c r="G509" s="324">
        <v>-10000</v>
      </c>
      <c r="H509" s="324">
        <v>-20000</v>
      </c>
      <c r="I509" s="324" t="s">
        <v>55</v>
      </c>
      <c r="J509" s="324" t="s">
        <v>55</v>
      </c>
      <c r="K509" s="324" t="s">
        <v>55</v>
      </c>
      <c r="L509" s="324" t="s">
        <v>55</v>
      </c>
      <c r="M509" s="324" t="s">
        <v>55</v>
      </c>
      <c r="N509" s="324" t="s">
        <v>55</v>
      </c>
      <c r="O509" s="324" t="s">
        <v>968</v>
      </c>
      <c r="P509" s="324" t="s">
        <v>507</v>
      </c>
    </row>
    <row r="510" spans="1:42" s="324" customFormat="1" ht="0.65" hidden="1" customHeight="1">
      <c r="A510" s="324">
        <v>2050</v>
      </c>
      <c r="G510" s="324" t="s">
        <v>267</v>
      </c>
      <c r="H510" s="324" t="s">
        <v>268</v>
      </c>
      <c r="I510" s="324" t="s">
        <v>55</v>
      </c>
      <c r="J510" s="324" t="s">
        <v>55</v>
      </c>
      <c r="K510" s="324" t="s">
        <v>55</v>
      </c>
      <c r="L510" s="324" t="s">
        <v>55</v>
      </c>
      <c r="M510" s="324" t="s">
        <v>55</v>
      </c>
      <c r="N510" s="324" t="s">
        <v>55</v>
      </c>
      <c r="O510" s="324" t="s">
        <v>55</v>
      </c>
      <c r="P510" s="324" t="s">
        <v>55</v>
      </c>
    </row>
    <row r="511" spans="1:42" s="324" customFormat="1" ht="0.65" hidden="1" customHeight="1">
      <c r="A511" s="324">
        <v>2051</v>
      </c>
    </row>
    <row r="512" spans="1:42" s="324" customFormat="1" ht="0.65" hidden="1" customHeight="1">
      <c r="A512" s="324">
        <v>2052</v>
      </c>
      <c r="B512" s="324">
        <v>2</v>
      </c>
      <c r="C512" s="324">
        <v>3</v>
      </c>
      <c r="D512" s="324">
        <v>4</v>
      </c>
      <c r="E512" s="324">
        <v>5</v>
      </c>
      <c r="F512" s="324">
        <v>6</v>
      </c>
      <c r="G512" s="324">
        <v>7</v>
      </c>
      <c r="H512" s="324">
        <v>8</v>
      </c>
      <c r="I512" s="324">
        <v>9</v>
      </c>
      <c r="J512" s="324">
        <v>10</v>
      </c>
      <c r="K512" s="324">
        <v>11</v>
      </c>
      <c r="L512" s="324">
        <v>12</v>
      </c>
      <c r="M512" s="324">
        <v>13</v>
      </c>
      <c r="N512" s="324">
        <v>14</v>
      </c>
      <c r="O512" s="324">
        <v>15</v>
      </c>
      <c r="P512" s="324">
        <v>16</v>
      </c>
      <c r="Q512" s="324">
        <v>17</v>
      </c>
      <c r="R512" s="324">
        <v>18</v>
      </c>
      <c r="S512" s="324">
        <v>19</v>
      </c>
      <c r="T512" s="324">
        <v>20</v>
      </c>
      <c r="U512" s="324">
        <v>21</v>
      </c>
      <c r="V512" s="324">
        <v>22</v>
      </c>
      <c r="W512" s="324">
        <v>23</v>
      </c>
      <c r="X512" s="324">
        <v>24</v>
      </c>
      <c r="Y512" s="324">
        <v>25</v>
      </c>
      <c r="Z512" s="324">
        <v>26</v>
      </c>
      <c r="AA512" s="324">
        <v>27</v>
      </c>
      <c r="AB512" s="324">
        <v>28</v>
      </c>
      <c r="AC512" s="324">
        <v>29</v>
      </c>
      <c r="AD512" s="324">
        <v>30</v>
      </c>
      <c r="AE512" s="324">
        <v>31</v>
      </c>
      <c r="AF512" s="324">
        <v>32</v>
      </c>
      <c r="AG512" s="324">
        <v>33</v>
      </c>
      <c r="AH512" s="324">
        <v>34</v>
      </c>
      <c r="AI512" s="324">
        <v>35</v>
      </c>
      <c r="AJ512" s="324">
        <v>36</v>
      </c>
      <c r="AK512" s="324">
        <v>37</v>
      </c>
      <c r="AL512" s="324">
        <v>38</v>
      </c>
      <c r="AM512" s="324">
        <v>39</v>
      </c>
      <c r="AN512" s="324">
        <v>40</v>
      </c>
      <c r="AO512" s="324">
        <v>41</v>
      </c>
      <c r="AP512" s="324">
        <v>42</v>
      </c>
    </row>
    <row r="513" spans="1:16" s="324" customFormat="1" ht="0.65" hidden="1" customHeight="1">
      <c r="A513" s="324">
        <v>2053</v>
      </c>
    </row>
    <row r="514" spans="1:16" s="324" customFormat="1" ht="0.65" hidden="1" customHeight="1">
      <c r="A514" s="324">
        <v>2054</v>
      </c>
      <c r="B514" s="324">
        <v>600000</v>
      </c>
      <c r="C514" s="324">
        <v>600000</v>
      </c>
      <c r="D514" s="324">
        <v>1</v>
      </c>
      <c r="G514" s="324" t="s">
        <v>0</v>
      </c>
      <c r="H514" s="324" t="s">
        <v>69</v>
      </c>
      <c r="I514" s="324" t="s">
        <v>70</v>
      </c>
      <c r="J514" s="324" t="s">
        <v>71</v>
      </c>
      <c r="K514" s="324" t="s">
        <v>72</v>
      </c>
      <c r="L514" s="324" t="s">
        <v>73</v>
      </c>
      <c r="M514" s="324" t="s">
        <v>74</v>
      </c>
      <c r="N514" s="324" t="s">
        <v>75</v>
      </c>
      <c r="O514" s="324" t="s">
        <v>80</v>
      </c>
      <c r="P514" s="324" t="s">
        <v>1</v>
      </c>
    </row>
    <row r="515" spans="1:16" s="324" customFormat="1" ht="0.65" hidden="1" customHeight="1">
      <c r="A515" s="324">
        <v>2055</v>
      </c>
      <c r="B515" s="324">
        <v>10</v>
      </c>
      <c r="C515" s="324">
        <v>10</v>
      </c>
      <c r="D515" s="324">
        <v>1</v>
      </c>
      <c r="G515" s="324">
        <v>2022</v>
      </c>
      <c r="P515" s="324">
        <v>41</v>
      </c>
    </row>
    <row r="516" spans="1:16" s="324" customFormat="1" ht="0.65" hidden="1" customHeight="1">
      <c r="A516" s="324">
        <v>2056</v>
      </c>
      <c r="B516" s="324">
        <v>400000</v>
      </c>
      <c r="C516" s="324">
        <v>400000</v>
      </c>
      <c r="D516" s="324">
        <v>1</v>
      </c>
      <c r="G516" s="324">
        <v>2023</v>
      </c>
      <c r="H516" s="324">
        <v>2</v>
      </c>
      <c r="I516" s="324">
        <v>5</v>
      </c>
      <c r="J516" s="324">
        <v>8</v>
      </c>
      <c r="K516" s="324">
        <v>11</v>
      </c>
      <c r="L516" s="324">
        <v>14</v>
      </c>
      <c r="M516" s="324">
        <v>17</v>
      </c>
      <c r="N516" s="324">
        <v>20</v>
      </c>
      <c r="O516" s="324">
        <v>35</v>
      </c>
      <c r="P516" s="324">
        <v>42</v>
      </c>
    </row>
    <row r="517" spans="1:16" s="324" customFormat="1" ht="0.65" hidden="1" customHeight="1">
      <c r="A517" s="324">
        <v>2057</v>
      </c>
      <c r="G517" s="324">
        <v>2024</v>
      </c>
      <c r="H517" s="324">
        <v>3</v>
      </c>
      <c r="I517" s="324">
        <v>6</v>
      </c>
      <c r="J517" s="324">
        <v>9</v>
      </c>
      <c r="K517" s="324">
        <v>12</v>
      </c>
      <c r="L517" s="324">
        <v>15</v>
      </c>
      <c r="M517" s="324">
        <v>18</v>
      </c>
      <c r="N517" s="324">
        <v>21</v>
      </c>
      <c r="O517" s="324">
        <v>36</v>
      </c>
      <c r="P517" s="324">
        <v>43</v>
      </c>
    </row>
    <row r="518" spans="1:16" s="324" customFormat="1" ht="0.65" hidden="1" customHeight="1">
      <c r="A518" s="324">
        <v>2058</v>
      </c>
      <c r="B518" s="324">
        <v>360000</v>
      </c>
      <c r="C518" s="324">
        <v>360000</v>
      </c>
      <c r="D518" s="324">
        <v>1</v>
      </c>
      <c r="G518" s="324">
        <v>2025</v>
      </c>
      <c r="H518" s="324">
        <v>4</v>
      </c>
      <c r="I518" s="324">
        <v>7</v>
      </c>
      <c r="J518" s="324">
        <v>10</v>
      </c>
      <c r="K518" s="324">
        <v>13</v>
      </c>
      <c r="L518" s="324">
        <v>16</v>
      </c>
      <c r="M518" s="324">
        <v>19</v>
      </c>
      <c r="N518" s="324">
        <v>22</v>
      </c>
      <c r="O518" s="324">
        <v>37</v>
      </c>
      <c r="P518" s="324">
        <v>44</v>
      </c>
    </row>
    <row r="519" spans="1:16" s="324" customFormat="1" ht="0.65" hidden="1" customHeight="1">
      <c r="A519" s="324">
        <v>2059</v>
      </c>
      <c r="B519" s="324">
        <v>240000</v>
      </c>
      <c r="C519" s="324">
        <v>240000</v>
      </c>
      <c r="D519" s="324">
        <v>1</v>
      </c>
    </row>
    <row r="520" spans="1:16" s="324" customFormat="1" ht="0.65" hidden="1" customHeight="1">
      <c r="A520" s="324">
        <v>2060</v>
      </c>
      <c r="G520" s="324" t="s">
        <v>0</v>
      </c>
      <c r="H520" s="324" t="s">
        <v>76</v>
      </c>
      <c r="I520" s="324" t="s">
        <v>77</v>
      </c>
      <c r="J520" s="324" t="s">
        <v>78</v>
      </c>
      <c r="K520" s="324" t="s">
        <v>79</v>
      </c>
    </row>
    <row r="521" spans="1:16" s="324" customFormat="1" ht="0.65" hidden="1" customHeight="1">
      <c r="A521" s="324">
        <v>2061</v>
      </c>
      <c r="B521" s="324">
        <v>30</v>
      </c>
      <c r="C521" s="324">
        <v>30</v>
      </c>
      <c r="D521" s="324">
        <v>1</v>
      </c>
      <c r="G521" s="324">
        <v>2022</v>
      </c>
      <c r="M521" s="324" t="s">
        <v>490</v>
      </c>
      <c r="N521" s="324">
        <v>1</v>
      </c>
      <c r="O521" s="324" t="s">
        <v>124</v>
      </c>
      <c r="P521" s="324">
        <v>45</v>
      </c>
    </row>
    <row r="522" spans="1:16" s="324" customFormat="1" ht="0.65" hidden="1" customHeight="1">
      <c r="A522" s="324">
        <v>2062</v>
      </c>
      <c r="B522" s="324">
        <v>60</v>
      </c>
      <c r="C522" s="324">
        <v>60</v>
      </c>
      <c r="D522" s="324">
        <v>1</v>
      </c>
      <c r="G522" s="324">
        <v>2023</v>
      </c>
      <c r="H522" s="324">
        <v>23</v>
      </c>
      <c r="I522" s="324">
        <v>26</v>
      </c>
      <c r="J522" s="324">
        <v>29</v>
      </c>
      <c r="K522" s="324">
        <v>32</v>
      </c>
      <c r="M522" s="324" t="s">
        <v>491</v>
      </c>
      <c r="N522" s="324">
        <v>38</v>
      </c>
      <c r="O522" s="324" t="s">
        <v>125</v>
      </c>
      <c r="P522" s="324">
        <v>46</v>
      </c>
    </row>
    <row r="523" spans="1:16" s="324" customFormat="1" ht="0.65" hidden="1" customHeight="1">
      <c r="A523" s="324">
        <v>2063</v>
      </c>
      <c r="G523" s="324">
        <v>2024</v>
      </c>
      <c r="H523" s="324">
        <v>24</v>
      </c>
      <c r="I523" s="324">
        <v>27</v>
      </c>
      <c r="J523" s="324">
        <v>30</v>
      </c>
      <c r="K523" s="324">
        <v>33</v>
      </c>
      <c r="M523" s="324" t="s">
        <v>493</v>
      </c>
      <c r="N523" s="324">
        <v>39</v>
      </c>
      <c r="O523" s="324" t="s">
        <v>126</v>
      </c>
      <c r="P523" s="324">
        <v>47</v>
      </c>
    </row>
    <row r="524" spans="1:16" s="324" customFormat="1" ht="0.65" hidden="1" customHeight="1">
      <c r="A524" s="324">
        <v>2064</v>
      </c>
      <c r="G524" s="324">
        <v>2025</v>
      </c>
      <c r="H524" s="324">
        <v>25</v>
      </c>
      <c r="I524" s="324">
        <v>28</v>
      </c>
      <c r="J524" s="324">
        <v>31</v>
      </c>
      <c r="K524" s="324">
        <v>34</v>
      </c>
      <c r="M524" s="324" t="s">
        <v>494</v>
      </c>
      <c r="N524" s="324">
        <v>40</v>
      </c>
    </row>
    <row r="525" spans="1:16" s="324" customFormat="1" ht="0.65" hidden="1" customHeight="1">
      <c r="A525" s="324">
        <v>2065</v>
      </c>
      <c r="B525" s="324">
        <v>45000</v>
      </c>
      <c r="C525" s="324">
        <v>45000</v>
      </c>
      <c r="D525" s="324">
        <v>1</v>
      </c>
    </row>
    <row r="526" spans="1:16" s="324" customFormat="1" ht="0.65" hidden="1" customHeight="1">
      <c r="A526" s="324">
        <v>2066</v>
      </c>
      <c r="B526" s="324">
        <v>90000</v>
      </c>
      <c r="C526" s="324">
        <v>90000</v>
      </c>
      <c r="D526" s="324">
        <v>1</v>
      </c>
      <c r="O526" s="324" t="s">
        <v>13</v>
      </c>
      <c r="P526" s="324">
        <v>48</v>
      </c>
    </row>
    <row r="527" spans="1:16" s="324" customFormat="1" ht="0.65" hidden="1" customHeight="1">
      <c r="A527" s="324">
        <v>2067</v>
      </c>
      <c r="B527" s="324">
        <v>3</v>
      </c>
      <c r="C527" s="324">
        <v>3</v>
      </c>
      <c r="D527" s="324">
        <v>1</v>
      </c>
      <c r="O527" s="324" t="s">
        <v>28</v>
      </c>
      <c r="P527" s="324">
        <v>49</v>
      </c>
    </row>
    <row r="528" spans="1:16" s="324" customFormat="1" ht="0.65" hidden="1" customHeight="1">
      <c r="A528" s="324">
        <v>2068</v>
      </c>
      <c r="B528" s="324">
        <v>22500</v>
      </c>
      <c r="C528" s="324">
        <v>22500</v>
      </c>
      <c r="D528" s="324">
        <v>1</v>
      </c>
      <c r="O528" s="324" t="s">
        <v>29</v>
      </c>
      <c r="P528" s="324">
        <v>50</v>
      </c>
    </row>
    <row r="529" spans="1:31" s="324" customFormat="1" ht="0.65" hidden="1" customHeight="1">
      <c r="A529" s="324">
        <v>2069</v>
      </c>
      <c r="O529" s="324" t="s">
        <v>30</v>
      </c>
      <c r="P529" s="324">
        <v>51</v>
      </c>
    </row>
    <row r="530" spans="1:31" s="324" customFormat="1" ht="0.65" hidden="1" customHeight="1">
      <c r="A530" s="324">
        <v>2070</v>
      </c>
      <c r="B530" s="324">
        <v>0.25</v>
      </c>
      <c r="C530" s="324">
        <v>0.25</v>
      </c>
      <c r="D530" s="324">
        <v>1</v>
      </c>
    </row>
    <row r="531" spans="1:31" s="324" customFormat="1" ht="0.65" hidden="1" customHeight="1">
      <c r="A531" s="324">
        <v>2071</v>
      </c>
    </row>
    <row r="532" spans="1:31" s="324" customFormat="1" ht="0.65" hidden="1" customHeight="1">
      <c r="A532" s="324">
        <v>2072</v>
      </c>
    </row>
    <row r="533" spans="1:31" s="324" customFormat="1" ht="0.65" hidden="1" customHeight="1">
      <c r="A533" s="324">
        <v>2073</v>
      </c>
      <c r="B533" s="324">
        <v>720000</v>
      </c>
      <c r="C533" s="324">
        <v>720000</v>
      </c>
      <c r="D533" s="324">
        <v>1</v>
      </c>
    </row>
    <row r="534" spans="1:31" s="324" customFormat="1" ht="0.65" hidden="1" customHeight="1">
      <c r="A534" s="324">
        <v>2074</v>
      </c>
      <c r="B534" s="324">
        <v>240000</v>
      </c>
      <c r="C534" s="324">
        <v>240000</v>
      </c>
      <c r="D534" s="324">
        <v>1</v>
      </c>
      <c r="K534" s="324" t="s">
        <v>475</v>
      </c>
      <c r="M534" s="324" t="s">
        <v>212</v>
      </c>
      <c r="N534" s="324" t="s">
        <v>213</v>
      </c>
      <c r="O534" s="324" t="s">
        <v>214</v>
      </c>
      <c r="P534" s="324" t="s">
        <v>215</v>
      </c>
      <c r="Q534" s="324" t="s">
        <v>216</v>
      </c>
      <c r="R534" s="324" t="s">
        <v>218</v>
      </c>
      <c r="S534" s="324" t="s">
        <v>219</v>
      </c>
      <c r="T534" s="324" t="s">
        <v>220</v>
      </c>
      <c r="U534" s="324" t="s">
        <v>473</v>
      </c>
      <c r="V534" s="324" t="s">
        <v>474</v>
      </c>
      <c r="X534" s="324" t="s">
        <v>223</v>
      </c>
      <c r="Y534" s="324" t="s">
        <v>224</v>
      </c>
      <c r="Z534" s="324" t="s">
        <v>225</v>
      </c>
      <c r="AA534" s="324" t="s">
        <v>226</v>
      </c>
      <c r="AB534" s="324" t="s">
        <v>227</v>
      </c>
      <c r="AC534" s="324" t="s">
        <v>228</v>
      </c>
      <c r="AD534" s="324" t="s">
        <v>229</v>
      </c>
      <c r="AE534" s="324" t="s">
        <v>230</v>
      </c>
    </row>
    <row r="535" spans="1:31" s="324" customFormat="1" ht="0.65" hidden="1" customHeight="1">
      <c r="A535" s="324">
        <v>2075</v>
      </c>
      <c r="B535" s="324">
        <v>0.02</v>
      </c>
      <c r="C535" s="324">
        <v>0.02</v>
      </c>
      <c r="D535" s="324">
        <v>1</v>
      </c>
      <c r="F535" s="324">
        <v>1</v>
      </c>
      <c r="G535" s="324">
        <v>1</v>
      </c>
      <c r="H535" s="324" t="s">
        <v>490</v>
      </c>
      <c r="I535" s="324">
        <v>543750</v>
      </c>
      <c r="J535" s="324">
        <v>543750</v>
      </c>
      <c r="K535" s="324" t="s">
        <v>970</v>
      </c>
      <c r="M535" s="324">
        <v>600000</v>
      </c>
      <c r="N535" s="324">
        <v>555000</v>
      </c>
      <c r="O535" s="324">
        <v>566250</v>
      </c>
      <c r="P535" s="324">
        <v>645000</v>
      </c>
      <c r="U535" s="324" t="s">
        <v>970</v>
      </c>
      <c r="V535" s="324" t="s">
        <v>509</v>
      </c>
      <c r="X535" s="324" t="s">
        <v>231</v>
      </c>
      <c r="Y535" s="324" t="s">
        <v>250</v>
      </c>
      <c r="Z535" s="324" t="s">
        <v>251</v>
      </c>
      <c r="AA535" s="324" t="s">
        <v>232</v>
      </c>
    </row>
    <row r="536" spans="1:31" s="324" customFormat="1" ht="0.65" hidden="1" customHeight="1">
      <c r="A536" s="324">
        <v>2076</v>
      </c>
      <c r="B536" s="324">
        <v>12000000</v>
      </c>
      <c r="C536" s="324">
        <v>12000000</v>
      </c>
      <c r="D536" s="324">
        <v>1</v>
      </c>
      <c r="F536" s="324">
        <v>1</v>
      </c>
      <c r="G536" s="324">
        <v>2</v>
      </c>
      <c r="H536" s="324" t="s">
        <v>510</v>
      </c>
      <c r="I536" s="324">
        <v>360000</v>
      </c>
      <c r="J536" s="324">
        <v>360000</v>
      </c>
      <c r="K536" s="324" t="s">
        <v>971</v>
      </c>
      <c r="M536" s="324">
        <v>330000</v>
      </c>
      <c r="N536" s="324">
        <v>30000</v>
      </c>
      <c r="U536" s="324" t="s">
        <v>971</v>
      </c>
      <c r="V536" s="324" t="s">
        <v>512</v>
      </c>
      <c r="X536" s="324" t="s">
        <v>233</v>
      </c>
    </row>
    <row r="537" spans="1:31" s="324" customFormat="1" ht="0.65" hidden="1" customHeight="1">
      <c r="A537" s="324">
        <v>2077</v>
      </c>
      <c r="B537" s="324">
        <v>4000000</v>
      </c>
      <c r="C537" s="324">
        <v>4000000</v>
      </c>
      <c r="D537" s="324">
        <v>1</v>
      </c>
      <c r="F537" s="324">
        <v>1</v>
      </c>
      <c r="G537" s="324">
        <v>3</v>
      </c>
      <c r="H537" s="324" t="s">
        <v>513</v>
      </c>
      <c r="I537" s="324">
        <v>360000</v>
      </c>
      <c r="J537" s="324">
        <v>360000</v>
      </c>
      <c r="K537" s="324" t="s">
        <v>971</v>
      </c>
      <c r="M537" s="324">
        <v>330000</v>
      </c>
      <c r="N537" s="324">
        <v>30000</v>
      </c>
      <c r="O537" s="324">
        <v>720000</v>
      </c>
      <c r="U537" s="324" t="s">
        <v>971</v>
      </c>
      <c r="V537" s="324" t="s">
        <v>514</v>
      </c>
      <c r="X537" s="324" t="s">
        <v>233</v>
      </c>
      <c r="Y537" s="324" t="s">
        <v>252</v>
      </c>
      <c r="Z537" s="324" t="s">
        <v>234</v>
      </c>
    </row>
    <row r="538" spans="1:31" s="324" customFormat="1" ht="0.65" hidden="1" customHeight="1">
      <c r="A538" s="324">
        <v>2078</v>
      </c>
      <c r="F538" s="324">
        <v>1</v>
      </c>
      <c r="G538" s="324">
        <v>4</v>
      </c>
      <c r="H538" s="324" t="s">
        <v>515</v>
      </c>
      <c r="I538" s="324">
        <v>360000</v>
      </c>
      <c r="J538" s="324">
        <v>360000</v>
      </c>
      <c r="K538" s="324" t="s">
        <v>971</v>
      </c>
      <c r="M538" s="324">
        <v>330000</v>
      </c>
      <c r="N538" s="324">
        <v>30000</v>
      </c>
      <c r="O538" s="324">
        <v>1080000</v>
      </c>
      <c r="U538" s="324" t="s">
        <v>971</v>
      </c>
      <c r="V538" s="324" t="s">
        <v>516</v>
      </c>
      <c r="X538" s="324" t="s">
        <v>233</v>
      </c>
      <c r="Y538" s="324" t="s">
        <v>252</v>
      </c>
      <c r="Z538" s="324" t="s">
        <v>235</v>
      </c>
    </row>
    <row r="539" spans="1:31" s="324" customFormat="1" ht="0.65" hidden="1" customHeight="1">
      <c r="A539" s="324">
        <v>2079</v>
      </c>
      <c r="C539" s="324" t="s">
        <v>422</v>
      </c>
      <c r="D539" s="324">
        <v>28</v>
      </c>
      <c r="F539" s="324">
        <v>1</v>
      </c>
      <c r="G539" s="324">
        <v>5</v>
      </c>
      <c r="H539" s="324" t="s">
        <v>517</v>
      </c>
      <c r="I539" s="324">
        <v>240000</v>
      </c>
      <c r="J539" s="324">
        <v>240000</v>
      </c>
      <c r="K539" s="324" t="s">
        <v>972</v>
      </c>
      <c r="M539" s="324">
        <v>200000</v>
      </c>
      <c r="N539" s="324">
        <v>40000</v>
      </c>
      <c r="U539" s="324" t="s">
        <v>972</v>
      </c>
      <c r="V539" s="324" t="s">
        <v>519</v>
      </c>
      <c r="X539" s="324" t="s">
        <v>236</v>
      </c>
      <c r="Y539" s="324" t="s">
        <v>253</v>
      </c>
    </row>
    <row r="540" spans="1:31" s="324" customFormat="1" ht="0.65" hidden="1" customHeight="1">
      <c r="A540" s="324">
        <v>2080</v>
      </c>
      <c r="C540" s="324" t="s">
        <v>423</v>
      </c>
      <c r="D540" s="324" t="s">
        <v>520</v>
      </c>
      <c r="F540" s="324">
        <v>1</v>
      </c>
      <c r="G540" s="324">
        <v>6</v>
      </c>
      <c r="H540" s="324" t="s">
        <v>521</v>
      </c>
      <c r="I540" s="324">
        <v>240000</v>
      </c>
      <c r="J540" s="324">
        <v>240000</v>
      </c>
      <c r="K540" s="324" t="s">
        <v>972</v>
      </c>
      <c r="M540" s="324">
        <v>200000</v>
      </c>
      <c r="N540" s="324">
        <v>40000</v>
      </c>
      <c r="O540" s="324">
        <v>480000</v>
      </c>
      <c r="U540" s="324" t="s">
        <v>972</v>
      </c>
      <c r="V540" s="324" t="s">
        <v>522</v>
      </c>
      <c r="X540" s="324" t="s">
        <v>236</v>
      </c>
      <c r="Y540" s="324" t="s">
        <v>253</v>
      </c>
      <c r="Z540" s="324" t="s">
        <v>237</v>
      </c>
    </row>
    <row r="541" spans="1:31" s="324" customFormat="1" ht="0.65" hidden="1" customHeight="1">
      <c r="A541" s="324">
        <v>2081</v>
      </c>
      <c r="F541" s="324">
        <v>1</v>
      </c>
      <c r="G541" s="324">
        <v>7</v>
      </c>
      <c r="H541" s="324" t="s">
        <v>523</v>
      </c>
      <c r="I541" s="324">
        <v>240000</v>
      </c>
      <c r="J541" s="324">
        <v>240000</v>
      </c>
      <c r="K541" s="324" t="s">
        <v>972</v>
      </c>
      <c r="M541" s="324">
        <v>200000</v>
      </c>
      <c r="N541" s="324">
        <v>40000</v>
      </c>
      <c r="O541" s="324">
        <v>720000</v>
      </c>
      <c r="U541" s="324" t="s">
        <v>972</v>
      </c>
      <c r="V541" s="324" t="s">
        <v>524</v>
      </c>
      <c r="X541" s="324" t="s">
        <v>236</v>
      </c>
      <c r="Y541" s="324" t="s">
        <v>253</v>
      </c>
      <c r="Z541" s="324" t="s">
        <v>238</v>
      </c>
    </row>
    <row r="542" spans="1:31" s="324" customFormat="1" ht="0.65" hidden="1" customHeight="1">
      <c r="A542" s="324">
        <v>2082</v>
      </c>
      <c r="B542" s="324">
        <v>2022</v>
      </c>
      <c r="C542" s="324">
        <v>2022</v>
      </c>
      <c r="D542" s="324">
        <v>1</v>
      </c>
      <c r="F542" s="324">
        <v>1</v>
      </c>
      <c r="G542" s="324">
        <v>8</v>
      </c>
      <c r="H542" s="324" t="s">
        <v>525</v>
      </c>
      <c r="I542" s="324">
        <v>30000</v>
      </c>
      <c r="J542" s="324">
        <v>30000</v>
      </c>
      <c r="K542" s="324" t="s">
        <v>973</v>
      </c>
      <c r="M542" s="324">
        <v>60000</v>
      </c>
      <c r="N542" s="324">
        <v>90000</v>
      </c>
      <c r="O542" s="324">
        <v>45000</v>
      </c>
      <c r="P542" s="324">
        <v>-30000</v>
      </c>
      <c r="U542" s="324" t="s">
        <v>973</v>
      </c>
      <c r="V542" s="324" t="s">
        <v>527</v>
      </c>
      <c r="X542" s="324" t="s">
        <v>239</v>
      </c>
      <c r="Y542" s="324" t="s">
        <v>240</v>
      </c>
      <c r="Z542" s="324" t="s">
        <v>241</v>
      </c>
      <c r="AA542" s="324" t="s">
        <v>242</v>
      </c>
    </row>
    <row r="543" spans="1:31" s="324" customFormat="1" ht="0.65" hidden="1" customHeight="1">
      <c r="A543" s="324">
        <v>2083</v>
      </c>
      <c r="B543" s="324">
        <v>2023</v>
      </c>
      <c r="C543" s="324">
        <v>2023</v>
      </c>
      <c r="D543" s="324">
        <v>1</v>
      </c>
      <c r="F543" s="324">
        <v>1</v>
      </c>
      <c r="G543" s="324">
        <v>9</v>
      </c>
      <c r="H543" s="324" t="s">
        <v>528</v>
      </c>
      <c r="I543" s="324">
        <v>30000</v>
      </c>
      <c r="J543" s="324">
        <v>30000</v>
      </c>
      <c r="K543" s="324" t="s">
        <v>973</v>
      </c>
      <c r="M543" s="324">
        <v>60000</v>
      </c>
      <c r="N543" s="324">
        <v>90000</v>
      </c>
      <c r="O543" s="324">
        <v>45000</v>
      </c>
      <c r="P543" s="324">
        <v>-30000</v>
      </c>
      <c r="U543" s="324" t="s">
        <v>973</v>
      </c>
      <c r="V543" s="324" t="s">
        <v>529</v>
      </c>
      <c r="X543" s="324" t="s">
        <v>239</v>
      </c>
      <c r="Y543" s="324" t="s">
        <v>240</v>
      </c>
      <c r="Z543" s="324" t="s">
        <v>241</v>
      </c>
      <c r="AA543" s="324" t="s">
        <v>242</v>
      </c>
    </row>
    <row r="544" spans="1:31" s="324" customFormat="1" ht="0.65" hidden="1" customHeight="1">
      <c r="A544" s="324">
        <v>2084</v>
      </c>
      <c r="B544" s="324">
        <v>2024</v>
      </c>
      <c r="C544" s="324">
        <v>2024</v>
      </c>
      <c r="D544" s="324">
        <v>1</v>
      </c>
      <c r="F544" s="324">
        <v>1</v>
      </c>
      <c r="G544" s="324">
        <v>10</v>
      </c>
      <c r="H544" s="324" t="s">
        <v>530</v>
      </c>
      <c r="I544" s="324">
        <v>30000</v>
      </c>
      <c r="J544" s="324">
        <v>30000</v>
      </c>
      <c r="K544" s="324" t="s">
        <v>973</v>
      </c>
      <c r="M544" s="324">
        <v>60000</v>
      </c>
      <c r="N544" s="324">
        <v>90000</v>
      </c>
      <c r="O544" s="324">
        <v>45000</v>
      </c>
      <c r="P544" s="324">
        <v>-30000</v>
      </c>
      <c r="Q544" s="324">
        <v>30000</v>
      </c>
      <c r="U544" s="324" t="s">
        <v>973</v>
      </c>
      <c r="V544" s="324" t="s">
        <v>532</v>
      </c>
      <c r="X544" s="324" t="s">
        <v>239</v>
      </c>
      <c r="Y544" s="324" t="s">
        <v>240</v>
      </c>
      <c r="Z544" s="324" t="s">
        <v>241</v>
      </c>
      <c r="AA544" s="324" t="s">
        <v>242</v>
      </c>
      <c r="AB544" s="324" t="s">
        <v>254</v>
      </c>
    </row>
    <row r="545" spans="1:26" s="324" customFormat="1" ht="0.65" hidden="1" customHeight="1">
      <c r="A545" s="324">
        <v>2085</v>
      </c>
      <c r="B545" s="324">
        <v>2025</v>
      </c>
      <c r="C545" s="324">
        <v>2025</v>
      </c>
      <c r="D545" s="324">
        <v>1</v>
      </c>
      <c r="F545" s="324">
        <v>1</v>
      </c>
      <c r="G545" s="324">
        <v>11</v>
      </c>
      <c r="H545" s="324" t="s">
        <v>533</v>
      </c>
      <c r="I545" s="324">
        <v>90000</v>
      </c>
      <c r="J545" s="324">
        <v>90000</v>
      </c>
      <c r="K545" s="324" t="s">
        <v>974</v>
      </c>
      <c r="M545" s="324">
        <v>150000</v>
      </c>
      <c r="N545" s="324">
        <v>120000</v>
      </c>
      <c r="O545" s="324">
        <v>570000</v>
      </c>
      <c r="U545" s="324" t="s">
        <v>974</v>
      </c>
      <c r="V545" s="324" t="s">
        <v>535</v>
      </c>
      <c r="X545" s="324" t="s">
        <v>243</v>
      </c>
      <c r="Y545" s="324" t="s">
        <v>255</v>
      </c>
      <c r="Z545" s="324" t="s">
        <v>341</v>
      </c>
    </row>
    <row r="546" spans="1:26" s="324" customFormat="1" ht="0.65" hidden="1" customHeight="1">
      <c r="A546" s="324">
        <v>2086</v>
      </c>
      <c r="F546" s="324">
        <v>1</v>
      </c>
      <c r="G546" s="324">
        <v>12</v>
      </c>
      <c r="H546" s="324" t="s">
        <v>536</v>
      </c>
      <c r="I546" s="324">
        <v>90000</v>
      </c>
      <c r="J546" s="324">
        <v>90000</v>
      </c>
      <c r="K546" s="324" t="s">
        <v>974</v>
      </c>
      <c r="M546" s="324">
        <v>150000</v>
      </c>
      <c r="N546" s="324">
        <v>120000</v>
      </c>
      <c r="O546" s="324">
        <v>570000</v>
      </c>
      <c r="U546" s="324" t="s">
        <v>974</v>
      </c>
      <c r="V546" s="324" t="s">
        <v>537</v>
      </c>
      <c r="X546" s="324" t="s">
        <v>243</v>
      </c>
      <c r="Y546" s="324" t="s">
        <v>255</v>
      </c>
      <c r="Z546" s="324" t="s">
        <v>341</v>
      </c>
    </row>
    <row r="547" spans="1:26" s="324" customFormat="1" ht="0.65" hidden="1" customHeight="1">
      <c r="A547" s="324">
        <v>2087</v>
      </c>
      <c r="F547" s="324">
        <v>1</v>
      </c>
      <c r="G547" s="324">
        <v>13</v>
      </c>
      <c r="H547" s="324" t="s">
        <v>538</v>
      </c>
      <c r="I547" s="324">
        <v>90000</v>
      </c>
      <c r="J547" s="324">
        <v>90000</v>
      </c>
      <c r="K547" s="324" t="s">
        <v>974</v>
      </c>
      <c r="M547" s="324">
        <v>150000</v>
      </c>
      <c r="N547" s="324">
        <v>120000</v>
      </c>
      <c r="O547" s="324">
        <v>540000</v>
      </c>
      <c r="U547" s="324" t="s">
        <v>974</v>
      </c>
      <c r="V547" s="324" t="s">
        <v>540</v>
      </c>
      <c r="X547" s="324" t="s">
        <v>243</v>
      </c>
      <c r="Y547" s="324" t="s">
        <v>255</v>
      </c>
      <c r="Z547" s="324" t="s">
        <v>341</v>
      </c>
    </row>
    <row r="548" spans="1:26" s="324" customFormat="1" ht="0.65" hidden="1" customHeight="1">
      <c r="A548" s="324">
        <v>2088</v>
      </c>
      <c r="B548" s="324">
        <v>2022</v>
      </c>
      <c r="C548" s="324">
        <v>2022</v>
      </c>
      <c r="D548" s="324">
        <v>1</v>
      </c>
      <c r="F548" s="324">
        <v>1</v>
      </c>
      <c r="G548" s="324">
        <v>14</v>
      </c>
      <c r="H548" s="324" t="s">
        <v>541</v>
      </c>
      <c r="I548" s="324">
        <v>22500</v>
      </c>
      <c r="J548" s="324">
        <v>22500</v>
      </c>
      <c r="K548" s="324" t="s">
        <v>975</v>
      </c>
      <c r="M548" s="324">
        <v>0</v>
      </c>
      <c r="N548" s="324">
        <v>27000</v>
      </c>
      <c r="O548" s="324">
        <v>67500</v>
      </c>
      <c r="U548" s="324" t="s">
        <v>975</v>
      </c>
      <c r="V548" s="324" t="s">
        <v>543</v>
      </c>
      <c r="X548" s="324" t="s">
        <v>279</v>
      </c>
      <c r="Y548" s="324" t="s">
        <v>280</v>
      </c>
      <c r="Z548" s="324" t="s">
        <v>342</v>
      </c>
    </row>
    <row r="549" spans="1:26" s="324" customFormat="1" ht="0.65" hidden="1" customHeight="1">
      <c r="A549" s="324">
        <v>2089</v>
      </c>
      <c r="B549" s="324">
        <v>2023</v>
      </c>
      <c r="C549" s="324">
        <v>2023</v>
      </c>
      <c r="D549" s="324">
        <v>1</v>
      </c>
      <c r="F549" s="324">
        <v>1</v>
      </c>
      <c r="G549" s="324">
        <v>15</v>
      </c>
      <c r="H549" s="324" t="s">
        <v>544</v>
      </c>
      <c r="I549" s="324">
        <v>22500</v>
      </c>
      <c r="J549" s="324">
        <v>22500</v>
      </c>
      <c r="K549" s="324" t="s">
        <v>975</v>
      </c>
      <c r="M549" s="324">
        <v>0</v>
      </c>
      <c r="N549" s="324">
        <v>27000</v>
      </c>
      <c r="O549" s="324">
        <v>67500</v>
      </c>
      <c r="U549" s="324" t="s">
        <v>975</v>
      </c>
      <c r="V549" s="324" t="s">
        <v>545</v>
      </c>
      <c r="X549" s="324" t="s">
        <v>279</v>
      </c>
      <c r="Y549" s="324" t="s">
        <v>280</v>
      </c>
      <c r="Z549" s="324" t="s">
        <v>342</v>
      </c>
    </row>
    <row r="550" spans="1:26" s="324" customFormat="1" ht="0.65" hidden="1" customHeight="1">
      <c r="A550" s="324">
        <v>2090</v>
      </c>
      <c r="B550" s="324">
        <v>2024</v>
      </c>
      <c r="C550" s="324">
        <v>2024</v>
      </c>
      <c r="D550" s="324">
        <v>1</v>
      </c>
      <c r="F550" s="324">
        <v>1</v>
      </c>
      <c r="G550" s="324">
        <v>16</v>
      </c>
      <c r="H550" s="324" t="s">
        <v>546</v>
      </c>
      <c r="I550" s="324">
        <v>22500</v>
      </c>
      <c r="J550" s="324">
        <v>22500</v>
      </c>
      <c r="K550" s="324" t="s">
        <v>975</v>
      </c>
      <c r="M550" s="324">
        <v>0</v>
      </c>
      <c r="N550" s="324">
        <v>27000</v>
      </c>
      <c r="O550" s="324">
        <v>45000</v>
      </c>
      <c r="U550" s="324" t="s">
        <v>975</v>
      </c>
      <c r="V550" s="324" t="s">
        <v>548</v>
      </c>
      <c r="X550" s="324" t="s">
        <v>279</v>
      </c>
      <c r="Y550" s="324" t="s">
        <v>280</v>
      </c>
      <c r="Z550" s="324" t="s">
        <v>342</v>
      </c>
    </row>
    <row r="551" spans="1:26" s="324" customFormat="1" ht="0.65" hidden="1" customHeight="1">
      <c r="A551" s="324">
        <v>2091</v>
      </c>
      <c r="B551" s="324">
        <v>2025</v>
      </c>
      <c r="C551" s="324">
        <v>2025</v>
      </c>
      <c r="D551" s="324">
        <v>1</v>
      </c>
      <c r="F551" s="324">
        <v>1</v>
      </c>
      <c r="G551" s="324">
        <v>17</v>
      </c>
      <c r="H551" s="324" t="s">
        <v>549</v>
      </c>
      <c r="I551" s="324">
        <v>67500</v>
      </c>
      <c r="J551" s="324">
        <v>67500</v>
      </c>
      <c r="K551" s="324" t="s">
        <v>976</v>
      </c>
      <c r="M551" s="324">
        <v>112500</v>
      </c>
      <c r="U551" s="324" t="s">
        <v>976</v>
      </c>
      <c r="V551" s="324" t="s">
        <v>551</v>
      </c>
      <c r="X551" s="324" t="s">
        <v>256</v>
      </c>
    </row>
    <row r="552" spans="1:26" s="324" customFormat="1" ht="0.65" hidden="1" customHeight="1">
      <c r="A552" s="324">
        <v>2092</v>
      </c>
      <c r="F552" s="324">
        <v>1</v>
      </c>
      <c r="G552" s="324">
        <v>18</v>
      </c>
      <c r="H552" s="324" t="s">
        <v>552</v>
      </c>
      <c r="I552" s="324">
        <v>67500</v>
      </c>
      <c r="J552" s="324">
        <v>67500</v>
      </c>
      <c r="K552" s="324" t="s">
        <v>976</v>
      </c>
      <c r="M552" s="324">
        <v>112500</v>
      </c>
      <c r="U552" s="324" t="s">
        <v>976</v>
      </c>
      <c r="V552" s="324" t="s">
        <v>553</v>
      </c>
      <c r="X552" s="324" t="s">
        <v>256</v>
      </c>
    </row>
    <row r="553" spans="1:26" s="324" customFormat="1" ht="0.65" hidden="1" customHeight="1">
      <c r="A553" s="324">
        <v>2093</v>
      </c>
      <c r="B553" s="324">
        <v>0</v>
      </c>
      <c r="C553" s="324">
        <v>0</v>
      </c>
      <c r="D553" s="324">
        <v>1</v>
      </c>
      <c r="F553" s="324">
        <v>1</v>
      </c>
      <c r="G553" s="324">
        <v>19</v>
      </c>
      <c r="H553" s="324" t="s">
        <v>554</v>
      </c>
      <c r="I553" s="324">
        <v>67500</v>
      </c>
      <c r="J553" s="324">
        <v>67500</v>
      </c>
      <c r="K553" s="324" t="s">
        <v>976</v>
      </c>
      <c r="M553" s="324">
        <v>112500</v>
      </c>
      <c r="U553" s="324" t="s">
        <v>976</v>
      </c>
      <c r="V553" s="324" t="s">
        <v>556</v>
      </c>
      <c r="X553" s="324" t="s">
        <v>256</v>
      </c>
    </row>
    <row r="554" spans="1:26" s="324" customFormat="1" ht="0.65" hidden="1" customHeight="1">
      <c r="A554" s="324">
        <v>2094</v>
      </c>
      <c r="B554" s="324">
        <v>0</v>
      </c>
      <c r="C554" s="324">
        <v>0</v>
      </c>
      <c r="D554" s="324">
        <v>1</v>
      </c>
      <c r="F554" s="324">
        <v>1</v>
      </c>
      <c r="G554" s="324">
        <v>20</v>
      </c>
      <c r="H554" s="324" t="s">
        <v>557</v>
      </c>
      <c r="I554" s="324">
        <v>97500</v>
      </c>
      <c r="J554" s="324">
        <v>97500</v>
      </c>
      <c r="K554" s="324" t="s">
        <v>977</v>
      </c>
      <c r="M554" s="324">
        <v>67500</v>
      </c>
      <c r="N554" s="324">
        <v>37500</v>
      </c>
      <c r="U554" s="324" t="s">
        <v>977</v>
      </c>
      <c r="V554" s="324" t="s">
        <v>559</v>
      </c>
      <c r="X554" s="324" t="s">
        <v>257</v>
      </c>
      <c r="Y554" s="324" t="s">
        <v>258</v>
      </c>
    </row>
    <row r="555" spans="1:26" s="324" customFormat="1" ht="0.65" hidden="1" customHeight="1">
      <c r="A555" s="324">
        <v>2095</v>
      </c>
      <c r="B555" s="324">
        <v>0</v>
      </c>
      <c r="C555" s="324">
        <v>0</v>
      </c>
      <c r="D555" s="324">
        <v>1</v>
      </c>
      <c r="F555" s="324">
        <v>1</v>
      </c>
      <c r="G555" s="324">
        <v>21</v>
      </c>
      <c r="H555" s="324" t="s">
        <v>560</v>
      </c>
      <c r="I555" s="324">
        <v>97500</v>
      </c>
      <c r="J555" s="324">
        <v>97500</v>
      </c>
      <c r="K555" s="324" t="s">
        <v>977</v>
      </c>
      <c r="M555" s="324">
        <v>67500</v>
      </c>
      <c r="N555" s="324">
        <v>37500</v>
      </c>
      <c r="U555" s="324" t="s">
        <v>977</v>
      </c>
      <c r="V555" s="324" t="s">
        <v>561</v>
      </c>
      <c r="X555" s="324" t="s">
        <v>257</v>
      </c>
      <c r="Y555" s="324" t="s">
        <v>258</v>
      </c>
    </row>
    <row r="556" spans="1:26" s="324" customFormat="1" ht="0.65" hidden="1" customHeight="1">
      <c r="A556" s="324">
        <v>2096</v>
      </c>
      <c r="F556" s="324">
        <v>1</v>
      </c>
      <c r="G556" s="324">
        <v>22</v>
      </c>
      <c r="H556" s="324" t="s">
        <v>562</v>
      </c>
      <c r="I556" s="324">
        <v>97500</v>
      </c>
      <c r="J556" s="324">
        <v>97500</v>
      </c>
      <c r="K556" s="324" t="s">
        <v>977</v>
      </c>
      <c r="M556" s="324">
        <v>67500</v>
      </c>
      <c r="N556" s="324">
        <v>37500</v>
      </c>
      <c r="U556" s="324" t="s">
        <v>977</v>
      </c>
      <c r="V556" s="324" t="s">
        <v>564</v>
      </c>
      <c r="X556" s="324" t="s">
        <v>257</v>
      </c>
      <c r="Y556" s="324" t="s">
        <v>258</v>
      </c>
    </row>
    <row r="557" spans="1:26" s="324" customFormat="1" ht="0.65" hidden="1" customHeight="1">
      <c r="A557" s="324">
        <v>2097</v>
      </c>
      <c r="F557" s="324">
        <v>1</v>
      </c>
      <c r="G557" s="324">
        <v>23</v>
      </c>
      <c r="H557" s="324" t="s">
        <v>565</v>
      </c>
      <c r="I557" s="324">
        <v>30000</v>
      </c>
      <c r="J557" s="324">
        <v>30000</v>
      </c>
      <c r="K557" s="324" t="s">
        <v>978</v>
      </c>
      <c r="M557" s="324">
        <v>330000</v>
      </c>
      <c r="N557" s="324">
        <v>60000</v>
      </c>
      <c r="O557" s="324">
        <v>360000</v>
      </c>
      <c r="U557" s="324" t="s">
        <v>978</v>
      </c>
      <c r="V557" s="324" t="s">
        <v>567</v>
      </c>
      <c r="X557" s="324" t="s">
        <v>259</v>
      </c>
      <c r="Y557" s="324" t="s">
        <v>260</v>
      </c>
      <c r="Z557" s="324" t="s">
        <v>343</v>
      </c>
    </row>
    <row r="558" spans="1:26" s="324" customFormat="1" ht="0.65" hidden="1" customHeight="1">
      <c r="A558" s="324">
        <v>2098</v>
      </c>
      <c r="F558" s="324">
        <v>1</v>
      </c>
      <c r="G558" s="324">
        <v>24</v>
      </c>
      <c r="H558" s="324" t="s">
        <v>568</v>
      </c>
      <c r="I558" s="324">
        <v>30000</v>
      </c>
      <c r="J558" s="324">
        <v>30000</v>
      </c>
      <c r="K558" s="324" t="s">
        <v>978</v>
      </c>
      <c r="M558" s="324">
        <v>330000</v>
      </c>
      <c r="N558" s="324">
        <v>60000</v>
      </c>
      <c r="O558" s="324">
        <v>60000</v>
      </c>
      <c r="U558" s="324" t="s">
        <v>978</v>
      </c>
      <c r="V558" s="324" t="s">
        <v>569</v>
      </c>
      <c r="X558" s="324" t="s">
        <v>259</v>
      </c>
      <c r="Y558" s="324" t="s">
        <v>260</v>
      </c>
      <c r="Z558" s="324" t="s">
        <v>261</v>
      </c>
    </row>
    <row r="559" spans="1:26" s="324" customFormat="1" ht="0.65" hidden="1" customHeight="1">
      <c r="A559" s="324">
        <v>2099</v>
      </c>
      <c r="F559" s="324">
        <v>1</v>
      </c>
      <c r="G559" s="324">
        <v>25</v>
      </c>
      <c r="H559" s="324" t="s">
        <v>570</v>
      </c>
      <c r="I559" s="324">
        <v>30000</v>
      </c>
      <c r="J559" s="324">
        <v>30000</v>
      </c>
      <c r="K559" s="324" t="s">
        <v>978</v>
      </c>
      <c r="M559" s="324">
        <v>330000</v>
      </c>
      <c r="N559" s="324">
        <v>60000</v>
      </c>
      <c r="O559" s="324">
        <v>90000</v>
      </c>
      <c r="U559" s="324" t="s">
        <v>978</v>
      </c>
      <c r="V559" s="324" t="s">
        <v>571</v>
      </c>
      <c r="X559" s="324" t="s">
        <v>259</v>
      </c>
      <c r="Y559" s="324" t="s">
        <v>260</v>
      </c>
      <c r="Z559" s="324" t="s">
        <v>261</v>
      </c>
    </row>
    <row r="560" spans="1:26" s="324" customFormat="1" ht="0.65" hidden="1" customHeight="1">
      <c r="A560" s="324">
        <v>2100</v>
      </c>
      <c r="F560" s="324">
        <v>1</v>
      </c>
      <c r="G560" s="324">
        <v>26</v>
      </c>
      <c r="H560" s="324" t="s">
        <v>572</v>
      </c>
      <c r="I560" s="324">
        <v>40000</v>
      </c>
      <c r="J560" s="324">
        <v>40000</v>
      </c>
      <c r="K560" s="324" t="s">
        <v>979</v>
      </c>
      <c r="M560" s="324">
        <v>200000</v>
      </c>
      <c r="N560" s="324">
        <v>20000</v>
      </c>
      <c r="O560" s="324">
        <v>240000</v>
      </c>
      <c r="U560" s="324" t="s">
        <v>979</v>
      </c>
      <c r="V560" s="324" t="s">
        <v>574</v>
      </c>
      <c r="X560" s="324" t="s">
        <v>262</v>
      </c>
      <c r="Y560" s="324" t="s">
        <v>263</v>
      </c>
      <c r="Z560" s="324" t="s">
        <v>344</v>
      </c>
    </row>
    <row r="561" spans="1:28" s="324" customFormat="1" ht="0.65" hidden="1" customHeight="1">
      <c r="A561" s="324">
        <v>2101</v>
      </c>
      <c r="F561" s="324">
        <v>1</v>
      </c>
      <c r="G561" s="324">
        <v>27</v>
      </c>
      <c r="H561" s="324" t="s">
        <v>575</v>
      </c>
      <c r="I561" s="324">
        <v>40000</v>
      </c>
      <c r="J561" s="324">
        <v>40000</v>
      </c>
      <c r="K561" s="324" t="s">
        <v>979</v>
      </c>
      <c r="M561" s="324">
        <v>200000</v>
      </c>
      <c r="N561" s="324">
        <v>20000</v>
      </c>
      <c r="O561" s="324">
        <v>80000</v>
      </c>
      <c r="U561" s="324" t="s">
        <v>979</v>
      </c>
      <c r="V561" s="324" t="s">
        <v>576</v>
      </c>
      <c r="X561" s="324" t="s">
        <v>262</v>
      </c>
      <c r="Y561" s="324" t="s">
        <v>263</v>
      </c>
      <c r="Z561" s="324" t="s">
        <v>264</v>
      </c>
    </row>
    <row r="562" spans="1:28" s="324" customFormat="1" ht="0.65" hidden="1" customHeight="1">
      <c r="A562" s="324">
        <v>2102</v>
      </c>
      <c r="F562" s="324">
        <v>1</v>
      </c>
      <c r="G562" s="324">
        <v>28</v>
      </c>
      <c r="H562" s="324" t="s">
        <v>577</v>
      </c>
      <c r="I562" s="324">
        <v>40000</v>
      </c>
      <c r="J562" s="324">
        <v>40000</v>
      </c>
      <c r="K562" s="324" t="s">
        <v>979</v>
      </c>
      <c r="M562" s="324">
        <v>200000</v>
      </c>
      <c r="N562" s="324">
        <v>20000</v>
      </c>
      <c r="O562" s="324">
        <v>120000</v>
      </c>
      <c r="U562" s="324" t="s">
        <v>979</v>
      </c>
      <c r="V562" s="324" t="s">
        <v>578</v>
      </c>
      <c r="X562" s="324" t="s">
        <v>262</v>
      </c>
      <c r="Y562" s="324" t="s">
        <v>263</v>
      </c>
      <c r="Z562" s="324" t="s">
        <v>264</v>
      </c>
    </row>
    <row r="563" spans="1:28" s="324" customFormat="1" ht="0.65" hidden="1" customHeight="1">
      <c r="A563" s="324">
        <v>2103</v>
      </c>
      <c r="F563" s="324">
        <v>1</v>
      </c>
      <c r="G563" s="324">
        <v>29</v>
      </c>
      <c r="H563" s="324" t="s">
        <v>579</v>
      </c>
      <c r="I563" s="324">
        <v>-10000</v>
      </c>
      <c r="J563" s="324">
        <v>-10000</v>
      </c>
      <c r="K563" s="324" t="s">
        <v>980</v>
      </c>
      <c r="M563" s="324">
        <v>70000</v>
      </c>
      <c r="N563" s="324">
        <v>0</v>
      </c>
      <c r="O563" s="324">
        <v>30000</v>
      </c>
      <c r="U563" s="324" t="s">
        <v>980</v>
      </c>
      <c r="V563" s="324" t="s">
        <v>581</v>
      </c>
      <c r="X563" s="324" t="s">
        <v>265</v>
      </c>
      <c r="Y563" s="324" t="s">
        <v>266</v>
      </c>
      <c r="Z563" s="324" t="s">
        <v>281</v>
      </c>
    </row>
    <row r="564" spans="1:28" s="324" customFormat="1" ht="0.65" hidden="1" customHeight="1">
      <c r="A564" s="324">
        <v>2104</v>
      </c>
      <c r="F564" s="324">
        <v>1</v>
      </c>
      <c r="G564" s="324">
        <v>30</v>
      </c>
      <c r="H564" s="324" t="s">
        <v>582</v>
      </c>
      <c r="I564" s="324">
        <v>-10000</v>
      </c>
      <c r="J564" s="324">
        <v>-10000</v>
      </c>
      <c r="K564" s="324" t="s">
        <v>980</v>
      </c>
      <c r="M564" s="324">
        <v>70000</v>
      </c>
      <c r="N564" s="324">
        <v>0</v>
      </c>
      <c r="O564" s="324">
        <v>30000</v>
      </c>
      <c r="U564" s="324" t="s">
        <v>980</v>
      </c>
      <c r="V564" s="324" t="s">
        <v>583</v>
      </c>
      <c r="X564" s="324" t="s">
        <v>265</v>
      </c>
      <c r="Y564" s="324" t="s">
        <v>266</v>
      </c>
      <c r="Z564" s="324" t="s">
        <v>281</v>
      </c>
    </row>
    <row r="565" spans="1:28" s="324" customFormat="1" ht="0.65" hidden="1" customHeight="1">
      <c r="A565" s="324">
        <v>2105</v>
      </c>
      <c r="F565" s="324">
        <v>1</v>
      </c>
      <c r="G565" s="324">
        <v>31</v>
      </c>
      <c r="H565" s="324" t="s">
        <v>584</v>
      </c>
      <c r="I565" s="324">
        <v>-10000</v>
      </c>
      <c r="J565" s="324">
        <v>-10000</v>
      </c>
      <c r="K565" s="324" t="s">
        <v>980</v>
      </c>
      <c r="M565" s="324">
        <v>70000</v>
      </c>
      <c r="N565" s="324">
        <v>0</v>
      </c>
      <c r="O565" s="324">
        <v>30000</v>
      </c>
      <c r="U565" s="324" t="s">
        <v>980</v>
      </c>
      <c r="V565" s="324" t="s">
        <v>585</v>
      </c>
      <c r="X565" s="324" t="s">
        <v>265</v>
      </c>
      <c r="Y565" s="324" t="s">
        <v>266</v>
      </c>
      <c r="Z565" s="324" t="s">
        <v>281</v>
      </c>
    </row>
    <row r="566" spans="1:28" s="324" customFormat="1" ht="0.65" hidden="1" customHeight="1">
      <c r="A566" s="324">
        <v>2106</v>
      </c>
      <c r="F566" s="324">
        <v>1</v>
      </c>
      <c r="G566" s="324">
        <v>32</v>
      </c>
      <c r="H566" s="324" t="s">
        <v>586</v>
      </c>
      <c r="I566" s="324">
        <v>-10000</v>
      </c>
      <c r="J566" s="324">
        <v>-10000</v>
      </c>
      <c r="K566" s="324" t="s">
        <v>981</v>
      </c>
      <c r="U566" s="324" t="s">
        <v>981</v>
      </c>
      <c r="V566" s="324" t="s">
        <v>588</v>
      </c>
    </row>
    <row r="567" spans="1:28" s="324" customFormat="1" ht="0.65" hidden="1" customHeight="1">
      <c r="A567" s="324">
        <v>2107</v>
      </c>
      <c r="F567" s="324">
        <v>1</v>
      </c>
      <c r="G567" s="324">
        <v>33</v>
      </c>
      <c r="H567" s="324" t="s">
        <v>589</v>
      </c>
      <c r="I567" s="324">
        <v>0</v>
      </c>
      <c r="J567" s="324">
        <v>0</v>
      </c>
      <c r="K567" s="324" t="s">
        <v>968</v>
      </c>
      <c r="M567" s="324">
        <v>-10000</v>
      </c>
      <c r="N567" s="324">
        <v>-20000</v>
      </c>
      <c r="U567" s="324" t="s">
        <v>968</v>
      </c>
      <c r="V567" s="324" t="s">
        <v>507</v>
      </c>
      <c r="X567" s="324" t="s">
        <v>267</v>
      </c>
      <c r="Y567" s="324" t="s">
        <v>268</v>
      </c>
    </row>
    <row r="568" spans="1:28" s="324" customFormat="1" ht="0.65" hidden="1" customHeight="1">
      <c r="A568" s="324">
        <v>2108</v>
      </c>
      <c r="F568" s="324">
        <v>1</v>
      </c>
      <c r="G568" s="324">
        <v>34</v>
      </c>
      <c r="H568" s="324" t="s">
        <v>590</v>
      </c>
      <c r="I568" s="324">
        <v>0</v>
      </c>
      <c r="J568" s="324">
        <v>0</v>
      </c>
      <c r="K568" s="324" t="s">
        <v>968</v>
      </c>
      <c r="M568" s="324">
        <v>-10000</v>
      </c>
      <c r="N568" s="324">
        <v>-20000</v>
      </c>
      <c r="U568" s="324" t="s">
        <v>968</v>
      </c>
      <c r="V568" s="324" t="s">
        <v>591</v>
      </c>
      <c r="X568" s="324" t="s">
        <v>267</v>
      </c>
      <c r="Y568" s="324" t="s">
        <v>268</v>
      </c>
    </row>
    <row r="569" spans="1:28" s="324" customFormat="1" ht="0.65" hidden="1" customHeight="1">
      <c r="A569" s="324">
        <v>2109</v>
      </c>
      <c r="F569" s="324">
        <v>1</v>
      </c>
      <c r="G569" s="324">
        <v>35</v>
      </c>
      <c r="H569" s="324" t="s">
        <v>592</v>
      </c>
      <c r="I569" s="324">
        <v>107500</v>
      </c>
      <c r="J569" s="324">
        <v>107500</v>
      </c>
      <c r="K569" s="324" t="s">
        <v>982</v>
      </c>
      <c r="M569" s="324">
        <v>87500</v>
      </c>
      <c r="N569" s="324">
        <v>97500</v>
      </c>
      <c r="U569" s="324" t="s">
        <v>982</v>
      </c>
      <c r="V569" s="324" t="s">
        <v>594</v>
      </c>
      <c r="X569" s="324" t="s">
        <v>269</v>
      </c>
      <c r="Y569" s="324" t="s">
        <v>282</v>
      </c>
    </row>
    <row r="570" spans="1:28" s="324" customFormat="1" ht="0.65" hidden="1" customHeight="1">
      <c r="A570" s="324">
        <v>2110</v>
      </c>
      <c r="F570" s="324">
        <v>1</v>
      </c>
      <c r="G570" s="324">
        <v>36</v>
      </c>
      <c r="H570" s="324" t="s">
        <v>595</v>
      </c>
      <c r="I570" s="324">
        <v>97500</v>
      </c>
      <c r="J570" s="324">
        <v>97500</v>
      </c>
      <c r="K570" s="324" t="s">
        <v>983</v>
      </c>
      <c r="M570" s="324">
        <v>107500</v>
      </c>
      <c r="U570" s="324" t="s">
        <v>983</v>
      </c>
      <c r="V570" s="324" t="s">
        <v>597</v>
      </c>
      <c r="X570" s="324" t="s">
        <v>270</v>
      </c>
    </row>
    <row r="571" spans="1:28" s="324" customFormat="1" ht="0.65" hidden="1" customHeight="1">
      <c r="A571" s="324">
        <v>2111</v>
      </c>
      <c r="F571" s="324">
        <v>1</v>
      </c>
      <c r="G571" s="324">
        <v>37</v>
      </c>
      <c r="H571" s="324" t="s">
        <v>598</v>
      </c>
      <c r="I571" s="324">
        <v>97500</v>
      </c>
      <c r="J571" s="324">
        <v>97500</v>
      </c>
      <c r="K571" s="324" t="s">
        <v>983</v>
      </c>
      <c r="M571" s="324">
        <v>107500</v>
      </c>
      <c r="U571" s="324" t="s">
        <v>983</v>
      </c>
      <c r="V571" s="324" t="s">
        <v>600</v>
      </c>
      <c r="X571" s="324" t="s">
        <v>270</v>
      </c>
    </row>
    <row r="572" spans="1:28" s="324" customFormat="1" ht="0.65" hidden="1" customHeight="1">
      <c r="A572" s="324">
        <v>2112</v>
      </c>
      <c r="F572" s="324">
        <v>1</v>
      </c>
      <c r="G572" s="324">
        <v>38</v>
      </c>
      <c r="H572" s="324" t="s">
        <v>491</v>
      </c>
      <c r="I572" s="324">
        <v>388125</v>
      </c>
      <c r="J572" s="324">
        <v>388125</v>
      </c>
      <c r="K572" s="324" t="s">
        <v>984</v>
      </c>
      <c r="M572" s="324">
        <v>377500</v>
      </c>
      <c r="N572" s="324">
        <v>283125</v>
      </c>
      <c r="O572" s="324">
        <v>378125</v>
      </c>
      <c r="P572" s="324">
        <v>405000</v>
      </c>
      <c r="Q572" s="324">
        <v>371250</v>
      </c>
      <c r="U572" s="324" t="s">
        <v>984</v>
      </c>
      <c r="V572" s="324" t="s">
        <v>602</v>
      </c>
      <c r="X572" s="324" t="s">
        <v>271</v>
      </c>
      <c r="Y572" s="324" t="s">
        <v>272</v>
      </c>
      <c r="Z572" s="324" t="s">
        <v>273</v>
      </c>
      <c r="AA572" s="324" t="s">
        <v>283</v>
      </c>
      <c r="AB572" s="324" t="s">
        <v>345</v>
      </c>
    </row>
    <row r="573" spans="1:28" s="324" customFormat="1" ht="0.65" hidden="1" customHeight="1">
      <c r="A573" s="324">
        <v>2113</v>
      </c>
      <c r="F573" s="324">
        <v>1</v>
      </c>
      <c r="G573" s="324">
        <v>39</v>
      </c>
      <c r="H573" s="324" t="s">
        <v>493</v>
      </c>
      <c r="I573" s="324">
        <v>-10000</v>
      </c>
      <c r="J573" s="324">
        <v>-10000</v>
      </c>
      <c r="K573" s="324" t="s">
        <v>985</v>
      </c>
      <c r="M573" s="324">
        <v>0</v>
      </c>
      <c r="U573" s="324" t="s">
        <v>985</v>
      </c>
      <c r="V573" s="324" t="s">
        <v>604</v>
      </c>
      <c r="X573" s="324" t="s">
        <v>289</v>
      </c>
    </row>
    <row r="574" spans="1:28" s="324" customFormat="1" ht="0.65" hidden="1" customHeight="1">
      <c r="A574" s="324">
        <v>2114</v>
      </c>
      <c r="F574" s="324">
        <v>1</v>
      </c>
      <c r="G574" s="324">
        <v>40</v>
      </c>
      <c r="H574" s="324" t="s">
        <v>494</v>
      </c>
      <c r="I574" s="324">
        <v>378125</v>
      </c>
      <c r="J574" s="324">
        <v>378125</v>
      </c>
      <c r="K574" s="324" t="s">
        <v>986</v>
      </c>
      <c r="M574" s="324">
        <v>398125</v>
      </c>
      <c r="N574" s="324">
        <v>388125</v>
      </c>
      <c r="O574" s="324">
        <v>-10000</v>
      </c>
      <c r="U574" s="324" t="s">
        <v>986</v>
      </c>
      <c r="V574" s="324" t="s">
        <v>606</v>
      </c>
      <c r="X574" s="324" t="s">
        <v>274</v>
      </c>
      <c r="Y574" s="324" t="s">
        <v>284</v>
      </c>
      <c r="Z574" s="324" t="s">
        <v>285</v>
      </c>
    </row>
    <row r="575" spans="1:28" s="324" customFormat="1" ht="0.65" hidden="1" customHeight="1">
      <c r="A575" s="324">
        <v>2115</v>
      </c>
      <c r="F575" s="324">
        <v>1</v>
      </c>
      <c r="G575" s="324">
        <v>41</v>
      </c>
      <c r="H575" s="324" t="s">
        <v>607</v>
      </c>
      <c r="I575" s="324">
        <v>-543750</v>
      </c>
      <c r="J575" s="324">
        <v>-543750</v>
      </c>
      <c r="K575" s="324" t="s">
        <v>987</v>
      </c>
      <c r="M575" s="324">
        <v>543750</v>
      </c>
      <c r="U575" s="324" t="s">
        <v>987</v>
      </c>
      <c r="V575" s="324" t="s">
        <v>609</v>
      </c>
      <c r="X575" s="324" t="s">
        <v>275</v>
      </c>
    </row>
    <row r="576" spans="1:28" s="324" customFormat="1" ht="0.65" hidden="1" customHeight="1">
      <c r="A576" s="324">
        <v>2116</v>
      </c>
      <c r="F576" s="324">
        <v>1</v>
      </c>
      <c r="G576" s="324">
        <v>42</v>
      </c>
      <c r="H576" s="324" t="s">
        <v>610</v>
      </c>
      <c r="I576" s="324">
        <v>107500</v>
      </c>
      <c r="J576" s="324">
        <v>107500</v>
      </c>
      <c r="K576" s="324" t="s">
        <v>982</v>
      </c>
      <c r="U576" s="324" t="s">
        <v>982</v>
      </c>
      <c r="V576" s="324" t="s">
        <v>594</v>
      </c>
    </row>
    <row r="577" spans="1:28" s="324" customFormat="1" ht="0.65" hidden="1" customHeight="1">
      <c r="A577" s="324">
        <v>2117</v>
      </c>
      <c r="F577" s="324">
        <v>1</v>
      </c>
      <c r="G577" s="324">
        <v>43</v>
      </c>
      <c r="H577" s="324" t="s">
        <v>611</v>
      </c>
      <c r="I577" s="324">
        <v>97500</v>
      </c>
      <c r="J577" s="324">
        <v>97500</v>
      </c>
      <c r="K577" s="324" t="s">
        <v>983</v>
      </c>
      <c r="U577" s="324" t="s">
        <v>983</v>
      </c>
      <c r="V577" s="324" t="s">
        <v>597</v>
      </c>
    </row>
    <row r="578" spans="1:28" s="324" customFormat="1" ht="0.65" hidden="1" customHeight="1">
      <c r="A578" s="324">
        <v>2118</v>
      </c>
      <c r="F578" s="324">
        <v>1</v>
      </c>
      <c r="G578" s="324">
        <v>44</v>
      </c>
      <c r="H578" s="324" t="s">
        <v>612</v>
      </c>
      <c r="I578" s="324">
        <v>475625</v>
      </c>
      <c r="J578" s="324">
        <v>475625</v>
      </c>
      <c r="K578" s="324" t="s">
        <v>988</v>
      </c>
      <c r="M578" s="324">
        <v>97500</v>
      </c>
      <c r="N578" s="324">
        <v>-280625</v>
      </c>
      <c r="U578" s="324" t="s">
        <v>988</v>
      </c>
      <c r="V578" s="324" t="s">
        <v>614</v>
      </c>
      <c r="X578" s="324" t="s">
        <v>276</v>
      </c>
      <c r="Y578" s="324" t="s">
        <v>346</v>
      </c>
    </row>
    <row r="579" spans="1:28" s="324" customFormat="1" ht="0.65" hidden="1" customHeight="1">
      <c r="A579" s="324">
        <v>2119</v>
      </c>
      <c r="F579" s="324">
        <v>1</v>
      </c>
      <c r="G579" s="324">
        <v>45</v>
      </c>
      <c r="H579" s="324" t="s">
        <v>414</v>
      </c>
      <c r="I579" s="324">
        <v>4.4999999999999998E-2</v>
      </c>
      <c r="J579" s="324">
        <v>4.4999999999999998E-2</v>
      </c>
      <c r="K579" s="324" t="s">
        <v>989</v>
      </c>
      <c r="M579" s="324">
        <v>0.06</v>
      </c>
      <c r="N579" s="324">
        <v>720000</v>
      </c>
      <c r="O579" s="324">
        <v>1.4999999999999999E-2</v>
      </c>
      <c r="P579" s="324">
        <v>7.4999999999999997E-2</v>
      </c>
      <c r="U579" s="324" t="s">
        <v>989</v>
      </c>
      <c r="V579" s="324" t="s">
        <v>616</v>
      </c>
      <c r="X579" s="324" t="s">
        <v>277</v>
      </c>
      <c r="Y579" s="324" t="s">
        <v>347</v>
      </c>
      <c r="Z579" s="324" t="s">
        <v>348</v>
      </c>
      <c r="AA579" s="324" t="s">
        <v>349</v>
      </c>
    </row>
    <row r="580" spans="1:28" s="324" customFormat="1" ht="0.65" hidden="1" customHeight="1">
      <c r="A580" s="324">
        <v>2120</v>
      </c>
      <c r="F580" s="324">
        <v>1</v>
      </c>
      <c r="G580" s="324">
        <v>46</v>
      </c>
      <c r="H580" s="324" t="s">
        <v>415</v>
      </c>
      <c r="I580" s="324">
        <v>0.08</v>
      </c>
      <c r="J580" s="324">
        <v>0.08</v>
      </c>
      <c r="K580" s="324" t="s">
        <v>990</v>
      </c>
      <c r="M580" s="324">
        <v>0.06</v>
      </c>
      <c r="N580" s="324">
        <v>240000</v>
      </c>
      <c r="O580" s="324">
        <v>3.9999999999999994E-2</v>
      </c>
      <c r="U580" s="324" t="s">
        <v>990</v>
      </c>
      <c r="V580" s="324" t="s">
        <v>618</v>
      </c>
      <c r="X580" s="324" t="s">
        <v>278</v>
      </c>
      <c r="Y580" s="324" t="s">
        <v>350</v>
      </c>
      <c r="Z580" s="324" t="s">
        <v>351</v>
      </c>
    </row>
    <row r="581" spans="1:28" s="324" customFormat="1" ht="0.65" hidden="1" customHeight="1">
      <c r="A581" s="324">
        <v>2121</v>
      </c>
      <c r="F581" s="324">
        <v>1</v>
      </c>
      <c r="G581" s="324">
        <v>47</v>
      </c>
      <c r="H581" s="324" t="s">
        <v>416</v>
      </c>
      <c r="I581" s="324">
        <v>5.3750000000000006E-2</v>
      </c>
      <c r="J581" s="324">
        <v>5.3749999999999999E-2</v>
      </c>
      <c r="K581" s="324" t="s">
        <v>991</v>
      </c>
      <c r="U581" s="324" t="s">
        <v>991</v>
      </c>
      <c r="V581" s="324" t="s">
        <v>620</v>
      </c>
    </row>
    <row r="582" spans="1:28" s="324" customFormat="1" ht="0.65" hidden="1" customHeight="1">
      <c r="A582" s="324">
        <v>2122</v>
      </c>
      <c r="F582" s="324">
        <v>1</v>
      </c>
      <c r="G582" s="324">
        <v>48</v>
      </c>
      <c r="H582" s="324" t="s">
        <v>13</v>
      </c>
      <c r="I582" s="324">
        <v>52565.582461407641</v>
      </c>
      <c r="J582" s="324">
        <v>52565.582461407641</v>
      </c>
      <c r="K582" s="324" t="s">
        <v>992</v>
      </c>
      <c r="M582" s="324">
        <v>65193.055946389912</v>
      </c>
      <c r="N582" s="324">
        <v>16944.031651679077</v>
      </c>
      <c r="O582" s="324">
        <v>49884.301268239753</v>
      </c>
      <c r="P582" s="324">
        <v>596315.58246140764</v>
      </c>
      <c r="Q582" s="324">
        <v>1140065.5824614076</v>
      </c>
      <c r="U582" s="324" t="s">
        <v>992</v>
      </c>
      <c r="V582" s="324" t="s">
        <v>622</v>
      </c>
      <c r="X582" s="324" t="s">
        <v>286</v>
      </c>
      <c r="Y582" s="324" t="s">
        <v>287</v>
      </c>
      <c r="Z582" s="324" t="s">
        <v>288</v>
      </c>
      <c r="AA582" s="324" t="s">
        <v>352</v>
      </c>
      <c r="AB582" s="324" t="s">
        <v>353</v>
      </c>
    </row>
    <row r="583" spans="1:28" s="324" customFormat="1" ht="0.65" hidden="1" customHeight="1">
      <c r="A583" s="324">
        <v>2123</v>
      </c>
      <c r="F583" s="324">
        <v>1</v>
      </c>
      <c r="G583" s="324">
        <v>49</v>
      </c>
      <c r="H583" s="324" t="s">
        <v>28</v>
      </c>
      <c r="I583" s="324">
        <v>9.3380333972086005E-2</v>
      </c>
      <c r="J583" s="324">
        <v>9.3380333972086005E-2</v>
      </c>
      <c r="K583" s="324" t="s">
        <v>993</v>
      </c>
      <c r="U583" s="324" t="s">
        <v>993</v>
      </c>
      <c r="V583" s="324" t="s">
        <v>624</v>
      </c>
    </row>
    <row r="584" spans="1:28" s="324" customFormat="1" ht="0.65" hidden="1" customHeight="1">
      <c r="A584" s="324">
        <v>2124</v>
      </c>
      <c r="M584" s="324">
        <v>1</v>
      </c>
      <c r="N584" s="324">
        <v>2</v>
      </c>
      <c r="O584" s="324">
        <v>3</v>
      </c>
      <c r="P584" s="324">
        <v>4</v>
      </c>
      <c r="Q584" s="324">
        <v>5</v>
      </c>
      <c r="R584" s="324">
        <v>6</v>
      </c>
      <c r="S584" s="324">
        <v>7</v>
      </c>
      <c r="T584" s="324">
        <v>8</v>
      </c>
      <c r="U584" s="324">
        <v>9</v>
      </c>
      <c r="V584" s="324">
        <v>10</v>
      </c>
    </row>
    <row r="585" spans="1:28" s="324" customFormat="1" ht="0.65" hidden="1" customHeight="1">
      <c r="A585" s="324">
        <v>2125</v>
      </c>
    </row>
    <row r="586" spans="1:28" s="324" customFormat="1" ht="0.65" hidden="1" customHeight="1">
      <c r="A586" s="324">
        <v>2126</v>
      </c>
    </row>
    <row r="587" spans="1:28" s="324" customFormat="1" ht="0.65" hidden="1" customHeight="1">
      <c r="A587" s="324">
        <v>2127</v>
      </c>
      <c r="K587" s="324" t="s">
        <v>211</v>
      </c>
    </row>
    <row r="588" spans="1:28" s="324" customFormat="1" ht="0.65" hidden="1" customHeight="1">
      <c r="A588" s="324">
        <v>2128</v>
      </c>
    </row>
    <row r="589" spans="1:28" s="324" customFormat="1" ht="0.65" hidden="1" customHeight="1">
      <c r="A589" s="324">
        <v>2129</v>
      </c>
    </row>
    <row r="590" spans="1:28" s="324" customFormat="1" ht="0.65" hidden="1" customHeight="1">
      <c r="A590" s="324">
        <v>2130</v>
      </c>
    </row>
    <row r="591" spans="1:28" s="324" customFormat="1" ht="0.65" hidden="1" customHeight="1">
      <c r="A591" s="324">
        <v>2131</v>
      </c>
    </row>
    <row r="592" spans="1:28" s="324" customFormat="1" ht="0.65" hidden="1" customHeight="1">
      <c r="A592" s="324">
        <v>2132</v>
      </c>
    </row>
    <row r="593" spans="1:32" s="324" customFormat="1" ht="0.65" hidden="1" customHeight="1">
      <c r="A593" s="324">
        <v>2133</v>
      </c>
    </row>
    <row r="594" spans="1:32" s="324" customFormat="1" ht="0.65" hidden="1" customHeight="1">
      <c r="A594" s="324">
        <v>2134</v>
      </c>
    </row>
    <row r="595" spans="1:32" s="324" customFormat="1" ht="0.65" hidden="1" customHeight="1">
      <c r="A595" s="324">
        <v>2135</v>
      </c>
    </row>
    <row r="596" spans="1:32" s="324" customFormat="1" ht="0.65" hidden="1" customHeight="1">
      <c r="A596" s="324">
        <v>2136</v>
      </c>
    </row>
    <row r="597" spans="1:32" s="324" customFormat="1" ht="0.65" hidden="1" customHeight="1">
      <c r="A597" s="324">
        <v>2137</v>
      </c>
    </row>
    <row r="598" spans="1:32" s="324" customFormat="1" ht="0.65" hidden="1" customHeight="1">
      <c r="A598" s="324">
        <v>2138</v>
      </c>
    </row>
    <row r="599" spans="1:32" s="324" customFormat="1" ht="0.65" hidden="1" customHeight="1">
      <c r="A599" s="324">
        <v>2139</v>
      </c>
    </row>
    <row r="600" spans="1:32" s="324" customFormat="1" ht="0.65" hidden="1" customHeight="1">
      <c r="A600" s="324">
        <v>2140</v>
      </c>
    </row>
    <row r="601" spans="1:32" s="324" customFormat="1" ht="0.65" hidden="1" customHeight="1">
      <c r="A601" s="324">
        <v>2141</v>
      </c>
    </row>
    <row r="602" spans="1:32" s="324" customFormat="1" ht="0.65" hidden="1" customHeight="1">
      <c r="A602" s="324">
        <v>2142</v>
      </c>
    </row>
    <row r="603" spans="1:32" s="324" customFormat="1" ht="0.65" hidden="1" customHeight="1">
      <c r="A603" s="324">
        <v>2143</v>
      </c>
    </row>
    <row r="604" spans="1:32" s="324" customFormat="1" ht="0.65" hidden="1" customHeight="1">
      <c r="A604" s="324">
        <v>2144</v>
      </c>
      <c r="U604" s="324" t="s">
        <v>994</v>
      </c>
    </row>
    <row r="605" spans="1:32" s="324" customFormat="1" ht="0.65" hidden="1" customHeight="1">
      <c r="A605" s="324">
        <v>2145</v>
      </c>
      <c r="G605" s="324" t="s">
        <v>0</v>
      </c>
      <c r="H605" s="324" t="s">
        <v>69</v>
      </c>
      <c r="I605" s="324" t="s">
        <v>70</v>
      </c>
      <c r="J605" s="324" t="s">
        <v>71</v>
      </c>
      <c r="K605" s="324" t="s">
        <v>72</v>
      </c>
      <c r="L605" s="324" t="s">
        <v>73</v>
      </c>
      <c r="M605" s="324" t="s">
        <v>74</v>
      </c>
      <c r="N605" s="324" t="s">
        <v>75</v>
      </c>
      <c r="O605" s="324" t="s">
        <v>80</v>
      </c>
      <c r="P605" s="324" t="s">
        <v>1</v>
      </c>
      <c r="V605" s="324" t="s">
        <v>182</v>
      </c>
      <c r="W605" s="324" t="s">
        <v>183</v>
      </c>
      <c r="X605" s="324" t="s">
        <v>184</v>
      </c>
      <c r="Y605" s="324" t="s">
        <v>185</v>
      </c>
    </row>
    <row r="606" spans="1:32" s="324" customFormat="1" ht="0.65" hidden="1" customHeight="1">
      <c r="A606" s="324">
        <v>2146</v>
      </c>
      <c r="G606" s="324">
        <v>2022</v>
      </c>
      <c r="H606" s="324">
        <v>0</v>
      </c>
      <c r="I606" s="324">
        <v>0</v>
      </c>
      <c r="J606" s="324">
        <v>0</v>
      </c>
      <c r="K606" s="324">
        <v>0</v>
      </c>
      <c r="L606" s="324">
        <v>0</v>
      </c>
      <c r="M606" s="324">
        <v>0</v>
      </c>
      <c r="N606" s="324">
        <v>0</v>
      </c>
      <c r="O606" s="324">
        <v>0</v>
      </c>
      <c r="P606" s="324">
        <v>-543750</v>
      </c>
      <c r="T606" s="324">
        <v>1</v>
      </c>
      <c r="U606" s="324" t="s">
        <v>153</v>
      </c>
      <c r="V606" s="324" t="s">
        <v>178</v>
      </c>
      <c r="W606" s="324">
        <v>51864.176924307132</v>
      </c>
      <c r="X606" s="324">
        <v>-701.40553710050881</v>
      </c>
      <c r="Y606" s="324">
        <v>-701.40553710058521</v>
      </c>
      <c r="AA606" s="324" t="s">
        <v>188</v>
      </c>
      <c r="AB606" s="324" t="s">
        <v>995</v>
      </c>
      <c r="AD606" s="324">
        <v>-543750</v>
      </c>
      <c r="AE606" s="324">
        <v>58975.441818627296</v>
      </c>
      <c r="AF606" s="324">
        <v>-543750</v>
      </c>
    </row>
    <row r="607" spans="1:32" s="324" customFormat="1" ht="0.65" hidden="1" customHeight="1">
      <c r="A607" s="324">
        <v>2147</v>
      </c>
      <c r="G607" s="324">
        <v>2023</v>
      </c>
      <c r="H607" s="324">
        <v>360000</v>
      </c>
      <c r="I607" s="324">
        <v>240000</v>
      </c>
      <c r="J607" s="324">
        <v>30000</v>
      </c>
      <c r="K607" s="324">
        <v>90000</v>
      </c>
      <c r="L607" s="324">
        <v>22500</v>
      </c>
      <c r="M607" s="324">
        <v>67500</v>
      </c>
      <c r="N607" s="324">
        <v>97500</v>
      </c>
      <c r="O607" s="324">
        <v>107500</v>
      </c>
      <c r="P607" s="324">
        <v>107500</v>
      </c>
      <c r="T607" s="324">
        <v>2</v>
      </c>
      <c r="U607" s="324" t="s">
        <v>154</v>
      </c>
      <c r="V607" s="324" t="s">
        <v>178</v>
      </c>
      <c r="W607" s="324">
        <v>5595.7228369769873</v>
      </c>
      <c r="X607" s="324">
        <v>-46969.859624430654</v>
      </c>
      <c r="Y607" s="324">
        <v>-46969.85962443061</v>
      </c>
      <c r="AA607" s="324" t="s">
        <v>197</v>
      </c>
      <c r="AB607" s="324" t="s">
        <v>996</v>
      </c>
      <c r="AD607" s="324">
        <v>107500</v>
      </c>
      <c r="AF607" s="324">
        <v>107500</v>
      </c>
    </row>
    <row r="608" spans="1:32" s="324" customFormat="1" ht="0.65" hidden="1" customHeight="1">
      <c r="A608" s="324">
        <v>2148</v>
      </c>
      <c r="G608" s="324">
        <v>2024</v>
      </c>
      <c r="H608" s="324">
        <v>360000</v>
      </c>
      <c r="I608" s="324">
        <v>240000</v>
      </c>
      <c r="J608" s="324">
        <v>30000</v>
      </c>
      <c r="K608" s="324">
        <v>90000</v>
      </c>
      <c r="L608" s="324">
        <v>22500</v>
      </c>
      <c r="M608" s="324">
        <v>67500</v>
      </c>
      <c r="N608" s="324">
        <v>97500</v>
      </c>
      <c r="O608" s="324">
        <v>97500</v>
      </c>
      <c r="P608" s="324">
        <v>97500</v>
      </c>
      <c r="T608" s="324">
        <v>3</v>
      </c>
      <c r="U608" s="324" t="s">
        <v>155</v>
      </c>
      <c r="V608" s="324" t="s">
        <v>178</v>
      </c>
      <c r="W608" s="324">
        <v>26926.145032529254</v>
      </c>
      <c r="X608" s="324">
        <v>-25639.437428878387</v>
      </c>
      <c r="Y608" s="324">
        <v>-25639.43742887842</v>
      </c>
      <c r="AA608" s="324" t="s">
        <v>191</v>
      </c>
      <c r="AB608" s="324" t="s">
        <v>997</v>
      </c>
      <c r="AD608" s="324">
        <v>97500</v>
      </c>
      <c r="AF608" s="324">
        <v>97500</v>
      </c>
    </row>
    <row r="609" spans="1:32" s="324" customFormat="1" ht="0.65" hidden="1" customHeight="1">
      <c r="A609" s="324">
        <v>2149</v>
      </c>
      <c r="G609" s="324">
        <v>2025</v>
      </c>
      <c r="H609" s="324">
        <v>360000</v>
      </c>
      <c r="I609" s="324">
        <v>240000</v>
      </c>
      <c r="J609" s="324">
        <v>30000</v>
      </c>
      <c r="K609" s="324">
        <v>90000</v>
      </c>
      <c r="L609" s="324">
        <v>22500</v>
      </c>
      <c r="M609" s="324">
        <v>67500</v>
      </c>
      <c r="N609" s="324">
        <v>97500</v>
      </c>
      <c r="O609" s="324">
        <v>97500</v>
      </c>
      <c r="P609" s="324">
        <v>475625</v>
      </c>
      <c r="T609" s="324">
        <v>4</v>
      </c>
      <c r="U609" s="324" t="s">
        <v>156</v>
      </c>
      <c r="V609" s="324" t="s">
        <v>179</v>
      </c>
      <c r="W609" s="324">
        <v>55940.582461407641</v>
      </c>
      <c r="X609" s="324">
        <v>3375</v>
      </c>
      <c r="Y609" s="324">
        <v>3375.0000000000055</v>
      </c>
      <c r="AA609" s="324" t="s">
        <v>198</v>
      </c>
      <c r="AB609" s="324" t="s">
        <v>998</v>
      </c>
      <c r="AD609" s="324">
        <v>483125</v>
      </c>
      <c r="AF609" s="324">
        <v>483125</v>
      </c>
    </row>
    <row r="610" spans="1:32" s="324" customFormat="1" ht="0.65" hidden="1" customHeight="1">
      <c r="A610" s="324">
        <v>2150</v>
      </c>
      <c r="T610" s="324">
        <v>5</v>
      </c>
      <c r="U610" s="324" t="s">
        <v>157</v>
      </c>
      <c r="V610" s="324" t="s">
        <v>178</v>
      </c>
      <c r="W610" s="324">
        <v>52039.528308582143</v>
      </c>
      <c r="X610" s="324">
        <v>-526.05415282549802</v>
      </c>
      <c r="Y610" s="324">
        <v>-526.05415282543981</v>
      </c>
      <c r="AA610" s="324" t="s">
        <v>192</v>
      </c>
      <c r="AB610" s="324" t="s">
        <v>999</v>
      </c>
      <c r="AD610" s="324">
        <v>5.3749999999999999E-2</v>
      </c>
      <c r="AF610" s="324">
        <v>5.3749999999999999E-2</v>
      </c>
    </row>
    <row r="611" spans="1:32" s="324" customFormat="1" ht="0.65" hidden="1" customHeight="1">
      <c r="A611" s="324">
        <v>2151</v>
      </c>
      <c r="G611" s="324" t="s">
        <v>0</v>
      </c>
      <c r="H611" s="324" t="s">
        <v>76</v>
      </c>
      <c r="I611" s="324" t="s">
        <v>77</v>
      </c>
      <c r="J611" s="324" t="s">
        <v>78</v>
      </c>
      <c r="K611" s="324" t="s">
        <v>79</v>
      </c>
      <c r="T611" s="324">
        <v>6</v>
      </c>
      <c r="U611" s="324" t="s">
        <v>158</v>
      </c>
      <c r="V611" s="324" t="s">
        <v>179</v>
      </c>
      <c r="W611" s="324">
        <v>52787.413823676645</v>
      </c>
      <c r="X611" s="324">
        <v>221.83136226900388</v>
      </c>
      <c r="Y611" s="324">
        <v>221.83136226903116</v>
      </c>
      <c r="AA611" s="324" t="s">
        <v>193</v>
      </c>
      <c r="AB611" s="324" t="s">
        <v>1000</v>
      </c>
      <c r="AD611" s="324">
        <v>58975.441818627296</v>
      </c>
      <c r="AF611" s="324">
        <v>58975.441818627296</v>
      </c>
    </row>
    <row r="612" spans="1:32" s="324" customFormat="1" ht="0.65" hidden="1" customHeight="1">
      <c r="A612" s="324">
        <v>2152</v>
      </c>
      <c r="G612" s="324">
        <v>2022</v>
      </c>
      <c r="H612" s="324">
        <v>0</v>
      </c>
      <c r="I612" s="324">
        <v>0</v>
      </c>
      <c r="J612" s="324">
        <v>0</v>
      </c>
      <c r="K612" s="324">
        <v>0</v>
      </c>
      <c r="M612" s="324" t="s">
        <v>490</v>
      </c>
      <c r="N612" s="324">
        <v>543750</v>
      </c>
      <c r="O612" s="324" t="s">
        <v>124</v>
      </c>
      <c r="P612" s="324">
        <v>4.4999999999999998E-2</v>
      </c>
      <c r="T612" s="324">
        <v>7</v>
      </c>
      <c r="U612" s="324" t="s">
        <v>159</v>
      </c>
      <c r="V612" s="324" t="s">
        <v>178</v>
      </c>
      <c r="W612" s="324">
        <v>49190.582461407641</v>
      </c>
      <c r="X612" s="324">
        <v>-3375</v>
      </c>
      <c r="Y612" s="324">
        <v>-3375</v>
      </c>
      <c r="AA612" s="324" t="s">
        <v>194</v>
      </c>
      <c r="AB612" s="324" t="s">
        <v>1001</v>
      </c>
      <c r="AF612" s="324">
        <v>58975.441818627296</v>
      </c>
    </row>
    <row r="613" spans="1:32" s="324" customFormat="1" ht="0.65" hidden="1" customHeight="1">
      <c r="A613" s="324">
        <v>2153</v>
      </c>
      <c r="G613" s="324">
        <v>2023</v>
      </c>
      <c r="H613" s="324">
        <v>30000</v>
      </c>
      <c r="I613" s="324">
        <v>40000</v>
      </c>
      <c r="J613" s="324">
        <v>-10000</v>
      </c>
      <c r="K613" s="324">
        <v>-10000</v>
      </c>
      <c r="M613" s="324" t="s">
        <v>491</v>
      </c>
      <c r="N613" s="324">
        <v>388125</v>
      </c>
      <c r="O613" s="324" t="s">
        <v>125</v>
      </c>
      <c r="P613" s="324">
        <v>0.08</v>
      </c>
      <c r="T613" s="324">
        <v>8</v>
      </c>
      <c r="U613" s="324" t="s">
        <v>160</v>
      </c>
      <c r="V613" s="324" t="s">
        <v>178</v>
      </c>
      <c r="W613" s="324">
        <v>51123.36410603323</v>
      </c>
      <c r="X613" s="324">
        <v>-1442.2183553744107</v>
      </c>
      <c r="Y613" s="324">
        <v>-1442.2183553744135</v>
      </c>
      <c r="AA613" s="324" t="s">
        <v>195</v>
      </c>
      <c r="AB613" s="324" t="s">
        <v>1002</v>
      </c>
    </row>
    <row r="614" spans="1:32" s="324" customFormat="1" ht="0.65" hidden="1" customHeight="1">
      <c r="A614" s="324">
        <v>2154</v>
      </c>
      <c r="G614" s="324">
        <v>2024</v>
      </c>
      <c r="H614" s="324">
        <v>30000</v>
      </c>
      <c r="I614" s="324">
        <v>40000</v>
      </c>
      <c r="J614" s="324">
        <v>-10000</v>
      </c>
      <c r="K614" s="324">
        <v>0</v>
      </c>
      <c r="M614" s="324" t="s">
        <v>493</v>
      </c>
      <c r="N614" s="324">
        <v>-10000</v>
      </c>
      <c r="O614" s="324" t="s">
        <v>126</v>
      </c>
      <c r="P614" s="324">
        <v>5.3750000000000006E-2</v>
      </c>
      <c r="T614" s="324">
        <v>9</v>
      </c>
      <c r="U614" s="324" t="s">
        <v>161</v>
      </c>
      <c r="V614" s="324" t="s">
        <v>179</v>
      </c>
      <c r="W614" s="324">
        <v>125296.62207364244</v>
      </c>
      <c r="X614" s="324">
        <v>72731.039612234803</v>
      </c>
      <c r="Y614" s="324">
        <v>72731.03961223489</v>
      </c>
      <c r="AA614" s="324" t="s">
        <v>199</v>
      </c>
      <c r="AB614" s="324" t="s">
        <v>1003</v>
      </c>
      <c r="AD614" s="324">
        <v>-543750</v>
      </c>
    </row>
    <row r="615" spans="1:32" s="324" customFormat="1" ht="0.65" hidden="1" customHeight="1">
      <c r="A615" s="324">
        <v>2155</v>
      </c>
      <c r="G615" s="324">
        <v>2025</v>
      </c>
      <c r="H615" s="324">
        <v>30000</v>
      </c>
      <c r="I615" s="324">
        <v>40000</v>
      </c>
      <c r="J615" s="324">
        <v>-10000</v>
      </c>
      <c r="K615" s="324">
        <v>0</v>
      </c>
      <c r="M615" s="324" t="s">
        <v>494</v>
      </c>
      <c r="N615" s="324">
        <v>378125</v>
      </c>
      <c r="T615" s="324">
        <v>10</v>
      </c>
      <c r="U615" s="324" t="s">
        <v>162</v>
      </c>
      <c r="V615" s="324" t="s">
        <v>178</v>
      </c>
      <c r="W615" s="324">
        <v>49735.269000606379</v>
      </c>
      <c r="X615" s="324">
        <v>-2830.3134608012624</v>
      </c>
      <c r="Y615" s="324">
        <v>-2830.3134608012952</v>
      </c>
      <c r="AA615" s="324" t="s">
        <v>200</v>
      </c>
      <c r="AB615" s="324" t="s">
        <v>1004</v>
      </c>
      <c r="AD615" s="324">
        <v>107500</v>
      </c>
    </row>
    <row r="616" spans="1:32" s="324" customFormat="1" ht="0.65" hidden="1" customHeight="1">
      <c r="A616" s="324">
        <v>2156</v>
      </c>
      <c r="T616" s="324">
        <v>11</v>
      </c>
      <c r="U616" s="324" t="s">
        <v>163</v>
      </c>
      <c r="V616" s="324" t="s">
        <v>179</v>
      </c>
      <c r="W616" s="324">
        <v>100864.25463884417</v>
      </c>
      <c r="X616" s="324">
        <v>48298.672177436529</v>
      </c>
      <c r="Y616" s="324">
        <v>48298.67217743642</v>
      </c>
      <c r="AA616" s="324" t="s">
        <v>201</v>
      </c>
      <c r="AB616" s="324" t="s">
        <v>1005</v>
      </c>
      <c r="AD616" s="324">
        <v>97500</v>
      </c>
    </row>
    <row r="617" spans="1:32" s="324" customFormat="1" ht="0.65" hidden="1" customHeight="1">
      <c r="A617" s="324">
        <v>2157</v>
      </c>
      <c r="O617" s="324" t="s">
        <v>13</v>
      </c>
      <c r="P617" s="324">
        <v>52565.582461407641</v>
      </c>
      <c r="T617" s="324">
        <v>12</v>
      </c>
      <c r="U617" s="324" t="s">
        <v>164</v>
      </c>
      <c r="V617" s="324" t="s">
        <v>178</v>
      </c>
      <c r="W617" s="324">
        <v>50678.706820873544</v>
      </c>
      <c r="X617" s="324">
        <v>-1886.8756405340973</v>
      </c>
      <c r="Y617" s="324">
        <v>-1886.8756405341992</v>
      </c>
      <c r="AA617" s="324" t="s">
        <v>196</v>
      </c>
      <c r="AB617" s="324" t="s">
        <v>969</v>
      </c>
      <c r="AD617" s="324">
        <v>97500</v>
      </c>
    </row>
    <row r="618" spans="1:32" s="324" customFormat="1" ht="0.65" hidden="1" customHeight="1">
      <c r="A618" s="324">
        <v>2158</v>
      </c>
      <c r="O618" s="324" t="s">
        <v>28</v>
      </c>
      <c r="P618" s="324">
        <v>9.3380333972086005E-2</v>
      </c>
      <c r="T618" s="324">
        <v>13</v>
      </c>
      <c r="U618" s="324" t="s">
        <v>165</v>
      </c>
      <c r="V618" s="324" t="s">
        <v>178</v>
      </c>
      <c r="W618" s="324">
        <v>47799.199842269998</v>
      </c>
      <c r="X618" s="324">
        <v>-4766.3826191376429</v>
      </c>
      <c r="Y618" s="324">
        <v>-4766.3826191375902</v>
      </c>
      <c r="Z618" s="324">
        <v>5.7125000000000009E-2</v>
      </c>
      <c r="AA618" s="324" t="s">
        <v>202</v>
      </c>
      <c r="AB618" s="324" t="s">
        <v>1006</v>
      </c>
      <c r="AD618" s="324">
        <v>460625</v>
      </c>
    </row>
    <row r="619" spans="1:32" s="324" customFormat="1" ht="0.65" hidden="1" customHeight="1">
      <c r="A619" s="324">
        <v>2159</v>
      </c>
      <c r="O619" s="324" t="s">
        <v>29</v>
      </c>
      <c r="P619" s="324">
        <v>9.6672335561209452E-2</v>
      </c>
      <c r="T619" s="324">
        <v>14</v>
      </c>
      <c r="U619" s="324" t="s">
        <v>166</v>
      </c>
      <c r="V619" s="324" t="s">
        <v>179</v>
      </c>
      <c r="W619" s="324">
        <v>56133.281980465516</v>
      </c>
      <c r="X619" s="324">
        <v>3567.6995190578746</v>
      </c>
      <c r="Y619" s="324">
        <v>3567.699519057951</v>
      </c>
      <c r="Z619" s="324">
        <v>5.1249999999999997E-2</v>
      </c>
      <c r="AA619" s="324" t="s">
        <v>189</v>
      </c>
      <c r="AB619" s="324" t="s">
        <v>1007</v>
      </c>
      <c r="AD619" s="324">
        <v>5.3749999999999999E-2</v>
      </c>
    </row>
    <row r="620" spans="1:32" s="324" customFormat="1" ht="0.65" hidden="1" customHeight="1">
      <c r="A620" s="324">
        <v>2160</v>
      </c>
      <c r="O620" s="324" t="s">
        <v>30</v>
      </c>
      <c r="P620" s="324">
        <v>3</v>
      </c>
      <c r="T620" s="324">
        <v>15</v>
      </c>
      <c r="U620" s="324" t="s">
        <v>167</v>
      </c>
      <c r="V620" s="324" t="s">
        <v>178</v>
      </c>
      <c r="W620" s="324">
        <v>50440.139621944632</v>
      </c>
      <c r="X620" s="324">
        <v>-2125.4428394630086</v>
      </c>
      <c r="Y620" s="324">
        <v>-2125.4428394630868</v>
      </c>
      <c r="Z620" s="324">
        <v>5.525E-2</v>
      </c>
      <c r="AA620" s="324" t="s">
        <v>190</v>
      </c>
      <c r="AB620" s="324" t="s">
        <v>1008</v>
      </c>
      <c r="AD620" s="324">
        <v>102993.4844922818</v>
      </c>
    </row>
    <row r="621" spans="1:32" s="324" customFormat="1" ht="0.65" hidden="1" customHeight="1">
      <c r="A621" s="324">
        <v>2161</v>
      </c>
      <c r="T621" s="324">
        <v>16</v>
      </c>
      <c r="U621" s="324" t="s">
        <v>168</v>
      </c>
      <c r="V621" s="324" t="s">
        <v>181</v>
      </c>
      <c r="W621" s="324">
        <v>53736.808894880698</v>
      </c>
      <c r="X621" s="324">
        <v>1171.2264334730571</v>
      </c>
      <c r="Y621" s="324">
        <v>1171.2264334730294</v>
      </c>
      <c r="Z621" s="324">
        <v>5.2926829268292681E-2</v>
      </c>
      <c r="AA621" s="324" t="s">
        <v>427</v>
      </c>
      <c r="AB621" s="324" t="s">
        <v>1009</v>
      </c>
      <c r="AD621" s="324">
        <v>109076.3877968794</v>
      </c>
    </row>
    <row r="622" spans="1:32" s="324" customFormat="1" ht="0.65" hidden="1" customHeight="1">
      <c r="A622" s="324">
        <v>2162</v>
      </c>
      <c r="P622" s="324">
        <v>1</v>
      </c>
      <c r="T622" s="324">
        <v>17</v>
      </c>
      <c r="U622" s="324" t="s">
        <v>169</v>
      </c>
      <c r="V622" s="324" t="s">
        <v>178</v>
      </c>
      <c r="W622" s="324">
        <v>34344.847851592931</v>
      </c>
      <c r="X622" s="324">
        <v>-18220.73460981471</v>
      </c>
      <c r="Y622" s="324">
        <v>-18220.734609814761</v>
      </c>
      <c r="Z622" s="324">
        <v>6.6875000000000004E-2</v>
      </c>
      <c r="AA622" s="324" t="s">
        <v>425</v>
      </c>
      <c r="AB622" s="324" t="s">
        <v>1010</v>
      </c>
    </row>
    <row r="623" spans="1:32" s="324" customFormat="1" ht="0.65" hidden="1" customHeight="1">
      <c r="A623" s="324">
        <v>2163</v>
      </c>
      <c r="H623" s="324">
        <v>1</v>
      </c>
      <c r="I623" s="324">
        <v>1</v>
      </c>
      <c r="J623" s="324">
        <v>1</v>
      </c>
      <c r="K623" s="324">
        <v>1</v>
      </c>
      <c r="L623" s="324">
        <v>1</v>
      </c>
      <c r="M623" s="324">
        <v>1</v>
      </c>
      <c r="N623" s="324">
        <v>1</v>
      </c>
      <c r="O623" s="324">
        <v>1</v>
      </c>
      <c r="P623" s="324">
        <v>1</v>
      </c>
      <c r="T623" s="324">
        <v>18</v>
      </c>
      <c r="U623" s="324" t="s">
        <v>170</v>
      </c>
      <c r="V623" s="324" t="s">
        <v>181</v>
      </c>
      <c r="W623" s="324">
        <v>47632.637930395198</v>
      </c>
      <c r="X623" s="324">
        <v>-4932.9445310124429</v>
      </c>
      <c r="Y623" s="324">
        <v>-4932.9445310124693</v>
      </c>
      <c r="Z623" s="324">
        <v>5.1499999999999997E-2</v>
      </c>
      <c r="AA623" s="324" t="s">
        <v>203</v>
      </c>
      <c r="AB623" s="324" t="s">
        <v>1011</v>
      </c>
    </row>
    <row r="624" spans="1:32" s="324" customFormat="1" ht="0.65" hidden="1" customHeight="1">
      <c r="A624" s="324">
        <v>2164</v>
      </c>
      <c r="H624" s="324">
        <v>1</v>
      </c>
      <c r="I624" s="324">
        <v>1</v>
      </c>
      <c r="J624" s="324">
        <v>1</v>
      </c>
      <c r="K624" s="324">
        <v>1</v>
      </c>
      <c r="L624" s="324">
        <v>1</v>
      </c>
      <c r="M624" s="324">
        <v>1</v>
      </c>
      <c r="N624" s="324">
        <v>1</v>
      </c>
      <c r="O624" s="324">
        <v>1</v>
      </c>
      <c r="P624" s="324">
        <v>1</v>
      </c>
      <c r="T624" s="324">
        <v>19</v>
      </c>
      <c r="U624" s="324" t="s">
        <v>171</v>
      </c>
      <c r="V624" s="324" t="s">
        <v>181</v>
      </c>
      <c r="W624" s="324">
        <v>109076.3877968794</v>
      </c>
      <c r="X624" s="324">
        <v>56510.805335471756</v>
      </c>
      <c r="Y624" s="324">
        <v>56510.805335471639</v>
      </c>
      <c r="AA624" s="324" t="s">
        <v>426</v>
      </c>
      <c r="AB624" s="324" t="s">
        <v>1012</v>
      </c>
    </row>
    <row r="625" spans="1:39" s="324" customFormat="1" ht="0.65" hidden="1" customHeight="1">
      <c r="A625" s="324">
        <v>2165</v>
      </c>
      <c r="H625" s="324">
        <v>1</v>
      </c>
      <c r="I625" s="324">
        <v>1</v>
      </c>
      <c r="J625" s="324">
        <v>1</v>
      </c>
      <c r="K625" s="324">
        <v>1</v>
      </c>
      <c r="L625" s="324">
        <v>1</v>
      </c>
      <c r="M625" s="324">
        <v>1</v>
      </c>
      <c r="N625" s="324">
        <v>1</v>
      </c>
      <c r="O625" s="324">
        <v>1</v>
      </c>
      <c r="P625" s="324">
        <v>1</v>
      </c>
    </row>
    <row r="626" spans="1:39" s="324" customFormat="1" ht="0.65" hidden="1" customHeight="1">
      <c r="A626" s="324">
        <v>2166</v>
      </c>
    </row>
    <row r="627" spans="1:39" s="324" customFormat="1" ht="0.65" hidden="1" customHeight="1">
      <c r="A627" s="324">
        <v>2167</v>
      </c>
      <c r="X627" s="324" t="s">
        <v>186</v>
      </c>
      <c r="Y627" s="324">
        <v>3.0559021979570389E-10</v>
      </c>
    </row>
    <row r="628" spans="1:39" s="324" customFormat="1" ht="0.65" hidden="1" customHeight="1">
      <c r="A628" s="324">
        <v>2168</v>
      </c>
      <c r="N628" s="324">
        <v>1</v>
      </c>
      <c r="P628" s="324">
        <v>1</v>
      </c>
    </row>
    <row r="629" spans="1:39" s="324" customFormat="1" ht="0.65" hidden="1" customHeight="1">
      <c r="A629" s="324">
        <v>2169</v>
      </c>
      <c r="H629" s="324">
        <v>1</v>
      </c>
      <c r="I629" s="324">
        <v>1</v>
      </c>
      <c r="J629" s="324">
        <v>1</v>
      </c>
      <c r="K629" s="324">
        <v>1</v>
      </c>
      <c r="N629" s="324">
        <v>1</v>
      </c>
      <c r="P629" s="324">
        <v>1</v>
      </c>
    </row>
    <row r="630" spans="1:39" s="324" customFormat="1" ht="0.65" hidden="1" customHeight="1">
      <c r="A630" s="324">
        <v>2170</v>
      </c>
      <c r="H630" s="324">
        <v>1</v>
      </c>
      <c r="I630" s="324">
        <v>1</v>
      </c>
      <c r="J630" s="324">
        <v>1</v>
      </c>
      <c r="K630" s="324">
        <v>1</v>
      </c>
      <c r="N630" s="324">
        <v>1</v>
      </c>
      <c r="P630" s="324">
        <v>1</v>
      </c>
    </row>
    <row r="631" spans="1:39" s="324" customFormat="1" ht="0.65" hidden="1" customHeight="1">
      <c r="A631" s="324">
        <v>2171</v>
      </c>
      <c r="H631" s="324">
        <v>1</v>
      </c>
      <c r="I631" s="324">
        <v>1</v>
      </c>
      <c r="J631" s="324">
        <v>1</v>
      </c>
      <c r="K631" s="324">
        <v>1</v>
      </c>
      <c r="N631" s="324">
        <v>1</v>
      </c>
    </row>
    <row r="632" spans="1:39" s="324" customFormat="1" ht="0.65" hidden="1" customHeight="1">
      <c r="A632" s="324">
        <v>2172</v>
      </c>
      <c r="AI632" s="324">
        <v>1E-4</v>
      </c>
      <c r="AJ632" s="324" t="s">
        <v>244</v>
      </c>
    </row>
    <row r="633" spans="1:39" s="324" customFormat="1" ht="0.65" hidden="1" customHeight="1">
      <c r="A633" s="324">
        <v>2173</v>
      </c>
      <c r="P633" s="324">
        <v>1</v>
      </c>
      <c r="AC633" s="324" t="s">
        <v>463</v>
      </c>
      <c r="AD633" s="324" t="s">
        <v>208</v>
      </c>
      <c r="AG633" s="324" t="s">
        <v>210</v>
      </c>
      <c r="AH633" s="324" t="s">
        <v>209</v>
      </c>
      <c r="AI633" s="324" t="s">
        <v>206</v>
      </c>
      <c r="AJ633" s="324" t="s">
        <v>245</v>
      </c>
      <c r="AK633" s="324" t="s">
        <v>206</v>
      </c>
      <c r="AL633" s="324" t="s">
        <v>205</v>
      </c>
    </row>
    <row r="634" spans="1:39" s="324" customFormat="1" ht="0.65" hidden="1" customHeight="1">
      <c r="A634" s="324">
        <v>2174</v>
      </c>
      <c r="P634" s="324">
        <v>1</v>
      </c>
      <c r="AA634" s="324">
        <v>1</v>
      </c>
      <c r="AB634" s="324" t="s">
        <v>645</v>
      </c>
      <c r="AC634" s="324" t="s">
        <v>55</v>
      </c>
      <c r="AD634" s="324" t="s">
        <v>55</v>
      </c>
      <c r="AE634" s="324">
        <v>0</v>
      </c>
      <c r="AF634" s="324" t="s">
        <v>490</v>
      </c>
      <c r="AG634" s="324">
        <v>543750</v>
      </c>
      <c r="AH634" s="324">
        <v>543750</v>
      </c>
      <c r="AI634" s="324" t="s">
        <v>55</v>
      </c>
      <c r="AJ634" s="324">
        <v>543750</v>
      </c>
      <c r="AK634" s="324" t="s">
        <v>55</v>
      </c>
      <c r="AL634" s="324" t="s">
        <v>55</v>
      </c>
      <c r="AM634" s="324" t="s">
        <v>55</v>
      </c>
    </row>
    <row r="635" spans="1:39" s="324" customFormat="1" ht="0.65" hidden="1" customHeight="1">
      <c r="A635" s="324">
        <v>2175</v>
      </c>
      <c r="AA635" s="324">
        <v>2</v>
      </c>
      <c r="AB635" s="324" t="s">
        <v>645</v>
      </c>
      <c r="AC635" s="324" t="s">
        <v>55</v>
      </c>
      <c r="AD635" s="324" t="s">
        <v>55</v>
      </c>
      <c r="AE635" s="324">
        <v>0</v>
      </c>
      <c r="AF635" s="324" t="s">
        <v>510</v>
      </c>
      <c r="AG635" s="324">
        <v>360000</v>
      </c>
      <c r="AH635" s="324">
        <v>360000</v>
      </c>
      <c r="AI635" s="324" t="s">
        <v>55</v>
      </c>
      <c r="AJ635" s="324">
        <v>360000</v>
      </c>
      <c r="AK635" s="324" t="s">
        <v>55</v>
      </c>
      <c r="AL635" s="324" t="s">
        <v>55</v>
      </c>
      <c r="AM635" s="324" t="s">
        <v>55</v>
      </c>
    </row>
    <row r="636" spans="1:39" s="324" customFormat="1" ht="0.65" hidden="1" customHeight="1">
      <c r="A636" s="324">
        <v>2176</v>
      </c>
      <c r="G636" s="324" t="s">
        <v>411</v>
      </c>
      <c r="H636" s="324">
        <v>49</v>
      </c>
      <c r="AA636" s="324">
        <v>3</v>
      </c>
      <c r="AB636" s="324" t="s">
        <v>645</v>
      </c>
      <c r="AC636" s="324" t="s">
        <v>55</v>
      </c>
      <c r="AD636" s="324" t="s">
        <v>55</v>
      </c>
      <c r="AE636" s="324">
        <v>0</v>
      </c>
      <c r="AF636" s="324" t="s">
        <v>513</v>
      </c>
      <c r="AG636" s="324">
        <v>360000</v>
      </c>
      <c r="AH636" s="324">
        <v>360000</v>
      </c>
      <c r="AI636" s="324" t="s">
        <v>55</v>
      </c>
      <c r="AJ636" s="324">
        <v>360000</v>
      </c>
      <c r="AK636" s="324" t="s">
        <v>55</v>
      </c>
      <c r="AL636" s="324" t="s">
        <v>55</v>
      </c>
      <c r="AM636" s="324" t="s">
        <v>55</v>
      </c>
    </row>
    <row r="637" spans="1:39" s="324" customFormat="1" ht="0.65" hidden="1" customHeight="1">
      <c r="A637" s="324">
        <v>2177</v>
      </c>
      <c r="G637" s="324" t="s">
        <v>412</v>
      </c>
      <c r="AA637" s="324">
        <v>4</v>
      </c>
      <c r="AB637" s="324" t="s">
        <v>645</v>
      </c>
      <c r="AC637" s="324" t="s">
        <v>55</v>
      </c>
      <c r="AD637" s="324" t="s">
        <v>55</v>
      </c>
      <c r="AE637" s="324">
        <v>0</v>
      </c>
      <c r="AF637" s="324" t="s">
        <v>515</v>
      </c>
      <c r="AG637" s="324">
        <v>360000</v>
      </c>
      <c r="AH637" s="324">
        <v>360000</v>
      </c>
      <c r="AI637" s="324" t="s">
        <v>55</v>
      </c>
      <c r="AJ637" s="324">
        <v>360000</v>
      </c>
      <c r="AK637" s="324" t="s">
        <v>55</v>
      </c>
      <c r="AL637" s="324" t="s">
        <v>55</v>
      </c>
      <c r="AM637" s="324" t="s">
        <v>55</v>
      </c>
    </row>
    <row r="638" spans="1:39" s="324" customFormat="1" ht="0.65" hidden="1" customHeight="1">
      <c r="A638" s="324">
        <v>2178</v>
      </c>
      <c r="AA638" s="324">
        <v>5</v>
      </c>
      <c r="AB638" s="324" t="s">
        <v>645</v>
      </c>
      <c r="AC638" s="324" t="s">
        <v>55</v>
      </c>
      <c r="AD638" s="324" t="s">
        <v>55</v>
      </c>
      <c r="AE638" s="324">
        <v>0</v>
      </c>
      <c r="AF638" s="324" t="s">
        <v>517</v>
      </c>
      <c r="AG638" s="324">
        <v>240000</v>
      </c>
      <c r="AH638" s="324">
        <v>240000</v>
      </c>
      <c r="AI638" s="324" t="s">
        <v>55</v>
      </c>
      <c r="AJ638" s="324">
        <v>240000</v>
      </c>
      <c r="AK638" s="324" t="s">
        <v>55</v>
      </c>
      <c r="AL638" s="324" t="s">
        <v>55</v>
      </c>
      <c r="AM638" s="324" t="s">
        <v>55</v>
      </c>
    </row>
    <row r="639" spans="1:39" s="324" customFormat="1" ht="0.65" hidden="1" customHeight="1">
      <c r="A639" s="324">
        <v>2179</v>
      </c>
      <c r="AA639" s="324">
        <v>6</v>
      </c>
      <c r="AB639" s="324" t="s">
        <v>645</v>
      </c>
      <c r="AC639" s="324" t="s">
        <v>55</v>
      </c>
      <c r="AD639" s="324" t="s">
        <v>55</v>
      </c>
      <c r="AE639" s="324">
        <v>0</v>
      </c>
      <c r="AF639" s="324" t="s">
        <v>521</v>
      </c>
      <c r="AG639" s="324">
        <v>240000</v>
      </c>
      <c r="AH639" s="324">
        <v>240000</v>
      </c>
      <c r="AI639" s="324" t="s">
        <v>55</v>
      </c>
      <c r="AJ639" s="324">
        <v>240000</v>
      </c>
      <c r="AK639" s="324" t="s">
        <v>55</v>
      </c>
      <c r="AL639" s="324" t="s">
        <v>55</v>
      </c>
      <c r="AM639" s="324" t="s">
        <v>55</v>
      </c>
    </row>
    <row r="640" spans="1:39" s="324" customFormat="1" ht="0.65" hidden="1" customHeight="1">
      <c r="A640" s="324">
        <v>2180</v>
      </c>
      <c r="AA640" s="324">
        <v>7</v>
      </c>
      <c r="AB640" s="324" t="s">
        <v>645</v>
      </c>
      <c r="AC640" s="324" t="s">
        <v>55</v>
      </c>
      <c r="AD640" s="324" t="s">
        <v>55</v>
      </c>
      <c r="AE640" s="324">
        <v>0</v>
      </c>
      <c r="AF640" s="324" t="s">
        <v>523</v>
      </c>
      <c r="AG640" s="324">
        <v>240000</v>
      </c>
      <c r="AH640" s="324">
        <v>240000</v>
      </c>
      <c r="AI640" s="324" t="s">
        <v>55</v>
      </c>
      <c r="AJ640" s="324">
        <v>240000</v>
      </c>
      <c r="AK640" s="324" t="s">
        <v>55</v>
      </c>
      <c r="AL640" s="324" t="s">
        <v>55</v>
      </c>
      <c r="AM640" s="324" t="s">
        <v>55</v>
      </c>
    </row>
    <row r="641" spans="1:39" s="324" customFormat="1" ht="0.65" hidden="1" customHeight="1">
      <c r="A641" s="324">
        <v>2181</v>
      </c>
      <c r="G641" s="324" t="s">
        <v>0</v>
      </c>
      <c r="H641" s="324" t="s">
        <v>69</v>
      </c>
      <c r="I641" s="324" t="s">
        <v>70</v>
      </c>
      <c r="J641" s="324" t="s">
        <v>71</v>
      </c>
      <c r="K641" s="324" t="s">
        <v>72</v>
      </c>
      <c r="L641" s="324" t="s">
        <v>73</v>
      </c>
      <c r="M641" s="324" t="s">
        <v>74</v>
      </c>
      <c r="N641" s="324" t="s">
        <v>75</v>
      </c>
      <c r="O641" s="324" t="s">
        <v>80</v>
      </c>
      <c r="P641" s="324" t="s">
        <v>1</v>
      </c>
      <c r="AA641" s="324">
        <v>8</v>
      </c>
      <c r="AB641" s="324" t="s">
        <v>645</v>
      </c>
      <c r="AC641" s="324" t="s">
        <v>55</v>
      </c>
      <c r="AD641" s="324" t="s">
        <v>55</v>
      </c>
      <c r="AE641" s="324">
        <v>0</v>
      </c>
      <c r="AF641" s="324" t="s">
        <v>525</v>
      </c>
      <c r="AG641" s="324">
        <v>30000</v>
      </c>
      <c r="AH641" s="324">
        <v>30000</v>
      </c>
      <c r="AI641" s="324" t="s">
        <v>55</v>
      </c>
      <c r="AJ641" s="324">
        <v>30000</v>
      </c>
      <c r="AK641" s="324" t="s">
        <v>55</v>
      </c>
      <c r="AL641" s="324" t="s">
        <v>55</v>
      </c>
      <c r="AM641" s="324" t="s">
        <v>55</v>
      </c>
    </row>
    <row r="642" spans="1:39" s="324" customFormat="1" ht="0.65" hidden="1" customHeight="1">
      <c r="A642" s="324">
        <v>2182</v>
      </c>
      <c r="G642" s="324">
        <v>2021</v>
      </c>
      <c r="P642" s="324" t="s">
        <v>645</v>
      </c>
      <c r="AA642" s="324">
        <v>9</v>
      </c>
      <c r="AB642" s="324" t="s">
        <v>645</v>
      </c>
      <c r="AC642" s="324" t="s">
        <v>55</v>
      </c>
      <c r="AD642" s="324" t="s">
        <v>55</v>
      </c>
      <c r="AE642" s="324">
        <v>0</v>
      </c>
      <c r="AF642" s="324" t="s">
        <v>528</v>
      </c>
      <c r="AG642" s="324">
        <v>30000</v>
      </c>
      <c r="AH642" s="324">
        <v>30000</v>
      </c>
      <c r="AI642" s="324" t="s">
        <v>55</v>
      </c>
      <c r="AJ642" s="324">
        <v>30000</v>
      </c>
      <c r="AK642" s="324" t="s">
        <v>55</v>
      </c>
      <c r="AL642" s="324" t="s">
        <v>55</v>
      </c>
      <c r="AM642" s="324" t="s">
        <v>55</v>
      </c>
    </row>
    <row r="643" spans="1:39" s="324" customFormat="1" ht="0.65" hidden="1" customHeight="1">
      <c r="A643" s="324">
        <v>2183</v>
      </c>
      <c r="G643" s="324">
        <v>2022</v>
      </c>
      <c r="H643" s="324" t="s">
        <v>645</v>
      </c>
      <c r="I643" s="324" t="s">
        <v>645</v>
      </c>
      <c r="J643" s="324" t="s">
        <v>645</v>
      </c>
      <c r="K643" s="324" t="s">
        <v>645</v>
      </c>
      <c r="L643" s="324" t="s">
        <v>645</v>
      </c>
      <c r="M643" s="324" t="s">
        <v>645</v>
      </c>
      <c r="N643" s="324" t="s">
        <v>645</v>
      </c>
      <c r="O643" s="324" t="s">
        <v>645</v>
      </c>
      <c r="P643" s="324" t="s">
        <v>645</v>
      </c>
      <c r="AA643" s="324">
        <v>10</v>
      </c>
      <c r="AB643" s="324" t="s">
        <v>645</v>
      </c>
      <c r="AC643" s="324" t="s">
        <v>55</v>
      </c>
      <c r="AD643" s="324" t="s">
        <v>55</v>
      </c>
      <c r="AE643" s="324">
        <v>0</v>
      </c>
      <c r="AF643" s="324" t="s">
        <v>530</v>
      </c>
      <c r="AG643" s="324">
        <v>30000</v>
      </c>
      <c r="AH643" s="324">
        <v>30000</v>
      </c>
      <c r="AI643" s="324" t="s">
        <v>55</v>
      </c>
      <c r="AJ643" s="324">
        <v>30000</v>
      </c>
      <c r="AK643" s="324" t="s">
        <v>55</v>
      </c>
      <c r="AL643" s="324" t="s">
        <v>55</v>
      </c>
      <c r="AM643" s="324" t="s">
        <v>55</v>
      </c>
    </row>
    <row r="644" spans="1:39" s="324" customFormat="1" ht="0.65" hidden="1" customHeight="1">
      <c r="A644" s="324">
        <v>2184</v>
      </c>
      <c r="G644" s="324">
        <v>2023</v>
      </c>
      <c r="H644" s="324" t="s">
        <v>645</v>
      </c>
      <c r="I644" s="324" t="s">
        <v>645</v>
      </c>
      <c r="J644" s="324" t="s">
        <v>645</v>
      </c>
      <c r="K644" s="324" t="s">
        <v>645</v>
      </c>
      <c r="L644" s="324" t="s">
        <v>645</v>
      </c>
      <c r="M644" s="324" t="s">
        <v>645</v>
      </c>
      <c r="N644" s="324" t="s">
        <v>645</v>
      </c>
      <c r="O644" s="324" t="s">
        <v>645</v>
      </c>
      <c r="P644" s="324" t="s">
        <v>645</v>
      </c>
      <c r="AA644" s="324">
        <v>11</v>
      </c>
      <c r="AB644" s="324" t="s">
        <v>645</v>
      </c>
      <c r="AC644" s="324" t="s">
        <v>55</v>
      </c>
      <c r="AD644" s="324" t="s">
        <v>55</v>
      </c>
      <c r="AE644" s="324">
        <v>0</v>
      </c>
      <c r="AF644" s="324" t="s">
        <v>533</v>
      </c>
      <c r="AG644" s="324">
        <v>90000</v>
      </c>
      <c r="AH644" s="324">
        <v>90000</v>
      </c>
      <c r="AI644" s="324" t="s">
        <v>55</v>
      </c>
      <c r="AJ644" s="324">
        <v>90000</v>
      </c>
      <c r="AK644" s="324" t="s">
        <v>55</v>
      </c>
      <c r="AL644" s="324" t="s">
        <v>55</v>
      </c>
      <c r="AM644" s="324" t="s">
        <v>55</v>
      </c>
    </row>
    <row r="645" spans="1:39" s="324" customFormat="1" ht="0.65" hidden="1" customHeight="1">
      <c r="A645" s="324">
        <v>2185</v>
      </c>
      <c r="G645" s="324">
        <v>2024</v>
      </c>
      <c r="H645" s="324" t="s">
        <v>645</v>
      </c>
      <c r="I645" s="324" t="s">
        <v>645</v>
      </c>
      <c r="J645" s="324" t="s">
        <v>645</v>
      </c>
      <c r="K645" s="324" t="s">
        <v>645</v>
      </c>
      <c r="L645" s="324" t="s">
        <v>645</v>
      </c>
      <c r="M645" s="324" t="s">
        <v>645</v>
      </c>
      <c r="N645" s="324" t="s">
        <v>645</v>
      </c>
      <c r="O645" s="324" t="s">
        <v>645</v>
      </c>
      <c r="P645" s="324" t="s">
        <v>645</v>
      </c>
      <c r="AA645" s="324">
        <v>12</v>
      </c>
      <c r="AB645" s="324" t="s">
        <v>645</v>
      </c>
      <c r="AC645" s="324" t="s">
        <v>55</v>
      </c>
      <c r="AD645" s="324" t="s">
        <v>55</v>
      </c>
      <c r="AE645" s="324">
        <v>0</v>
      </c>
      <c r="AF645" s="324" t="s">
        <v>536</v>
      </c>
      <c r="AG645" s="324">
        <v>90000</v>
      </c>
      <c r="AH645" s="324">
        <v>90000</v>
      </c>
      <c r="AI645" s="324" t="s">
        <v>55</v>
      </c>
      <c r="AJ645" s="324">
        <v>90000</v>
      </c>
      <c r="AK645" s="324" t="s">
        <v>55</v>
      </c>
      <c r="AL645" s="324" t="s">
        <v>55</v>
      </c>
      <c r="AM645" s="324" t="s">
        <v>55</v>
      </c>
    </row>
    <row r="646" spans="1:39" s="324" customFormat="1" ht="0.65" hidden="1" customHeight="1">
      <c r="A646" s="324">
        <v>2186</v>
      </c>
      <c r="AA646" s="324">
        <v>13</v>
      </c>
      <c r="AB646" s="324" t="s">
        <v>645</v>
      </c>
      <c r="AC646" s="324" t="s">
        <v>55</v>
      </c>
      <c r="AD646" s="324" t="s">
        <v>55</v>
      </c>
      <c r="AE646" s="324">
        <v>0</v>
      </c>
      <c r="AF646" s="324" t="s">
        <v>538</v>
      </c>
      <c r="AG646" s="324">
        <v>90000</v>
      </c>
      <c r="AH646" s="324">
        <v>90000</v>
      </c>
      <c r="AI646" s="324" t="s">
        <v>55</v>
      </c>
      <c r="AJ646" s="324">
        <v>90000</v>
      </c>
      <c r="AK646" s="324" t="s">
        <v>55</v>
      </c>
      <c r="AL646" s="324" t="s">
        <v>55</v>
      </c>
      <c r="AM646" s="324" t="s">
        <v>55</v>
      </c>
    </row>
    <row r="647" spans="1:39" s="324" customFormat="1" ht="0.65" hidden="1" customHeight="1">
      <c r="A647" s="324">
        <v>2187</v>
      </c>
      <c r="G647" s="324" t="s">
        <v>0</v>
      </c>
      <c r="H647" s="324" t="s">
        <v>76</v>
      </c>
      <c r="I647" s="324" t="s">
        <v>77</v>
      </c>
      <c r="J647" s="324" t="s">
        <v>78</v>
      </c>
      <c r="K647" s="324" t="s">
        <v>79</v>
      </c>
      <c r="AA647" s="324">
        <v>14</v>
      </c>
      <c r="AB647" s="324" t="s">
        <v>645</v>
      </c>
      <c r="AC647" s="324" t="s">
        <v>55</v>
      </c>
      <c r="AD647" s="324" t="s">
        <v>55</v>
      </c>
      <c r="AE647" s="324">
        <v>0</v>
      </c>
      <c r="AF647" s="324" t="s">
        <v>541</v>
      </c>
      <c r="AG647" s="324">
        <v>22500</v>
      </c>
      <c r="AH647" s="324">
        <v>22500</v>
      </c>
      <c r="AI647" s="324" t="s">
        <v>55</v>
      </c>
      <c r="AJ647" s="324">
        <v>22500</v>
      </c>
      <c r="AK647" s="324" t="s">
        <v>55</v>
      </c>
      <c r="AL647" s="324" t="s">
        <v>55</v>
      </c>
      <c r="AM647" s="324" t="s">
        <v>55</v>
      </c>
    </row>
    <row r="648" spans="1:39" s="324" customFormat="1" ht="0.65" hidden="1" customHeight="1">
      <c r="A648" s="324">
        <v>2188</v>
      </c>
      <c r="G648" s="324">
        <v>2021</v>
      </c>
      <c r="M648" s="324" t="s">
        <v>456</v>
      </c>
      <c r="N648" s="324" t="s">
        <v>645</v>
      </c>
      <c r="O648" s="324" t="s">
        <v>124</v>
      </c>
      <c r="P648" s="324" t="s">
        <v>645</v>
      </c>
      <c r="AA648" s="324">
        <v>15</v>
      </c>
      <c r="AB648" s="324" t="s">
        <v>645</v>
      </c>
      <c r="AC648" s="324" t="s">
        <v>55</v>
      </c>
      <c r="AD648" s="324" t="s">
        <v>55</v>
      </c>
      <c r="AE648" s="324">
        <v>0</v>
      </c>
      <c r="AF648" s="324" t="s">
        <v>544</v>
      </c>
      <c r="AG648" s="324">
        <v>22500</v>
      </c>
      <c r="AH648" s="324">
        <v>22500</v>
      </c>
      <c r="AI648" s="324" t="s">
        <v>55</v>
      </c>
      <c r="AJ648" s="324">
        <v>22500</v>
      </c>
      <c r="AK648" s="324" t="s">
        <v>55</v>
      </c>
      <c r="AL648" s="324" t="s">
        <v>55</v>
      </c>
      <c r="AM648" s="324" t="s">
        <v>55</v>
      </c>
    </row>
    <row r="649" spans="1:39" s="324" customFormat="1" ht="0.65" hidden="1" customHeight="1">
      <c r="A649" s="324">
        <v>2189</v>
      </c>
      <c r="G649" s="324">
        <v>2022</v>
      </c>
      <c r="H649" s="324" t="s">
        <v>645</v>
      </c>
      <c r="I649" s="324" t="s">
        <v>645</v>
      </c>
      <c r="J649" s="324" t="s">
        <v>645</v>
      </c>
      <c r="K649" s="324" t="s">
        <v>645</v>
      </c>
      <c r="M649" s="324" t="s">
        <v>457</v>
      </c>
      <c r="N649" s="324" t="s">
        <v>645</v>
      </c>
      <c r="O649" s="324" t="s">
        <v>125</v>
      </c>
      <c r="P649" s="324" t="s">
        <v>645</v>
      </c>
      <c r="AA649" s="324">
        <v>16</v>
      </c>
      <c r="AB649" s="324" t="s">
        <v>645</v>
      </c>
      <c r="AC649" s="324" t="s">
        <v>55</v>
      </c>
      <c r="AD649" s="324" t="s">
        <v>55</v>
      </c>
      <c r="AE649" s="324">
        <v>0</v>
      </c>
      <c r="AF649" s="324" t="s">
        <v>546</v>
      </c>
      <c r="AG649" s="324">
        <v>22500</v>
      </c>
      <c r="AH649" s="324">
        <v>22500</v>
      </c>
      <c r="AI649" s="324" t="s">
        <v>55</v>
      </c>
      <c r="AJ649" s="324">
        <v>22500</v>
      </c>
      <c r="AK649" s="324" t="s">
        <v>55</v>
      </c>
      <c r="AL649" s="324" t="s">
        <v>55</v>
      </c>
      <c r="AM649" s="324" t="s">
        <v>55</v>
      </c>
    </row>
    <row r="650" spans="1:39" s="324" customFormat="1" ht="0.65" hidden="1" customHeight="1">
      <c r="A650" s="324">
        <v>2190</v>
      </c>
      <c r="G650" s="324">
        <v>2023</v>
      </c>
      <c r="H650" s="324" t="s">
        <v>645</v>
      </c>
      <c r="I650" s="324" t="s">
        <v>645</v>
      </c>
      <c r="J650" s="324" t="s">
        <v>645</v>
      </c>
      <c r="K650" s="324" t="s">
        <v>645</v>
      </c>
      <c r="M650" s="324" t="s">
        <v>458</v>
      </c>
      <c r="N650" s="324" t="s">
        <v>645</v>
      </c>
      <c r="O650" s="324" t="s">
        <v>126</v>
      </c>
      <c r="P650" s="324" t="s">
        <v>645</v>
      </c>
      <c r="AA650" s="324">
        <v>17</v>
      </c>
      <c r="AB650" s="324" t="s">
        <v>645</v>
      </c>
      <c r="AC650" s="324" t="s">
        <v>55</v>
      </c>
      <c r="AD650" s="324" t="s">
        <v>55</v>
      </c>
      <c r="AE650" s="324">
        <v>0</v>
      </c>
      <c r="AF650" s="324" t="s">
        <v>549</v>
      </c>
      <c r="AG650" s="324">
        <v>67500</v>
      </c>
      <c r="AH650" s="324">
        <v>67500</v>
      </c>
      <c r="AI650" s="324" t="s">
        <v>55</v>
      </c>
      <c r="AJ650" s="324">
        <v>67500</v>
      </c>
      <c r="AK650" s="324" t="s">
        <v>55</v>
      </c>
      <c r="AL650" s="324" t="s">
        <v>55</v>
      </c>
      <c r="AM650" s="324" t="s">
        <v>55</v>
      </c>
    </row>
    <row r="651" spans="1:39" s="324" customFormat="1" ht="0.65" hidden="1" customHeight="1">
      <c r="A651" s="324">
        <v>2191</v>
      </c>
      <c r="G651" s="324">
        <v>2024</v>
      </c>
      <c r="H651" s="324" t="s">
        <v>645</v>
      </c>
      <c r="I651" s="324" t="s">
        <v>645</v>
      </c>
      <c r="J651" s="324" t="s">
        <v>645</v>
      </c>
      <c r="K651" s="324" t="s">
        <v>645</v>
      </c>
      <c r="M651" s="324" t="s">
        <v>459</v>
      </c>
      <c r="N651" s="324" t="s">
        <v>645</v>
      </c>
      <c r="AA651" s="324">
        <v>18</v>
      </c>
      <c r="AB651" s="324" t="s">
        <v>645</v>
      </c>
      <c r="AC651" s="324" t="s">
        <v>55</v>
      </c>
      <c r="AD651" s="324" t="s">
        <v>55</v>
      </c>
      <c r="AE651" s="324">
        <v>0</v>
      </c>
      <c r="AF651" s="324" t="s">
        <v>552</v>
      </c>
      <c r="AG651" s="324">
        <v>67500</v>
      </c>
      <c r="AH651" s="324">
        <v>67500</v>
      </c>
      <c r="AI651" s="324" t="s">
        <v>55</v>
      </c>
      <c r="AJ651" s="324">
        <v>67500</v>
      </c>
      <c r="AK651" s="324" t="s">
        <v>55</v>
      </c>
      <c r="AL651" s="324" t="s">
        <v>55</v>
      </c>
      <c r="AM651" s="324" t="s">
        <v>55</v>
      </c>
    </row>
    <row r="652" spans="1:39" s="324" customFormat="1" ht="0.65" hidden="1" customHeight="1">
      <c r="A652" s="324">
        <v>2192</v>
      </c>
      <c r="AA652" s="324">
        <v>19</v>
      </c>
      <c r="AB652" s="324" t="s">
        <v>645</v>
      </c>
      <c r="AC652" s="324" t="s">
        <v>55</v>
      </c>
      <c r="AD652" s="324" t="s">
        <v>55</v>
      </c>
      <c r="AE652" s="324">
        <v>0</v>
      </c>
      <c r="AF652" s="324" t="s">
        <v>554</v>
      </c>
      <c r="AG652" s="324">
        <v>67500</v>
      </c>
      <c r="AH652" s="324">
        <v>67500</v>
      </c>
      <c r="AI652" s="324" t="s">
        <v>55</v>
      </c>
      <c r="AJ652" s="324">
        <v>67500</v>
      </c>
      <c r="AK652" s="324" t="s">
        <v>55</v>
      </c>
      <c r="AL652" s="324" t="s">
        <v>55</v>
      </c>
      <c r="AM652" s="324" t="s">
        <v>55</v>
      </c>
    </row>
    <row r="653" spans="1:39" s="324" customFormat="1" ht="0.65" hidden="1" customHeight="1">
      <c r="A653" s="324">
        <v>2193</v>
      </c>
      <c r="O653" s="324" t="s">
        <v>13</v>
      </c>
      <c r="P653" s="324" t="s">
        <v>645</v>
      </c>
      <c r="AA653" s="324">
        <v>20</v>
      </c>
      <c r="AB653" s="324" t="s">
        <v>645</v>
      </c>
      <c r="AC653" s="324" t="s">
        <v>55</v>
      </c>
      <c r="AD653" s="324" t="s">
        <v>55</v>
      </c>
      <c r="AE653" s="324">
        <v>0</v>
      </c>
      <c r="AF653" s="324" t="s">
        <v>557</v>
      </c>
      <c r="AG653" s="324">
        <v>97500</v>
      </c>
      <c r="AH653" s="324">
        <v>97500</v>
      </c>
      <c r="AI653" s="324" t="s">
        <v>55</v>
      </c>
      <c r="AJ653" s="324">
        <v>97500</v>
      </c>
      <c r="AK653" s="324" t="s">
        <v>55</v>
      </c>
      <c r="AL653" s="324" t="s">
        <v>55</v>
      </c>
      <c r="AM653" s="324" t="s">
        <v>55</v>
      </c>
    </row>
    <row r="654" spans="1:39" s="324" customFormat="1" ht="0.65" hidden="1" customHeight="1">
      <c r="A654" s="324">
        <v>2194</v>
      </c>
      <c r="O654" s="324" t="s">
        <v>28</v>
      </c>
      <c r="P654" s="324" t="s">
        <v>645</v>
      </c>
      <c r="AA654" s="324">
        <v>21</v>
      </c>
      <c r="AB654" s="324" t="s">
        <v>645</v>
      </c>
      <c r="AC654" s="324" t="s">
        <v>55</v>
      </c>
      <c r="AD654" s="324" t="s">
        <v>55</v>
      </c>
      <c r="AE654" s="324">
        <v>0</v>
      </c>
      <c r="AF654" s="324" t="s">
        <v>560</v>
      </c>
      <c r="AG654" s="324">
        <v>97500</v>
      </c>
      <c r="AH654" s="324">
        <v>97500</v>
      </c>
      <c r="AI654" s="324" t="s">
        <v>55</v>
      </c>
      <c r="AJ654" s="324">
        <v>97500</v>
      </c>
      <c r="AK654" s="324" t="s">
        <v>55</v>
      </c>
      <c r="AL654" s="324" t="s">
        <v>55</v>
      </c>
      <c r="AM654" s="324" t="s">
        <v>55</v>
      </c>
    </row>
    <row r="655" spans="1:39" s="324" customFormat="1" ht="0.65" hidden="1" customHeight="1">
      <c r="A655" s="324">
        <v>2195</v>
      </c>
      <c r="O655" s="324" t="s">
        <v>29</v>
      </c>
      <c r="AA655" s="324">
        <v>22</v>
      </c>
      <c r="AB655" s="324" t="s">
        <v>645</v>
      </c>
      <c r="AC655" s="324" t="s">
        <v>55</v>
      </c>
      <c r="AD655" s="324" t="s">
        <v>55</v>
      </c>
      <c r="AE655" s="324">
        <v>0</v>
      </c>
      <c r="AF655" s="324" t="s">
        <v>562</v>
      </c>
      <c r="AG655" s="324">
        <v>97500</v>
      </c>
      <c r="AH655" s="324">
        <v>97500</v>
      </c>
      <c r="AI655" s="324" t="s">
        <v>55</v>
      </c>
      <c r="AJ655" s="324">
        <v>97500</v>
      </c>
      <c r="AK655" s="324" t="s">
        <v>55</v>
      </c>
      <c r="AL655" s="324" t="s">
        <v>55</v>
      </c>
      <c r="AM655" s="324" t="s">
        <v>55</v>
      </c>
    </row>
    <row r="656" spans="1:39" s="324" customFormat="1" ht="0.65" hidden="1" customHeight="1">
      <c r="A656" s="324">
        <v>2196</v>
      </c>
      <c r="O656" s="324" t="s">
        <v>30</v>
      </c>
      <c r="AA656" s="324">
        <v>23</v>
      </c>
      <c r="AB656" s="324" t="s">
        <v>645</v>
      </c>
      <c r="AC656" s="324" t="s">
        <v>55</v>
      </c>
      <c r="AD656" s="324" t="s">
        <v>55</v>
      </c>
      <c r="AE656" s="324">
        <v>0</v>
      </c>
      <c r="AF656" s="324" t="s">
        <v>565</v>
      </c>
      <c r="AG656" s="324">
        <v>30000</v>
      </c>
      <c r="AH656" s="324">
        <v>30000</v>
      </c>
      <c r="AI656" s="324" t="s">
        <v>55</v>
      </c>
      <c r="AJ656" s="324">
        <v>30000</v>
      </c>
      <c r="AK656" s="324" t="s">
        <v>55</v>
      </c>
      <c r="AL656" s="324" t="s">
        <v>55</v>
      </c>
      <c r="AM656" s="324" t="s">
        <v>55</v>
      </c>
    </row>
    <row r="657" spans="1:39" s="324" customFormat="1" ht="0.65" hidden="1" customHeight="1">
      <c r="A657" s="324">
        <v>2197</v>
      </c>
      <c r="AA657" s="324">
        <v>24</v>
      </c>
      <c r="AB657" s="324" t="s">
        <v>645</v>
      </c>
      <c r="AC657" s="324" t="s">
        <v>55</v>
      </c>
      <c r="AD657" s="324" t="s">
        <v>55</v>
      </c>
      <c r="AE657" s="324">
        <v>0</v>
      </c>
      <c r="AF657" s="324" t="s">
        <v>568</v>
      </c>
      <c r="AG657" s="324">
        <v>30000</v>
      </c>
      <c r="AH657" s="324">
        <v>30000</v>
      </c>
      <c r="AI657" s="324" t="s">
        <v>55</v>
      </c>
      <c r="AJ657" s="324">
        <v>30000</v>
      </c>
      <c r="AK657" s="324" t="s">
        <v>55</v>
      </c>
      <c r="AL657" s="324" t="s">
        <v>55</v>
      </c>
      <c r="AM657" s="324" t="s">
        <v>55</v>
      </c>
    </row>
    <row r="658" spans="1:39" s="324" customFormat="1" ht="0.65" hidden="1" customHeight="1">
      <c r="A658" s="324">
        <v>2198</v>
      </c>
      <c r="AA658" s="324">
        <v>25</v>
      </c>
      <c r="AB658" s="324" t="s">
        <v>645</v>
      </c>
      <c r="AC658" s="324" t="s">
        <v>55</v>
      </c>
      <c r="AD658" s="324" t="s">
        <v>55</v>
      </c>
      <c r="AE658" s="324">
        <v>0</v>
      </c>
      <c r="AF658" s="324" t="s">
        <v>570</v>
      </c>
      <c r="AG658" s="324">
        <v>30000</v>
      </c>
      <c r="AH658" s="324">
        <v>30000</v>
      </c>
      <c r="AI658" s="324" t="s">
        <v>55</v>
      </c>
      <c r="AJ658" s="324">
        <v>30000</v>
      </c>
      <c r="AK658" s="324" t="s">
        <v>55</v>
      </c>
      <c r="AL658" s="324" t="s">
        <v>55</v>
      </c>
      <c r="AM658" s="324" t="s">
        <v>55</v>
      </c>
    </row>
    <row r="659" spans="1:39" s="324" customFormat="1" ht="0.65" hidden="1" customHeight="1">
      <c r="A659" s="324">
        <v>2199</v>
      </c>
      <c r="AA659" s="324">
        <v>26</v>
      </c>
      <c r="AB659" s="324" t="s">
        <v>645</v>
      </c>
      <c r="AC659" s="324" t="s">
        <v>55</v>
      </c>
      <c r="AD659" s="324" t="s">
        <v>55</v>
      </c>
      <c r="AE659" s="324">
        <v>0</v>
      </c>
      <c r="AF659" s="324" t="s">
        <v>572</v>
      </c>
      <c r="AG659" s="324">
        <v>40000</v>
      </c>
      <c r="AH659" s="324">
        <v>40000</v>
      </c>
      <c r="AI659" s="324" t="s">
        <v>55</v>
      </c>
      <c r="AJ659" s="324">
        <v>40000</v>
      </c>
      <c r="AK659" s="324" t="s">
        <v>55</v>
      </c>
      <c r="AL659" s="324" t="s">
        <v>55</v>
      </c>
      <c r="AM659" s="324" t="s">
        <v>55</v>
      </c>
    </row>
    <row r="660" spans="1:39" s="324" customFormat="1" ht="0.65" hidden="1" customHeight="1">
      <c r="A660" s="324">
        <v>2200</v>
      </c>
      <c r="AA660" s="324">
        <v>27</v>
      </c>
      <c r="AB660" s="324" t="s">
        <v>645</v>
      </c>
      <c r="AC660" s="324" t="s">
        <v>55</v>
      </c>
      <c r="AD660" s="324" t="s">
        <v>55</v>
      </c>
      <c r="AE660" s="324">
        <v>0</v>
      </c>
      <c r="AF660" s="324" t="s">
        <v>575</v>
      </c>
      <c r="AG660" s="324">
        <v>40000</v>
      </c>
      <c r="AH660" s="324">
        <v>40000</v>
      </c>
      <c r="AI660" s="324" t="s">
        <v>55</v>
      </c>
      <c r="AJ660" s="324">
        <v>40000</v>
      </c>
      <c r="AK660" s="324" t="s">
        <v>55</v>
      </c>
      <c r="AL660" s="324" t="s">
        <v>55</v>
      </c>
      <c r="AM660" s="324" t="s">
        <v>55</v>
      </c>
    </row>
    <row r="661" spans="1:39" s="324" customFormat="1" ht="0.65" hidden="1" customHeight="1">
      <c r="A661" s="324">
        <v>2201</v>
      </c>
      <c r="AA661" s="324">
        <v>28</v>
      </c>
      <c r="AB661" s="324" t="s">
        <v>645</v>
      </c>
      <c r="AC661" s="324" t="s">
        <v>55</v>
      </c>
      <c r="AD661" s="324" t="s">
        <v>55</v>
      </c>
      <c r="AE661" s="324">
        <v>0</v>
      </c>
      <c r="AF661" s="324" t="s">
        <v>577</v>
      </c>
      <c r="AG661" s="324">
        <v>40000</v>
      </c>
      <c r="AH661" s="324">
        <v>40000</v>
      </c>
      <c r="AI661" s="324" t="s">
        <v>55</v>
      </c>
      <c r="AJ661" s="324">
        <v>40000</v>
      </c>
      <c r="AK661" s="324" t="s">
        <v>55</v>
      </c>
      <c r="AL661" s="324" t="s">
        <v>55</v>
      </c>
      <c r="AM661" s="324" t="s">
        <v>55</v>
      </c>
    </row>
    <row r="662" spans="1:39" s="324" customFormat="1" ht="0.65" hidden="1" customHeight="1">
      <c r="A662" s="324">
        <v>2202</v>
      </c>
      <c r="AA662" s="324">
        <v>29</v>
      </c>
      <c r="AB662" s="324" t="s">
        <v>645</v>
      </c>
      <c r="AC662" s="324" t="s">
        <v>55</v>
      </c>
      <c r="AD662" s="324" t="s">
        <v>55</v>
      </c>
      <c r="AE662" s="324">
        <v>0</v>
      </c>
      <c r="AF662" s="324" t="s">
        <v>579</v>
      </c>
      <c r="AG662" s="324">
        <v>-10000</v>
      </c>
      <c r="AH662" s="324">
        <v>-10000</v>
      </c>
      <c r="AI662" s="324" t="s">
        <v>55</v>
      </c>
      <c r="AJ662" s="324">
        <v>-10000</v>
      </c>
      <c r="AK662" s="324" t="s">
        <v>55</v>
      </c>
      <c r="AL662" s="324" t="s">
        <v>55</v>
      </c>
      <c r="AM662" s="324" t="s">
        <v>55</v>
      </c>
    </row>
    <row r="663" spans="1:39" s="324" customFormat="1" ht="0.65" hidden="1" customHeight="1">
      <c r="A663" s="324">
        <v>2203</v>
      </c>
      <c r="AA663" s="324">
        <v>30</v>
      </c>
      <c r="AB663" s="324" t="s">
        <v>645</v>
      </c>
      <c r="AC663" s="324" t="s">
        <v>55</v>
      </c>
      <c r="AD663" s="324" t="s">
        <v>55</v>
      </c>
      <c r="AE663" s="324">
        <v>0</v>
      </c>
      <c r="AF663" s="324" t="s">
        <v>582</v>
      </c>
      <c r="AG663" s="324">
        <v>-10000</v>
      </c>
      <c r="AH663" s="324">
        <v>-10000</v>
      </c>
      <c r="AI663" s="324" t="s">
        <v>55</v>
      </c>
      <c r="AJ663" s="324">
        <v>-10000</v>
      </c>
      <c r="AK663" s="324" t="s">
        <v>55</v>
      </c>
      <c r="AL663" s="324" t="s">
        <v>55</v>
      </c>
      <c r="AM663" s="324" t="s">
        <v>55</v>
      </c>
    </row>
    <row r="664" spans="1:39" s="324" customFormat="1" ht="0.65" hidden="1" customHeight="1">
      <c r="A664" s="324">
        <v>2204</v>
      </c>
      <c r="AA664" s="324">
        <v>31</v>
      </c>
      <c r="AB664" s="324" t="s">
        <v>645</v>
      </c>
      <c r="AC664" s="324" t="s">
        <v>55</v>
      </c>
      <c r="AD664" s="324" t="s">
        <v>55</v>
      </c>
      <c r="AE664" s="324">
        <v>0</v>
      </c>
      <c r="AF664" s="324" t="s">
        <v>584</v>
      </c>
      <c r="AG664" s="324">
        <v>-10000</v>
      </c>
      <c r="AH664" s="324">
        <v>-10000</v>
      </c>
      <c r="AI664" s="324" t="s">
        <v>55</v>
      </c>
      <c r="AJ664" s="324">
        <v>-10000</v>
      </c>
      <c r="AK664" s="324" t="s">
        <v>55</v>
      </c>
      <c r="AL664" s="324" t="s">
        <v>55</v>
      </c>
      <c r="AM664" s="324" t="s">
        <v>55</v>
      </c>
    </row>
    <row r="665" spans="1:39" s="324" customFormat="1" ht="0.65" hidden="1" customHeight="1">
      <c r="A665" s="324">
        <v>2205</v>
      </c>
      <c r="AA665" s="324">
        <v>32</v>
      </c>
      <c r="AB665" s="324" t="s">
        <v>645</v>
      </c>
      <c r="AC665" s="324" t="s">
        <v>55</v>
      </c>
      <c r="AD665" s="324" t="s">
        <v>55</v>
      </c>
      <c r="AE665" s="324">
        <v>0</v>
      </c>
      <c r="AF665" s="324" t="s">
        <v>586</v>
      </c>
      <c r="AG665" s="324">
        <v>-10000</v>
      </c>
      <c r="AH665" s="324">
        <v>-10000</v>
      </c>
      <c r="AI665" s="324" t="s">
        <v>55</v>
      </c>
      <c r="AJ665" s="324">
        <v>-10000</v>
      </c>
      <c r="AK665" s="324" t="s">
        <v>55</v>
      </c>
      <c r="AL665" s="324" t="s">
        <v>55</v>
      </c>
      <c r="AM665" s="324" t="s">
        <v>55</v>
      </c>
    </row>
    <row r="666" spans="1:39" s="324" customFormat="1" ht="0.65" hidden="1" customHeight="1">
      <c r="A666" s="324">
        <v>2206</v>
      </c>
      <c r="AA666" s="324">
        <v>33</v>
      </c>
      <c r="AB666" s="324" t="s">
        <v>645</v>
      </c>
      <c r="AC666" s="324" t="s">
        <v>55</v>
      </c>
      <c r="AD666" s="324" t="s">
        <v>55</v>
      </c>
      <c r="AE666" s="324">
        <v>0</v>
      </c>
      <c r="AF666" s="324" t="s">
        <v>589</v>
      </c>
      <c r="AG666" s="324">
        <v>0</v>
      </c>
      <c r="AH666" s="324">
        <v>0</v>
      </c>
      <c r="AI666" s="324" t="s">
        <v>55</v>
      </c>
      <c r="AJ666" s="324">
        <v>0</v>
      </c>
      <c r="AK666" s="324" t="s">
        <v>55</v>
      </c>
      <c r="AL666" s="324" t="s">
        <v>55</v>
      </c>
      <c r="AM666" s="324" t="s">
        <v>55</v>
      </c>
    </row>
    <row r="667" spans="1:39" s="324" customFormat="1" ht="0.65" hidden="1" customHeight="1">
      <c r="A667" s="324">
        <v>2207</v>
      </c>
      <c r="AA667" s="324">
        <v>34</v>
      </c>
      <c r="AB667" s="324" t="s">
        <v>645</v>
      </c>
      <c r="AC667" s="324" t="s">
        <v>55</v>
      </c>
      <c r="AD667" s="324" t="s">
        <v>55</v>
      </c>
      <c r="AE667" s="324">
        <v>0</v>
      </c>
      <c r="AF667" s="324" t="s">
        <v>590</v>
      </c>
      <c r="AG667" s="324">
        <v>0</v>
      </c>
      <c r="AH667" s="324">
        <v>0</v>
      </c>
      <c r="AI667" s="324" t="s">
        <v>55</v>
      </c>
      <c r="AJ667" s="324">
        <v>0</v>
      </c>
      <c r="AK667" s="324" t="s">
        <v>55</v>
      </c>
      <c r="AL667" s="324" t="s">
        <v>55</v>
      </c>
      <c r="AM667" s="324" t="s">
        <v>55</v>
      </c>
    </row>
    <row r="668" spans="1:39" s="324" customFormat="1" ht="0.65" hidden="1" customHeight="1">
      <c r="A668" s="324">
        <v>2208</v>
      </c>
      <c r="AA668" s="324">
        <v>35</v>
      </c>
      <c r="AB668" s="324" t="s">
        <v>645</v>
      </c>
      <c r="AC668" s="324" t="s">
        <v>55</v>
      </c>
      <c r="AD668" s="324" t="s">
        <v>55</v>
      </c>
      <c r="AE668" s="324">
        <v>0</v>
      </c>
      <c r="AF668" s="324" t="s">
        <v>592</v>
      </c>
      <c r="AG668" s="324">
        <v>107500</v>
      </c>
      <c r="AH668" s="324">
        <v>107500</v>
      </c>
      <c r="AI668" s="324" t="s">
        <v>55</v>
      </c>
      <c r="AJ668" s="324">
        <v>107500</v>
      </c>
      <c r="AK668" s="324" t="s">
        <v>55</v>
      </c>
      <c r="AL668" s="324" t="s">
        <v>55</v>
      </c>
      <c r="AM668" s="324" t="s">
        <v>55</v>
      </c>
    </row>
    <row r="669" spans="1:39" s="324" customFormat="1" ht="0.65" hidden="1" customHeight="1">
      <c r="A669" s="324">
        <v>2209</v>
      </c>
      <c r="AA669" s="324">
        <v>36</v>
      </c>
      <c r="AB669" s="324" t="s">
        <v>645</v>
      </c>
      <c r="AC669" s="324" t="s">
        <v>55</v>
      </c>
      <c r="AD669" s="324" t="s">
        <v>55</v>
      </c>
      <c r="AE669" s="324">
        <v>0</v>
      </c>
      <c r="AF669" s="324" t="s">
        <v>595</v>
      </c>
      <c r="AG669" s="324">
        <v>97500</v>
      </c>
      <c r="AH669" s="324">
        <v>97500</v>
      </c>
      <c r="AI669" s="324" t="s">
        <v>55</v>
      </c>
      <c r="AJ669" s="324">
        <v>97500</v>
      </c>
      <c r="AK669" s="324" t="s">
        <v>55</v>
      </c>
      <c r="AL669" s="324" t="s">
        <v>55</v>
      </c>
      <c r="AM669" s="324" t="s">
        <v>55</v>
      </c>
    </row>
    <row r="670" spans="1:39" s="324" customFormat="1" ht="0.65" hidden="1" customHeight="1">
      <c r="A670" s="324">
        <v>2210</v>
      </c>
      <c r="AA670" s="324">
        <v>37</v>
      </c>
      <c r="AB670" s="324" t="s">
        <v>645</v>
      </c>
      <c r="AC670" s="324" t="s">
        <v>55</v>
      </c>
      <c r="AD670" s="324" t="s">
        <v>55</v>
      </c>
      <c r="AE670" s="324">
        <v>0</v>
      </c>
      <c r="AF670" s="324" t="s">
        <v>598</v>
      </c>
      <c r="AG670" s="324">
        <v>97500</v>
      </c>
      <c r="AH670" s="324">
        <v>97500</v>
      </c>
      <c r="AI670" s="324" t="s">
        <v>55</v>
      </c>
      <c r="AJ670" s="324">
        <v>97500</v>
      </c>
      <c r="AK670" s="324" t="s">
        <v>55</v>
      </c>
      <c r="AL670" s="324" t="s">
        <v>55</v>
      </c>
      <c r="AM670" s="324" t="s">
        <v>55</v>
      </c>
    </row>
    <row r="671" spans="1:39" s="324" customFormat="1" ht="0.65" hidden="1" customHeight="1">
      <c r="A671" s="324">
        <v>2211</v>
      </c>
      <c r="AA671" s="324">
        <v>38</v>
      </c>
      <c r="AB671" s="324" t="s">
        <v>645</v>
      </c>
      <c r="AC671" s="324" t="s">
        <v>55</v>
      </c>
      <c r="AD671" s="324" t="s">
        <v>55</v>
      </c>
      <c r="AE671" s="324">
        <v>0</v>
      </c>
      <c r="AF671" s="324" t="s">
        <v>491</v>
      </c>
      <c r="AG671" s="324">
        <v>388125</v>
      </c>
      <c r="AH671" s="324">
        <v>388125</v>
      </c>
      <c r="AI671" s="324" t="s">
        <v>55</v>
      </c>
      <c r="AJ671" s="324">
        <v>388125</v>
      </c>
      <c r="AK671" s="324" t="s">
        <v>55</v>
      </c>
      <c r="AL671" s="324" t="s">
        <v>55</v>
      </c>
      <c r="AM671" s="324" t="s">
        <v>55</v>
      </c>
    </row>
    <row r="672" spans="1:39" s="324" customFormat="1" ht="0.65" hidden="1" customHeight="1">
      <c r="A672" s="324">
        <v>2212</v>
      </c>
      <c r="AA672" s="324">
        <v>39</v>
      </c>
      <c r="AB672" s="324" t="s">
        <v>645</v>
      </c>
      <c r="AC672" s="324" t="s">
        <v>55</v>
      </c>
      <c r="AD672" s="324" t="s">
        <v>55</v>
      </c>
      <c r="AE672" s="324">
        <v>0</v>
      </c>
      <c r="AF672" s="324" t="s">
        <v>493</v>
      </c>
      <c r="AG672" s="324">
        <v>-10000</v>
      </c>
      <c r="AH672" s="324">
        <v>-10000</v>
      </c>
      <c r="AI672" s="324" t="s">
        <v>55</v>
      </c>
      <c r="AJ672" s="324">
        <v>-10000</v>
      </c>
      <c r="AK672" s="324" t="s">
        <v>55</v>
      </c>
      <c r="AL672" s="324" t="s">
        <v>55</v>
      </c>
      <c r="AM672" s="324" t="s">
        <v>55</v>
      </c>
    </row>
    <row r="673" spans="1:39" s="324" customFormat="1" ht="0.65" hidden="1" customHeight="1">
      <c r="A673" s="324">
        <v>2213</v>
      </c>
      <c r="AA673" s="324">
        <v>40</v>
      </c>
      <c r="AB673" s="324" t="s">
        <v>645</v>
      </c>
      <c r="AC673" s="324" t="s">
        <v>55</v>
      </c>
      <c r="AD673" s="324" t="s">
        <v>55</v>
      </c>
      <c r="AE673" s="324">
        <v>0</v>
      </c>
      <c r="AF673" s="324" t="s">
        <v>494</v>
      </c>
      <c r="AG673" s="324">
        <v>378125</v>
      </c>
      <c r="AH673" s="324">
        <v>378125</v>
      </c>
      <c r="AI673" s="324" t="s">
        <v>55</v>
      </c>
      <c r="AJ673" s="324">
        <v>378125</v>
      </c>
      <c r="AK673" s="324" t="s">
        <v>55</v>
      </c>
      <c r="AL673" s="324" t="s">
        <v>55</v>
      </c>
      <c r="AM673" s="324" t="s">
        <v>55</v>
      </c>
    </row>
    <row r="674" spans="1:39" s="324" customFormat="1" ht="0.65" hidden="1" customHeight="1">
      <c r="A674" s="324">
        <v>2214</v>
      </c>
      <c r="AA674" s="324">
        <v>41</v>
      </c>
      <c r="AB674" s="324" t="s">
        <v>645</v>
      </c>
      <c r="AC674" s="324" t="s">
        <v>55</v>
      </c>
      <c r="AD674" s="324" t="s">
        <v>55</v>
      </c>
      <c r="AE674" s="324">
        <v>0</v>
      </c>
      <c r="AF674" s="324" t="s">
        <v>607</v>
      </c>
      <c r="AG674" s="324">
        <v>-543750</v>
      </c>
      <c r="AH674" s="324">
        <v>-543750</v>
      </c>
      <c r="AI674" s="324" t="s">
        <v>55</v>
      </c>
      <c r="AJ674" s="324">
        <v>-543750</v>
      </c>
      <c r="AK674" s="324" t="s">
        <v>55</v>
      </c>
      <c r="AL674" s="324" t="s">
        <v>55</v>
      </c>
      <c r="AM674" s="324" t="s">
        <v>55</v>
      </c>
    </row>
    <row r="675" spans="1:39" s="324" customFormat="1" ht="0.65" hidden="1" customHeight="1">
      <c r="A675" s="324">
        <v>2215</v>
      </c>
      <c r="AA675" s="324">
        <v>42</v>
      </c>
      <c r="AB675" s="324" t="s">
        <v>645</v>
      </c>
      <c r="AC675" s="324" t="s">
        <v>55</v>
      </c>
      <c r="AD675" s="324" t="s">
        <v>55</v>
      </c>
      <c r="AE675" s="324">
        <v>0</v>
      </c>
      <c r="AF675" s="324" t="s">
        <v>610</v>
      </c>
      <c r="AG675" s="324">
        <v>107500</v>
      </c>
      <c r="AH675" s="324">
        <v>107500</v>
      </c>
      <c r="AI675" s="324" t="s">
        <v>55</v>
      </c>
      <c r="AJ675" s="324">
        <v>107500</v>
      </c>
      <c r="AK675" s="324" t="s">
        <v>55</v>
      </c>
      <c r="AL675" s="324" t="s">
        <v>55</v>
      </c>
      <c r="AM675" s="324" t="s">
        <v>55</v>
      </c>
    </row>
    <row r="676" spans="1:39" s="324" customFormat="1" ht="0.65" hidden="1" customHeight="1">
      <c r="A676" s="324">
        <v>2216</v>
      </c>
      <c r="AA676" s="324">
        <v>43</v>
      </c>
      <c r="AB676" s="324" t="s">
        <v>645</v>
      </c>
      <c r="AC676" s="324" t="s">
        <v>55</v>
      </c>
      <c r="AD676" s="324" t="s">
        <v>55</v>
      </c>
      <c r="AE676" s="324">
        <v>0</v>
      </c>
      <c r="AF676" s="324" t="s">
        <v>611</v>
      </c>
      <c r="AG676" s="324">
        <v>97500</v>
      </c>
      <c r="AH676" s="324">
        <v>97500</v>
      </c>
      <c r="AI676" s="324" t="s">
        <v>55</v>
      </c>
      <c r="AJ676" s="324">
        <v>97500</v>
      </c>
      <c r="AK676" s="324" t="s">
        <v>55</v>
      </c>
      <c r="AL676" s="324" t="s">
        <v>55</v>
      </c>
      <c r="AM676" s="324" t="s">
        <v>55</v>
      </c>
    </row>
    <row r="677" spans="1:39" s="324" customFormat="1" ht="0.65" hidden="1" customHeight="1">
      <c r="A677" s="324">
        <v>2217</v>
      </c>
      <c r="AA677" s="324">
        <v>44</v>
      </c>
      <c r="AB677" s="324" t="s">
        <v>645</v>
      </c>
      <c r="AC677" s="324" t="s">
        <v>55</v>
      </c>
      <c r="AD677" s="324" t="s">
        <v>55</v>
      </c>
      <c r="AE677" s="324">
        <v>0</v>
      </c>
      <c r="AF677" s="324" t="s">
        <v>612</v>
      </c>
      <c r="AG677" s="324">
        <v>475625</v>
      </c>
      <c r="AH677" s="324">
        <v>475625</v>
      </c>
      <c r="AI677" s="324" t="s">
        <v>55</v>
      </c>
      <c r="AJ677" s="324">
        <v>475625</v>
      </c>
      <c r="AK677" s="324" t="s">
        <v>55</v>
      </c>
      <c r="AL677" s="324" t="s">
        <v>55</v>
      </c>
      <c r="AM677" s="324" t="s">
        <v>55</v>
      </c>
    </row>
    <row r="678" spans="1:39" s="324" customFormat="1" ht="0.65" hidden="1" customHeight="1">
      <c r="A678" s="324">
        <v>2218</v>
      </c>
      <c r="AA678" s="324">
        <v>45</v>
      </c>
      <c r="AB678" s="324" t="s">
        <v>645</v>
      </c>
      <c r="AC678" s="324" t="s">
        <v>55</v>
      </c>
      <c r="AD678" s="324" t="s">
        <v>55</v>
      </c>
      <c r="AE678" s="324">
        <v>0</v>
      </c>
      <c r="AF678" s="324" t="s">
        <v>124</v>
      </c>
      <c r="AG678" s="324">
        <v>4.4999999999999998E-2</v>
      </c>
      <c r="AH678" s="324">
        <v>4.4999999999999998E-2</v>
      </c>
      <c r="AI678" s="324" t="s">
        <v>55</v>
      </c>
      <c r="AJ678" s="324">
        <v>4.4999999999999998E-2</v>
      </c>
      <c r="AK678" s="324" t="s">
        <v>55</v>
      </c>
      <c r="AL678" s="324" t="s">
        <v>55</v>
      </c>
      <c r="AM678" s="324" t="s">
        <v>55</v>
      </c>
    </row>
    <row r="679" spans="1:39" s="324" customFormat="1" ht="0.65" hidden="1" customHeight="1">
      <c r="A679" s="324">
        <v>2219</v>
      </c>
      <c r="AA679" s="324">
        <v>46</v>
      </c>
      <c r="AB679" s="324" t="s">
        <v>645</v>
      </c>
      <c r="AC679" s="324" t="s">
        <v>55</v>
      </c>
      <c r="AD679" s="324" t="s">
        <v>55</v>
      </c>
      <c r="AE679" s="324">
        <v>0</v>
      </c>
      <c r="AF679" s="324" t="s">
        <v>125</v>
      </c>
      <c r="AG679" s="324">
        <v>0.08</v>
      </c>
      <c r="AH679" s="324">
        <v>0.08</v>
      </c>
      <c r="AI679" s="324" t="s">
        <v>55</v>
      </c>
      <c r="AJ679" s="324">
        <v>0.08</v>
      </c>
      <c r="AK679" s="324" t="s">
        <v>55</v>
      </c>
      <c r="AL679" s="324" t="s">
        <v>55</v>
      </c>
      <c r="AM679" s="324" t="s">
        <v>55</v>
      </c>
    </row>
    <row r="680" spans="1:39" s="324" customFormat="1" ht="0.65" hidden="1" customHeight="1">
      <c r="A680" s="324">
        <v>2220</v>
      </c>
      <c r="AA680" s="324">
        <v>47</v>
      </c>
      <c r="AB680" s="324" t="s">
        <v>645</v>
      </c>
      <c r="AC680" s="324" t="s">
        <v>55</v>
      </c>
      <c r="AD680" s="324" t="s">
        <v>55</v>
      </c>
      <c r="AE680" s="324">
        <v>0</v>
      </c>
      <c r="AF680" s="324" t="s">
        <v>126</v>
      </c>
      <c r="AG680" s="324">
        <v>5.3749999999999999E-2</v>
      </c>
      <c r="AH680" s="324">
        <v>5.3750000000000006E-2</v>
      </c>
      <c r="AI680" s="324" t="s">
        <v>55</v>
      </c>
      <c r="AJ680" s="324">
        <v>5.3749999999999999E-2</v>
      </c>
      <c r="AK680" s="324" t="s">
        <v>55</v>
      </c>
      <c r="AL680" s="324" t="s">
        <v>55</v>
      </c>
      <c r="AM680" s="324" t="s">
        <v>55</v>
      </c>
    </row>
    <row r="681" spans="1:39" s="324" customFormat="1" ht="0.65" hidden="1" customHeight="1">
      <c r="A681" s="324">
        <v>2221</v>
      </c>
      <c r="AA681" s="324">
        <v>48</v>
      </c>
      <c r="AB681" s="324" t="s">
        <v>645</v>
      </c>
      <c r="AC681" s="324" t="s">
        <v>55</v>
      </c>
      <c r="AD681" s="324" t="s">
        <v>55</v>
      </c>
      <c r="AE681" s="324">
        <v>0</v>
      </c>
      <c r="AF681" s="324" t="s">
        <v>13</v>
      </c>
      <c r="AG681" s="324">
        <v>52565.582461407641</v>
      </c>
      <c r="AH681" s="324">
        <v>52565.582461407641</v>
      </c>
      <c r="AI681" s="324" t="s">
        <v>55</v>
      </c>
      <c r="AJ681" s="324">
        <v>52565.582461407641</v>
      </c>
      <c r="AK681" s="324" t="s">
        <v>55</v>
      </c>
      <c r="AL681" s="324" t="s">
        <v>55</v>
      </c>
      <c r="AM681" s="324" t="s">
        <v>55</v>
      </c>
    </row>
    <row r="682" spans="1:39" s="324" customFormat="1" ht="0.65" hidden="1" customHeight="1">
      <c r="A682" s="324">
        <v>2222</v>
      </c>
      <c r="AA682" s="324">
        <v>49</v>
      </c>
      <c r="AB682" s="324" t="s">
        <v>645</v>
      </c>
      <c r="AC682" s="324" t="s">
        <v>55</v>
      </c>
      <c r="AD682" s="324" t="s">
        <v>55</v>
      </c>
      <c r="AE682" s="324">
        <v>0</v>
      </c>
      <c r="AF682" s="324" t="s">
        <v>28</v>
      </c>
      <c r="AG682" s="324">
        <v>9.3380333972086005E-2</v>
      </c>
      <c r="AH682" s="324">
        <v>9.3380333972086005E-2</v>
      </c>
      <c r="AI682" s="324" t="s">
        <v>55</v>
      </c>
      <c r="AJ682" s="324">
        <v>9.3380333972086005E-2</v>
      </c>
      <c r="AK682" s="324" t="s">
        <v>55</v>
      </c>
      <c r="AL682" s="324" t="s">
        <v>55</v>
      </c>
      <c r="AM682" s="324" t="s">
        <v>55</v>
      </c>
    </row>
    <row r="683" spans="1:39" s="324" customFormat="1" ht="0.65" hidden="1" customHeight="1">
      <c r="A683" s="324">
        <v>2223</v>
      </c>
      <c r="AH683" s="324" t="s">
        <v>207</v>
      </c>
      <c r="AI683" s="324">
        <v>0</v>
      </c>
      <c r="AJ683" s="324" t="s">
        <v>207</v>
      </c>
      <c r="AK683" s="324">
        <v>0</v>
      </c>
    </row>
    <row r="684" spans="1:39" s="324" customFormat="1" ht="0.65" hidden="1" customHeight="1"/>
    <row r="685" spans="1:39" s="324" customFormat="1" ht="0.65" hidden="1" customHeight="1"/>
    <row r="686" spans="1:39" s="324" customFormat="1" ht="0.65" hidden="1" customHeight="1"/>
    <row r="687" spans="1:39" s="324" customFormat="1" ht="0.65" hidden="1" customHeight="1">
      <c r="B687" s="324" t="s">
        <v>19</v>
      </c>
      <c r="D687" s="324" t="s">
        <v>336</v>
      </c>
      <c r="E687" s="324">
        <v>3</v>
      </c>
    </row>
    <row r="688" spans="1:39" s="324" customFormat="1" ht="0.65" hidden="1" customHeight="1">
      <c r="B688" s="324" t="s">
        <v>3951</v>
      </c>
      <c r="D688" s="324" t="s">
        <v>336</v>
      </c>
      <c r="E688" s="324" t="s">
        <v>486</v>
      </c>
      <c r="H688" s="324" t="s">
        <v>55</v>
      </c>
      <c r="I688" s="324" t="s">
        <v>55</v>
      </c>
      <c r="J688" s="324" t="s">
        <v>55</v>
      </c>
      <c r="K688" s="324" t="s">
        <v>55</v>
      </c>
      <c r="L688" s="324" t="s">
        <v>55</v>
      </c>
      <c r="M688" s="324" t="s">
        <v>55</v>
      </c>
      <c r="N688" s="324" t="s">
        <v>55</v>
      </c>
      <c r="O688" s="324" t="s">
        <v>55</v>
      </c>
      <c r="P688" s="324" t="s">
        <v>55</v>
      </c>
    </row>
    <row r="689" spans="1:33" s="324" customFormat="1" ht="0.65" hidden="1" customHeight="1">
      <c r="A689" s="324">
        <v>3001</v>
      </c>
      <c r="C689" s="324" t="s">
        <v>5</v>
      </c>
      <c r="D689" s="324">
        <v>2022</v>
      </c>
      <c r="G689" s="324" t="s">
        <v>0</v>
      </c>
      <c r="H689" s="324" t="s">
        <v>69</v>
      </c>
      <c r="I689" s="324" t="s">
        <v>70</v>
      </c>
      <c r="J689" s="324" t="s">
        <v>71</v>
      </c>
      <c r="K689" s="324" t="s">
        <v>72</v>
      </c>
      <c r="L689" s="324" t="s">
        <v>73</v>
      </c>
      <c r="M689" s="324" t="s">
        <v>74</v>
      </c>
      <c r="N689" s="324" t="s">
        <v>75</v>
      </c>
      <c r="O689" s="324" t="s">
        <v>80</v>
      </c>
      <c r="P689" s="324" t="s">
        <v>1</v>
      </c>
      <c r="U689" s="324" t="s">
        <v>151</v>
      </c>
      <c r="AD689" s="324" t="s">
        <v>455</v>
      </c>
    </row>
    <row r="690" spans="1:33" s="324" customFormat="1" ht="0.65" hidden="1" customHeight="1">
      <c r="A690" s="324">
        <v>3002</v>
      </c>
      <c r="G690" s="324">
        <v>2022</v>
      </c>
      <c r="H690" s="324">
        <v>0</v>
      </c>
      <c r="I690" s="324">
        <v>0</v>
      </c>
      <c r="J690" s="324">
        <v>0</v>
      </c>
      <c r="K690" s="324">
        <v>0</v>
      </c>
      <c r="L690" s="324">
        <v>0</v>
      </c>
      <c r="M690" s="324">
        <v>0</v>
      </c>
      <c r="N690" s="324">
        <v>0</v>
      </c>
      <c r="O690" s="324">
        <v>0</v>
      </c>
      <c r="P690" s="324">
        <v>-175000</v>
      </c>
      <c r="AD690" s="324" t="s">
        <v>487</v>
      </c>
    </row>
    <row r="691" spans="1:33" s="324" customFormat="1" ht="0.65" hidden="1" customHeight="1">
      <c r="A691" s="324">
        <v>3003</v>
      </c>
      <c r="C691" s="324" t="s">
        <v>32</v>
      </c>
      <c r="G691" s="324">
        <v>2023</v>
      </c>
      <c r="H691" s="324">
        <v>720000</v>
      </c>
      <c r="I691" s="324">
        <v>576000</v>
      </c>
      <c r="J691" s="324">
        <v>-16666.666666666672</v>
      </c>
      <c r="K691" s="324">
        <v>160666.66666666669</v>
      </c>
      <c r="L691" s="324">
        <v>40166.666666666672</v>
      </c>
      <c r="M691" s="324">
        <v>120500.00000000001</v>
      </c>
      <c r="N691" s="324">
        <v>103833.33333333334</v>
      </c>
      <c r="O691" s="324">
        <v>31833.333333333343</v>
      </c>
      <c r="P691" s="324">
        <v>31833.333333333343</v>
      </c>
      <c r="U691" s="324" t="s">
        <v>152</v>
      </c>
      <c r="Z691" s="324" t="s">
        <v>176</v>
      </c>
      <c r="AA691" s="324">
        <v>149235.38433886995</v>
      </c>
      <c r="AF691" s="324" t="s">
        <v>247</v>
      </c>
    </row>
    <row r="692" spans="1:33" s="324" customFormat="1" ht="0.65" hidden="1" customHeight="1">
      <c r="A692" s="324">
        <v>3004</v>
      </c>
      <c r="C692" s="324" t="s">
        <v>488</v>
      </c>
      <c r="D692" s="324">
        <v>300000</v>
      </c>
      <c r="E692" s="324" t="s">
        <v>55</v>
      </c>
      <c r="G692" s="324">
        <v>2024</v>
      </c>
      <c r="H692" s="324">
        <v>720000</v>
      </c>
      <c r="I692" s="324">
        <v>576000</v>
      </c>
      <c r="J692" s="324">
        <v>-16666.666666666672</v>
      </c>
      <c r="K692" s="324">
        <v>160666.66666666669</v>
      </c>
      <c r="L692" s="324">
        <v>40166.666666666672</v>
      </c>
      <c r="M692" s="324">
        <v>120500.00000000001</v>
      </c>
      <c r="N692" s="324">
        <v>103833.33333333334</v>
      </c>
      <c r="O692" s="324">
        <v>103833.33333333334</v>
      </c>
      <c r="P692" s="324">
        <v>103833.33333333334</v>
      </c>
      <c r="Y692" s="324" t="s">
        <v>139</v>
      </c>
      <c r="Z692" s="324" t="s">
        <v>174</v>
      </c>
      <c r="AF692" s="324" t="s">
        <v>248</v>
      </c>
    </row>
    <row r="693" spans="1:33" s="324" customFormat="1" ht="0.65" hidden="1" customHeight="1">
      <c r="A693" s="324">
        <v>3005</v>
      </c>
      <c r="C693" s="324" t="s">
        <v>6</v>
      </c>
      <c r="D693" s="324">
        <v>6</v>
      </c>
      <c r="G693" s="324">
        <v>2025</v>
      </c>
      <c r="H693" s="324">
        <v>720000</v>
      </c>
      <c r="I693" s="324">
        <v>576000</v>
      </c>
      <c r="J693" s="324">
        <v>-16666.666666666672</v>
      </c>
      <c r="K693" s="324">
        <v>160666.66666666669</v>
      </c>
      <c r="L693" s="324">
        <v>40166.666666666672</v>
      </c>
      <c r="M693" s="324">
        <v>120500.00000000001</v>
      </c>
      <c r="N693" s="324">
        <v>103833.33333333334</v>
      </c>
      <c r="O693" s="324">
        <v>103833.33333333334</v>
      </c>
      <c r="P693" s="324">
        <v>250833.33333333334</v>
      </c>
      <c r="T693" s="324" t="s">
        <v>187</v>
      </c>
      <c r="V693" s="324" t="s">
        <v>180</v>
      </c>
      <c r="X693" s="324" t="s">
        <v>177</v>
      </c>
      <c r="Y693" s="324" t="s">
        <v>173</v>
      </c>
      <c r="Z693" s="324" t="s">
        <v>175</v>
      </c>
      <c r="AA693" s="324" t="s">
        <v>172</v>
      </c>
      <c r="AD693" s="324" t="s">
        <v>177</v>
      </c>
      <c r="AE693" s="324" t="s">
        <v>246</v>
      </c>
      <c r="AF693" s="324" t="s">
        <v>249</v>
      </c>
      <c r="AG693" s="324" t="s">
        <v>462</v>
      </c>
    </row>
    <row r="694" spans="1:33" s="324" customFormat="1" ht="0.65" hidden="1" customHeight="1">
      <c r="A694" s="324">
        <v>3006</v>
      </c>
      <c r="C694" s="324" t="s">
        <v>489</v>
      </c>
      <c r="D694" s="324">
        <v>100000</v>
      </c>
      <c r="H694" s="324" t="s">
        <v>55</v>
      </c>
      <c r="I694" s="324" t="s">
        <v>55</v>
      </c>
      <c r="J694" s="324" t="s">
        <v>55</v>
      </c>
      <c r="K694" s="324" t="s">
        <v>55</v>
      </c>
      <c r="T694" s="324">
        <v>1</v>
      </c>
      <c r="U694" s="324" t="s">
        <v>153</v>
      </c>
      <c r="V694" s="324" t="s">
        <v>178</v>
      </c>
      <c r="W694" s="324" t="s">
        <v>55</v>
      </c>
      <c r="X694" s="324" t="s">
        <v>6</v>
      </c>
      <c r="Y694" s="324">
        <v>6</v>
      </c>
      <c r="Z694" s="324">
        <v>9</v>
      </c>
      <c r="AA694" s="324">
        <v>148493.70481090917</v>
      </c>
      <c r="AB694" s="324" t="s">
        <v>55</v>
      </c>
      <c r="AC694" s="324">
        <v>1</v>
      </c>
      <c r="AD694" s="324" t="s">
        <v>55</v>
      </c>
      <c r="AE694" s="324" t="s">
        <v>55</v>
      </c>
      <c r="AF694" s="324" t="s">
        <v>55</v>
      </c>
      <c r="AG694" s="324" t="s">
        <v>55</v>
      </c>
    </row>
    <row r="695" spans="1:33" s="324" customFormat="1" ht="0.65" hidden="1" customHeight="1">
      <c r="A695" s="324">
        <v>3007</v>
      </c>
      <c r="G695" s="324" t="s">
        <v>0</v>
      </c>
      <c r="H695" s="324" t="s">
        <v>76</v>
      </c>
      <c r="I695" s="324" t="s">
        <v>77</v>
      </c>
      <c r="J695" s="324" t="s">
        <v>78</v>
      </c>
      <c r="K695" s="324" t="s">
        <v>79</v>
      </c>
      <c r="N695" s="324" t="s">
        <v>55</v>
      </c>
      <c r="P695" s="324" t="s">
        <v>55</v>
      </c>
      <c r="T695" s="324">
        <v>2</v>
      </c>
      <c r="U695" s="324" t="s">
        <v>154</v>
      </c>
      <c r="V695" s="324" t="s">
        <v>178</v>
      </c>
      <c r="W695" s="324" t="s">
        <v>55</v>
      </c>
      <c r="X695" s="324" t="s">
        <v>488</v>
      </c>
      <c r="Y695" s="324">
        <v>300000</v>
      </c>
      <c r="Z695" s="324">
        <v>330000</v>
      </c>
      <c r="AA695" s="324">
        <v>125558.7158805035</v>
      </c>
      <c r="AB695" s="324" t="s">
        <v>55</v>
      </c>
    </row>
    <row r="696" spans="1:33" s="324" customFormat="1" ht="0.65" hidden="1" customHeight="1">
      <c r="A696" s="324">
        <v>3008</v>
      </c>
      <c r="C696" s="324" t="s">
        <v>34</v>
      </c>
      <c r="D696" s="324">
        <v>720000</v>
      </c>
      <c r="G696" s="324">
        <v>2022</v>
      </c>
      <c r="H696" s="324">
        <v>0</v>
      </c>
      <c r="I696" s="324">
        <v>0</v>
      </c>
      <c r="J696" s="324">
        <v>0</v>
      </c>
      <c r="K696" s="324">
        <v>0</v>
      </c>
      <c r="M696" s="324" t="s">
        <v>490</v>
      </c>
      <c r="N696" s="324">
        <v>175000</v>
      </c>
      <c r="O696" s="324" t="s">
        <v>124</v>
      </c>
      <c r="P696" s="324">
        <v>4.4999999999999998E-2</v>
      </c>
      <c r="T696" s="324">
        <v>3</v>
      </c>
      <c r="U696" s="324" t="s">
        <v>155</v>
      </c>
      <c r="V696" s="324" t="s">
        <v>178</v>
      </c>
      <c r="W696" s="324" t="s">
        <v>55</v>
      </c>
      <c r="X696" s="324" t="s">
        <v>489</v>
      </c>
      <c r="Y696" s="324">
        <v>100000</v>
      </c>
      <c r="Z696" s="324">
        <v>90000</v>
      </c>
      <c r="AA696" s="324">
        <v>143134.55665562462</v>
      </c>
      <c r="AB696" s="324" t="s">
        <v>55</v>
      </c>
      <c r="AC696" s="324">
        <v>2</v>
      </c>
      <c r="AD696" s="324" t="s">
        <v>55</v>
      </c>
      <c r="AE696" s="324" t="s">
        <v>55</v>
      </c>
      <c r="AF696" s="324" t="s">
        <v>55</v>
      </c>
      <c r="AG696" s="324" t="s">
        <v>55</v>
      </c>
    </row>
    <row r="697" spans="1:33" s="324" customFormat="1" ht="0.65" hidden="1" customHeight="1">
      <c r="A697" s="324">
        <v>3009</v>
      </c>
      <c r="C697" s="324" t="s">
        <v>35</v>
      </c>
      <c r="D697" s="324">
        <v>576000</v>
      </c>
      <c r="G697" s="324">
        <v>2023</v>
      </c>
      <c r="H697" s="324">
        <v>120000</v>
      </c>
      <c r="I697" s="324">
        <v>48000</v>
      </c>
      <c r="J697" s="324">
        <v>72000</v>
      </c>
      <c r="K697" s="324">
        <v>72000</v>
      </c>
      <c r="M697" s="324" t="s">
        <v>491</v>
      </c>
      <c r="N697" s="324">
        <v>75000</v>
      </c>
      <c r="O697" s="324" t="s">
        <v>125</v>
      </c>
      <c r="P697" s="324">
        <v>0.08</v>
      </c>
      <c r="T697" s="324">
        <v>4</v>
      </c>
      <c r="U697" s="324" t="s">
        <v>156</v>
      </c>
      <c r="V697" s="324" t="s">
        <v>179</v>
      </c>
      <c r="W697" s="324" t="s">
        <v>55</v>
      </c>
      <c r="X697" s="324" t="s">
        <v>492</v>
      </c>
      <c r="Y697" s="324">
        <v>100000</v>
      </c>
      <c r="Z697" s="324">
        <v>110000.00000000001</v>
      </c>
      <c r="AA697" s="324">
        <v>156735.38433886995</v>
      </c>
      <c r="AB697" s="324" t="s">
        <v>55</v>
      </c>
    </row>
    <row r="698" spans="1:33" s="324" customFormat="1" ht="0.65" hidden="1" customHeight="1">
      <c r="A698" s="324">
        <v>3010</v>
      </c>
      <c r="G698" s="324">
        <v>2024</v>
      </c>
      <c r="H698" s="324">
        <v>120000</v>
      </c>
      <c r="I698" s="324">
        <v>48000</v>
      </c>
      <c r="J698" s="324">
        <v>72000</v>
      </c>
      <c r="K698" s="324">
        <v>0</v>
      </c>
      <c r="M698" s="324" t="s">
        <v>493</v>
      </c>
      <c r="N698" s="324">
        <v>72000</v>
      </c>
      <c r="O698" s="324" t="s">
        <v>126</v>
      </c>
      <c r="P698" s="324">
        <v>7.1249999999999994E-2</v>
      </c>
      <c r="T698" s="324">
        <v>5</v>
      </c>
      <c r="U698" s="324" t="s">
        <v>157</v>
      </c>
      <c r="V698" s="324" t="s">
        <v>178</v>
      </c>
      <c r="W698" s="324" t="s">
        <v>55</v>
      </c>
      <c r="X698" s="324" t="s">
        <v>6</v>
      </c>
      <c r="Y698" s="324">
        <v>3</v>
      </c>
      <c r="Z698" s="324">
        <v>2</v>
      </c>
      <c r="AA698" s="324">
        <v>147752.02528294837</v>
      </c>
      <c r="AB698" s="324" t="s">
        <v>55</v>
      </c>
      <c r="AC698" s="324">
        <v>3</v>
      </c>
      <c r="AD698" s="324" t="s">
        <v>55</v>
      </c>
      <c r="AE698" s="324" t="s">
        <v>55</v>
      </c>
      <c r="AF698" s="324" t="s">
        <v>55</v>
      </c>
      <c r="AG698" s="324" t="s">
        <v>55</v>
      </c>
    </row>
    <row r="699" spans="1:33" s="324" customFormat="1" ht="0.65" hidden="1" customHeight="1">
      <c r="A699" s="324">
        <v>3011</v>
      </c>
      <c r="C699" s="324" t="s">
        <v>7</v>
      </c>
      <c r="D699" s="324">
        <v>60</v>
      </c>
      <c r="G699" s="324">
        <v>2025</v>
      </c>
      <c r="H699" s="324">
        <v>120000</v>
      </c>
      <c r="I699" s="324">
        <v>48000</v>
      </c>
      <c r="J699" s="324">
        <v>72000</v>
      </c>
      <c r="K699" s="324">
        <v>0</v>
      </c>
      <c r="M699" s="324" t="s">
        <v>494</v>
      </c>
      <c r="N699" s="324">
        <v>147000</v>
      </c>
      <c r="T699" s="324">
        <v>6</v>
      </c>
      <c r="U699" s="324" t="s">
        <v>158</v>
      </c>
      <c r="V699" s="324" t="s">
        <v>179</v>
      </c>
      <c r="W699" s="324" t="s">
        <v>55</v>
      </c>
      <c r="X699" s="324" t="s">
        <v>495</v>
      </c>
      <c r="Y699" s="324">
        <v>200000</v>
      </c>
      <c r="Z699" s="324">
        <v>220000.00000000003</v>
      </c>
      <c r="AA699" s="324">
        <v>149871.49407218874</v>
      </c>
      <c r="AB699" s="324" t="s">
        <v>55</v>
      </c>
    </row>
    <row r="700" spans="1:33" s="324" customFormat="1" ht="0.65" hidden="1" customHeight="1">
      <c r="A700" s="324">
        <v>3012</v>
      </c>
      <c r="C700" s="324" t="s">
        <v>8</v>
      </c>
      <c r="D700" s="324">
        <v>30</v>
      </c>
      <c r="T700" s="324">
        <v>7</v>
      </c>
      <c r="U700" s="324" t="s">
        <v>159</v>
      </c>
      <c r="V700" s="324" t="s">
        <v>178</v>
      </c>
      <c r="W700" s="324" t="s">
        <v>55</v>
      </c>
      <c r="X700" s="324" t="s">
        <v>492</v>
      </c>
      <c r="Y700" s="324">
        <v>100000</v>
      </c>
      <c r="Z700" s="324">
        <v>90000</v>
      </c>
      <c r="AA700" s="324">
        <v>141735.38433886995</v>
      </c>
      <c r="AB700" s="324" t="s">
        <v>55</v>
      </c>
      <c r="AC700" s="324">
        <v>4</v>
      </c>
      <c r="AD700" s="324" t="s">
        <v>55</v>
      </c>
      <c r="AE700" s="324" t="s">
        <v>55</v>
      </c>
      <c r="AF700" s="324" t="s">
        <v>55</v>
      </c>
      <c r="AG700" s="324" t="s">
        <v>55</v>
      </c>
    </row>
    <row r="701" spans="1:33" s="324" customFormat="1" ht="0.65" hidden="1" customHeight="1">
      <c r="A701" s="324">
        <v>3013</v>
      </c>
      <c r="O701" s="324" t="s">
        <v>13</v>
      </c>
      <c r="P701" s="324">
        <v>149235.38433886995</v>
      </c>
      <c r="T701" s="324">
        <v>8</v>
      </c>
      <c r="U701" s="324" t="s">
        <v>160</v>
      </c>
      <c r="V701" s="324" t="s">
        <v>178</v>
      </c>
      <c r="W701" s="324" t="s">
        <v>55</v>
      </c>
      <c r="X701" s="324" t="s">
        <v>489</v>
      </c>
      <c r="Y701" s="324">
        <v>50000</v>
      </c>
      <c r="Z701" s="324">
        <v>55000.000000000007</v>
      </c>
      <c r="AA701" s="324">
        <v>146184.97049724727</v>
      </c>
      <c r="AB701" s="324" t="s">
        <v>55</v>
      </c>
    </row>
    <row r="702" spans="1:33" s="324" customFormat="1" ht="0.65" hidden="1" customHeight="1">
      <c r="A702" s="324">
        <v>3014</v>
      </c>
      <c r="C702" s="324" t="s">
        <v>33</v>
      </c>
      <c r="O702" s="324" t="s">
        <v>28</v>
      </c>
      <c r="P702" s="324">
        <v>0.37357216681627725</v>
      </c>
      <c r="T702" s="324">
        <v>9</v>
      </c>
      <c r="U702" s="324" t="s">
        <v>161</v>
      </c>
      <c r="V702" s="324" t="s">
        <v>179</v>
      </c>
      <c r="W702" s="324" t="s">
        <v>55</v>
      </c>
      <c r="X702" s="324" t="s">
        <v>34</v>
      </c>
      <c r="Y702" s="324">
        <v>720000</v>
      </c>
      <c r="Z702" s="324">
        <v>792000.00000000012</v>
      </c>
      <c r="AA702" s="324">
        <v>289184.88629470411</v>
      </c>
      <c r="AB702" s="324" t="s">
        <v>55</v>
      </c>
      <c r="AC702" s="324">
        <v>5</v>
      </c>
      <c r="AD702" s="324" t="s">
        <v>55</v>
      </c>
      <c r="AE702" s="324" t="s">
        <v>55</v>
      </c>
      <c r="AF702" s="324" t="s">
        <v>55</v>
      </c>
      <c r="AG702" s="324" t="s">
        <v>55</v>
      </c>
    </row>
    <row r="703" spans="1:33" s="324" customFormat="1" ht="0.65" hidden="1" customHeight="1">
      <c r="A703" s="324">
        <v>3015</v>
      </c>
      <c r="C703" s="324" t="s">
        <v>492</v>
      </c>
      <c r="D703" s="324">
        <v>100000</v>
      </c>
      <c r="K703" s="324" t="s">
        <v>127</v>
      </c>
      <c r="L703" s="324" t="s">
        <v>36</v>
      </c>
      <c r="M703" s="324" t="s">
        <v>55</v>
      </c>
      <c r="T703" s="324">
        <v>10</v>
      </c>
      <c r="U703" s="324" t="s">
        <v>162</v>
      </c>
      <c r="V703" s="324" t="s">
        <v>178</v>
      </c>
      <c r="W703" s="324" t="s">
        <v>55</v>
      </c>
      <c r="X703" s="324" t="s">
        <v>7</v>
      </c>
      <c r="Y703" s="324">
        <v>60</v>
      </c>
      <c r="Z703" s="324">
        <v>90</v>
      </c>
      <c r="AA703" s="324">
        <v>142032.67091568446</v>
      </c>
      <c r="AB703" s="324" t="s">
        <v>55</v>
      </c>
    </row>
    <row r="704" spans="1:33" s="324" customFormat="1" ht="0.65" hidden="1" customHeight="1">
      <c r="A704" s="324">
        <v>3016</v>
      </c>
      <c r="C704" s="324" t="s">
        <v>495</v>
      </c>
      <c r="D704" s="324">
        <v>200000</v>
      </c>
      <c r="E704" s="324" t="s">
        <v>55</v>
      </c>
      <c r="K704" s="324" t="s">
        <v>496</v>
      </c>
      <c r="L704" s="324" t="s">
        <v>424</v>
      </c>
      <c r="T704" s="324">
        <v>11</v>
      </c>
      <c r="U704" s="324" t="s">
        <v>163</v>
      </c>
      <c r="V704" s="324" t="s">
        <v>179</v>
      </c>
      <c r="W704" s="324" t="s">
        <v>55</v>
      </c>
      <c r="X704" s="324" t="s">
        <v>35</v>
      </c>
      <c r="Y704" s="324">
        <v>576000</v>
      </c>
      <c r="Z704" s="324">
        <v>518400</v>
      </c>
      <c r="AA704" s="324">
        <v>261771.20297739198</v>
      </c>
      <c r="AB704" s="324" t="s">
        <v>55</v>
      </c>
      <c r="AC704" s="324">
        <v>6</v>
      </c>
      <c r="AD704" s="324" t="s">
        <v>55</v>
      </c>
      <c r="AE704" s="324" t="s">
        <v>55</v>
      </c>
      <c r="AF704" s="324" t="s">
        <v>55</v>
      </c>
      <c r="AG704" s="324" t="s">
        <v>55</v>
      </c>
    </row>
    <row r="705" spans="1:33" s="324" customFormat="1" ht="0.65" hidden="1" customHeight="1">
      <c r="A705" s="324">
        <v>3017</v>
      </c>
      <c r="C705" s="324" t="s">
        <v>6</v>
      </c>
      <c r="D705" s="324">
        <v>3</v>
      </c>
      <c r="K705" s="324" t="s">
        <v>410</v>
      </c>
      <c r="L705" s="324">
        <v>0</v>
      </c>
      <c r="M705" s="324" t="s">
        <v>337</v>
      </c>
      <c r="T705" s="324">
        <v>12</v>
      </c>
      <c r="U705" s="324" t="s">
        <v>164</v>
      </c>
      <c r="V705" s="324" t="s">
        <v>178</v>
      </c>
      <c r="W705" s="324" t="s">
        <v>55</v>
      </c>
      <c r="X705" s="324" t="s">
        <v>8</v>
      </c>
      <c r="Y705" s="324">
        <v>30</v>
      </c>
      <c r="Z705" s="324">
        <v>0</v>
      </c>
      <c r="AA705" s="324">
        <v>143473.21360032156</v>
      </c>
      <c r="AB705" s="324" t="s">
        <v>55</v>
      </c>
    </row>
    <row r="706" spans="1:33" s="324" customFormat="1" ht="0.65" hidden="1" customHeight="1">
      <c r="A706" s="324">
        <v>3018</v>
      </c>
      <c r="C706" s="324" t="s">
        <v>489</v>
      </c>
      <c r="D706" s="324">
        <v>50000</v>
      </c>
      <c r="N706" s="324" t="s">
        <v>55</v>
      </c>
      <c r="T706" s="324">
        <v>13</v>
      </c>
      <c r="U706" s="324" t="s">
        <v>165</v>
      </c>
      <c r="V706" s="324" t="s">
        <v>178</v>
      </c>
      <c r="W706" s="324" t="s">
        <v>55</v>
      </c>
      <c r="X706" s="324" t="s">
        <v>10</v>
      </c>
      <c r="Y706" s="324">
        <v>180000</v>
      </c>
      <c r="Z706" s="324">
        <v>198000.00000000003</v>
      </c>
      <c r="AA706" s="324">
        <v>148372.98664488961</v>
      </c>
      <c r="AB706" s="324" t="s">
        <v>55</v>
      </c>
      <c r="AC706" s="324">
        <v>7</v>
      </c>
      <c r="AD706" s="324" t="s">
        <v>55</v>
      </c>
      <c r="AE706" s="324" t="s">
        <v>55</v>
      </c>
      <c r="AF706" s="324" t="s">
        <v>55</v>
      </c>
      <c r="AG706" s="324" t="s">
        <v>55</v>
      </c>
    </row>
    <row r="707" spans="1:33" s="324" customFormat="1" ht="0.65" hidden="1" customHeight="1">
      <c r="A707" s="324">
        <v>3019</v>
      </c>
      <c r="K707" s="324" t="s">
        <v>413</v>
      </c>
      <c r="L707" s="324">
        <v>33</v>
      </c>
      <c r="M707" s="324" t="s">
        <v>55</v>
      </c>
      <c r="T707" s="324">
        <v>14</v>
      </c>
      <c r="U707" s="324" t="s">
        <v>166</v>
      </c>
      <c r="V707" s="324" t="s">
        <v>179</v>
      </c>
      <c r="W707" s="324" t="s">
        <v>55</v>
      </c>
      <c r="X707" s="324" t="s">
        <v>12</v>
      </c>
      <c r="Y707" s="324">
        <v>0.03</v>
      </c>
      <c r="Z707" s="324">
        <v>1.9999999999999997E-2</v>
      </c>
      <c r="AA707" s="324">
        <v>155071.51115351083</v>
      </c>
      <c r="AB707" s="324" t="s">
        <v>55</v>
      </c>
    </row>
    <row r="708" spans="1:33" s="324" customFormat="1" ht="0.65" hidden="1" customHeight="1">
      <c r="A708" s="324">
        <v>3020</v>
      </c>
      <c r="C708" s="324" t="s">
        <v>4</v>
      </c>
      <c r="D708" s="324">
        <v>0.25</v>
      </c>
      <c r="K708" s="324" t="s">
        <v>479</v>
      </c>
      <c r="N708" s="324" t="s">
        <v>466</v>
      </c>
      <c r="T708" s="324">
        <v>15</v>
      </c>
      <c r="U708" s="324" t="s">
        <v>167</v>
      </c>
      <c r="V708" s="324" t="s">
        <v>178</v>
      </c>
      <c r="W708" s="324" t="s">
        <v>55</v>
      </c>
      <c r="X708" s="324" t="s">
        <v>11</v>
      </c>
      <c r="Y708" s="324">
        <v>450000</v>
      </c>
      <c r="Z708" s="324">
        <v>495000.00000000006</v>
      </c>
      <c r="AA708" s="324">
        <v>146373.71552190377</v>
      </c>
      <c r="AB708" s="324" t="s">
        <v>55</v>
      </c>
      <c r="AC708" s="324">
        <v>8</v>
      </c>
      <c r="AD708" s="324" t="s">
        <v>55</v>
      </c>
      <c r="AE708" s="324" t="s">
        <v>55</v>
      </c>
      <c r="AF708" s="324" t="s">
        <v>55</v>
      </c>
      <c r="AG708" s="324" t="s">
        <v>55</v>
      </c>
    </row>
    <row r="709" spans="1:33" s="324" customFormat="1" ht="0.65" hidden="1" customHeight="1">
      <c r="A709" s="324">
        <v>3021</v>
      </c>
      <c r="D709" s="324" t="s">
        <v>9</v>
      </c>
      <c r="K709" s="324" t="s">
        <v>409</v>
      </c>
      <c r="L709" s="324" t="s">
        <v>38</v>
      </c>
      <c r="M709" s="324" t="s">
        <v>55</v>
      </c>
      <c r="N709" s="324" t="s">
        <v>467</v>
      </c>
      <c r="O709" s="324" t="s">
        <v>468</v>
      </c>
      <c r="T709" s="324">
        <v>16</v>
      </c>
      <c r="U709" s="324" t="s">
        <v>168</v>
      </c>
      <c r="V709" s="324" t="s">
        <v>181</v>
      </c>
      <c r="W709" s="324" t="s">
        <v>55</v>
      </c>
      <c r="X709" s="324" t="s">
        <v>3</v>
      </c>
      <c r="Y709" s="324">
        <v>9000000</v>
      </c>
      <c r="Z709" s="324">
        <v>9900000</v>
      </c>
      <c r="AA709" s="324">
        <v>151456.87081343678</v>
      </c>
      <c r="AB709" s="324" t="s">
        <v>55</v>
      </c>
    </row>
    <row r="710" spans="1:33" s="324" customFormat="1" ht="0.65" hidden="1" customHeight="1">
      <c r="A710" s="324">
        <v>3022</v>
      </c>
      <c r="N710" s="324" t="s">
        <v>469</v>
      </c>
      <c r="O710" s="324" t="s">
        <v>470</v>
      </c>
      <c r="T710" s="324">
        <v>17</v>
      </c>
      <c r="U710" s="324" t="s">
        <v>169</v>
      </c>
      <c r="V710" s="324" t="s">
        <v>178</v>
      </c>
      <c r="W710" s="324" t="s">
        <v>55</v>
      </c>
      <c r="X710" s="324" t="s">
        <v>2</v>
      </c>
      <c r="Y710" s="324">
        <v>3000000</v>
      </c>
      <c r="Z710" s="324">
        <v>1500000</v>
      </c>
      <c r="AA710" s="324">
        <v>145900.3617362474</v>
      </c>
      <c r="AB710" s="324" t="s">
        <v>55</v>
      </c>
      <c r="AC710" s="324">
        <v>9</v>
      </c>
      <c r="AD710" s="324" t="s">
        <v>55</v>
      </c>
      <c r="AE710" s="324" t="s">
        <v>55</v>
      </c>
      <c r="AF710" s="324" t="s">
        <v>55</v>
      </c>
      <c r="AG710" s="324" t="s">
        <v>55</v>
      </c>
    </row>
    <row r="711" spans="1:33" s="324" customFormat="1" ht="0.65" hidden="1" customHeight="1">
      <c r="A711" s="324">
        <v>3023</v>
      </c>
      <c r="C711" s="324" t="s">
        <v>10</v>
      </c>
      <c r="D711" s="324">
        <v>180000</v>
      </c>
      <c r="N711" s="324" t="s">
        <v>471</v>
      </c>
      <c r="O711" s="324" t="s">
        <v>472</v>
      </c>
      <c r="T711" s="324">
        <v>18</v>
      </c>
      <c r="U711" s="324" t="s">
        <v>170</v>
      </c>
      <c r="V711" s="324" t="s">
        <v>181</v>
      </c>
      <c r="W711" s="324" t="s">
        <v>55</v>
      </c>
      <c r="X711" s="324" t="s">
        <v>4</v>
      </c>
      <c r="Y711" s="324">
        <v>0.25</v>
      </c>
      <c r="Z711" s="324">
        <v>0.3</v>
      </c>
      <c r="AA711" s="324">
        <v>137825.19575384245</v>
      </c>
      <c r="AB711" s="324" t="s">
        <v>55</v>
      </c>
    </row>
    <row r="712" spans="1:33" s="324" customFormat="1" ht="0.65" hidden="1" customHeight="1">
      <c r="A712" s="324">
        <v>3024</v>
      </c>
      <c r="C712" s="324" t="s">
        <v>11</v>
      </c>
      <c r="D712" s="324">
        <v>450000</v>
      </c>
      <c r="I712" s="324" t="s">
        <v>320</v>
      </c>
      <c r="K712" s="324" t="s">
        <v>497</v>
      </c>
      <c r="L712" s="324" t="s">
        <v>498</v>
      </c>
      <c r="M712" s="324" t="s">
        <v>55</v>
      </c>
      <c r="T712" s="324">
        <v>19</v>
      </c>
      <c r="U712" s="324" t="s">
        <v>171</v>
      </c>
      <c r="V712" s="324" t="s">
        <v>181</v>
      </c>
      <c r="W712" s="324" t="s">
        <v>55</v>
      </c>
      <c r="X712" s="324" t="s">
        <v>14</v>
      </c>
      <c r="Y712" s="324" t="s">
        <v>16</v>
      </c>
      <c r="Z712" s="324">
        <v>4</v>
      </c>
      <c r="AA712" s="324">
        <v>223291.03220732338</v>
      </c>
      <c r="AB712" s="324" t="s">
        <v>55</v>
      </c>
      <c r="AC712" s="324">
        <v>10</v>
      </c>
      <c r="AD712" s="324" t="s">
        <v>55</v>
      </c>
      <c r="AE712" s="324" t="s">
        <v>55</v>
      </c>
      <c r="AF712" s="324" t="s">
        <v>55</v>
      </c>
      <c r="AG712" s="324" t="s">
        <v>55</v>
      </c>
    </row>
    <row r="713" spans="1:33" s="324" customFormat="1" ht="0.65" hidden="1" customHeight="1">
      <c r="A713" s="324">
        <v>3025</v>
      </c>
      <c r="C713" s="324" t="s">
        <v>12</v>
      </c>
      <c r="D713" s="324">
        <v>0.03</v>
      </c>
    </row>
    <row r="714" spans="1:33" s="324" customFormat="1" ht="0.65" hidden="1" customHeight="1">
      <c r="A714" s="324">
        <v>3026</v>
      </c>
      <c r="C714" s="324" t="s">
        <v>2</v>
      </c>
      <c r="D714" s="324">
        <v>3000000</v>
      </c>
      <c r="I714" s="324" t="s">
        <v>318</v>
      </c>
      <c r="K714" s="324" t="s">
        <v>497</v>
      </c>
      <c r="L714" s="324" t="s">
        <v>498</v>
      </c>
      <c r="M714" s="324" t="s">
        <v>1198</v>
      </c>
      <c r="AC714" s="324">
        <v>11</v>
      </c>
      <c r="AD714" s="324" t="s">
        <v>55</v>
      </c>
      <c r="AE714" s="324" t="s">
        <v>55</v>
      </c>
      <c r="AF714" s="324" t="s">
        <v>55</v>
      </c>
      <c r="AG714" s="324" t="s">
        <v>55</v>
      </c>
    </row>
    <row r="715" spans="1:33" s="324" customFormat="1" ht="0.65" hidden="1" customHeight="1">
      <c r="A715" s="324">
        <v>3027</v>
      </c>
      <c r="C715" s="324" t="s">
        <v>3</v>
      </c>
      <c r="D715" s="324">
        <v>9000000</v>
      </c>
      <c r="U715" s="324" t="s">
        <v>127</v>
      </c>
      <c r="V715" s="324" t="s">
        <v>36</v>
      </c>
      <c r="W715" s="324" t="s">
        <v>55</v>
      </c>
    </row>
    <row r="716" spans="1:33" s="324" customFormat="1" ht="0.65" hidden="1" customHeight="1">
      <c r="A716" s="324">
        <v>3028</v>
      </c>
      <c r="AC716" s="324">
        <v>12</v>
      </c>
      <c r="AD716" s="324" t="s">
        <v>55</v>
      </c>
      <c r="AE716" s="324" t="s">
        <v>55</v>
      </c>
      <c r="AF716" s="324" t="s">
        <v>55</v>
      </c>
      <c r="AG716" s="324" t="s">
        <v>55</v>
      </c>
    </row>
    <row r="717" spans="1:33" s="324" customFormat="1" ht="0.65" hidden="1" customHeight="1">
      <c r="A717" s="324">
        <v>3029</v>
      </c>
      <c r="C717" s="324" t="s">
        <v>14</v>
      </c>
      <c r="D717" s="324" t="s">
        <v>16</v>
      </c>
      <c r="V717" s="324">
        <v>0</v>
      </c>
    </row>
    <row r="718" spans="1:33" s="324" customFormat="1" ht="0.65" hidden="1" customHeight="1">
      <c r="A718" s="324">
        <v>3030</v>
      </c>
      <c r="G718" s="324" t="s">
        <v>128</v>
      </c>
      <c r="M718" s="324" t="s">
        <v>500</v>
      </c>
      <c r="AC718" s="324">
        <v>13</v>
      </c>
      <c r="AD718" s="324" t="s">
        <v>55</v>
      </c>
      <c r="AE718" s="324" t="s">
        <v>55</v>
      </c>
      <c r="AF718" s="324" t="s">
        <v>55</v>
      </c>
      <c r="AG718" s="324" t="s">
        <v>55</v>
      </c>
    </row>
    <row r="719" spans="1:33" s="324" customFormat="1" ht="0.65" hidden="1" customHeight="1">
      <c r="A719" s="324">
        <v>3031</v>
      </c>
      <c r="B719" s="324" t="s">
        <v>460</v>
      </c>
      <c r="F719" s="324">
        <v>1</v>
      </c>
      <c r="I719" s="324" t="s">
        <v>129</v>
      </c>
      <c r="J719" s="324">
        <v>1</v>
      </c>
      <c r="K719" s="324" t="s">
        <v>501</v>
      </c>
      <c r="U719" s="324" t="s">
        <v>204</v>
      </c>
      <c r="V719" s="324">
        <v>12</v>
      </c>
      <c r="W719" s="324" t="s">
        <v>55</v>
      </c>
    </row>
    <row r="720" spans="1:33" s="324" customFormat="1" ht="0.65" hidden="1" customHeight="1">
      <c r="A720" s="324">
        <v>3032</v>
      </c>
      <c r="F720" s="324">
        <v>1.5</v>
      </c>
      <c r="I720" s="324" t="s">
        <v>138</v>
      </c>
      <c r="J720" s="324">
        <v>1.5</v>
      </c>
      <c r="K720" s="324" t="s">
        <v>502</v>
      </c>
      <c r="Z720" s="324" t="s">
        <v>291</v>
      </c>
      <c r="AC720" s="324">
        <v>14</v>
      </c>
      <c r="AD720" s="324" t="s">
        <v>55</v>
      </c>
      <c r="AE720" s="324" t="s">
        <v>55</v>
      </c>
      <c r="AF720" s="324" t="s">
        <v>55</v>
      </c>
      <c r="AG720" s="324" t="s">
        <v>55</v>
      </c>
    </row>
    <row r="721" spans="1:33" s="324" customFormat="1" ht="0.65" hidden="1" customHeight="1">
      <c r="A721" s="324">
        <v>3033</v>
      </c>
      <c r="F721" s="324">
        <v>1.5</v>
      </c>
      <c r="I721" s="324" t="s">
        <v>130</v>
      </c>
      <c r="J721" s="324">
        <v>1.5</v>
      </c>
      <c r="K721" s="324" t="s">
        <v>502</v>
      </c>
      <c r="W721" s="324" t="s">
        <v>139</v>
      </c>
      <c r="X721" s="324" t="s">
        <v>174</v>
      </c>
      <c r="Z721" s="324" t="s">
        <v>1199</v>
      </c>
      <c r="AA721" s="324">
        <v>-5762.1707385483896</v>
      </c>
      <c r="AB721" s="324">
        <v>-5762.1707385483896</v>
      </c>
    </row>
    <row r="722" spans="1:33" s="324" customFormat="1" ht="0.65" hidden="1" customHeight="1">
      <c r="A722" s="324">
        <v>3034</v>
      </c>
      <c r="F722" s="324">
        <v>1</v>
      </c>
      <c r="I722" s="324" t="s">
        <v>131</v>
      </c>
      <c r="J722" s="324">
        <v>1</v>
      </c>
      <c r="K722" s="324" t="s">
        <v>501</v>
      </c>
      <c r="V722" s="324" t="s">
        <v>177</v>
      </c>
      <c r="W722" s="324" t="s">
        <v>173</v>
      </c>
      <c r="X722" s="324" t="s">
        <v>175</v>
      </c>
      <c r="Z722" s="324">
        <v>-5762.1707385483896</v>
      </c>
      <c r="AA722" s="324">
        <v>-5762.1707385483896</v>
      </c>
      <c r="AB722" s="324">
        <v>-5762.1707385483896</v>
      </c>
      <c r="AC722" s="324">
        <v>15</v>
      </c>
      <c r="AD722" s="324" t="s">
        <v>55</v>
      </c>
      <c r="AE722" s="324" t="s">
        <v>55</v>
      </c>
      <c r="AF722" s="324" t="s">
        <v>55</v>
      </c>
      <c r="AG722" s="324" t="s">
        <v>55</v>
      </c>
    </row>
    <row r="723" spans="1:33" s="324" customFormat="1" ht="0.65" hidden="1" customHeight="1">
      <c r="A723" s="324">
        <v>3035</v>
      </c>
      <c r="F723" s="324">
        <v>1</v>
      </c>
      <c r="I723" s="324" t="s">
        <v>132</v>
      </c>
      <c r="J723" s="324">
        <v>1</v>
      </c>
      <c r="K723" s="324" t="s">
        <v>501</v>
      </c>
      <c r="T723" s="324">
        <v>12</v>
      </c>
      <c r="U723" s="324" t="s">
        <v>164</v>
      </c>
      <c r="V723" s="324" t="s">
        <v>8</v>
      </c>
      <c r="W723" s="324">
        <v>30</v>
      </c>
      <c r="X723" s="324">
        <v>0</v>
      </c>
      <c r="Z723" s="324">
        <v>-5762.1707385483896</v>
      </c>
      <c r="AA723" s="324">
        <v>-5762.1707385483896</v>
      </c>
      <c r="AB723" s="324">
        <v>-5762.1707385483896</v>
      </c>
    </row>
    <row r="724" spans="1:33" s="324" customFormat="1" ht="0.65" hidden="1" customHeight="1">
      <c r="A724" s="324">
        <v>3036</v>
      </c>
      <c r="F724" s="324">
        <v>0.5</v>
      </c>
      <c r="I724" s="324" t="s">
        <v>133</v>
      </c>
      <c r="J724" s="324">
        <v>0.5</v>
      </c>
      <c r="K724" s="324" t="s">
        <v>504</v>
      </c>
      <c r="V724" s="324" t="s">
        <v>13</v>
      </c>
      <c r="W724" s="324">
        <v>149235.38433886995</v>
      </c>
      <c r="X724" s="324">
        <v>143473.21360032156</v>
      </c>
      <c r="Z724" s="324">
        <v>-5762.1707385483896</v>
      </c>
      <c r="AA724" s="324">
        <v>-5762.1707385483896</v>
      </c>
      <c r="AB724" s="324">
        <v>-5762.1707385483896</v>
      </c>
      <c r="AC724" s="324">
        <v>16</v>
      </c>
      <c r="AD724" s="324" t="s">
        <v>55</v>
      </c>
      <c r="AE724" s="324" t="s">
        <v>55</v>
      </c>
      <c r="AF724" s="324" t="s">
        <v>55</v>
      </c>
      <c r="AG724" s="324" t="s">
        <v>55</v>
      </c>
    </row>
    <row r="725" spans="1:33" s="324" customFormat="1" ht="0.65" hidden="1" customHeight="1">
      <c r="A725" s="324">
        <v>3037</v>
      </c>
      <c r="F725" s="324">
        <v>0.5</v>
      </c>
      <c r="I725" s="324" t="s">
        <v>134</v>
      </c>
      <c r="J725" s="324">
        <v>0.5</v>
      </c>
      <c r="K725" s="324" t="s">
        <v>504</v>
      </c>
      <c r="V725" s="324" t="s">
        <v>505</v>
      </c>
      <c r="X725" s="324">
        <v>-5762.1707385483896</v>
      </c>
      <c r="Z725" s="324">
        <v>-5762.1707385483896</v>
      </c>
      <c r="AA725" s="324">
        <v>-5762.1707385483896</v>
      </c>
      <c r="AB725" s="324">
        <v>-5762.1707385483896</v>
      </c>
    </row>
    <row r="726" spans="1:33" s="324" customFormat="1" ht="0.65" hidden="1" customHeight="1">
      <c r="A726" s="324">
        <v>3038</v>
      </c>
      <c r="F726" s="324">
        <v>1</v>
      </c>
      <c r="I726" s="324" t="s">
        <v>135</v>
      </c>
      <c r="J726" s="324">
        <v>1</v>
      </c>
      <c r="K726" s="324" t="s">
        <v>501</v>
      </c>
      <c r="Z726" s="324">
        <v>-5762.1707385483896</v>
      </c>
      <c r="AA726" s="324">
        <v>-5762.1707385483896</v>
      </c>
      <c r="AB726" s="324">
        <v>-5762.1707385483896</v>
      </c>
      <c r="AC726" s="324">
        <v>17</v>
      </c>
      <c r="AD726" s="324" t="s">
        <v>55</v>
      </c>
      <c r="AE726" s="324" t="s">
        <v>55</v>
      </c>
      <c r="AF726" s="324" t="s">
        <v>55</v>
      </c>
      <c r="AG726" s="324" t="s">
        <v>55</v>
      </c>
    </row>
    <row r="727" spans="1:33" s="324" customFormat="1" ht="0.65" hidden="1" customHeight="1">
      <c r="A727" s="324">
        <v>3039</v>
      </c>
      <c r="F727" s="324">
        <v>0.5</v>
      </c>
      <c r="I727" s="324" t="s">
        <v>13</v>
      </c>
      <c r="J727" s="324">
        <v>0.5</v>
      </c>
      <c r="K727" s="324" t="s">
        <v>504</v>
      </c>
    </row>
    <row r="728" spans="1:33" s="324" customFormat="1" ht="0.65" hidden="1" customHeight="1">
      <c r="A728" s="324">
        <v>3040</v>
      </c>
      <c r="F728" s="324">
        <v>0.5</v>
      </c>
      <c r="I728" s="324" t="s">
        <v>28</v>
      </c>
      <c r="J728" s="324">
        <v>0.5</v>
      </c>
      <c r="K728" s="324" t="s">
        <v>504</v>
      </c>
      <c r="U728" s="324" t="s">
        <v>196</v>
      </c>
      <c r="AC728" s="324">
        <v>18</v>
      </c>
      <c r="AD728" s="324" t="s">
        <v>55</v>
      </c>
      <c r="AE728" s="324" t="s">
        <v>55</v>
      </c>
      <c r="AF728" s="324" t="s">
        <v>55</v>
      </c>
      <c r="AG728" s="324" t="s">
        <v>55</v>
      </c>
    </row>
    <row r="729" spans="1:33" s="324" customFormat="1" ht="0.65" hidden="1" customHeight="1">
      <c r="A729" s="324">
        <v>3041</v>
      </c>
      <c r="F729" s="324">
        <v>1</v>
      </c>
      <c r="I729" s="324" t="s">
        <v>136</v>
      </c>
      <c r="J729" s="324">
        <v>1</v>
      </c>
      <c r="K729" s="324" t="s">
        <v>501</v>
      </c>
    </row>
    <row r="730" spans="1:33" s="324" customFormat="1" ht="0.65" hidden="1" customHeight="1">
      <c r="A730" s="324">
        <v>3042</v>
      </c>
      <c r="F730" s="324">
        <v>10</v>
      </c>
      <c r="I730" s="324" t="s">
        <v>137</v>
      </c>
      <c r="J730" s="324">
        <v>10</v>
      </c>
      <c r="K730" s="324" t="s">
        <v>506</v>
      </c>
      <c r="AC730" s="324">
        <v>19</v>
      </c>
      <c r="AD730" s="324" t="s">
        <v>55</v>
      </c>
      <c r="AE730" s="324" t="s">
        <v>55</v>
      </c>
      <c r="AF730" s="324" t="s">
        <v>55</v>
      </c>
      <c r="AG730" s="324" t="s">
        <v>55</v>
      </c>
    </row>
    <row r="731" spans="1:33" s="324" customFormat="1" ht="0.65" hidden="1" customHeight="1">
      <c r="A731" s="324">
        <v>3043</v>
      </c>
    </row>
    <row r="732" spans="1:33" s="324" customFormat="1" ht="0.65" hidden="1" customHeight="1">
      <c r="A732" s="324">
        <v>3044</v>
      </c>
      <c r="AC732" s="324">
        <v>20</v>
      </c>
      <c r="AD732" s="324" t="s">
        <v>55</v>
      </c>
      <c r="AE732" s="324" t="s">
        <v>55</v>
      </c>
      <c r="AF732" s="324" t="s">
        <v>55</v>
      </c>
      <c r="AG732" s="324" t="s">
        <v>55</v>
      </c>
    </row>
    <row r="733" spans="1:33" s="324" customFormat="1" ht="0.65" hidden="1" customHeight="1">
      <c r="A733" s="324">
        <v>3045</v>
      </c>
    </row>
    <row r="734" spans="1:33" s="324" customFormat="1" ht="0.65" hidden="1" customHeight="1">
      <c r="A734" s="324">
        <v>3046</v>
      </c>
    </row>
    <row r="735" spans="1:33" s="324" customFormat="1" ht="0.65" hidden="1" customHeight="1">
      <c r="A735" s="324">
        <v>3047</v>
      </c>
      <c r="G735" s="324">
        <v>1</v>
      </c>
      <c r="H735" s="324">
        <v>2</v>
      </c>
      <c r="I735" s="324">
        <v>3</v>
      </c>
      <c r="J735" s="324">
        <v>4</v>
      </c>
      <c r="K735" s="324">
        <v>5</v>
      </c>
      <c r="L735" s="324">
        <v>6</v>
      </c>
      <c r="M735" s="324">
        <v>7</v>
      </c>
      <c r="N735" s="324">
        <v>8</v>
      </c>
      <c r="O735" s="324">
        <v>9</v>
      </c>
      <c r="P735" s="324">
        <v>10</v>
      </c>
    </row>
    <row r="736" spans="1:33" s="324" customFormat="1" ht="0.65" hidden="1" customHeight="1">
      <c r="A736" s="324">
        <v>3048</v>
      </c>
      <c r="G736" s="324" t="s">
        <v>212</v>
      </c>
      <c r="H736" s="324" t="s">
        <v>213</v>
      </c>
      <c r="I736" s="324" t="s">
        <v>214</v>
      </c>
      <c r="J736" s="324" t="s">
        <v>215</v>
      </c>
      <c r="K736" s="324" t="s">
        <v>216</v>
      </c>
      <c r="L736" s="324" t="s">
        <v>218</v>
      </c>
      <c r="M736" s="324" t="s">
        <v>219</v>
      </c>
      <c r="N736" s="324" t="s">
        <v>220</v>
      </c>
      <c r="O736" s="324" t="s">
        <v>221</v>
      </c>
      <c r="P736" s="324" t="s">
        <v>222</v>
      </c>
    </row>
    <row r="737" spans="1:42" s="324" customFormat="1" ht="0.65" hidden="1" customHeight="1">
      <c r="A737" s="324">
        <v>3049</v>
      </c>
      <c r="G737" s="324">
        <v>72000</v>
      </c>
      <c r="H737" s="324">
        <v>144000</v>
      </c>
      <c r="I737" s="324" t="s">
        <v>55</v>
      </c>
      <c r="J737" s="324" t="s">
        <v>55</v>
      </c>
      <c r="K737" s="324" t="s">
        <v>55</v>
      </c>
      <c r="L737" s="324" t="s">
        <v>55</v>
      </c>
      <c r="M737" s="324" t="s">
        <v>55</v>
      </c>
      <c r="N737" s="324" t="s">
        <v>55</v>
      </c>
      <c r="O737" s="324" t="s">
        <v>1198</v>
      </c>
      <c r="P737" s="324" t="s">
        <v>507</v>
      </c>
    </row>
    <row r="738" spans="1:42" s="324" customFormat="1" ht="0.65" hidden="1" customHeight="1">
      <c r="A738" s="324">
        <v>3050</v>
      </c>
      <c r="G738" s="324" t="s">
        <v>267</v>
      </c>
      <c r="H738" s="324" t="s">
        <v>268</v>
      </c>
      <c r="I738" s="324" t="s">
        <v>55</v>
      </c>
      <c r="J738" s="324" t="s">
        <v>55</v>
      </c>
      <c r="K738" s="324" t="s">
        <v>55</v>
      </c>
      <c r="L738" s="324" t="s">
        <v>55</v>
      </c>
      <c r="M738" s="324" t="s">
        <v>55</v>
      </c>
      <c r="N738" s="324" t="s">
        <v>55</v>
      </c>
      <c r="O738" s="324" t="s">
        <v>55</v>
      </c>
      <c r="P738" s="324" t="s">
        <v>55</v>
      </c>
    </row>
    <row r="739" spans="1:42" s="324" customFormat="1" ht="0.65" hidden="1" customHeight="1">
      <c r="A739" s="324">
        <v>3051</v>
      </c>
    </row>
    <row r="740" spans="1:42" s="324" customFormat="1" ht="0.65" hidden="1" customHeight="1">
      <c r="A740" s="324">
        <v>3052</v>
      </c>
      <c r="B740" s="324">
        <v>2</v>
      </c>
      <c r="C740" s="324">
        <v>3</v>
      </c>
      <c r="D740" s="324">
        <v>4</v>
      </c>
      <c r="E740" s="324">
        <v>5</v>
      </c>
      <c r="F740" s="324">
        <v>6</v>
      </c>
      <c r="G740" s="324">
        <v>7</v>
      </c>
      <c r="H740" s="324">
        <v>8</v>
      </c>
      <c r="I740" s="324">
        <v>9</v>
      </c>
      <c r="J740" s="324">
        <v>10</v>
      </c>
      <c r="K740" s="324">
        <v>11</v>
      </c>
      <c r="L740" s="324">
        <v>12</v>
      </c>
      <c r="M740" s="324">
        <v>13</v>
      </c>
      <c r="N740" s="324">
        <v>14</v>
      </c>
      <c r="O740" s="324">
        <v>15</v>
      </c>
      <c r="P740" s="324">
        <v>16</v>
      </c>
      <c r="Q740" s="324">
        <v>17</v>
      </c>
      <c r="R740" s="324">
        <v>18</v>
      </c>
      <c r="S740" s="324">
        <v>19</v>
      </c>
      <c r="T740" s="324">
        <v>20</v>
      </c>
      <c r="U740" s="324">
        <v>21</v>
      </c>
      <c r="V740" s="324">
        <v>22</v>
      </c>
      <c r="W740" s="324">
        <v>23</v>
      </c>
      <c r="X740" s="324">
        <v>24</v>
      </c>
      <c r="Y740" s="324">
        <v>25</v>
      </c>
      <c r="Z740" s="324">
        <v>26</v>
      </c>
      <c r="AA740" s="324">
        <v>27</v>
      </c>
      <c r="AB740" s="324">
        <v>28</v>
      </c>
      <c r="AC740" s="324">
        <v>29</v>
      </c>
      <c r="AD740" s="324">
        <v>30</v>
      </c>
      <c r="AE740" s="324">
        <v>31</v>
      </c>
      <c r="AF740" s="324">
        <v>32</v>
      </c>
      <c r="AG740" s="324">
        <v>33</v>
      </c>
      <c r="AH740" s="324">
        <v>34</v>
      </c>
      <c r="AI740" s="324">
        <v>35</v>
      </c>
      <c r="AJ740" s="324">
        <v>36</v>
      </c>
      <c r="AK740" s="324">
        <v>37</v>
      </c>
      <c r="AL740" s="324">
        <v>38</v>
      </c>
      <c r="AM740" s="324">
        <v>39</v>
      </c>
      <c r="AN740" s="324">
        <v>40</v>
      </c>
      <c r="AO740" s="324">
        <v>41</v>
      </c>
      <c r="AP740" s="324">
        <v>42</v>
      </c>
    </row>
    <row r="741" spans="1:42" s="324" customFormat="1" ht="0.65" hidden="1" customHeight="1">
      <c r="A741" s="324">
        <v>3053</v>
      </c>
    </row>
    <row r="742" spans="1:42" s="324" customFormat="1" ht="0.65" hidden="1" customHeight="1">
      <c r="A742" s="324">
        <v>3054</v>
      </c>
      <c r="B742" s="324">
        <v>300000</v>
      </c>
      <c r="C742" s="324">
        <v>300000</v>
      </c>
      <c r="D742" s="324">
        <v>1</v>
      </c>
      <c r="G742" s="324" t="s">
        <v>0</v>
      </c>
      <c r="H742" s="324" t="s">
        <v>69</v>
      </c>
      <c r="I742" s="324" t="s">
        <v>70</v>
      </c>
      <c r="J742" s="324" t="s">
        <v>71</v>
      </c>
      <c r="K742" s="324" t="s">
        <v>72</v>
      </c>
      <c r="L742" s="324" t="s">
        <v>73</v>
      </c>
      <c r="M742" s="324" t="s">
        <v>74</v>
      </c>
      <c r="N742" s="324" t="s">
        <v>75</v>
      </c>
      <c r="O742" s="324" t="s">
        <v>80</v>
      </c>
      <c r="P742" s="324" t="s">
        <v>1</v>
      </c>
    </row>
    <row r="743" spans="1:42" s="324" customFormat="1" ht="0.65" hidden="1" customHeight="1">
      <c r="A743" s="324">
        <v>3055</v>
      </c>
      <c r="B743" s="324">
        <v>6</v>
      </c>
      <c r="C743" s="324">
        <v>6</v>
      </c>
      <c r="D743" s="324">
        <v>1</v>
      </c>
      <c r="G743" s="324">
        <v>2022</v>
      </c>
      <c r="P743" s="324">
        <v>41</v>
      </c>
    </row>
    <row r="744" spans="1:42" s="324" customFormat="1" ht="0.65" hidden="1" customHeight="1">
      <c r="A744" s="324">
        <v>3056</v>
      </c>
      <c r="B744" s="324">
        <v>100000</v>
      </c>
      <c r="C744" s="324">
        <v>100000</v>
      </c>
      <c r="D744" s="324">
        <v>1</v>
      </c>
      <c r="G744" s="324">
        <v>2023</v>
      </c>
      <c r="H744" s="324">
        <v>2</v>
      </c>
      <c r="I744" s="324">
        <v>5</v>
      </c>
      <c r="J744" s="324">
        <v>8</v>
      </c>
      <c r="K744" s="324">
        <v>11</v>
      </c>
      <c r="L744" s="324">
        <v>14</v>
      </c>
      <c r="M744" s="324">
        <v>17</v>
      </c>
      <c r="N744" s="324">
        <v>20</v>
      </c>
      <c r="O744" s="324">
        <v>35</v>
      </c>
      <c r="P744" s="324">
        <v>42</v>
      </c>
    </row>
    <row r="745" spans="1:42" s="324" customFormat="1" ht="0.65" hidden="1" customHeight="1">
      <c r="A745" s="324">
        <v>3057</v>
      </c>
      <c r="G745" s="324">
        <v>2024</v>
      </c>
      <c r="H745" s="324">
        <v>3</v>
      </c>
      <c r="I745" s="324">
        <v>6</v>
      </c>
      <c r="J745" s="324">
        <v>9</v>
      </c>
      <c r="K745" s="324">
        <v>12</v>
      </c>
      <c r="L745" s="324">
        <v>15</v>
      </c>
      <c r="M745" s="324">
        <v>18</v>
      </c>
      <c r="N745" s="324">
        <v>21</v>
      </c>
      <c r="O745" s="324">
        <v>36</v>
      </c>
      <c r="P745" s="324">
        <v>43</v>
      </c>
    </row>
    <row r="746" spans="1:42" s="324" customFormat="1" ht="0.65" hidden="1" customHeight="1">
      <c r="A746" s="324">
        <v>3058</v>
      </c>
      <c r="B746" s="324">
        <v>720000</v>
      </c>
      <c r="C746" s="324">
        <v>720000</v>
      </c>
      <c r="D746" s="324">
        <v>1</v>
      </c>
      <c r="G746" s="324">
        <v>2025</v>
      </c>
      <c r="H746" s="324">
        <v>4</v>
      </c>
      <c r="I746" s="324">
        <v>7</v>
      </c>
      <c r="J746" s="324">
        <v>10</v>
      </c>
      <c r="K746" s="324">
        <v>13</v>
      </c>
      <c r="L746" s="324">
        <v>16</v>
      </c>
      <c r="M746" s="324">
        <v>19</v>
      </c>
      <c r="N746" s="324">
        <v>22</v>
      </c>
      <c r="O746" s="324">
        <v>37</v>
      </c>
      <c r="P746" s="324">
        <v>44</v>
      </c>
    </row>
    <row r="747" spans="1:42" s="324" customFormat="1" ht="0.65" hidden="1" customHeight="1">
      <c r="A747" s="324">
        <v>3059</v>
      </c>
      <c r="B747" s="324">
        <v>576000</v>
      </c>
      <c r="C747" s="324">
        <v>576000</v>
      </c>
      <c r="D747" s="324">
        <v>1</v>
      </c>
    </row>
    <row r="748" spans="1:42" s="324" customFormat="1" ht="0.65" hidden="1" customHeight="1">
      <c r="A748" s="324">
        <v>3060</v>
      </c>
      <c r="G748" s="324" t="s">
        <v>0</v>
      </c>
      <c r="H748" s="324" t="s">
        <v>76</v>
      </c>
      <c r="I748" s="324" t="s">
        <v>77</v>
      </c>
      <c r="J748" s="324" t="s">
        <v>78</v>
      </c>
      <c r="K748" s="324" t="s">
        <v>79</v>
      </c>
    </row>
    <row r="749" spans="1:42" s="324" customFormat="1" ht="0.65" hidden="1" customHeight="1">
      <c r="A749" s="324">
        <v>3061</v>
      </c>
      <c r="B749" s="324">
        <v>60</v>
      </c>
      <c r="C749" s="324">
        <v>60</v>
      </c>
      <c r="D749" s="324">
        <v>1</v>
      </c>
      <c r="G749" s="324">
        <v>2022</v>
      </c>
      <c r="M749" s="324" t="s">
        <v>490</v>
      </c>
      <c r="N749" s="324">
        <v>1</v>
      </c>
      <c r="O749" s="324" t="s">
        <v>124</v>
      </c>
      <c r="P749" s="324">
        <v>45</v>
      </c>
    </row>
    <row r="750" spans="1:42" s="324" customFormat="1" ht="0.65" hidden="1" customHeight="1">
      <c r="A750" s="324">
        <v>3062</v>
      </c>
      <c r="B750" s="324">
        <v>30</v>
      </c>
      <c r="C750" s="324">
        <v>30</v>
      </c>
      <c r="D750" s="324">
        <v>1</v>
      </c>
      <c r="G750" s="324">
        <v>2023</v>
      </c>
      <c r="H750" s="324">
        <v>23</v>
      </c>
      <c r="I750" s="324">
        <v>26</v>
      </c>
      <c r="J750" s="324">
        <v>29</v>
      </c>
      <c r="K750" s="324">
        <v>32</v>
      </c>
      <c r="M750" s="324" t="s">
        <v>491</v>
      </c>
      <c r="N750" s="324">
        <v>38</v>
      </c>
      <c r="O750" s="324" t="s">
        <v>125</v>
      </c>
      <c r="P750" s="324">
        <v>46</v>
      </c>
    </row>
    <row r="751" spans="1:42" s="324" customFormat="1" ht="0.65" hidden="1" customHeight="1">
      <c r="A751" s="324">
        <v>3063</v>
      </c>
      <c r="G751" s="324">
        <v>2024</v>
      </c>
      <c r="H751" s="324">
        <v>24</v>
      </c>
      <c r="I751" s="324">
        <v>27</v>
      </c>
      <c r="J751" s="324">
        <v>30</v>
      </c>
      <c r="K751" s="324">
        <v>33</v>
      </c>
      <c r="M751" s="324" t="s">
        <v>493</v>
      </c>
      <c r="N751" s="324">
        <v>39</v>
      </c>
      <c r="O751" s="324" t="s">
        <v>126</v>
      </c>
      <c r="P751" s="324">
        <v>47</v>
      </c>
    </row>
    <row r="752" spans="1:42" s="324" customFormat="1" ht="0.65" hidden="1" customHeight="1">
      <c r="A752" s="324">
        <v>3064</v>
      </c>
      <c r="G752" s="324">
        <v>2025</v>
      </c>
      <c r="H752" s="324">
        <v>25</v>
      </c>
      <c r="I752" s="324">
        <v>28</v>
      </c>
      <c r="J752" s="324">
        <v>31</v>
      </c>
      <c r="K752" s="324">
        <v>34</v>
      </c>
      <c r="M752" s="324" t="s">
        <v>494</v>
      </c>
      <c r="N752" s="324">
        <v>40</v>
      </c>
    </row>
    <row r="753" spans="1:31" s="324" customFormat="1" ht="0.65" hidden="1" customHeight="1">
      <c r="A753" s="324">
        <v>3065</v>
      </c>
      <c r="B753" s="324">
        <v>100000</v>
      </c>
      <c r="C753" s="324">
        <v>100000</v>
      </c>
      <c r="D753" s="324">
        <v>1</v>
      </c>
    </row>
    <row r="754" spans="1:31" s="324" customFormat="1" ht="0.65" hidden="1" customHeight="1">
      <c r="A754" s="324">
        <v>3066</v>
      </c>
      <c r="B754" s="324">
        <v>200000</v>
      </c>
      <c r="C754" s="324">
        <v>200000</v>
      </c>
      <c r="D754" s="324">
        <v>1</v>
      </c>
      <c r="O754" s="324" t="s">
        <v>13</v>
      </c>
      <c r="P754" s="324">
        <v>48</v>
      </c>
    </row>
    <row r="755" spans="1:31" s="324" customFormat="1" ht="0.65" hidden="1" customHeight="1">
      <c r="A755" s="324">
        <v>3067</v>
      </c>
      <c r="B755" s="324">
        <v>3</v>
      </c>
      <c r="C755" s="324">
        <v>3</v>
      </c>
      <c r="D755" s="324">
        <v>1</v>
      </c>
      <c r="O755" s="324" t="s">
        <v>28</v>
      </c>
      <c r="P755" s="324">
        <v>49</v>
      </c>
    </row>
    <row r="756" spans="1:31" s="324" customFormat="1" ht="0.65" hidden="1" customHeight="1">
      <c r="A756" s="324">
        <v>3068</v>
      </c>
      <c r="B756" s="324">
        <v>50000</v>
      </c>
      <c r="C756" s="324">
        <v>50000</v>
      </c>
      <c r="D756" s="324">
        <v>1</v>
      </c>
      <c r="O756" s="324" t="s">
        <v>29</v>
      </c>
      <c r="P756" s="324">
        <v>50</v>
      </c>
    </row>
    <row r="757" spans="1:31" s="324" customFormat="1" ht="0.65" hidden="1" customHeight="1">
      <c r="A757" s="324">
        <v>3069</v>
      </c>
      <c r="O757" s="324" t="s">
        <v>30</v>
      </c>
      <c r="P757" s="324">
        <v>51</v>
      </c>
    </row>
    <row r="758" spans="1:31" s="324" customFormat="1" ht="0.65" hidden="1" customHeight="1">
      <c r="A758" s="324">
        <v>3070</v>
      </c>
      <c r="B758" s="324">
        <v>0.25</v>
      </c>
      <c r="C758" s="324">
        <v>0.25</v>
      </c>
      <c r="D758" s="324">
        <v>1</v>
      </c>
    </row>
    <row r="759" spans="1:31" s="324" customFormat="1" ht="0.65" hidden="1" customHeight="1">
      <c r="A759" s="324">
        <v>3071</v>
      </c>
    </row>
    <row r="760" spans="1:31" s="324" customFormat="1" ht="0.65" hidden="1" customHeight="1">
      <c r="A760" s="324">
        <v>3072</v>
      </c>
    </row>
    <row r="761" spans="1:31" s="324" customFormat="1" ht="0.65" hidden="1" customHeight="1">
      <c r="A761" s="324">
        <v>3073</v>
      </c>
      <c r="B761" s="324">
        <v>180000</v>
      </c>
      <c r="C761" s="324">
        <v>180000</v>
      </c>
      <c r="D761" s="324">
        <v>1</v>
      </c>
    </row>
    <row r="762" spans="1:31" s="324" customFormat="1" ht="0.65" hidden="1" customHeight="1">
      <c r="A762" s="324">
        <v>3074</v>
      </c>
      <c r="B762" s="324">
        <v>450000</v>
      </c>
      <c r="C762" s="324">
        <v>450000</v>
      </c>
      <c r="D762" s="324">
        <v>1</v>
      </c>
      <c r="K762" s="324" t="s">
        <v>475</v>
      </c>
      <c r="M762" s="324" t="s">
        <v>212</v>
      </c>
      <c r="N762" s="324" t="s">
        <v>213</v>
      </c>
      <c r="O762" s="324" t="s">
        <v>214</v>
      </c>
      <c r="P762" s="324" t="s">
        <v>215</v>
      </c>
      <c r="Q762" s="324" t="s">
        <v>216</v>
      </c>
      <c r="R762" s="324" t="s">
        <v>218</v>
      </c>
      <c r="S762" s="324" t="s">
        <v>219</v>
      </c>
      <c r="T762" s="324" t="s">
        <v>220</v>
      </c>
      <c r="U762" s="324" t="s">
        <v>473</v>
      </c>
      <c r="V762" s="324" t="s">
        <v>474</v>
      </c>
      <c r="X762" s="324" t="s">
        <v>223</v>
      </c>
      <c r="Y762" s="324" t="s">
        <v>224</v>
      </c>
      <c r="Z762" s="324" t="s">
        <v>225</v>
      </c>
      <c r="AA762" s="324" t="s">
        <v>226</v>
      </c>
      <c r="AB762" s="324" t="s">
        <v>227</v>
      </c>
      <c r="AC762" s="324" t="s">
        <v>228</v>
      </c>
      <c r="AD762" s="324" t="s">
        <v>229</v>
      </c>
      <c r="AE762" s="324" t="s">
        <v>230</v>
      </c>
    </row>
    <row r="763" spans="1:31" s="324" customFormat="1" ht="0.65" hidden="1" customHeight="1">
      <c r="A763" s="324">
        <v>3075</v>
      </c>
      <c r="B763" s="324">
        <v>0.03</v>
      </c>
      <c r="C763" s="324">
        <v>0.03</v>
      </c>
      <c r="D763" s="324">
        <v>1</v>
      </c>
      <c r="F763" s="324">
        <v>1</v>
      </c>
      <c r="G763" s="324">
        <v>1</v>
      </c>
      <c r="H763" s="324" t="s">
        <v>490</v>
      </c>
      <c r="I763" s="324">
        <v>175000</v>
      </c>
      <c r="J763" s="324">
        <v>175000</v>
      </c>
      <c r="K763" s="324" t="s">
        <v>1200</v>
      </c>
      <c r="M763" s="324">
        <v>300000</v>
      </c>
      <c r="N763" s="324">
        <v>200000</v>
      </c>
      <c r="O763" s="324">
        <v>225000</v>
      </c>
      <c r="P763" s="324">
        <v>400000</v>
      </c>
      <c r="U763" s="324" t="s">
        <v>1200</v>
      </c>
      <c r="V763" s="324" t="s">
        <v>509</v>
      </c>
      <c r="X763" s="324" t="s">
        <v>231</v>
      </c>
      <c r="Y763" s="324" t="s">
        <v>250</v>
      </c>
      <c r="Z763" s="324" t="s">
        <v>251</v>
      </c>
      <c r="AA763" s="324" t="s">
        <v>232</v>
      </c>
    </row>
    <row r="764" spans="1:31" s="324" customFormat="1" ht="0.65" hidden="1" customHeight="1">
      <c r="A764" s="324">
        <v>3076</v>
      </c>
      <c r="B764" s="324">
        <v>3000000</v>
      </c>
      <c r="C764" s="324">
        <v>3000000</v>
      </c>
      <c r="D764" s="324">
        <v>1</v>
      </c>
      <c r="F764" s="324">
        <v>1</v>
      </c>
      <c r="G764" s="324">
        <v>2</v>
      </c>
      <c r="H764" s="324" t="s">
        <v>510</v>
      </c>
      <c r="I764" s="324">
        <v>720000</v>
      </c>
      <c r="J764" s="324">
        <v>720000</v>
      </c>
      <c r="K764" s="324" t="s">
        <v>1201</v>
      </c>
      <c r="M764" s="324">
        <v>600000</v>
      </c>
      <c r="N764" s="324">
        <v>120000</v>
      </c>
      <c r="U764" s="324" t="s">
        <v>1201</v>
      </c>
      <c r="V764" s="324" t="s">
        <v>512</v>
      </c>
      <c r="X764" s="324" t="s">
        <v>233</v>
      </c>
    </row>
    <row r="765" spans="1:31" s="324" customFormat="1" ht="0.65" hidden="1" customHeight="1">
      <c r="A765" s="324">
        <v>3077</v>
      </c>
      <c r="B765" s="324">
        <v>9000000</v>
      </c>
      <c r="C765" s="324">
        <v>9000000</v>
      </c>
      <c r="D765" s="324">
        <v>1</v>
      </c>
      <c r="F765" s="324">
        <v>1</v>
      </c>
      <c r="G765" s="324">
        <v>3</v>
      </c>
      <c r="H765" s="324" t="s">
        <v>513</v>
      </c>
      <c r="I765" s="324">
        <v>720000</v>
      </c>
      <c r="J765" s="324">
        <v>720000</v>
      </c>
      <c r="K765" s="324" t="s">
        <v>1201</v>
      </c>
      <c r="M765" s="324">
        <v>600000</v>
      </c>
      <c r="N765" s="324">
        <v>120000</v>
      </c>
      <c r="O765" s="324">
        <v>1440000</v>
      </c>
      <c r="U765" s="324" t="s">
        <v>1201</v>
      </c>
      <c r="V765" s="324" t="s">
        <v>514</v>
      </c>
      <c r="X765" s="324" t="s">
        <v>233</v>
      </c>
      <c r="Y765" s="324" t="s">
        <v>252</v>
      </c>
      <c r="Z765" s="324" t="s">
        <v>234</v>
      </c>
    </row>
    <row r="766" spans="1:31" s="324" customFormat="1" ht="0.65" hidden="1" customHeight="1">
      <c r="A766" s="324">
        <v>3078</v>
      </c>
      <c r="F766" s="324">
        <v>1</v>
      </c>
      <c r="G766" s="324">
        <v>4</v>
      </c>
      <c r="H766" s="324" t="s">
        <v>515</v>
      </c>
      <c r="I766" s="324">
        <v>720000</v>
      </c>
      <c r="J766" s="324">
        <v>720000</v>
      </c>
      <c r="K766" s="324" t="s">
        <v>1201</v>
      </c>
      <c r="M766" s="324">
        <v>600000</v>
      </c>
      <c r="N766" s="324">
        <v>120000</v>
      </c>
      <c r="O766" s="324">
        <v>2160000</v>
      </c>
      <c r="U766" s="324" t="s">
        <v>1201</v>
      </c>
      <c r="V766" s="324" t="s">
        <v>516</v>
      </c>
      <c r="X766" s="324" t="s">
        <v>233</v>
      </c>
      <c r="Y766" s="324" t="s">
        <v>252</v>
      </c>
      <c r="Z766" s="324" t="s">
        <v>235</v>
      </c>
    </row>
    <row r="767" spans="1:31" s="324" customFormat="1" ht="0.65" hidden="1" customHeight="1">
      <c r="A767" s="324">
        <v>3079</v>
      </c>
      <c r="C767" s="324" t="s">
        <v>422</v>
      </c>
      <c r="D767" s="324">
        <v>28</v>
      </c>
      <c r="F767" s="324">
        <v>1</v>
      </c>
      <c r="G767" s="324">
        <v>5</v>
      </c>
      <c r="H767" s="324" t="s">
        <v>517</v>
      </c>
      <c r="I767" s="324">
        <v>576000</v>
      </c>
      <c r="J767" s="324">
        <v>576000</v>
      </c>
      <c r="K767" s="324" t="s">
        <v>1202</v>
      </c>
      <c r="M767" s="324">
        <v>528000</v>
      </c>
      <c r="N767" s="324">
        <v>48000</v>
      </c>
      <c r="U767" s="324" t="s">
        <v>1202</v>
      </c>
      <c r="V767" s="324" t="s">
        <v>519</v>
      </c>
      <c r="X767" s="324" t="s">
        <v>236</v>
      </c>
      <c r="Y767" s="324" t="s">
        <v>253</v>
      </c>
    </row>
    <row r="768" spans="1:31" s="324" customFormat="1" ht="0.65" hidden="1" customHeight="1">
      <c r="A768" s="324">
        <v>3080</v>
      </c>
      <c r="C768" s="324" t="s">
        <v>423</v>
      </c>
      <c r="D768" s="324" t="s">
        <v>520</v>
      </c>
      <c r="F768" s="324">
        <v>1</v>
      </c>
      <c r="G768" s="324">
        <v>6</v>
      </c>
      <c r="H768" s="324" t="s">
        <v>521</v>
      </c>
      <c r="I768" s="324">
        <v>576000</v>
      </c>
      <c r="J768" s="324">
        <v>576000</v>
      </c>
      <c r="K768" s="324" t="s">
        <v>1202</v>
      </c>
      <c r="M768" s="324">
        <v>528000</v>
      </c>
      <c r="N768" s="324">
        <v>48000</v>
      </c>
      <c r="O768" s="324">
        <v>1152000</v>
      </c>
      <c r="U768" s="324" t="s">
        <v>1202</v>
      </c>
      <c r="V768" s="324" t="s">
        <v>522</v>
      </c>
      <c r="X768" s="324" t="s">
        <v>236</v>
      </c>
      <c r="Y768" s="324" t="s">
        <v>253</v>
      </c>
      <c r="Z768" s="324" t="s">
        <v>237</v>
      </c>
    </row>
    <row r="769" spans="1:28" s="324" customFormat="1" ht="0.65" hidden="1" customHeight="1">
      <c r="A769" s="324">
        <v>3081</v>
      </c>
      <c r="F769" s="324">
        <v>1</v>
      </c>
      <c r="G769" s="324">
        <v>7</v>
      </c>
      <c r="H769" s="324" t="s">
        <v>523</v>
      </c>
      <c r="I769" s="324">
        <v>576000</v>
      </c>
      <c r="J769" s="324">
        <v>576000</v>
      </c>
      <c r="K769" s="324" t="s">
        <v>1202</v>
      </c>
      <c r="M769" s="324">
        <v>528000</v>
      </c>
      <c r="N769" s="324">
        <v>48000</v>
      </c>
      <c r="O769" s="324">
        <v>1728000</v>
      </c>
      <c r="U769" s="324" t="s">
        <v>1202</v>
      </c>
      <c r="V769" s="324" t="s">
        <v>524</v>
      </c>
      <c r="X769" s="324" t="s">
        <v>236</v>
      </c>
      <c r="Y769" s="324" t="s">
        <v>253</v>
      </c>
      <c r="Z769" s="324" t="s">
        <v>238</v>
      </c>
    </row>
    <row r="770" spans="1:28" s="324" customFormat="1" ht="0.65" hidden="1" customHeight="1">
      <c r="A770" s="324">
        <v>3082</v>
      </c>
      <c r="B770" s="324">
        <v>2022</v>
      </c>
      <c r="C770" s="324">
        <v>2022</v>
      </c>
      <c r="D770" s="324">
        <v>1</v>
      </c>
      <c r="F770" s="324">
        <v>1</v>
      </c>
      <c r="G770" s="324">
        <v>8</v>
      </c>
      <c r="H770" s="324" t="s">
        <v>525</v>
      </c>
      <c r="I770" s="324">
        <v>-16666.666666666672</v>
      </c>
      <c r="J770" s="324">
        <v>-16666.666666666672</v>
      </c>
      <c r="K770" s="324" t="s">
        <v>1203</v>
      </c>
      <c r="M770" s="324">
        <v>50000</v>
      </c>
      <c r="N770" s="324">
        <v>116666.66666666667</v>
      </c>
      <c r="O770" s="324">
        <v>16666.666666666664</v>
      </c>
      <c r="P770" s="324">
        <v>16666.666666666672</v>
      </c>
      <c r="U770" s="324" t="s">
        <v>1203</v>
      </c>
      <c r="V770" s="324" t="s">
        <v>527</v>
      </c>
      <c r="X770" s="324" t="s">
        <v>239</v>
      </c>
      <c r="Y770" s="324" t="s">
        <v>240</v>
      </c>
      <c r="Z770" s="324" t="s">
        <v>241</v>
      </c>
      <c r="AA770" s="324" t="s">
        <v>242</v>
      </c>
    </row>
    <row r="771" spans="1:28" s="324" customFormat="1" ht="0.65" hidden="1" customHeight="1">
      <c r="A771" s="324">
        <v>3083</v>
      </c>
      <c r="B771" s="324">
        <v>2023</v>
      </c>
      <c r="C771" s="324">
        <v>2023</v>
      </c>
      <c r="D771" s="324">
        <v>1</v>
      </c>
      <c r="F771" s="324">
        <v>1</v>
      </c>
      <c r="G771" s="324">
        <v>9</v>
      </c>
      <c r="H771" s="324" t="s">
        <v>528</v>
      </c>
      <c r="I771" s="324">
        <v>-16666.666666666672</v>
      </c>
      <c r="J771" s="324">
        <v>-16666.666666666672</v>
      </c>
      <c r="K771" s="324" t="s">
        <v>1203</v>
      </c>
      <c r="M771" s="324">
        <v>50000</v>
      </c>
      <c r="N771" s="324">
        <v>116666.66666666667</v>
      </c>
      <c r="O771" s="324">
        <v>16666.666666666664</v>
      </c>
      <c r="P771" s="324">
        <v>16666.666666666672</v>
      </c>
      <c r="U771" s="324" t="s">
        <v>1203</v>
      </c>
      <c r="V771" s="324" t="s">
        <v>529</v>
      </c>
      <c r="X771" s="324" t="s">
        <v>239</v>
      </c>
      <c r="Y771" s="324" t="s">
        <v>240</v>
      </c>
      <c r="Z771" s="324" t="s">
        <v>241</v>
      </c>
      <c r="AA771" s="324" t="s">
        <v>242</v>
      </c>
    </row>
    <row r="772" spans="1:28" s="324" customFormat="1" ht="0.65" hidden="1" customHeight="1">
      <c r="A772" s="324">
        <v>3084</v>
      </c>
      <c r="B772" s="324">
        <v>2024</v>
      </c>
      <c r="C772" s="324">
        <v>2024</v>
      </c>
      <c r="D772" s="324">
        <v>1</v>
      </c>
      <c r="F772" s="324">
        <v>1</v>
      </c>
      <c r="G772" s="324">
        <v>10</v>
      </c>
      <c r="H772" s="324" t="s">
        <v>530</v>
      </c>
      <c r="I772" s="324">
        <v>-16666.666666666672</v>
      </c>
      <c r="J772" s="324">
        <v>-16666.666666666672</v>
      </c>
      <c r="K772" s="324" t="s">
        <v>1203</v>
      </c>
      <c r="M772" s="324">
        <v>50000</v>
      </c>
      <c r="N772" s="324">
        <v>116666.66666666667</v>
      </c>
      <c r="O772" s="324">
        <v>16666.666666666664</v>
      </c>
      <c r="P772" s="324">
        <v>16666.666666666672</v>
      </c>
      <c r="Q772" s="324">
        <v>-16666.666666666672</v>
      </c>
      <c r="U772" s="324" t="s">
        <v>1203</v>
      </c>
      <c r="V772" s="324" t="s">
        <v>532</v>
      </c>
      <c r="X772" s="324" t="s">
        <v>239</v>
      </c>
      <c r="Y772" s="324" t="s">
        <v>240</v>
      </c>
      <c r="Z772" s="324" t="s">
        <v>241</v>
      </c>
      <c r="AA772" s="324" t="s">
        <v>242</v>
      </c>
      <c r="AB772" s="324" t="s">
        <v>254</v>
      </c>
    </row>
    <row r="773" spans="1:28" s="324" customFormat="1" ht="0.65" hidden="1" customHeight="1">
      <c r="A773" s="324">
        <v>3085</v>
      </c>
      <c r="B773" s="324">
        <v>2025</v>
      </c>
      <c r="C773" s="324">
        <v>2025</v>
      </c>
      <c r="D773" s="324">
        <v>1</v>
      </c>
      <c r="F773" s="324">
        <v>1</v>
      </c>
      <c r="G773" s="324">
        <v>11</v>
      </c>
      <c r="H773" s="324" t="s">
        <v>533</v>
      </c>
      <c r="I773" s="324">
        <v>160666.66666666669</v>
      </c>
      <c r="J773" s="324">
        <v>160666.66666666669</v>
      </c>
      <c r="K773" s="324" t="s">
        <v>1204</v>
      </c>
      <c r="M773" s="324">
        <v>127333.33333333333</v>
      </c>
      <c r="N773" s="324">
        <v>144000</v>
      </c>
      <c r="O773" s="324">
        <v>1312666.6666666667</v>
      </c>
      <c r="U773" s="324" t="s">
        <v>1204</v>
      </c>
      <c r="V773" s="324" t="s">
        <v>535</v>
      </c>
      <c r="X773" s="324" t="s">
        <v>243</v>
      </c>
      <c r="Y773" s="324" t="s">
        <v>255</v>
      </c>
      <c r="Z773" s="324" t="s">
        <v>341</v>
      </c>
    </row>
    <row r="774" spans="1:28" s="324" customFormat="1" ht="0.65" hidden="1" customHeight="1">
      <c r="A774" s="324">
        <v>3086</v>
      </c>
      <c r="F774" s="324">
        <v>1</v>
      </c>
      <c r="G774" s="324">
        <v>12</v>
      </c>
      <c r="H774" s="324" t="s">
        <v>536</v>
      </c>
      <c r="I774" s="324">
        <v>160666.66666666669</v>
      </c>
      <c r="J774" s="324">
        <v>160666.66666666669</v>
      </c>
      <c r="K774" s="324" t="s">
        <v>1204</v>
      </c>
      <c r="M774" s="324">
        <v>127333.33333333333</v>
      </c>
      <c r="N774" s="324">
        <v>144000</v>
      </c>
      <c r="O774" s="324">
        <v>1312666.6666666667</v>
      </c>
      <c r="U774" s="324" t="s">
        <v>1204</v>
      </c>
      <c r="V774" s="324" t="s">
        <v>537</v>
      </c>
      <c r="X774" s="324" t="s">
        <v>243</v>
      </c>
      <c r="Y774" s="324" t="s">
        <v>255</v>
      </c>
      <c r="Z774" s="324" t="s">
        <v>341</v>
      </c>
    </row>
    <row r="775" spans="1:28" s="324" customFormat="1" ht="0.65" hidden="1" customHeight="1">
      <c r="A775" s="324">
        <v>3087</v>
      </c>
      <c r="F775" s="324">
        <v>1</v>
      </c>
      <c r="G775" s="324">
        <v>13</v>
      </c>
      <c r="H775" s="324" t="s">
        <v>538</v>
      </c>
      <c r="I775" s="324">
        <v>160666.66666666669</v>
      </c>
      <c r="J775" s="324">
        <v>160666.66666666669</v>
      </c>
      <c r="K775" s="324" t="s">
        <v>1204</v>
      </c>
      <c r="M775" s="324">
        <v>127333.33333333333</v>
      </c>
      <c r="N775" s="324">
        <v>144000</v>
      </c>
      <c r="O775" s="324">
        <v>1246000</v>
      </c>
      <c r="U775" s="324" t="s">
        <v>1204</v>
      </c>
      <c r="V775" s="324" t="s">
        <v>540</v>
      </c>
      <c r="X775" s="324" t="s">
        <v>243</v>
      </c>
      <c r="Y775" s="324" t="s">
        <v>255</v>
      </c>
      <c r="Z775" s="324" t="s">
        <v>341</v>
      </c>
    </row>
    <row r="776" spans="1:28" s="324" customFormat="1" ht="0.65" hidden="1" customHeight="1">
      <c r="A776" s="324">
        <v>3088</v>
      </c>
      <c r="B776" s="324">
        <v>2022</v>
      </c>
      <c r="C776" s="324">
        <v>2022</v>
      </c>
      <c r="D776" s="324">
        <v>1</v>
      </c>
      <c r="F776" s="324">
        <v>1</v>
      </c>
      <c r="G776" s="324">
        <v>14</v>
      </c>
      <c r="H776" s="324" t="s">
        <v>541</v>
      </c>
      <c r="I776" s="324">
        <v>40166.666666666672</v>
      </c>
      <c r="J776" s="324">
        <v>40166.666666666672</v>
      </c>
      <c r="K776" s="324" t="s">
        <v>1205</v>
      </c>
      <c r="M776" s="324">
        <v>0</v>
      </c>
      <c r="N776" s="324">
        <v>48200.000000000007</v>
      </c>
      <c r="O776" s="324">
        <v>120500.00000000001</v>
      </c>
      <c r="U776" s="324" t="s">
        <v>1205</v>
      </c>
      <c r="V776" s="324" t="s">
        <v>543</v>
      </c>
      <c r="X776" s="324" t="s">
        <v>279</v>
      </c>
      <c r="Y776" s="324" t="s">
        <v>280</v>
      </c>
      <c r="Z776" s="324" t="s">
        <v>342</v>
      </c>
    </row>
    <row r="777" spans="1:28" s="324" customFormat="1" ht="0.65" hidden="1" customHeight="1">
      <c r="A777" s="324">
        <v>3089</v>
      </c>
      <c r="B777" s="324">
        <v>2023</v>
      </c>
      <c r="C777" s="324">
        <v>2023</v>
      </c>
      <c r="D777" s="324">
        <v>1</v>
      </c>
      <c r="F777" s="324">
        <v>1</v>
      </c>
      <c r="G777" s="324">
        <v>15</v>
      </c>
      <c r="H777" s="324" t="s">
        <v>544</v>
      </c>
      <c r="I777" s="324">
        <v>40166.666666666672</v>
      </c>
      <c r="J777" s="324">
        <v>40166.666666666672</v>
      </c>
      <c r="K777" s="324" t="s">
        <v>1205</v>
      </c>
      <c r="M777" s="324">
        <v>0</v>
      </c>
      <c r="N777" s="324">
        <v>48200.000000000007</v>
      </c>
      <c r="O777" s="324">
        <v>120500.00000000001</v>
      </c>
      <c r="U777" s="324" t="s">
        <v>1205</v>
      </c>
      <c r="V777" s="324" t="s">
        <v>545</v>
      </c>
      <c r="X777" s="324" t="s">
        <v>279</v>
      </c>
      <c r="Y777" s="324" t="s">
        <v>280</v>
      </c>
      <c r="Z777" s="324" t="s">
        <v>342</v>
      </c>
    </row>
    <row r="778" spans="1:28" s="324" customFormat="1" ht="0.65" hidden="1" customHeight="1">
      <c r="A778" s="324">
        <v>3090</v>
      </c>
      <c r="B778" s="324">
        <v>2024</v>
      </c>
      <c r="C778" s="324">
        <v>2024</v>
      </c>
      <c r="D778" s="324">
        <v>1</v>
      </c>
      <c r="F778" s="324">
        <v>1</v>
      </c>
      <c r="G778" s="324">
        <v>16</v>
      </c>
      <c r="H778" s="324" t="s">
        <v>546</v>
      </c>
      <c r="I778" s="324">
        <v>40166.666666666672</v>
      </c>
      <c r="J778" s="324">
        <v>40166.666666666672</v>
      </c>
      <c r="K778" s="324" t="s">
        <v>1205</v>
      </c>
      <c r="M778" s="324">
        <v>0</v>
      </c>
      <c r="N778" s="324">
        <v>48200.000000000007</v>
      </c>
      <c r="O778" s="324">
        <v>70500</v>
      </c>
      <c r="U778" s="324" t="s">
        <v>1205</v>
      </c>
      <c r="V778" s="324" t="s">
        <v>548</v>
      </c>
      <c r="X778" s="324" t="s">
        <v>279</v>
      </c>
      <c r="Y778" s="324" t="s">
        <v>280</v>
      </c>
      <c r="Z778" s="324" t="s">
        <v>342</v>
      </c>
    </row>
    <row r="779" spans="1:28" s="324" customFormat="1" ht="0.65" hidden="1" customHeight="1">
      <c r="A779" s="324">
        <v>3091</v>
      </c>
      <c r="B779" s="324">
        <v>2025</v>
      </c>
      <c r="C779" s="324">
        <v>2025</v>
      </c>
      <c r="D779" s="324">
        <v>1</v>
      </c>
      <c r="F779" s="324">
        <v>1</v>
      </c>
      <c r="G779" s="324">
        <v>17</v>
      </c>
      <c r="H779" s="324" t="s">
        <v>549</v>
      </c>
      <c r="I779" s="324">
        <v>120500.00000000001</v>
      </c>
      <c r="J779" s="324">
        <v>120500.00000000001</v>
      </c>
      <c r="K779" s="324" t="s">
        <v>1206</v>
      </c>
      <c r="M779" s="324">
        <v>200833.33333333337</v>
      </c>
      <c r="U779" s="324" t="s">
        <v>1206</v>
      </c>
      <c r="V779" s="324" t="s">
        <v>551</v>
      </c>
      <c r="X779" s="324" t="s">
        <v>256</v>
      </c>
    </row>
    <row r="780" spans="1:28" s="324" customFormat="1" ht="0.65" hidden="1" customHeight="1">
      <c r="A780" s="324">
        <v>3092</v>
      </c>
      <c r="F780" s="324">
        <v>1</v>
      </c>
      <c r="G780" s="324">
        <v>18</v>
      </c>
      <c r="H780" s="324" t="s">
        <v>552</v>
      </c>
      <c r="I780" s="324">
        <v>120500.00000000001</v>
      </c>
      <c r="J780" s="324">
        <v>120500.00000000001</v>
      </c>
      <c r="K780" s="324" t="s">
        <v>1206</v>
      </c>
      <c r="M780" s="324">
        <v>200833.33333333337</v>
      </c>
      <c r="U780" s="324" t="s">
        <v>1206</v>
      </c>
      <c r="V780" s="324" t="s">
        <v>553</v>
      </c>
      <c r="X780" s="324" t="s">
        <v>256</v>
      </c>
    </row>
    <row r="781" spans="1:28" s="324" customFormat="1" ht="0.65" hidden="1" customHeight="1">
      <c r="A781" s="324">
        <v>3093</v>
      </c>
      <c r="B781" s="324">
        <v>0</v>
      </c>
      <c r="C781" s="324">
        <v>0</v>
      </c>
      <c r="D781" s="324">
        <v>1</v>
      </c>
      <c r="F781" s="324">
        <v>1</v>
      </c>
      <c r="G781" s="324">
        <v>19</v>
      </c>
      <c r="H781" s="324" t="s">
        <v>554</v>
      </c>
      <c r="I781" s="324">
        <v>120500.00000000001</v>
      </c>
      <c r="J781" s="324">
        <v>120500.00000000001</v>
      </c>
      <c r="K781" s="324" t="s">
        <v>1206</v>
      </c>
      <c r="M781" s="324">
        <v>200833.33333333337</v>
      </c>
      <c r="U781" s="324" t="s">
        <v>1206</v>
      </c>
      <c r="V781" s="324" t="s">
        <v>556</v>
      </c>
      <c r="X781" s="324" t="s">
        <v>256</v>
      </c>
    </row>
    <row r="782" spans="1:28" s="324" customFormat="1" ht="0.65" hidden="1" customHeight="1">
      <c r="A782" s="324">
        <v>3094</v>
      </c>
      <c r="B782" s="324">
        <v>0</v>
      </c>
      <c r="C782" s="324">
        <v>0</v>
      </c>
      <c r="D782" s="324">
        <v>1</v>
      </c>
      <c r="F782" s="324">
        <v>1</v>
      </c>
      <c r="G782" s="324">
        <v>20</v>
      </c>
      <c r="H782" s="324" t="s">
        <v>557</v>
      </c>
      <c r="I782" s="324">
        <v>103833.33333333334</v>
      </c>
      <c r="J782" s="324">
        <v>103833.33333333334</v>
      </c>
      <c r="K782" s="324" t="s">
        <v>1207</v>
      </c>
      <c r="M782" s="324">
        <v>120500.00000000001</v>
      </c>
      <c r="N782" s="324">
        <v>137166.66666666669</v>
      </c>
      <c r="U782" s="324" t="s">
        <v>1207</v>
      </c>
      <c r="V782" s="324" t="s">
        <v>559</v>
      </c>
      <c r="X782" s="324" t="s">
        <v>257</v>
      </c>
      <c r="Y782" s="324" t="s">
        <v>258</v>
      </c>
    </row>
    <row r="783" spans="1:28" s="324" customFormat="1" ht="0.65" hidden="1" customHeight="1">
      <c r="A783" s="324">
        <v>3095</v>
      </c>
      <c r="B783" s="324">
        <v>0</v>
      </c>
      <c r="C783" s="324">
        <v>0</v>
      </c>
      <c r="D783" s="324">
        <v>1</v>
      </c>
      <c r="F783" s="324">
        <v>1</v>
      </c>
      <c r="G783" s="324">
        <v>21</v>
      </c>
      <c r="H783" s="324" t="s">
        <v>560</v>
      </c>
      <c r="I783" s="324">
        <v>103833.33333333334</v>
      </c>
      <c r="J783" s="324">
        <v>103833.33333333334</v>
      </c>
      <c r="K783" s="324" t="s">
        <v>1207</v>
      </c>
      <c r="M783" s="324">
        <v>120500.00000000001</v>
      </c>
      <c r="N783" s="324">
        <v>137166.66666666669</v>
      </c>
      <c r="U783" s="324" t="s">
        <v>1207</v>
      </c>
      <c r="V783" s="324" t="s">
        <v>561</v>
      </c>
      <c r="X783" s="324" t="s">
        <v>257</v>
      </c>
      <c r="Y783" s="324" t="s">
        <v>258</v>
      </c>
    </row>
    <row r="784" spans="1:28" s="324" customFormat="1" ht="0.65" hidden="1" customHeight="1">
      <c r="A784" s="324">
        <v>3096</v>
      </c>
      <c r="F784" s="324">
        <v>1</v>
      </c>
      <c r="G784" s="324">
        <v>22</v>
      </c>
      <c r="H784" s="324" t="s">
        <v>562</v>
      </c>
      <c r="I784" s="324">
        <v>103833.33333333334</v>
      </c>
      <c r="J784" s="324">
        <v>103833.33333333334</v>
      </c>
      <c r="K784" s="324" t="s">
        <v>1207</v>
      </c>
      <c r="M784" s="324">
        <v>120500.00000000001</v>
      </c>
      <c r="N784" s="324">
        <v>137166.66666666669</v>
      </c>
      <c r="U784" s="324" t="s">
        <v>1207</v>
      </c>
      <c r="V784" s="324" t="s">
        <v>564</v>
      </c>
      <c r="X784" s="324" t="s">
        <v>257</v>
      </c>
      <c r="Y784" s="324" t="s">
        <v>258</v>
      </c>
    </row>
    <row r="785" spans="1:28" s="324" customFormat="1" ht="0.65" hidden="1" customHeight="1">
      <c r="A785" s="324">
        <v>3097</v>
      </c>
      <c r="F785" s="324">
        <v>1</v>
      </c>
      <c r="G785" s="324">
        <v>23</v>
      </c>
      <c r="H785" s="324" t="s">
        <v>565</v>
      </c>
      <c r="I785" s="324">
        <v>120000</v>
      </c>
      <c r="J785" s="324">
        <v>120000</v>
      </c>
      <c r="K785" s="324" t="s">
        <v>1208</v>
      </c>
      <c r="M785" s="324">
        <v>600000</v>
      </c>
      <c r="N785" s="324">
        <v>60000</v>
      </c>
      <c r="O785" s="324">
        <v>720000</v>
      </c>
      <c r="U785" s="324" t="s">
        <v>1208</v>
      </c>
      <c r="V785" s="324" t="s">
        <v>567</v>
      </c>
      <c r="X785" s="324" t="s">
        <v>259</v>
      </c>
      <c r="Y785" s="324" t="s">
        <v>260</v>
      </c>
      <c r="Z785" s="324" t="s">
        <v>343</v>
      </c>
    </row>
    <row r="786" spans="1:28" s="324" customFormat="1" ht="0.65" hidden="1" customHeight="1">
      <c r="A786" s="324">
        <v>3098</v>
      </c>
      <c r="F786" s="324">
        <v>1</v>
      </c>
      <c r="G786" s="324">
        <v>24</v>
      </c>
      <c r="H786" s="324" t="s">
        <v>568</v>
      </c>
      <c r="I786" s="324">
        <v>120000</v>
      </c>
      <c r="J786" s="324">
        <v>120000</v>
      </c>
      <c r="K786" s="324" t="s">
        <v>1208</v>
      </c>
      <c r="M786" s="324">
        <v>600000</v>
      </c>
      <c r="N786" s="324">
        <v>60000</v>
      </c>
      <c r="O786" s="324">
        <v>240000</v>
      </c>
      <c r="U786" s="324" t="s">
        <v>1208</v>
      </c>
      <c r="V786" s="324" t="s">
        <v>569</v>
      </c>
      <c r="X786" s="324" t="s">
        <v>259</v>
      </c>
      <c r="Y786" s="324" t="s">
        <v>260</v>
      </c>
      <c r="Z786" s="324" t="s">
        <v>261</v>
      </c>
    </row>
    <row r="787" spans="1:28" s="324" customFormat="1" ht="0.65" hidden="1" customHeight="1">
      <c r="A787" s="324">
        <v>3099</v>
      </c>
      <c r="F787" s="324">
        <v>1</v>
      </c>
      <c r="G787" s="324">
        <v>25</v>
      </c>
      <c r="H787" s="324" t="s">
        <v>570</v>
      </c>
      <c r="I787" s="324">
        <v>120000</v>
      </c>
      <c r="J787" s="324">
        <v>120000</v>
      </c>
      <c r="K787" s="324" t="s">
        <v>1208</v>
      </c>
      <c r="M787" s="324">
        <v>600000</v>
      </c>
      <c r="N787" s="324">
        <v>60000</v>
      </c>
      <c r="O787" s="324">
        <v>360000</v>
      </c>
      <c r="U787" s="324" t="s">
        <v>1208</v>
      </c>
      <c r="V787" s="324" t="s">
        <v>571</v>
      </c>
      <c r="X787" s="324" t="s">
        <v>259</v>
      </c>
      <c r="Y787" s="324" t="s">
        <v>260</v>
      </c>
      <c r="Z787" s="324" t="s">
        <v>261</v>
      </c>
    </row>
    <row r="788" spans="1:28" s="324" customFormat="1" ht="0.65" hidden="1" customHeight="1">
      <c r="A788" s="324">
        <v>3100</v>
      </c>
      <c r="F788" s="324">
        <v>1</v>
      </c>
      <c r="G788" s="324">
        <v>26</v>
      </c>
      <c r="H788" s="324" t="s">
        <v>572</v>
      </c>
      <c r="I788" s="324">
        <v>48000</v>
      </c>
      <c r="J788" s="324">
        <v>48000</v>
      </c>
      <c r="K788" s="324" t="s">
        <v>1209</v>
      </c>
      <c r="M788" s="324">
        <v>528000</v>
      </c>
      <c r="N788" s="324">
        <v>96000</v>
      </c>
      <c r="O788" s="324">
        <v>576000</v>
      </c>
      <c r="U788" s="324" t="s">
        <v>1209</v>
      </c>
      <c r="V788" s="324" t="s">
        <v>574</v>
      </c>
      <c r="X788" s="324" t="s">
        <v>262</v>
      </c>
      <c r="Y788" s="324" t="s">
        <v>263</v>
      </c>
      <c r="Z788" s="324" t="s">
        <v>344</v>
      </c>
    </row>
    <row r="789" spans="1:28" s="324" customFormat="1" ht="0.65" hidden="1" customHeight="1">
      <c r="A789" s="324">
        <v>3101</v>
      </c>
      <c r="F789" s="324">
        <v>1</v>
      </c>
      <c r="G789" s="324">
        <v>27</v>
      </c>
      <c r="H789" s="324" t="s">
        <v>575</v>
      </c>
      <c r="I789" s="324">
        <v>48000</v>
      </c>
      <c r="J789" s="324">
        <v>48000</v>
      </c>
      <c r="K789" s="324" t="s">
        <v>1209</v>
      </c>
      <c r="M789" s="324">
        <v>528000</v>
      </c>
      <c r="N789" s="324">
        <v>96000</v>
      </c>
      <c r="O789" s="324">
        <v>96000</v>
      </c>
      <c r="U789" s="324" t="s">
        <v>1209</v>
      </c>
      <c r="V789" s="324" t="s">
        <v>576</v>
      </c>
      <c r="X789" s="324" t="s">
        <v>262</v>
      </c>
      <c r="Y789" s="324" t="s">
        <v>263</v>
      </c>
      <c r="Z789" s="324" t="s">
        <v>264</v>
      </c>
    </row>
    <row r="790" spans="1:28" s="324" customFormat="1" ht="0.65" hidden="1" customHeight="1">
      <c r="A790" s="324">
        <v>3102</v>
      </c>
      <c r="F790" s="324">
        <v>1</v>
      </c>
      <c r="G790" s="324">
        <v>28</v>
      </c>
      <c r="H790" s="324" t="s">
        <v>577</v>
      </c>
      <c r="I790" s="324">
        <v>48000</v>
      </c>
      <c r="J790" s="324">
        <v>48000</v>
      </c>
      <c r="K790" s="324" t="s">
        <v>1209</v>
      </c>
      <c r="M790" s="324">
        <v>528000</v>
      </c>
      <c r="N790" s="324">
        <v>96000</v>
      </c>
      <c r="O790" s="324">
        <v>144000</v>
      </c>
      <c r="U790" s="324" t="s">
        <v>1209</v>
      </c>
      <c r="V790" s="324" t="s">
        <v>578</v>
      </c>
      <c r="X790" s="324" t="s">
        <v>262</v>
      </c>
      <c r="Y790" s="324" t="s">
        <v>263</v>
      </c>
      <c r="Z790" s="324" t="s">
        <v>264</v>
      </c>
    </row>
    <row r="791" spans="1:28" s="324" customFormat="1" ht="0.65" hidden="1" customHeight="1">
      <c r="A791" s="324">
        <v>3103</v>
      </c>
      <c r="F791" s="324">
        <v>1</v>
      </c>
      <c r="G791" s="324">
        <v>29</v>
      </c>
      <c r="H791" s="324" t="s">
        <v>579</v>
      </c>
      <c r="I791" s="324">
        <v>72000</v>
      </c>
      <c r="J791" s="324">
        <v>72000</v>
      </c>
      <c r="K791" s="324" t="s">
        <v>1210</v>
      </c>
      <c r="M791" s="324">
        <v>168000</v>
      </c>
      <c r="N791" s="324">
        <v>0</v>
      </c>
      <c r="O791" s="324">
        <v>120000</v>
      </c>
      <c r="U791" s="324" t="s">
        <v>1210</v>
      </c>
      <c r="V791" s="324" t="s">
        <v>581</v>
      </c>
      <c r="X791" s="324" t="s">
        <v>265</v>
      </c>
      <c r="Y791" s="324" t="s">
        <v>266</v>
      </c>
      <c r="Z791" s="324" t="s">
        <v>281</v>
      </c>
    </row>
    <row r="792" spans="1:28" s="324" customFormat="1" ht="0.65" hidden="1" customHeight="1">
      <c r="A792" s="324">
        <v>3104</v>
      </c>
      <c r="F792" s="324">
        <v>1</v>
      </c>
      <c r="G792" s="324">
        <v>30</v>
      </c>
      <c r="H792" s="324" t="s">
        <v>582</v>
      </c>
      <c r="I792" s="324">
        <v>72000</v>
      </c>
      <c r="J792" s="324">
        <v>72000</v>
      </c>
      <c r="K792" s="324" t="s">
        <v>1210</v>
      </c>
      <c r="M792" s="324">
        <v>168000</v>
      </c>
      <c r="N792" s="324">
        <v>0</v>
      </c>
      <c r="O792" s="324">
        <v>120000</v>
      </c>
      <c r="U792" s="324" t="s">
        <v>1210</v>
      </c>
      <c r="V792" s="324" t="s">
        <v>583</v>
      </c>
      <c r="X792" s="324" t="s">
        <v>265</v>
      </c>
      <c r="Y792" s="324" t="s">
        <v>266</v>
      </c>
      <c r="Z792" s="324" t="s">
        <v>281</v>
      </c>
    </row>
    <row r="793" spans="1:28" s="324" customFormat="1" ht="0.65" hidden="1" customHeight="1">
      <c r="A793" s="324">
        <v>3105</v>
      </c>
      <c r="F793" s="324">
        <v>1</v>
      </c>
      <c r="G793" s="324">
        <v>31</v>
      </c>
      <c r="H793" s="324" t="s">
        <v>584</v>
      </c>
      <c r="I793" s="324">
        <v>72000</v>
      </c>
      <c r="J793" s="324">
        <v>72000</v>
      </c>
      <c r="K793" s="324" t="s">
        <v>1210</v>
      </c>
      <c r="M793" s="324">
        <v>168000</v>
      </c>
      <c r="N793" s="324">
        <v>0</v>
      </c>
      <c r="O793" s="324">
        <v>120000</v>
      </c>
      <c r="U793" s="324" t="s">
        <v>1210</v>
      </c>
      <c r="V793" s="324" t="s">
        <v>585</v>
      </c>
      <c r="X793" s="324" t="s">
        <v>265</v>
      </c>
      <c r="Y793" s="324" t="s">
        <v>266</v>
      </c>
      <c r="Z793" s="324" t="s">
        <v>281</v>
      </c>
    </row>
    <row r="794" spans="1:28" s="324" customFormat="1" ht="0.65" hidden="1" customHeight="1">
      <c r="A794" s="324">
        <v>3106</v>
      </c>
      <c r="F794" s="324">
        <v>1</v>
      </c>
      <c r="G794" s="324">
        <v>32</v>
      </c>
      <c r="H794" s="324" t="s">
        <v>586</v>
      </c>
      <c r="I794" s="324">
        <v>72000</v>
      </c>
      <c r="J794" s="324">
        <v>72000</v>
      </c>
      <c r="K794" s="324" t="s">
        <v>1211</v>
      </c>
      <c r="U794" s="324" t="s">
        <v>1211</v>
      </c>
      <c r="V794" s="324" t="s">
        <v>588</v>
      </c>
    </row>
    <row r="795" spans="1:28" s="324" customFormat="1" ht="0.65" hidden="1" customHeight="1">
      <c r="A795" s="324">
        <v>3107</v>
      </c>
      <c r="F795" s="324">
        <v>1</v>
      </c>
      <c r="G795" s="324">
        <v>33</v>
      </c>
      <c r="H795" s="324" t="s">
        <v>589</v>
      </c>
      <c r="I795" s="324">
        <v>0</v>
      </c>
      <c r="J795" s="324">
        <v>0</v>
      </c>
      <c r="K795" s="324" t="s">
        <v>1198</v>
      </c>
      <c r="M795" s="324">
        <v>72000</v>
      </c>
      <c r="N795" s="324">
        <v>144000</v>
      </c>
      <c r="U795" s="324" t="s">
        <v>1198</v>
      </c>
      <c r="V795" s="324" t="s">
        <v>507</v>
      </c>
      <c r="X795" s="324" t="s">
        <v>267</v>
      </c>
      <c r="Y795" s="324" t="s">
        <v>268</v>
      </c>
    </row>
    <row r="796" spans="1:28" s="324" customFormat="1" ht="0.65" hidden="1" customHeight="1">
      <c r="A796" s="324">
        <v>3108</v>
      </c>
      <c r="F796" s="324">
        <v>1</v>
      </c>
      <c r="G796" s="324">
        <v>34</v>
      </c>
      <c r="H796" s="324" t="s">
        <v>590</v>
      </c>
      <c r="I796" s="324">
        <v>0</v>
      </c>
      <c r="J796" s="324">
        <v>0</v>
      </c>
      <c r="K796" s="324" t="s">
        <v>1198</v>
      </c>
      <c r="M796" s="324">
        <v>72000</v>
      </c>
      <c r="N796" s="324">
        <v>144000</v>
      </c>
      <c r="U796" s="324" t="s">
        <v>1198</v>
      </c>
      <c r="V796" s="324" t="s">
        <v>591</v>
      </c>
      <c r="X796" s="324" t="s">
        <v>267</v>
      </c>
      <c r="Y796" s="324" t="s">
        <v>268</v>
      </c>
    </row>
    <row r="797" spans="1:28" s="324" customFormat="1" ht="0.65" hidden="1" customHeight="1">
      <c r="A797" s="324">
        <v>3109</v>
      </c>
      <c r="F797" s="324">
        <v>1</v>
      </c>
      <c r="G797" s="324">
        <v>35</v>
      </c>
      <c r="H797" s="324" t="s">
        <v>592</v>
      </c>
      <c r="I797" s="324">
        <v>31833.333333333343</v>
      </c>
      <c r="J797" s="324">
        <v>31833.333333333343</v>
      </c>
      <c r="K797" s="324" t="s">
        <v>1212</v>
      </c>
      <c r="M797" s="324">
        <v>175833.33333333334</v>
      </c>
      <c r="N797" s="324">
        <v>103833.33333333334</v>
      </c>
      <c r="U797" s="324" t="s">
        <v>1212</v>
      </c>
      <c r="V797" s="324" t="s">
        <v>594</v>
      </c>
      <c r="X797" s="324" t="s">
        <v>269</v>
      </c>
      <c r="Y797" s="324" t="s">
        <v>282</v>
      </c>
    </row>
    <row r="798" spans="1:28" s="324" customFormat="1" ht="0.65" hidden="1" customHeight="1">
      <c r="A798" s="324">
        <v>3110</v>
      </c>
      <c r="F798" s="324">
        <v>1</v>
      </c>
      <c r="G798" s="324">
        <v>36</v>
      </c>
      <c r="H798" s="324" t="s">
        <v>595</v>
      </c>
      <c r="I798" s="324">
        <v>103833.33333333334</v>
      </c>
      <c r="J798" s="324">
        <v>103833.33333333334</v>
      </c>
      <c r="K798" s="324" t="s">
        <v>1213</v>
      </c>
      <c r="M798" s="324">
        <v>31833.333333333343</v>
      </c>
      <c r="U798" s="324" t="s">
        <v>1213</v>
      </c>
      <c r="V798" s="324" t="s">
        <v>597</v>
      </c>
      <c r="X798" s="324" t="s">
        <v>270</v>
      </c>
    </row>
    <row r="799" spans="1:28" s="324" customFormat="1" ht="0.65" hidden="1" customHeight="1">
      <c r="A799" s="324">
        <v>3111</v>
      </c>
      <c r="F799" s="324">
        <v>1</v>
      </c>
      <c r="G799" s="324">
        <v>37</v>
      </c>
      <c r="H799" s="324" t="s">
        <v>598</v>
      </c>
      <c r="I799" s="324">
        <v>103833.33333333334</v>
      </c>
      <c r="J799" s="324">
        <v>103833.33333333334</v>
      </c>
      <c r="K799" s="324" t="s">
        <v>1213</v>
      </c>
      <c r="M799" s="324">
        <v>31833.333333333343</v>
      </c>
      <c r="U799" s="324" t="s">
        <v>1213</v>
      </c>
      <c r="V799" s="324" t="s">
        <v>600</v>
      </c>
      <c r="X799" s="324" t="s">
        <v>270</v>
      </c>
    </row>
    <row r="800" spans="1:28" s="324" customFormat="1" ht="0.65" hidden="1" customHeight="1">
      <c r="A800" s="324">
        <v>3112</v>
      </c>
      <c r="F800" s="324">
        <v>1</v>
      </c>
      <c r="G800" s="324">
        <v>38</v>
      </c>
      <c r="H800" s="324" t="s">
        <v>491</v>
      </c>
      <c r="I800" s="324">
        <v>75000</v>
      </c>
      <c r="J800" s="324">
        <v>75000</v>
      </c>
      <c r="K800" s="324" t="s">
        <v>1214</v>
      </c>
      <c r="M800" s="324">
        <v>50000</v>
      </c>
      <c r="N800" s="324">
        <v>37500</v>
      </c>
      <c r="O800" s="324">
        <v>147000</v>
      </c>
      <c r="P800" s="324">
        <v>112500</v>
      </c>
      <c r="Q800" s="324">
        <v>87500</v>
      </c>
      <c r="U800" s="324" t="s">
        <v>1214</v>
      </c>
      <c r="V800" s="324" t="s">
        <v>602</v>
      </c>
      <c r="X800" s="324" t="s">
        <v>271</v>
      </c>
      <c r="Y800" s="324" t="s">
        <v>272</v>
      </c>
      <c r="Z800" s="324" t="s">
        <v>273</v>
      </c>
      <c r="AA800" s="324" t="s">
        <v>283</v>
      </c>
      <c r="AB800" s="324" t="s">
        <v>345</v>
      </c>
    </row>
    <row r="801" spans="1:28" s="324" customFormat="1" ht="0.65" hidden="1" customHeight="1">
      <c r="A801" s="324">
        <v>3113</v>
      </c>
      <c r="F801" s="324">
        <v>1</v>
      </c>
      <c r="G801" s="324">
        <v>39</v>
      </c>
      <c r="H801" s="324" t="s">
        <v>493</v>
      </c>
      <c r="I801" s="324">
        <v>72000</v>
      </c>
      <c r="J801" s="324">
        <v>72000</v>
      </c>
      <c r="K801" s="324" t="s">
        <v>1215</v>
      </c>
      <c r="M801" s="324">
        <v>0</v>
      </c>
      <c r="U801" s="324" t="s">
        <v>1215</v>
      </c>
      <c r="V801" s="324" t="s">
        <v>604</v>
      </c>
      <c r="X801" s="324" t="s">
        <v>289</v>
      </c>
    </row>
    <row r="802" spans="1:28" s="324" customFormat="1" ht="0.65" hidden="1" customHeight="1">
      <c r="A802" s="324">
        <v>3114</v>
      </c>
      <c r="F802" s="324">
        <v>1</v>
      </c>
      <c r="G802" s="324">
        <v>40</v>
      </c>
      <c r="H802" s="324" t="s">
        <v>494</v>
      </c>
      <c r="I802" s="324">
        <v>147000</v>
      </c>
      <c r="J802" s="324">
        <v>147000</v>
      </c>
      <c r="K802" s="324" t="s">
        <v>1216</v>
      </c>
      <c r="M802" s="324">
        <v>3000</v>
      </c>
      <c r="N802" s="324">
        <v>75000</v>
      </c>
      <c r="O802" s="324">
        <v>72000</v>
      </c>
      <c r="U802" s="324" t="s">
        <v>1216</v>
      </c>
      <c r="V802" s="324" t="s">
        <v>606</v>
      </c>
      <c r="X802" s="324" t="s">
        <v>274</v>
      </c>
      <c r="Y802" s="324" t="s">
        <v>284</v>
      </c>
      <c r="Z802" s="324" t="s">
        <v>285</v>
      </c>
    </row>
    <row r="803" spans="1:28" s="324" customFormat="1" ht="0.65" hidden="1" customHeight="1">
      <c r="A803" s="324">
        <v>3115</v>
      </c>
      <c r="F803" s="324">
        <v>1</v>
      </c>
      <c r="G803" s="324">
        <v>41</v>
      </c>
      <c r="H803" s="324" t="s">
        <v>607</v>
      </c>
      <c r="I803" s="324">
        <v>-175000</v>
      </c>
      <c r="J803" s="324">
        <v>-175000</v>
      </c>
      <c r="K803" s="324" t="s">
        <v>1217</v>
      </c>
      <c r="M803" s="324">
        <v>175000</v>
      </c>
      <c r="U803" s="324" t="s">
        <v>1217</v>
      </c>
      <c r="V803" s="324" t="s">
        <v>609</v>
      </c>
      <c r="X803" s="324" t="s">
        <v>275</v>
      </c>
    </row>
    <row r="804" spans="1:28" s="324" customFormat="1" ht="0.65" hidden="1" customHeight="1">
      <c r="A804" s="324">
        <v>3116</v>
      </c>
      <c r="F804" s="324">
        <v>1</v>
      </c>
      <c r="G804" s="324">
        <v>42</v>
      </c>
      <c r="H804" s="324" t="s">
        <v>610</v>
      </c>
      <c r="I804" s="324">
        <v>31833.333333333343</v>
      </c>
      <c r="J804" s="324">
        <v>31833.333333333343</v>
      </c>
      <c r="K804" s="324" t="s">
        <v>1212</v>
      </c>
      <c r="U804" s="324" t="s">
        <v>1212</v>
      </c>
      <c r="V804" s="324" t="s">
        <v>594</v>
      </c>
    </row>
    <row r="805" spans="1:28" s="324" customFormat="1" ht="0.65" hidden="1" customHeight="1">
      <c r="A805" s="324">
        <v>3117</v>
      </c>
      <c r="F805" s="324">
        <v>1</v>
      </c>
      <c r="G805" s="324">
        <v>43</v>
      </c>
      <c r="H805" s="324" t="s">
        <v>611</v>
      </c>
      <c r="I805" s="324">
        <v>103833.33333333334</v>
      </c>
      <c r="J805" s="324">
        <v>103833.33333333334</v>
      </c>
      <c r="K805" s="324" t="s">
        <v>1213</v>
      </c>
      <c r="U805" s="324" t="s">
        <v>1213</v>
      </c>
      <c r="V805" s="324" t="s">
        <v>597</v>
      </c>
    </row>
    <row r="806" spans="1:28" s="324" customFormat="1" ht="0.65" hidden="1" customHeight="1">
      <c r="A806" s="324">
        <v>3118</v>
      </c>
      <c r="F806" s="324">
        <v>1</v>
      </c>
      <c r="G806" s="324">
        <v>44</v>
      </c>
      <c r="H806" s="324" t="s">
        <v>612</v>
      </c>
      <c r="I806" s="324">
        <v>250833.33333333334</v>
      </c>
      <c r="J806" s="324">
        <v>250833.33333333334</v>
      </c>
      <c r="K806" s="324" t="s">
        <v>1218</v>
      </c>
      <c r="M806" s="324">
        <v>103833.33333333334</v>
      </c>
      <c r="N806" s="324">
        <v>-43166.666666666657</v>
      </c>
      <c r="U806" s="324" t="s">
        <v>1218</v>
      </c>
      <c r="V806" s="324" t="s">
        <v>614</v>
      </c>
      <c r="X806" s="324" t="s">
        <v>276</v>
      </c>
      <c r="Y806" s="324" t="s">
        <v>346</v>
      </c>
    </row>
    <row r="807" spans="1:28" s="324" customFormat="1" ht="0.65" hidden="1" customHeight="1">
      <c r="A807" s="324">
        <v>3119</v>
      </c>
      <c r="F807" s="324">
        <v>1</v>
      </c>
      <c r="G807" s="324">
        <v>45</v>
      </c>
      <c r="H807" s="324" t="s">
        <v>414</v>
      </c>
      <c r="I807" s="324">
        <v>4.4999999999999998E-2</v>
      </c>
      <c r="J807" s="324">
        <v>4.4999999999999998E-2</v>
      </c>
      <c r="K807" s="324" t="s">
        <v>1219</v>
      </c>
      <c r="M807" s="324">
        <v>0.06</v>
      </c>
      <c r="N807" s="324">
        <v>180000</v>
      </c>
      <c r="O807" s="324">
        <v>1.4999999999999999E-2</v>
      </c>
      <c r="P807" s="324">
        <v>7.4999999999999997E-2</v>
      </c>
      <c r="U807" s="324" t="s">
        <v>1219</v>
      </c>
      <c r="V807" s="324" t="s">
        <v>616</v>
      </c>
      <c r="X807" s="324" t="s">
        <v>277</v>
      </c>
      <c r="Y807" s="324" t="s">
        <v>347</v>
      </c>
      <c r="Z807" s="324" t="s">
        <v>348</v>
      </c>
      <c r="AA807" s="324" t="s">
        <v>349</v>
      </c>
    </row>
    <row r="808" spans="1:28" s="324" customFormat="1" ht="0.65" hidden="1" customHeight="1">
      <c r="A808" s="324">
        <v>3120</v>
      </c>
      <c r="F808" s="324">
        <v>1</v>
      </c>
      <c r="G808" s="324">
        <v>46</v>
      </c>
      <c r="H808" s="324" t="s">
        <v>415</v>
      </c>
      <c r="I808" s="324">
        <v>0.08</v>
      </c>
      <c r="J808" s="324">
        <v>0.08</v>
      </c>
      <c r="K808" s="324" t="s">
        <v>1220</v>
      </c>
      <c r="M808" s="324">
        <v>0.05</v>
      </c>
      <c r="N808" s="324">
        <v>450000</v>
      </c>
      <c r="O808" s="324">
        <v>2.0000000000000004E-2</v>
      </c>
      <c r="U808" s="324" t="s">
        <v>1220</v>
      </c>
      <c r="V808" s="324" t="s">
        <v>618</v>
      </c>
      <c r="X808" s="324" t="s">
        <v>278</v>
      </c>
      <c r="Y808" s="324" t="s">
        <v>350</v>
      </c>
      <c r="Z808" s="324" t="s">
        <v>351</v>
      </c>
    </row>
    <row r="809" spans="1:28" s="324" customFormat="1" ht="0.65" hidden="1" customHeight="1">
      <c r="A809" s="324">
        <v>3121</v>
      </c>
      <c r="F809" s="324">
        <v>1</v>
      </c>
      <c r="G809" s="324">
        <v>47</v>
      </c>
      <c r="H809" s="324" t="s">
        <v>416</v>
      </c>
      <c r="I809" s="324">
        <v>7.1249999999999994E-2</v>
      </c>
      <c r="J809" s="324">
        <v>7.1249999999999994E-2</v>
      </c>
      <c r="K809" s="324" t="s">
        <v>1221</v>
      </c>
      <c r="U809" s="324" t="s">
        <v>1221</v>
      </c>
      <c r="V809" s="324" t="s">
        <v>620</v>
      </c>
    </row>
    <row r="810" spans="1:28" s="324" customFormat="1" ht="0.65" hidden="1" customHeight="1">
      <c r="A810" s="324">
        <v>3122</v>
      </c>
      <c r="F810" s="324">
        <v>1</v>
      </c>
      <c r="G810" s="324">
        <v>48</v>
      </c>
      <c r="H810" s="324" t="s">
        <v>13</v>
      </c>
      <c r="I810" s="324">
        <v>149235.38433886995</v>
      </c>
      <c r="J810" s="324">
        <v>149235.38433886995</v>
      </c>
      <c r="K810" s="324" t="s">
        <v>1222</v>
      </c>
      <c r="M810" s="324">
        <v>170350.21139012527</v>
      </c>
      <c r="N810" s="324">
        <v>142615.24327253638</v>
      </c>
      <c r="O810" s="324">
        <v>139309.5769791085</v>
      </c>
      <c r="P810" s="324">
        <v>324235.38433886995</v>
      </c>
      <c r="Q810" s="324">
        <v>499235.38433886995</v>
      </c>
      <c r="U810" s="324" t="s">
        <v>1222</v>
      </c>
      <c r="V810" s="324" t="s">
        <v>622</v>
      </c>
      <c r="X810" s="324" t="s">
        <v>286</v>
      </c>
      <c r="Y810" s="324" t="s">
        <v>287</v>
      </c>
      <c r="Z810" s="324" t="s">
        <v>288</v>
      </c>
      <c r="AA810" s="324" t="s">
        <v>352</v>
      </c>
      <c r="AB810" s="324" t="s">
        <v>353</v>
      </c>
    </row>
    <row r="811" spans="1:28" s="324" customFormat="1" ht="0.65" hidden="1" customHeight="1">
      <c r="A811" s="324">
        <v>3123</v>
      </c>
      <c r="F811" s="324">
        <v>1</v>
      </c>
      <c r="G811" s="324">
        <v>49</v>
      </c>
      <c r="H811" s="324" t="s">
        <v>28</v>
      </c>
      <c r="I811" s="324">
        <v>0.37357216681627725</v>
      </c>
      <c r="J811" s="324">
        <v>0.37357216681627725</v>
      </c>
      <c r="K811" s="324" t="s">
        <v>1223</v>
      </c>
      <c r="U811" s="324" t="s">
        <v>1223</v>
      </c>
      <c r="V811" s="324" t="s">
        <v>624</v>
      </c>
    </row>
    <row r="812" spans="1:28" s="324" customFormat="1" ht="0.65" hidden="1" customHeight="1">
      <c r="A812" s="324">
        <v>3124</v>
      </c>
      <c r="M812" s="324">
        <v>1</v>
      </c>
      <c r="N812" s="324">
        <v>2</v>
      </c>
      <c r="O812" s="324">
        <v>3</v>
      </c>
      <c r="P812" s="324">
        <v>4</v>
      </c>
      <c r="Q812" s="324">
        <v>5</v>
      </c>
      <c r="R812" s="324">
        <v>6</v>
      </c>
      <c r="S812" s="324">
        <v>7</v>
      </c>
      <c r="T812" s="324">
        <v>8</v>
      </c>
      <c r="U812" s="324">
        <v>9</v>
      </c>
      <c r="V812" s="324">
        <v>10</v>
      </c>
    </row>
    <row r="813" spans="1:28" s="324" customFormat="1" ht="0.65" hidden="1" customHeight="1">
      <c r="A813" s="324">
        <v>3125</v>
      </c>
    </row>
    <row r="814" spans="1:28" s="324" customFormat="1" ht="0.65" hidden="1" customHeight="1">
      <c r="A814" s="324">
        <v>3126</v>
      </c>
    </row>
    <row r="815" spans="1:28" s="324" customFormat="1" ht="0.65" hidden="1" customHeight="1">
      <c r="A815" s="324">
        <v>3127</v>
      </c>
      <c r="K815" s="324" t="s">
        <v>211</v>
      </c>
    </row>
    <row r="816" spans="1:28" s="324" customFormat="1" ht="0.65" hidden="1" customHeight="1">
      <c r="A816" s="324">
        <v>3128</v>
      </c>
    </row>
    <row r="817" spans="1:21" s="324" customFormat="1" ht="0.65" hidden="1" customHeight="1">
      <c r="A817" s="324">
        <v>3129</v>
      </c>
    </row>
    <row r="818" spans="1:21" s="324" customFormat="1" ht="0.65" hidden="1" customHeight="1">
      <c r="A818" s="324">
        <v>3130</v>
      </c>
    </row>
    <row r="819" spans="1:21" s="324" customFormat="1" ht="0.65" hidden="1" customHeight="1">
      <c r="A819" s="324">
        <v>3131</v>
      </c>
    </row>
    <row r="820" spans="1:21" s="324" customFormat="1" ht="0.65" hidden="1" customHeight="1">
      <c r="A820" s="324">
        <v>3132</v>
      </c>
    </row>
    <row r="821" spans="1:21" s="324" customFormat="1" ht="0.65" hidden="1" customHeight="1">
      <c r="A821" s="324">
        <v>3133</v>
      </c>
    </row>
    <row r="822" spans="1:21" s="324" customFormat="1" ht="0.65" hidden="1" customHeight="1">
      <c r="A822" s="324">
        <v>3134</v>
      </c>
    </row>
    <row r="823" spans="1:21" s="324" customFormat="1" ht="0.65" hidden="1" customHeight="1">
      <c r="A823" s="324">
        <v>3135</v>
      </c>
    </row>
    <row r="824" spans="1:21" s="324" customFormat="1" ht="0.65" hidden="1" customHeight="1">
      <c r="A824" s="324">
        <v>3136</v>
      </c>
    </row>
    <row r="825" spans="1:21" s="324" customFormat="1" ht="0.65" hidden="1" customHeight="1">
      <c r="A825" s="324">
        <v>3137</v>
      </c>
    </row>
    <row r="826" spans="1:21" s="324" customFormat="1" ht="0.65" hidden="1" customHeight="1">
      <c r="A826" s="324">
        <v>3138</v>
      </c>
    </row>
    <row r="827" spans="1:21" s="324" customFormat="1" ht="0.65" hidden="1" customHeight="1">
      <c r="A827" s="324">
        <v>3139</v>
      </c>
    </row>
    <row r="828" spans="1:21" s="324" customFormat="1" ht="0.65" hidden="1" customHeight="1">
      <c r="A828" s="324">
        <v>3140</v>
      </c>
    </row>
    <row r="829" spans="1:21" s="324" customFormat="1" ht="0.65" hidden="1" customHeight="1">
      <c r="A829" s="324">
        <v>3141</v>
      </c>
    </row>
    <row r="830" spans="1:21" s="324" customFormat="1" ht="0.65" hidden="1" customHeight="1">
      <c r="A830" s="324">
        <v>3142</v>
      </c>
    </row>
    <row r="831" spans="1:21" s="324" customFormat="1" ht="0.65" hidden="1" customHeight="1">
      <c r="A831" s="324">
        <v>3143</v>
      </c>
    </row>
    <row r="832" spans="1:21" s="324" customFormat="1" ht="0.65" hidden="1" customHeight="1">
      <c r="A832" s="324">
        <v>3144</v>
      </c>
      <c r="U832" s="324" t="s">
        <v>1224</v>
      </c>
    </row>
    <row r="833" spans="1:32" s="324" customFormat="1" ht="0.65" hidden="1" customHeight="1">
      <c r="A833" s="324">
        <v>3145</v>
      </c>
      <c r="G833" s="324" t="s">
        <v>0</v>
      </c>
      <c r="H833" s="324" t="s">
        <v>69</v>
      </c>
      <c r="I833" s="324" t="s">
        <v>70</v>
      </c>
      <c r="J833" s="324" t="s">
        <v>71</v>
      </c>
      <c r="K833" s="324" t="s">
        <v>72</v>
      </c>
      <c r="L833" s="324" t="s">
        <v>73</v>
      </c>
      <c r="M833" s="324" t="s">
        <v>74</v>
      </c>
      <c r="N833" s="324" t="s">
        <v>75</v>
      </c>
      <c r="O833" s="324" t="s">
        <v>80</v>
      </c>
      <c r="P833" s="324" t="s">
        <v>1</v>
      </c>
      <c r="V833" s="324" t="s">
        <v>182</v>
      </c>
      <c r="W833" s="324" t="s">
        <v>183</v>
      </c>
      <c r="X833" s="324" t="s">
        <v>184</v>
      </c>
      <c r="Y833" s="324" t="s">
        <v>185</v>
      </c>
    </row>
    <row r="834" spans="1:32" s="324" customFormat="1" ht="0.65" hidden="1" customHeight="1">
      <c r="A834" s="324">
        <v>3146</v>
      </c>
      <c r="G834" s="324">
        <v>2022</v>
      </c>
      <c r="H834" s="324">
        <v>0</v>
      </c>
      <c r="I834" s="324">
        <v>0</v>
      </c>
      <c r="J834" s="324">
        <v>0</v>
      </c>
      <c r="K834" s="324">
        <v>0</v>
      </c>
      <c r="L834" s="324">
        <v>0</v>
      </c>
      <c r="M834" s="324">
        <v>0</v>
      </c>
      <c r="N834" s="324">
        <v>0</v>
      </c>
      <c r="O834" s="324">
        <v>0</v>
      </c>
      <c r="P834" s="324">
        <v>-175000</v>
      </c>
      <c r="T834" s="324">
        <v>1</v>
      </c>
      <c r="U834" s="324" t="s">
        <v>153</v>
      </c>
      <c r="V834" s="324" t="s">
        <v>178</v>
      </c>
      <c r="W834" s="324">
        <v>148493.70481090917</v>
      </c>
      <c r="X834" s="324">
        <v>-741.67952796077589</v>
      </c>
      <c r="Y834" s="324">
        <v>-741.67952796077952</v>
      </c>
      <c r="AA834" s="324" t="s">
        <v>188</v>
      </c>
      <c r="AB834" s="324" t="s">
        <v>1225</v>
      </c>
      <c r="AD834" s="324">
        <v>-175000</v>
      </c>
      <c r="AE834" s="324">
        <v>162792.77919052623</v>
      </c>
      <c r="AF834" s="324">
        <v>-175000</v>
      </c>
    </row>
    <row r="835" spans="1:32" s="324" customFormat="1" ht="0.65" hidden="1" customHeight="1">
      <c r="A835" s="324">
        <v>3147</v>
      </c>
      <c r="G835" s="324">
        <v>2023</v>
      </c>
      <c r="H835" s="324">
        <v>720000</v>
      </c>
      <c r="I835" s="324">
        <v>576000</v>
      </c>
      <c r="J835" s="324">
        <v>-16666.666666666672</v>
      </c>
      <c r="K835" s="324">
        <v>160666.66666666669</v>
      </c>
      <c r="L835" s="324">
        <v>40166.666666666672</v>
      </c>
      <c r="M835" s="324">
        <v>120500.00000000001</v>
      </c>
      <c r="N835" s="324">
        <v>103833.33333333334</v>
      </c>
      <c r="O835" s="324">
        <v>31833.333333333343</v>
      </c>
      <c r="P835" s="324">
        <v>31833.333333333343</v>
      </c>
      <c r="T835" s="324">
        <v>2</v>
      </c>
      <c r="U835" s="324" t="s">
        <v>154</v>
      </c>
      <c r="V835" s="324" t="s">
        <v>178</v>
      </c>
      <c r="W835" s="324">
        <v>125558.71588050353</v>
      </c>
      <c r="X835" s="324">
        <v>-23676.668458366417</v>
      </c>
      <c r="Y835" s="324">
        <v>-23676.668458366425</v>
      </c>
      <c r="AA835" s="324" t="s">
        <v>197</v>
      </c>
      <c r="AB835" s="324" t="s">
        <v>1226</v>
      </c>
      <c r="AD835" s="324">
        <v>31833.333333333328</v>
      </c>
      <c r="AF835" s="324">
        <v>31833.333333333328</v>
      </c>
    </row>
    <row r="836" spans="1:32" s="324" customFormat="1" ht="0.65" hidden="1" customHeight="1">
      <c r="A836" s="324">
        <v>3148</v>
      </c>
      <c r="G836" s="324">
        <v>2024</v>
      </c>
      <c r="H836" s="324">
        <v>720000</v>
      </c>
      <c r="I836" s="324">
        <v>576000</v>
      </c>
      <c r="J836" s="324">
        <v>-16666.666666666672</v>
      </c>
      <c r="K836" s="324">
        <v>160666.66666666669</v>
      </c>
      <c r="L836" s="324">
        <v>40166.666666666672</v>
      </c>
      <c r="M836" s="324">
        <v>120500.00000000001</v>
      </c>
      <c r="N836" s="324">
        <v>103833.33333333334</v>
      </c>
      <c r="O836" s="324">
        <v>103833.33333333334</v>
      </c>
      <c r="P836" s="324">
        <v>103833.33333333334</v>
      </c>
      <c r="T836" s="324">
        <v>3</v>
      </c>
      <c r="U836" s="324" t="s">
        <v>155</v>
      </c>
      <c r="V836" s="324" t="s">
        <v>178</v>
      </c>
      <c r="W836" s="324">
        <v>143134.55665562459</v>
      </c>
      <c r="X836" s="324">
        <v>-6100.8276832453557</v>
      </c>
      <c r="Y836" s="324">
        <v>-6100.8276832453375</v>
      </c>
      <c r="AA836" s="324" t="s">
        <v>191</v>
      </c>
      <c r="AB836" s="324" t="s">
        <v>1227</v>
      </c>
      <c r="AD836" s="324">
        <v>103833.33333333333</v>
      </c>
      <c r="AF836" s="324">
        <v>103833.33333333333</v>
      </c>
    </row>
    <row r="837" spans="1:32" s="324" customFormat="1" ht="0.65" hidden="1" customHeight="1">
      <c r="A837" s="324">
        <v>3149</v>
      </c>
      <c r="G837" s="324">
        <v>2025</v>
      </c>
      <c r="H837" s="324">
        <v>720000</v>
      </c>
      <c r="I837" s="324">
        <v>576000</v>
      </c>
      <c r="J837" s="324">
        <v>-16666.666666666672</v>
      </c>
      <c r="K837" s="324">
        <v>160666.66666666669</v>
      </c>
      <c r="L837" s="324">
        <v>40166.666666666672</v>
      </c>
      <c r="M837" s="324">
        <v>120500.00000000001</v>
      </c>
      <c r="N837" s="324">
        <v>103833.33333333334</v>
      </c>
      <c r="O837" s="324">
        <v>103833.33333333334</v>
      </c>
      <c r="P837" s="324">
        <v>250833.33333333334</v>
      </c>
      <c r="T837" s="324">
        <v>4</v>
      </c>
      <c r="U837" s="324" t="s">
        <v>156</v>
      </c>
      <c r="V837" s="324" t="s">
        <v>179</v>
      </c>
      <c r="W837" s="324">
        <v>156735.38433886995</v>
      </c>
      <c r="X837" s="324">
        <v>7500</v>
      </c>
      <c r="Y837" s="324">
        <v>7500.0000000000109</v>
      </c>
      <c r="AA837" s="324" t="s">
        <v>198</v>
      </c>
      <c r="AB837" s="324" t="s">
        <v>1228</v>
      </c>
      <c r="AD837" s="324">
        <v>267500</v>
      </c>
      <c r="AF837" s="324">
        <v>267500</v>
      </c>
    </row>
    <row r="838" spans="1:32" s="324" customFormat="1" ht="0.65" hidden="1" customHeight="1">
      <c r="A838" s="324">
        <v>3150</v>
      </c>
      <c r="T838" s="324">
        <v>5</v>
      </c>
      <c r="U838" s="324" t="s">
        <v>157</v>
      </c>
      <c r="V838" s="324" t="s">
        <v>178</v>
      </c>
      <c r="W838" s="324">
        <v>147752.02528294839</v>
      </c>
      <c r="X838" s="324">
        <v>-1483.3590559215518</v>
      </c>
      <c r="Y838" s="324">
        <v>-1483.3590559215809</v>
      </c>
      <c r="AA838" s="324" t="s">
        <v>192</v>
      </c>
      <c r="AB838" s="324" t="s">
        <v>1229</v>
      </c>
      <c r="AD838" s="324">
        <v>7.1249999999999994E-2</v>
      </c>
      <c r="AF838" s="324">
        <v>7.1249999999999994E-2</v>
      </c>
    </row>
    <row r="839" spans="1:32" s="324" customFormat="1" ht="0.65" hidden="1" customHeight="1">
      <c r="A839" s="324">
        <v>3151</v>
      </c>
      <c r="G839" s="324" t="s">
        <v>0</v>
      </c>
      <c r="H839" s="324" t="s">
        <v>76</v>
      </c>
      <c r="I839" s="324" t="s">
        <v>77</v>
      </c>
      <c r="J839" s="324" t="s">
        <v>78</v>
      </c>
      <c r="K839" s="324" t="s">
        <v>79</v>
      </c>
      <c r="T839" s="324">
        <v>6</v>
      </c>
      <c r="U839" s="324" t="s">
        <v>158</v>
      </c>
      <c r="V839" s="324" t="s">
        <v>179</v>
      </c>
      <c r="W839" s="324">
        <v>149871.49407218874</v>
      </c>
      <c r="X839" s="324">
        <v>636.10973331879359</v>
      </c>
      <c r="Y839" s="324">
        <v>636.1097333187945</v>
      </c>
      <c r="AA839" s="324" t="s">
        <v>193</v>
      </c>
      <c r="AB839" s="324" t="s">
        <v>1230</v>
      </c>
      <c r="AD839" s="324">
        <v>162792.77919052623</v>
      </c>
      <c r="AF839" s="324">
        <v>162792.77919052623</v>
      </c>
    </row>
    <row r="840" spans="1:32" s="324" customFormat="1" ht="0.65" hidden="1" customHeight="1">
      <c r="A840" s="324">
        <v>3152</v>
      </c>
      <c r="G840" s="324">
        <v>2022</v>
      </c>
      <c r="H840" s="324">
        <v>0</v>
      </c>
      <c r="I840" s="324">
        <v>0</v>
      </c>
      <c r="J840" s="324">
        <v>0</v>
      </c>
      <c r="K840" s="324">
        <v>0</v>
      </c>
      <c r="M840" s="324" t="s">
        <v>490</v>
      </c>
      <c r="N840" s="324">
        <v>175000</v>
      </c>
      <c r="O840" s="324" t="s">
        <v>124</v>
      </c>
      <c r="P840" s="324">
        <v>4.4999999999999998E-2</v>
      </c>
      <c r="T840" s="324">
        <v>7</v>
      </c>
      <c r="U840" s="324" t="s">
        <v>159</v>
      </c>
      <c r="V840" s="324" t="s">
        <v>178</v>
      </c>
      <c r="W840" s="324">
        <v>141735.38433886995</v>
      </c>
      <c r="X840" s="324">
        <v>-7500</v>
      </c>
      <c r="Y840" s="324">
        <v>-7500</v>
      </c>
      <c r="AA840" s="324" t="s">
        <v>194</v>
      </c>
      <c r="AB840" s="324" t="s">
        <v>1231</v>
      </c>
      <c r="AF840" s="324">
        <v>162792.77919052623</v>
      </c>
    </row>
    <row r="841" spans="1:32" s="324" customFormat="1" ht="0.65" hidden="1" customHeight="1">
      <c r="A841" s="324">
        <v>3153</v>
      </c>
      <c r="G841" s="324">
        <v>2023</v>
      </c>
      <c r="H841" s="324">
        <v>120000</v>
      </c>
      <c r="I841" s="324">
        <v>48000</v>
      </c>
      <c r="J841" s="324">
        <v>72000</v>
      </c>
      <c r="K841" s="324">
        <v>72000</v>
      </c>
      <c r="M841" s="324" t="s">
        <v>491</v>
      </c>
      <c r="N841" s="324">
        <v>75000</v>
      </c>
      <c r="O841" s="324" t="s">
        <v>125</v>
      </c>
      <c r="P841" s="324">
        <v>0.08</v>
      </c>
      <c r="T841" s="324">
        <v>8</v>
      </c>
      <c r="U841" s="324" t="s">
        <v>160</v>
      </c>
      <c r="V841" s="324" t="s">
        <v>178</v>
      </c>
      <c r="W841" s="324">
        <v>146184.97049724724</v>
      </c>
      <c r="X841" s="324">
        <v>-3050.413841622707</v>
      </c>
      <c r="Y841" s="324">
        <v>-3050.4138416226733</v>
      </c>
      <c r="AA841" s="324" t="s">
        <v>195</v>
      </c>
      <c r="AB841" s="324" t="s">
        <v>1232</v>
      </c>
    </row>
    <row r="842" spans="1:32" s="324" customFormat="1" ht="0.65" hidden="1" customHeight="1">
      <c r="A842" s="324">
        <v>3154</v>
      </c>
      <c r="G842" s="324">
        <v>2024</v>
      </c>
      <c r="H842" s="324">
        <v>120000</v>
      </c>
      <c r="I842" s="324">
        <v>48000</v>
      </c>
      <c r="J842" s="324">
        <v>72000</v>
      </c>
      <c r="K842" s="324">
        <v>0</v>
      </c>
      <c r="M842" s="324" t="s">
        <v>493</v>
      </c>
      <c r="N842" s="324">
        <v>72000</v>
      </c>
      <c r="O842" s="324" t="s">
        <v>126</v>
      </c>
      <c r="P842" s="324">
        <v>7.1249999999999994E-2</v>
      </c>
      <c r="T842" s="324">
        <v>9</v>
      </c>
      <c r="U842" s="324" t="s">
        <v>161</v>
      </c>
      <c r="V842" s="324" t="s">
        <v>179</v>
      </c>
      <c r="W842" s="324">
        <v>289184.88629470416</v>
      </c>
      <c r="X842" s="324">
        <v>139949.50195583422</v>
      </c>
      <c r="Y842" s="324">
        <v>139949.50195583422</v>
      </c>
      <c r="AA842" s="324" t="s">
        <v>199</v>
      </c>
      <c r="AB842" s="324" t="s">
        <v>1233</v>
      </c>
      <c r="AD842" s="324">
        <v>-175000</v>
      </c>
    </row>
    <row r="843" spans="1:32" s="324" customFormat="1" ht="0.65" hidden="1" customHeight="1">
      <c r="A843" s="324">
        <v>3155</v>
      </c>
      <c r="G843" s="324">
        <v>2025</v>
      </c>
      <c r="H843" s="324">
        <v>120000</v>
      </c>
      <c r="I843" s="324">
        <v>48000</v>
      </c>
      <c r="J843" s="324">
        <v>72000</v>
      </c>
      <c r="K843" s="324">
        <v>0</v>
      </c>
      <c r="M843" s="324" t="s">
        <v>494</v>
      </c>
      <c r="N843" s="324">
        <v>147000</v>
      </c>
      <c r="T843" s="324">
        <v>10</v>
      </c>
      <c r="U843" s="324" t="s">
        <v>162</v>
      </c>
      <c r="V843" s="324" t="s">
        <v>178</v>
      </c>
      <c r="W843" s="324">
        <v>142032.67091568443</v>
      </c>
      <c r="X843" s="324">
        <v>-7202.7134231855161</v>
      </c>
      <c r="Y843" s="324">
        <v>-7202.713423185487</v>
      </c>
      <c r="AA843" s="324" t="s">
        <v>200</v>
      </c>
      <c r="AB843" s="324" t="s">
        <v>1234</v>
      </c>
      <c r="AD843" s="324">
        <v>31833.333333333328</v>
      </c>
    </row>
    <row r="844" spans="1:32" s="324" customFormat="1" ht="0.65" hidden="1" customHeight="1">
      <c r="A844" s="324">
        <v>3156</v>
      </c>
      <c r="T844" s="324">
        <v>11</v>
      </c>
      <c r="U844" s="324" t="s">
        <v>163</v>
      </c>
      <c r="V844" s="324" t="s">
        <v>179</v>
      </c>
      <c r="W844" s="324">
        <v>261771.20297739207</v>
      </c>
      <c r="X844" s="324">
        <v>112535.81863852212</v>
      </c>
      <c r="Y844" s="324">
        <v>112535.81863852203</v>
      </c>
      <c r="AA844" s="324" t="s">
        <v>201</v>
      </c>
      <c r="AB844" s="324" t="s">
        <v>1235</v>
      </c>
      <c r="AD844" s="324">
        <v>103833.33333333333</v>
      </c>
    </row>
    <row r="845" spans="1:32" s="324" customFormat="1" ht="0.65" hidden="1" customHeight="1">
      <c r="A845" s="324">
        <v>3157</v>
      </c>
      <c r="O845" s="324" t="s">
        <v>13</v>
      </c>
      <c r="P845" s="324">
        <v>149235.38433886995</v>
      </c>
      <c r="T845" s="324">
        <v>12</v>
      </c>
      <c r="U845" s="324" t="s">
        <v>164</v>
      </c>
      <c r="V845" s="324" t="s">
        <v>178</v>
      </c>
      <c r="W845" s="324">
        <v>143473.21360032156</v>
      </c>
      <c r="X845" s="324">
        <v>-5762.1707385483896</v>
      </c>
      <c r="Y845" s="324">
        <v>-5762.1707385483896</v>
      </c>
      <c r="AA845" s="324" t="s">
        <v>196</v>
      </c>
      <c r="AB845" s="324" t="s">
        <v>1199</v>
      </c>
      <c r="AD845" s="324">
        <v>103833.33333333333</v>
      </c>
    </row>
    <row r="846" spans="1:32" s="324" customFormat="1" ht="0.65" hidden="1" customHeight="1">
      <c r="A846" s="324">
        <v>3158</v>
      </c>
      <c r="O846" s="324" t="s">
        <v>28</v>
      </c>
      <c r="P846" s="324">
        <v>0.37357216681627725</v>
      </c>
      <c r="T846" s="324">
        <v>13</v>
      </c>
      <c r="U846" s="324" t="s">
        <v>165</v>
      </c>
      <c r="V846" s="324" t="s">
        <v>178</v>
      </c>
      <c r="W846" s="324">
        <v>148372.98664488952</v>
      </c>
      <c r="X846" s="324">
        <v>-862.39769398042699</v>
      </c>
      <c r="Y846" s="324">
        <v>-862.39769398036037</v>
      </c>
      <c r="Z846" s="324">
        <v>7.2374999999999995E-2</v>
      </c>
      <c r="AA846" s="324" t="s">
        <v>202</v>
      </c>
      <c r="AB846" s="324" t="s">
        <v>1236</v>
      </c>
      <c r="AD846" s="324">
        <v>238333.33333333331</v>
      </c>
    </row>
    <row r="847" spans="1:32" s="324" customFormat="1" ht="0.65" hidden="1" customHeight="1">
      <c r="A847" s="324">
        <v>3159</v>
      </c>
      <c r="O847" s="324" t="s">
        <v>29</v>
      </c>
      <c r="P847" s="324">
        <v>0.85277362479354257</v>
      </c>
      <c r="T847" s="324">
        <v>14</v>
      </c>
      <c r="U847" s="324" t="s">
        <v>166</v>
      </c>
      <c r="V847" s="324" t="s">
        <v>179</v>
      </c>
      <c r="W847" s="324">
        <v>155071.51115351083</v>
      </c>
      <c r="X847" s="324">
        <v>5836.1268146408838</v>
      </c>
      <c r="Y847" s="324">
        <v>5836.1268146408847</v>
      </c>
      <c r="Z847" s="324">
        <v>6.3750000000000015E-2</v>
      </c>
      <c r="AA847" s="324" t="s">
        <v>189</v>
      </c>
      <c r="AB847" s="324" t="s">
        <v>1237</v>
      </c>
      <c r="AD847" s="324">
        <v>7.1249999999999994E-2</v>
      </c>
    </row>
    <row r="848" spans="1:32" s="324" customFormat="1" ht="0.65" hidden="1" customHeight="1">
      <c r="A848" s="324">
        <v>3160</v>
      </c>
      <c r="O848" s="324" t="s">
        <v>30</v>
      </c>
      <c r="P848" s="324">
        <v>3</v>
      </c>
      <c r="T848" s="324">
        <v>15</v>
      </c>
      <c r="U848" s="324" t="s">
        <v>167</v>
      </c>
      <c r="V848" s="324" t="s">
        <v>178</v>
      </c>
      <c r="W848" s="324">
        <v>146373.71552190377</v>
      </c>
      <c r="X848" s="324">
        <v>-2861.6688169661793</v>
      </c>
      <c r="Y848" s="324">
        <v>-2861.6688169661775</v>
      </c>
      <c r="Z848" s="324">
        <v>7.4999999999999997E-2</v>
      </c>
      <c r="AA848" s="324" t="s">
        <v>190</v>
      </c>
      <c r="AB848" s="324" t="s">
        <v>1238</v>
      </c>
      <c r="AD848" s="324">
        <v>210635.35439947614</v>
      </c>
    </row>
    <row r="849" spans="1:39" s="324" customFormat="1" ht="0.65" hidden="1" customHeight="1">
      <c r="A849" s="324">
        <v>3161</v>
      </c>
      <c r="T849" s="324">
        <v>16</v>
      </c>
      <c r="U849" s="324" t="s">
        <v>168</v>
      </c>
      <c r="V849" s="324" t="s">
        <v>181</v>
      </c>
      <c r="W849" s="324">
        <v>151456.87081343675</v>
      </c>
      <c r="X849" s="324">
        <v>2221.4864745668019</v>
      </c>
      <c r="Y849" s="324">
        <v>2221.4864745668392</v>
      </c>
      <c r="Z849" s="324">
        <v>6.8372093023255809E-2</v>
      </c>
      <c r="AA849" s="324" t="s">
        <v>427</v>
      </c>
      <c r="AB849" s="324" t="s">
        <v>1239</v>
      </c>
      <c r="AD849" s="324">
        <v>223291.03220732341</v>
      </c>
    </row>
    <row r="850" spans="1:39" s="324" customFormat="1" ht="0.65" hidden="1" customHeight="1">
      <c r="A850" s="324">
        <v>3162</v>
      </c>
      <c r="P850" s="324">
        <v>1</v>
      </c>
      <c r="T850" s="324">
        <v>17</v>
      </c>
      <c r="U850" s="324" t="s">
        <v>169</v>
      </c>
      <c r="V850" s="324" t="s">
        <v>178</v>
      </c>
      <c r="W850" s="324">
        <v>145900.36173624737</v>
      </c>
      <c r="X850" s="324">
        <v>-3335.0226026225719</v>
      </c>
      <c r="Y850" s="324">
        <v>-3335.0226026225678</v>
      </c>
      <c r="Z850" s="324">
        <v>7.5624999999999998E-2</v>
      </c>
      <c r="AA850" s="324" t="s">
        <v>425</v>
      </c>
      <c r="AB850" s="324" t="s">
        <v>1240</v>
      </c>
    </row>
    <row r="851" spans="1:39" s="324" customFormat="1" ht="0.65" hidden="1" customHeight="1">
      <c r="A851" s="324">
        <v>3163</v>
      </c>
      <c r="H851" s="324">
        <v>1</v>
      </c>
      <c r="I851" s="324">
        <v>1</v>
      </c>
      <c r="J851" s="324">
        <v>1</v>
      </c>
      <c r="K851" s="324">
        <v>1</v>
      </c>
      <c r="L851" s="324">
        <v>1</v>
      </c>
      <c r="M851" s="324">
        <v>1</v>
      </c>
      <c r="N851" s="324">
        <v>1</v>
      </c>
      <c r="O851" s="324">
        <v>1</v>
      </c>
      <c r="P851" s="324">
        <v>1</v>
      </c>
      <c r="T851" s="324">
        <v>18</v>
      </c>
      <c r="U851" s="324" t="s">
        <v>170</v>
      </c>
      <c r="V851" s="324" t="s">
        <v>181</v>
      </c>
      <c r="W851" s="324">
        <v>137825.19575384242</v>
      </c>
      <c r="X851" s="324">
        <v>-11410.188585027528</v>
      </c>
      <c r="Y851" s="324">
        <v>-11410.188585027505</v>
      </c>
      <c r="Z851" s="324">
        <v>7.0499999999999993E-2</v>
      </c>
      <c r="AA851" s="324" t="s">
        <v>203</v>
      </c>
      <c r="AB851" s="324" t="s">
        <v>1241</v>
      </c>
    </row>
    <row r="852" spans="1:39" s="324" customFormat="1" ht="0.65" hidden="1" customHeight="1">
      <c r="A852" s="324">
        <v>3164</v>
      </c>
      <c r="H852" s="324">
        <v>1</v>
      </c>
      <c r="I852" s="324">
        <v>1</v>
      </c>
      <c r="J852" s="324">
        <v>1</v>
      </c>
      <c r="K852" s="324">
        <v>1</v>
      </c>
      <c r="L852" s="324">
        <v>1</v>
      </c>
      <c r="M852" s="324">
        <v>1</v>
      </c>
      <c r="N852" s="324">
        <v>1</v>
      </c>
      <c r="O852" s="324">
        <v>1</v>
      </c>
      <c r="P852" s="324">
        <v>1</v>
      </c>
      <c r="T852" s="324">
        <v>19</v>
      </c>
      <c r="U852" s="324" t="s">
        <v>171</v>
      </c>
      <c r="V852" s="324" t="s">
        <v>181</v>
      </c>
      <c r="W852" s="324">
        <v>223291.03220732341</v>
      </c>
      <c r="X852" s="324">
        <v>74055.647868453467</v>
      </c>
      <c r="Y852" s="324">
        <v>74055.647868453438</v>
      </c>
      <c r="AA852" s="324" t="s">
        <v>426</v>
      </c>
      <c r="AB852" s="324" t="s">
        <v>1242</v>
      </c>
    </row>
    <row r="853" spans="1:39" s="324" customFormat="1" ht="0.65" hidden="1" customHeight="1">
      <c r="A853" s="324">
        <v>3165</v>
      </c>
      <c r="H853" s="324">
        <v>1</v>
      </c>
      <c r="I853" s="324">
        <v>1</v>
      </c>
      <c r="J853" s="324">
        <v>1</v>
      </c>
      <c r="K853" s="324">
        <v>1</v>
      </c>
      <c r="L853" s="324">
        <v>1</v>
      </c>
      <c r="M853" s="324">
        <v>1</v>
      </c>
      <c r="N853" s="324">
        <v>1</v>
      </c>
      <c r="O853" s="324">
        <v>1</v>
      </c>
      <c r="P853" s="324">
        <v>1</v>
      </c>
    </row>
    <row r="854" spans="1:39" s="324" customFormat="1" ht="0.65" hidden="1" customHeight="1">
      <c r="A854" s="324">
        <v>3166</v>
      </c>
    </row>
    <row r="855" spans="1:39" s="324" customFormat="1" ht="0.65" hidden="1" customHeight="1">
      <c r="A855" s="324">
        <v>3167</v>
      </c>
      <c r="X855" s="324" t="s">
        <v>186</v>
      </c>
      <c r="Y855" s="324">
        <v>0</v>
      </c>
    </row>
    <row r="856" spans="1:39" s="324" customFormat="1" ht="0.65" hidden="1" customHeight="1">
      <c r="A856" s="324">
        <v>3168</v>
      </c>
      <c r="N856" s="324">
        <v>1</v>
      </c>
      <c r="P856" s="324">
        <v>1</v>
      </c>
    </row>
    <row r="857" spans="1:39" s="324" customFormat="1" ht="0.65" hidden="1" customHeight="1">
      <c r="A857" s="324">
        <v>3169</v>
      </c>
      <c r="H857" s="324">
        <v>1</v>
      </c>
      <c r="I857" s="324">
        <v>1</v>
      </c>
      <c r="J857" s="324">
        <v>1</v>
      </c>
      <c r="K857" s="324">
        <v>1</v>
      </c>
      <c r="N857" s="324">
        <v>1</v>
      </c>
      <c r="P857" s="324">
        <v>1</v>
      </c>
    </row>
    <row r="858" spans="1:39" s="324" customFormat="1" ht="0.65" hidden="1" customHeight="1">
      <c r="A858" s="324">
        <v>3170</v>
      </c>
      <c r="H858" s="324">
        <v>1</v>
      </c>
      <c r="I858" s="324">
        <v>1</v>
      </c>
      <c r="J858" s="324">
        <v>1</v>
      </c>
      <c r="K858" s="324">
        <v>1</v>
      </c>
      <c r="N858" s="324">
        <v>1</v>
      </c>
      <c r="P858" s="324">
        <v>1</v>
      </c>
    </row>
    <row r="859" spans="1:39" s="324" customFormat="1" ht="0.65" hidden="1" customHeight="1">
      <c r="A859" s="324">
        <v>3171</v>
      </c>
      <c r="H859" s="324">
        <v>1</v>
      </c>
      <c r="I859" s="324">
        <v>1</v>
      </c>
      <c r="J859" s="324">
        <v>1</v>
      </c>
      <c r="K859" s="324">
        <v>1</v>
      </c>
      <c r="N859" s="324">
        <v>1</v>
      </c>
    </row>
    <row r="860" spans="1:39" s="324" customFormat="1" ht="0.65" hidden="1" customHeight="1">
      <c r="A860" s="324">
        <v>3172</v>
      </c>
      <c r="AI860" s="324">
        <v>1E-4</v>
      </c>
      <c r="AJ860" s="324" t="s">
        <v>244</v>
      </c>
    </row>
    <row r="861" spans="1:39" s="324" customFormat="1" ht="0.65" hidden="1" customHeight="1">
      <c r="A861" s="324">
        <v>3173</v>
      </c>
      <c r="P861" s="324">
        <v>1</v>
      </c>
      <c r="AC861" s="324" t="s">
        <v>463</v>
      </c>
      <c r="AD861" s="324" t="s">
        <v>208</v>
      </c>
      <c r="AG861" s="324" t="s">
        <v>210</v>
      </c>
      <c r="AH861" s="324" t="s">
        <v>209</v>
      </c>
      <c r="AI861" s="324" t="s">
        <v>206</v>
      </c>
      <c r="AJ861" s="324" t="s">
        <v>245</v>
      </c>
      <c r="AK861" s="324" t="s">
        <v>206</v>
      </c>
      <c r="AL861" s="324" t="s">
        <v>205</v>
      </c>
    </row>
    <row r="862" spans="1:39" s="324" customFormat="1" ht="0.65" hidden="1" customHeight="1">
      <c r="A862" s="324">
        <v>3174</v>
      </c>
      <c r="P862" s="324">
        <v>1</v>
      </c>
      <c r="AA862" s="324">
        <v>1</v>
      </c>
      <c r="AB862" s="324" t="s">
        <v>645</v>
      </c>
      <c r="AC862" s="324" t="s">
        <v>55</v>
      </c>
      <c r="AD862" s="324" t="s">
        <v>55</v>
      </c>
      <c r="AE862" s="324">
        <v>0</v>
      </c>
      <c r="AF862" s="324" t="s">
        <v>490</v>
      </c>
      <c r="AG862" s="324">
        <v>175000</v>
      </c>
      <c r="AH862" s="324">
        <v>175000</v>
      </c>
      <c r="AI862" s="324" t="s">
        <v>55</v>
      </c>
      <c r="AJ862" s="324">
        <v>175000</v>
      </c>
      <c r="AK862" s="324" t="s">
        <v>55</v>
      </c>
      <c r="AL862" s="324" t="s">
        <v>55</v>
      </c>
      <c r="AM862" s="324" t="s">
        <v>55</v>
      </c>
    </row>
    <row r="863" spans="1:39" s="324" customFormat="1" ht="0.65" hidden="1" customHeight="1">
      <c r="A863" s="324">
        <v>3175</v>
      </c>
      <c r="AA863" s="324">
        <v>2</v>
      </c>
      <c r="AB863" s="324" t="s">
        <v>645</v>
      </c>
      <c r="AC863" s="324" t="s">
        <v>55</v>
      </c>
      <c r="AD863" s="324" t="s">
        <v>55</v>
      </c>
      <c r="AE863" s="324">
        <v>0</v>
      </c>
      <c r="AF863" s="324" t="s">
        <v>510</v>
      </c>
      <c r="AG863" s="324">
        <v>720000</v>
      </c>
      <c r="AH863" s="324">
        <v>720000</v>
      </c>
      <c r="AI863" s="324" t="s">
        <v>55</v>
      </c>
      <c r="AJ863" s="324">
        <v>720000</v>
      </c>
      <c r="AK863" s="324" t="s">
        <v>55</v>
      </c>
      <c r="AL863" s="324" t="s">
        <v>55</v>
      </c>
      <c r="AM863" s="324" t="s">
        <v>55</v>
      </c>
    </row>
    <row r="864" spans="1:39" s="324" customFormat="1" ht="0.65" hidden="1" customHeight="1">
      <c r="A864" s="324">
        <v>3176</v>
      </c>
      <c r="G864" s="324" t="s">
        <v>411</v>
      </c>
      <c r="H864" s="324">
        <v>49</v>
      </c>
      <c r="AA864" s="324">
        <v>3</v>
      </c>
      <c r="AB864" s="324" t="s">
        <v>645</v>
      </c>
      <c r="AC864" s="324" t="s">
        <v>55</v>
      </c>
      <c r="AD864" s="324" t="s">
        <v>55</v>
      </c>
      <c r="AE864" s="324">
        <v>0</v>
      </c>
      <c r="AF864" s="324" t="s">
        <v>513</v>
      </c>
      <c r="AG864" s="324">
        <v>720000</v>
      </c>
      <c r="AH864" s="324">
        <v>720000</v>
      </c>
      <c r="AI864" s="324" t="s">
        <v>55</v>
      </c>
      <c r="AJ864" s="324">
        <v>720000</v>
      </c>
      <c r="AK864" s="324" t="s">
        <v>55</v>
      </c>
      <c r="AL864" s="324" t="s">
        <v>55</v>
      </c>
      <c r="AM864" s="324" t="s">
        <v>55</v>
      </c>
    </row>
    <row r="865" spans="1:39" s="324" customFormat="1" ht="0.65" hidden="1" customHeight="1">
      <c r="A865" s="324">
        <v>3177</v>
      </c>
      <c r="G865" s="324" t="s">
        <v>412</v>
      </c>
      <c r="AA865" s="324">
        <v>4</v>
      </c>
      <c r="AB865" s="324" t="s">
        <v>645</v>
      </c>
      <c r="AC865" s="324" t="s">
        <v>55</v>
      </c>
      <c r="AD865" s="324" t="s">
        <v>55</v>
      </c>
      <c r="AE865" s="324">
        <v>0</v>
      </c>
      <c r="AF865" s="324" t="s">
        <v>515</v>
      </c>
      <c r="AG865" s="324">
        <v>720000</v>
      </c>
      <c r="AH865" s="324">
        <v>720000</v>
      </c>
      <c r="AI865" s="324" t="s">
        <v>55</v>
      </c>
      <c r="AJ865" s="324">
        <v>720000</v>
      </c>
      <c r="AK865" s="324" t="s">
        <v>55</v>
      </c>
      <c r="AL865" s="324" t="s">
        <v>55</v>
      </c>
      <c r="AM865" s="324" t="s">
        <v>55</v>
      </c>
    </row>
    <row r="866" spans="1:39" s="324" customFormat="1" ht="0.65" hidden="1" customHeight="1">
      <c r="A866" s="324">
        <v>3178</v>
      </c>
      <c r="AA866" s="324">
        <v>5</v>
      </c>
      <c r="AB866" s="324" t="s">
        <v>645</v>
      </c>
      <c r="AC866" s="324" t="s">
        <v>55</v>
      </c>
      <c r="AD866" s="324" t="s">
        <v>55</v>
      </c>
      <c r="AE866" s="324">
        <v>0</v>
      </c>
      <c r="AF866" s="324" t="s">
        <v>517</v>
      </c>
      <c r="AG866" s="324">
        <v>576000</v>
      </c>
      <c r="AH866" s="324">
        <v>576000</v>
      </c>
      <c r="AI866" s="324" t="s">
        <v>55</v>
      </c>
      <c r="AJ866" s="324">
        <v>576000</v>
      </c>
      <c r="AK866" s="324" t="s">
        <v>55</v>
      </c>
      <c r="AL866" s="324" t="s">
        <v>55</v>
      </c>
      <c r="AM866" s="324" t="s">
        <v>55</v>
      </c>
    </row>
    <row r="867" spans="1:39" s="324" customFormat="1" ht="0.65" hidden="1" customHeight="1">
      <c r="A867" s="324">
        <v>3179</v>
      </c>
      <c r="AA867" s="324">
        <v>6</v>
      </c>
      <c r="AB867" s="324" t="s">
        <v>645</v>
      </c>
      <c r="AC867" s="324" t="s">
        <v>55</v>
      </c>
      <c r="AD867" s="324" t="s">
        <v>55</v>
      </c>
      <c r="AE867" s="324">
        <v>0</v>
      </c>
      <c r="AF867" s="324" t="s">
        <v>521</v>
      </c>
      <c r="AG867" s="324">
        <v>576000</v>
      </c>
      <c r="AH867" s="324">
        <v>576000</v>
      </c>
      <c r="AI867" s="324" t="s">
        <v>55</v>
      </c>
      <c r="AJ867" s="324">
        <v>576000</v>
      </c>
      <c r="AK867" s="324" t="s">
        <v>55</v>
      </c>
      <c r="AL867" s="324" t="s">
        <v>55</v>
      </c>
      <c r="AM867" s="324" t="s">
        <v>55</v>
      </c>
    </row>
    <row r="868" spans="1:39" s="324" customFormat="1" ht="0.65" hidden="1" customHeight="1">
      <c r="A868" s="324">
        <v>3180</v>
      </c>
      <c r="AA868" s="324">
        <v>7</v>
      </c>
      <c r="AB868" s="324" t="s">
        <v>645</v>
      </c>
      <c r="AC868" s="324" t="s">
        <v>55</v>
      </c>
      <c r="AD868" s="324" t="s">
        <v>55</v>
      </c>
      <c r="AE868" s="324">
        <v>0</v>
      </c>
      <c r="AF868" s="324" t="s">
        <v>523</v>
      </c>
      <c r="AG868" s="324">
        <v>576000</v>
      </c>
      <c r="AH868" s="324">
        <v>576000</v>
      </c>
      <c r="AI868" s="324" t="s">
        <v>55</v>
      </c>
      <c r="AJ868" s="324">
        <v>576000</v>
      </c>
      <c r="AK868" s="324" t="s">
        <v>55</v>
      </c>
      <c r="AL868" s="324" t="s">
        <v>55</v>
      </c>
      <c r="AM868" s="324" t="s">
        <v>55</v>
      </c>
    </row>
    <row r="869" spans="1:39" s="324" customFormat="1" ht="0.65" hidden="1" customHeight="1">
      <c r="A869" s="324">
        <v>3181</v>
      </c>
      <c r="G869" s="324" t="s">
        <v>0</v>
      </c>
      <c r="H869" s="324" t="s">
        <v>69</v>
      </c>
      <c r="I869" s="324" t="s">
        <v>70</v>
      </c>
      <c r="J869" s="324" t="s">
        <v>71</v>
      </c>
      <c r="K869" s="324" t="s">
        <v>72</v>
      </c>
      <c r="L869" s="324" t="s">
        <v>73</v>
      </c>
      <c r="M869" s="324" t="s">
        <v>74</v>
      </c>
      <c r="N869" s="324" t="s">
        <v>75</v>
      </c>
      <c r="O869" s="324" t="s">
        <v>80</v>
      </c>
      <c r="P869" s="324" t="s">
        <v>1</v>
      </c>
      <c r="AA869" s="324">
        <v>8</v>
      </c>
      <c r="AB869" s="324" t="s">
        <v>645</v>
      </c>
      <c r="AC869" s="324" t="s">
        <v>55</v>
      </c>
      <c r="AD869" s="324" t="s">
        <v>55</v>
      </c>
      <c r="AE869" s="324">
        <v>0</v>
      </c>
      <c r="AF869" s="324" t="s">
        <v>525</v>
      </c>
      <c r="AG869" s="324">
        <v>-16666.666666666672</v>
      </c>
      <c r="AH869" s="324">
        <v>-16666.666666666672</v>
      </c>
      <c r="AI869" s="324" t="s">
        <v>55</v>
      </c>
      <c r="AJ869" s="324">
        <v>-16666.666666666672</v>
      </c>
      <c r="AK869" s="324" t="s">
        <v>55</v>
      </c>
      <c r="AL869" s="324" t="s">
        <v>55</v>
      </c>
      <c r="AM869" s="324" t="s">
        <v>55</v>
      </c>
    </row>
    <row r="870" spans="1:39" s="324" customFormat="1" ht="0.65" hidden="1" customHeight="1">
      <c r="A870" s="324">
        <v>3182</v>
      </c>
      <c r="G870" s="324">
        <v>2021</v>
      </c>
      <c r="P870" s="324" t="s">
        <v>645</v>
      </c>
      <c r="AA870" s="324">
        <v>9</v>
      </c>
      <c r="AB870" s="324" t="s">
        <v>645</v>
      </c>
      <c r="AC870" s="324" t="s">
        <v>55</v>
      </c>
      <c r="AD870" s="324" t="s">
        <v>55</v>
      </c>
      <c r="AE870" s="324">
        <v>0</v>
      </c>
      <c r="AF870" s="324" t="s">
        <v>528</v>
      </c>
      <c r="AG870" s="324">
        <v>-16666.666666666672</v>
      </c>
      <c r="AH870" s="324">
        <v>-16666.666666666672</v>
      </c>
      <c r="AI870" s="324" t="s">
        <v>55</v>
      </c>
      <c r="AJ870" s="324">
        <v>-16666.666666666672</v>
      </c>
      <c r="AK870" s="324" t="s">
        <v>55</v>
      </c>
      <c r="AL870" s="324" t="s">
        <v>55</v>
      </c>
      <c r="AM870" s="324" t="s">
        <v>55</v>
      </c>
    </row>
    <row r="871" spans="1:39" s="324" customFormat="1" ht="0.65" hidden="1" customHeight="1">
      <c r="A871" s="324">
        <v>3183</v>
      </c>
      <c r="G871" s="324">
        <v>2022</v>
      </c>
      <c r="H871" s="324" t="s">
        <v>645</v>
      </c>
      <c r="I871" s="324" t="s">
        <v>645</v>
      </c>
      <c r="J871" s="324" t="s">
        <v>645</v>
      </c>
      <c r="K871" s="324" t="s">
        <v>645</v>
      </c>
      <c r="L871" s="324" t="s">
        <v>645</v>
      </c>
      <c r="M871" s="324" t="s">
        <v>645</v>
      </c>
      <c r="N871" s="324" t="s">
        <v>645</v>
      </c>
      <c r="O871" s="324" t="s">
        <v>645</v>
      </c>
      <c r="P871" s="324" t="s">
        <v>645</v>
      </c>
      <c r="AA871" s="324">
        <v>10</v>
      </c>
      <c r="AB871" s="324" t="s">
        <v>645</v>
      </c>
      <c r="AC871" s="324" t="s">
        <v>55</v>
      </c>
      <c r="AD871" s="324" t="s">
        <v>55</v>
      </c>
      <c r="AE871" s="324">
        <v>0</v>
      </c>
      <c r="AF871" s="324" t="s">
        <v>530</v>
      </c>
      <c r="AG871" s="324">
        <v>-16666.666666666672</v>
      </c>
      <c r="AH871" s="324">
        <v>-16666.666666666672</v>
      </c>
      <c r="AI871" s="324" t="s">
        <v>55</v>
      </c>
      <c r="AJ871" s="324">
        <v>-16666.666666666672</v>
      </c>
      <c r="AK871" s="324" t="s">
        <v>55</v>
      </c>
      <c r="AL871" s="324" t="s">
        <v>55</v>
      </c>
      <c r="AM871" s="324" t="s">
        <v>55</v>
      </c>
    </row>
    <row r="872" spans="1:39" s="324" customFormat="1" ht="0.65" hidden="1" customHeight="1">
      <c r="A872" s="324">
        <v>3184</v>
      </c>
      <c r="G872" s="324">
        <v>2023</v>
      </c>
      <c r="H872" s="324" t="s">
        <v>645</v>
      </c>
      <c r="I872" s="324" t="s">
        <v>645</v>
      </c>
      <c r="J872" s="324" t="s">
        <v>645</v>
      </c>
      <c r="K872" s="324" t="s">
        <v>645</v>
      </c>
      <c r="L872" s="324" t="s">
        <v>645</v>
      </c>
      <c r="M872" s="324" t="s">
        <v>645</v>
      </c>
      <c r="N872" s="324" t="s">
        <v>645</v>
      </c>
      <c r="O872" s="324" t="s">
        <v>645</v>
      </c>
      <c r="P872" s="324" t="s">
        <v>645</v>
      </c>
      <c r="AA872" s="324">
        <v>11</v>
      </c>
      <c r="AB872" s="324" t="s">
        <v>645</v>
      </c>
      <c r="AC872" s="324" t="s">
        <v>55</v>
      </c>
      <c r="AD872" s="324" t="s">
        <v>55</v>
      </c>
      <c r="AE872" s="324">
        <v>0</v>
      </c>
      <c r="AF872" s="324" t="s">
        <v>533</v>
      </c>
      <c r="AG872" s="324">
        <v>160666.66666666669</v>
      </c>
      <c r="AH872" s="324">
        <v>160666.66666666669</v>
      </c>
      <c r="AI872" s="324" t="s">
        <v>55</v>
      </c>
      <c r="AJ872" s="324">
        <v>160666.66666666669</v>
      </c>
      <c r="AK872" s="324" t="s">
        <v>55</v>
      </c>
      <c r="AL872" s="324" t="s">
        <v>55</v>
      </c>
      <c r="AM872" s="324" t="s">
        <v>55</v>
      </c>
    </row>
    <row r="873" spans="1:39" s="324" customFormat="1" ht="0.65" hidden="1" customHeight="1">
      <c r="A873" s="324">
        <v>3185</v>
      </c>
      <c r="G873" s="324">
        <v>2024</v>
      </c>
      <c r="H873" s="324" t="s">
        <v>645</v>
      </c>
      <c r="I873" s="324" t="s">
        <v>645</v>
      </c>
      <c r="J873" s="324" t="s">
        <v>645</v>
      </c>
      <c r="K873" s="324" t="s">
        <v>645</v>
      </c>
      <c r="L873" s="324" t="s">
        <v>645</v>
      </c>
      <c r="M873" s="324" t="s">
        <v>645</v>
      </c>
      <c r="N873" s="324" t="s">
        <v>645</v>
      </c>
      <c r="O873" s="324" t="s">
        <v>645</v>
      </c>
      <c r="P873" s="324" t="s">
        <v>645</v>
      </c>
      <c r="AA873" s="324">
        <v>12</v>
      </c>
      <c r="AB873" s="324" t="s">
        <v>645</v>
      </c>
      <c r="AC873" s="324" t="s">
        <v>55</v>
      </c>
      <c r="AD873" s="324" t="s">
        <v>55</v>
      </c>
      <c r="AE873" s="324">
        <v>0</v>
      </c>
      <c r="AF873" s="324" t="s">
        <v>536</v>
      </c>
      <c r="AG873" s="324">
        <v>160666.66666666669</v>
      </c>
      <c r="AH873" s="324">
        <v>160666.66666666669</v>
      </c>
      <c r="AI873" s="324" t="s">
        <v>55</v>
      </c>
      <c r="AJ873" s="324">
        <v>160666.66666666669</v>
      </c>
      <c r="AK873" s="324" t="s">
        <v>55</v>
      </c>
      <c r="AL873" s="324" t="s">
        <v>55</v>
      </c>
      <c r="AM873" s="324" t="s">
        <v>55</v>
      </c>
    </row>
    <row r="874" spans="1:39" s="324" customFormat="1" ht="0.65" hidden="1" customHeight="1">
      <c r="A874" s="324">
        <v>3186</v>
      </c>
      <c r="AA874" s="324">
        <v>13</v>
      </c>
      <c r="AB874" s="324" t="s">
        <v>645</v>
      </c>
      <c r="AC874" s="324" t="s">
        <v>55</v>
      </c>
      <c r="AD874" s="324" t="s">
        <v>55</v>
      </c>
      <c r="AE874" s="324">
        <v>0</v>
      </c>
      <c r="AF874" s="324" t="s">
        <v>538</v>
      </c>
      <c r="AG874" s="324">
        <v>160666.66666666669</v>
      </c>
      <c r="AH874" s="324">
        <v>160666.66666666669</v>
      </c>
      <c r="AI874" s="324" t="s">
        <v>55</v>
      </c>
      <c r="AJ874" s="324">
        <v>160666.66666666669</v>
      </c>
      <c r="AK874" s="324" t="s">
        <v>55</v>
      </c>
      <c r="AL874" s="324" t="s">
        <v>55</v>
      </c>
      <c r="AM874" s="324" t="s">
        <v>55</v>
      </c>
    </row>
    <row r="875" spans="1:39" s="324" customFormat="1" ht="0.65" hidden="1" customHeight="1">
      <c r="A875" s="324">
        <v>3187</v>
      </c>
      <c r="G875" s="324" t="s">
        <v>0</v>
      </c>
      <c r="H875" s="324" t="s">
        <v>76</v>
      </c>
      <c r="I875" s="324" t="s">
        <v>77</v>
      </c>
      <c r="J875" s="324" t="s">
        <v>78</v>
      </c>
      <c r="K875" s="324" t="s">
        <v>79</v>
      </c>
      <c r="AA875" s="324">
        <v>14</v>
      </c>
      <c r="AB875" s="324" t="s">
        <v>645</v>
      </c>
      <c r="AC875" s="324" t="s">
        <v>55</v>
      </c>
      <c r="AD875" s="324" t="s">
        <v>55</v>
      </c>
      <c r="AE875" s="324">
        <v>0</v>
      </c>
      <c r="AF875" s="324" t="s">
        <v>541</v>
      </c>
      <c r="AG875" s="324">
        <v>40166.666666666672</v>
      </c>
      <c r="AH875" s="324">
        <v>40166.666666666672</v>
      </c>
      <c r="AI875" s="324" t="s">
        <v>55</v>
      </c>
      <c r="AJ875" s="324">
        <v>40166.666666666672</v>
      </c>
      <c r="AK875" s="324" t="s">
        <v>55</v>
      </c>
      <c r="AL875" s="324" t="s">
        <v>55</v>
      </c>
      <c r="AM875" s="324" t="s">
        <v>55</v>
      </c>
    </row>
    <row r="876" spans="1:39" s="324" customFormat="1" ht="0.65" hidden="1" customHeight="1">
      <c r="A876" s="324">
        <v>3188</v>
      </c>
      <c r="G876" s="324">
        <v>2021</v>
      </c>
      <c r="M876" s="324" t="s">
        <v>456</v>
      </c>
      <c r="N876" s="324" t="s">
        <v>645</v>
      </c>
      <c r="O876" s="324" t="s">
        <v>124</v>
      </c>
      <c r="P876" s="324" t="s">
        <v>645</v>
      </c>
      <c r="AA876" s="324">
        <v>15</v>
      </c>
      <c r="AB876" s="324" t="s">
        <v>645</v>
      </c>
      <c r="AC876" s="324" t="s">
        <v>55</v>
      </c>
      <c r="AD876" s="324" t="s">
        <v>55</v>
      </c>
      <c r="AE876" s="324">
        <v>0</v>
      </c>
      <c r="AF876" s="324" t="s">
        <v>544</v>
      </c>
      <c r="AG876" s="324">
        <v>40166.666666666672</v>
      </c>
      <c r="AH876" s="324">
        <v>40166.666666666672</v>
      </c>
      <c r="AI876" s="324" t="s">
        <v>55</v>
      </c>
      <c r="AJ876" s="324">
        <v>40166.666666666672</v>
      </c>
      <c r="AK876" s="324" t="s">
        <v>55</v>
      </c>
      <c r="AL876" s="324" t="s">
        <v>55</v>
      </c>
      <c r="AM876" s="324" t="s">
        <v>55</v>
      </c>
    </row>
    <row r="877" spans="1:39" s="324" customFormat="1" ht="0.65" hidden="1" customHeight="1">
      <c r="A877" s="324">
        <v>3189</v>
      </c>
      <c r="G877" s="324">
        <v>2022</v>
      </c>
      <c r="H877" s="324" t="s">
        <v>645</v>
      </c>
      <c r="I877" s="324" t="s">
        <v>645</v>
      </c>
      <c r="J877" s="324" t="s">
        <v>645</v>
      </c>
      <c r="K877" s="324" t="s">
        <v>645</v>
      </c>
      <c r="M877" s="324" t="s">
        <v>457</v>
      </c>
      <c r="N877" s="324" t="s">
        <v>645</v>
      </c>
      <c r="O877" s="324" t="s">
        <v>125</v>
      </c>
      <c r="P877" s="324" t="s">
        <v>645</v>
      </c>
      <c r="AA877" s="324">
        <v>16</v>
      </c>
      <c r="AB877" s="324" t="s">
        <v>645</v>
      </c>
      <c r="AC877" s="324" t="s">
        <v>55</v>
      </c>
      <c r="AD877" s="324" t="s">
        <v>55</v>
      </c>
      <c r="AE877" s="324">
        <v>0</v>
      </c>
      <c r="AF877" s="324" t="s">
        <v>546</v>
      </c>
      <c r="AG877" s="324">
        <v>40166.666666666672</v>
      </c>
      <c r="AH877" s="324">
        <v>40166.666666666672</v>
      </c>
      <c r="AI877" s="324" t="s">
        <v>55</v>
      </c>
      <c r="AJ877" s="324">
        <v>40166.666666666672</v>
      </c>
      <c r="AK877" s="324" t="s">
        <v>55</v>
      </c>
      <c r="AL877" s="324" t="s">
        <v>55</v>
      </c>
      <c r="AM877" s="324" t="s">
        <v>55</v>
      </c>
    </row>
    <row r="878" spans="1:39" s="324" customFormat="1" ht="0.65" hidden="1" customHeight="1">
      <c r="A878" s="324">
        <v>3190</v>
      </c>
      <c r="G878" s="324">
        <v>2023</v>
      </c>
      <c r="H878" s="324" t="s">
        <v>645</v>
      </c>
      <c r="I878" s="324" t="s">
        <v>645</v>
      </c>
      <c r="J878" s="324" t="s">
        <v>645</v>
      </c>
      <c r="K878" s="324" t="s">
        <v>645</v>
      </c>
      <c r="M878" s="324" t="s">
        <v>458</v>
      </c>
      <c r="N878" s="324" t="s">
        <v>645</v>
      </c>
      <c r="O878" s="324" t="s">
        <v>126</v>
      </c>
      <c r="P878" s="324" t="s">
        <v>645</v>
      </c>
      <c r="AA878" s="324">
        <v>17</v>
      </c>
      <c r="AB878" s="324" t="s">
        <v>645</v>
      </c>
      <c r="AC878" s="324" t="s">
        <v>55</v>
      </c>
      <c r="AD878" s="324" t="s">
        <v>55</v>
      </c>
      <c r="AE878" s="324">
        <v>0</v>
      </c>
      <c r="AF878" s="324" t="s">
        <v>549</v>
      </c>
      <c r="AG878" s="324">
        <v>120500.00000000001</v>
      </c>
      <c r="AH878" s="324">
        <v>120500.00000000001</v>
      </c>
      <c r="AI878" s="324" t="s">
        <v>55</v>
      </c>
      <c r="AJ878" s="324">
        <v>120500.00000000001</v>
      </c>
      <c r="AK878" s="324" t="s">
        <v>55</v>
      </c>
      <c r="AL878" s="324" t="s">
        <v>55</v>
      </c>
      <c r="AM878" s="324" t="s">
        <v>55</v>
      </c>
    </row>
    <row r="879" spans="1:39" s="324" customFormat="1" ht="0.65" hidden="1" customHeight="1">
      <c r="A879" s="324">
        <v>3191</v>
      </c>
      <c r="G879" s="324">
        <v>2024</v>
      </c>
      <c r="H879" s="324" t="s">
        <v>645</v>
      </c>
      <c r="I879" s="324" t="s">
        <v>645</v>
      </c>
      <c r="J879" s="324" t="s">
        <v>645</v>
      </c>
      <c r="K879" s="324" t="s">
        <v>645</v>
      </c>
      <c r="M879" s="324" t="s">
        <v>459</v>
      </c>
      <c r="N879" s="324" t="s">
        <v>645</v>
      </c>
      <c r="AA879" s="324">
        <v>18</v>
      </c>
      <c r="AB879" s="324" t="s">
        <v>645</v>
      </c>
      <c r="AC879" s="324" t="s">
        <v>55</v>
      </c>
      <c r="AD879" s="324" t="s">
        <v>55</v>
      </c>
      <c r="AE879" s="324">
        <v>0</v>
      </c>
      <c r="AF879" s="324" t="s">
        <v>552</v>
      </c>
      <c r="AG879" s="324">
        <v>120500.00000000001</v>
      </c>
      <c r="AH879" s="324">
        <v>120500.00000000001</v>
      </c>
      <c r="AI879" s="324" t="s">
        <v>55</v>
      </c>
      <c r="AJ879" s="324">
        <v>120500.00000000001</v>
      </c>
      <c r="AK879" s="324" t="s">
        <v>55</v>
      </c>
      <c r="AL879" s="324" t="s">
        <v>55</v>
      </c>
      <c r="AM879" s="324" t="s">
        <v>55</v>
      </c>
    </row>
    <row r="880" spans="1:39" s="324" customFormat="1" ht="0.65" hidden="1" customHeight="1">
      <c r="A880" s="324">
        <v>3192</v>
      </c>
      <c r="AA880" s="324">
        <v>19</v>
      </c>
      <c r="AB880" s="324" t="s">
        <v>645</v>
      </c>
      <c r="AC880" s="324" t="s">
        <v>55</v>
      </c>
      <c r="AD880" s="324" t="s">
        <v>55</v>
      </c>
      <c r="AE880" s="324">
        <v>0</v>
      </c>
      <c r="AF880" s="324" t="s">
        <v>554</v>
      </c>
      <c r="AG880" s="324">
        <v>120500.00000000001</v>
      </c>
      <c r="AH880" s="324">
        <v>120500.00000000001</v>
      </c>
      <c r="AI880" s="324" t="s">
        <v>55</v>
      </c>
      <c r="AJ880" s="324">
        <v>120500.00000000001</v>
      </c>
      <c r="AK880" s="324" t="s">
        <v>55</v>
      </c>
      <c r="AL880" s="324" t="s">
        <v>55</v>
      </c>
      <c r="AM880" s="324" t="s">
        <v>55</v>
      </c>
    </row>
    <row r="881" spans="1:39" s="324" customFormat="1" ht="0.65" hidden="1" customHeight="1">
      <c r="A881" s="324">
        <v>3193</v>
      </c>
      <c r="O881" s="324" t="s">
        <v>13</v>
      </c>
      <c r="P881" s="324" t="s">
        <v>645</v>
      </c>
      <c r="AA881" s="324">
        <v>20</v>
      </c>
      <c r="AB881" s="324" t="s">
        <v>645</v>
      </c>
      <c r="AC881" s="324" t="s">
        <v>55</v>
      </c>
      <c r="AD881" s="324" t="s">
        <v>55</v>
      </c>
      <c r="AE881" s="324">
        <v>0</v>
      </c>
      <c r="AF881" s="324" t="s">
        <v>557</v>
      </c>
      <c r="AG881" s="324">
        <v>103833.33333333334</v>
      </c>
      <c r="AH881" s="324">
        <v>103833.33333333334</v>
      </c>
      <c r="AI881" s="324" t="s">
        <v>55</v>
      </c>
      <c r="AJ881" s="324">
        <v>103833.33333333334</v>
      </c>
      <c r="AK881" s="324" t="s">
        <v>55</v>
      </c>
      <c r="AL881" s="324" t="s">
        <v>55</v>
      </c>
      <c r="AM881" s="324" t="s">
        <v>55</v>
      </c>
    </row>
    <row r="882" spans="1:39" s="324" customFormat="1" ht="0.65" hidden="1" customHeight="1">
      <c r="A882" s="324">
        <v>3194</v>
      </c>
      <c r="O882" s="324" t="s">
        <v>28</v>
      </c>
      <c r="P882" s="324" t="s">
        <v>645</v>
      </c>
      <c r="AA882" s="324">
        <v>21</v>
      </c>
      <c r="AB882" s="324" t="s">
        <v>645</v>
      </c>
      <c r="AC882" s="324" t="s">
        <v>55</v>
      </c>
      <c r="AD882" s="324" t="s">
        <v>55</v>
      </c>
      <c r="AE882" s="324">
        <v>0</v>
      </c>
      <c r="AF882" s="324" t="s">
        <v>560</v>
      </c>
      <c r="AG882" s="324">
        <v>103833.33333333334</v>
      </c>
      <c r="AH882" s="324">
        <v>103833.33333333334</v>
      </c>
      <c r="AI882" s="324" t="s">
        <v>55</v>
      </c>
      <c r="AJ882" s="324">
        <v>103833.33333333334</v>
      </c>
      <c r="AK882" s="324" t="s">
        <v>55</v>
      </c>
      <c r="AL882" s="324" t="s">
        <v>55</v>
      </c>
      <c r="AM882" s="324" t="s">
        <v>55</v>
      </c>
    </row>
    <row r="883" spans="1:39" s="324" customFormat="1" ht="0.65" hidden="1" customHeight="1">
      <c r="A883" s="324">
        <v>3195</v>
      </c>
      <c r="O883" s="324" t="s">
        <v>29</v>
      </c>
      <c r="AA883" s="324">
        <v>22</v>
      </c>
      <c r="AB883" s="324" t="s">
        <v>645</v>
      </c>
      <c r="AC883" s="324" t="s">
        <v>55</v>
      </c>
      <c r="AD883" s="324" t="s">
        <v>55</v>
      </c>
      <c r="AE883" s="324">
        <v>0</v>
      </c>
      <c r="AF883" s="324" t="s">
        <v>562</v>
      </c>
      <c r="AG883" s="324">
        <v>103833.33333333334</v>
      </c>
      <c r="AH883" s="324">
        <v>103833.33333333334</v>
      </c>
      <c r="AI883" s="324" t="s">
        <v>55</v>
      </c>
      <c r="AJ883" s="324">
        <v>103833.33333333334</v>
      </c>
      <c r="AK883" s="324" t="s">
        <v>55</v>
      </c>
      <c r="AL883" s="324" t="s">
        <v>55</v>
      </c>
      <c r="AM883" s="324" t="s">
        <v>55</v>
      </c>
    </row>
    <row r="884" spans="1:39" s="324" customFormat="1" ht="0.65" hidden="1" customHeight="1">
      <c r="A884" s="324">
        <v>3196</v>
      </c>
      <c r="O884" s="324" t="s">
        <v>30</v>
      </c>
      <c r="AA884" s="324">
        <v>23</v>
      </c>
      <c r="AB884" s="324" t="s">
        <v>645</v>
      </c>
      <c r="AC884" s="324" t="s">
        <v>55</v>
      </c>
      <c r="AD884" s="324" t="s">
        <v>55</v>
      </c>
      <c r="AE884" s="324">
        <v>0</v>
      </c>
      <c r="AF884" s="324" t="s">
        <v>565</v>
      </c>
      <c r="AG884" s="324">
        <v>120000</v>
      </c>
      <c r="AH884" s="324">
        <v>120000</v>
      </c>
      <c r="AI884" s="324" t="s">
        <v>55</v>
      </c>
      <c r="AJ884" s="324">
        <v>120000</v>
      </c>
      <c r="AK884" s="324" t="s">
        <v>55</v>
      </c>
      <c r="AL884" s="324" t="s">
        <v>55</v>
      </c>
      <c r="AM884" s="324" t="s">
        <v>55</v>
      </c>
    </row>
    <row r="885" spans="1:39" s="324" customFormat="1" ht="0.65" hidden="1" customHeight="1">
      <c r="A885" s="324">
        <v>3197</v>
      </c>
      <c r="AA885" s="324">
        <v>24</v>
      </c>
      <c r="AB885" s="324" t="s">
        <v>645</v>
      </c>
      <c r="AC885" s="324" t="s">
        <v>55</v>
      </c>
      <c r="AD885" s="324" t="s">
        <v>55</v>
      </c>
      <c r="AE885" s="324">
        <v>0</v>
      </c>
      <c r="AF885" s="324" t="s">
        <v>568</v>
      </c>
      <c r="AG885" s="324">
        <v>120000</v>
      </c>
      <c r="AH885" s="324">
        <v>120000</v>
      </c>
      <c r="AI885" s="324" t="s">
        <v>55</v>
      </c>
      <c r="AJ885" s="324">
        <v>120000</v>
      </c>
      <c r="AK885" s="324" t="s">
        <v>55</v>
      </c>
      <c r="AL885" s="324" t="s">
        <v>55</v>
      </c>
      <c r="AM885" s="324" t="s">
        <v>55</v>
      </c>
    </row>
    <row r="886" spans="1:39" s="324" customFormat="1" ht="0.65" hidden="1" customHeight="1">
      <c r="A886" s="324">
        <v>3198</v>
      </c>
      <c r="AA886" s="324">
        <v>25</v>
      </c>
      <c r="AB886" s="324" t="s">
        <v>645</v>
      </c>
      <c r="AC886" s="324" t="s">
        <v>55</v>
      </c>
      <c r="AD886" s="324" t="s">
        <v>55</v>
      </c>
      <c r="AE886" s="324">
        <v>0</v>
      </c>
      <c r="AF886" s="324" t="s">
        <v>570</v>
      </c>
      <c r="AG886" s="324">
        <v>120000</v>
      </c>
      <c r="AH886" s="324">
        <v>120000</v>
      </c>
      <c r="AI886" s="324" t="s">
        <v>55</v>
      </c>
      <c r="AJ886" s="324">
        <v>120000</v>
      </c>
      <c r="AK886" s="324" t="s">
        <v>55</v>
      </c>
      <c r="AL886" s="324" t="s">
        <v>55</v>
      </c>
      <c r="AM886" s="324" t="s">
        <v>55</v>
      </c>
    </row>
    <row r="887" spans="1:39" s="324" customFormat="1" ht="0.65" hidden="1" customHeight="1">
      <c r="A887" s="324">
        <v>3199</v>
      </c>
      <c r="AA887" s="324">
        <v>26</v>
      </c>
      <c r="AB887" s="324" t="s">
        <v>645</v>
      </c>
      <c r="AC887" s="324" t="s">
        <v>55</v>
      </c>
      <c r="AD887" s="324" t="s">
        <v>55</v>
      </c>
      <c r="AE887" s="324">
        <v>0</v>
      </c>
      <c r="AF887" s="324" t="s">
        <v>572</v>
      </c>
      <c r="AG887" s="324">
        <v>48000</v>
      </c>
      <c r="AH887" s="324">
        <v>48000</v>
      </c>
      <c r="AI887" s="324" t="s">
        <v>55</v>
      </c>
      <c r="AJ887" s="324">
        <v>48000</v>
      </c>
      <c r="AK887" s="324" t="s">
        <v>55</v>
      </c>
      <c r="AL887" s="324" t="s">
        <v>55</v>
      </c>
      <c r="AM887" s="324" t="s">
        <v>55</v>
      </c>
    </row>
    <row r="888" spans="1:39" s="324" customFormat="1" ht="0.65" hidden="1" customHeight="1">
      <c r="A888" s="324">
        <v>3200</v>
      </c>
      <c r="AA888" s="324">
        <v>27</v>
      </c>
      <c r="AB888" s="324" t="s">
        <v>645</v>
      </c>
      <c r="AC888" s="324" t="s">
        <v>55</v>
      </c>
      <c r="AD888" s="324" t="s">
        <v>55</v>
      </c>
      <c r="AE888" s="324">
        <v>0</v>
      </c>
      <c r="AF888" s="324" t="s">
        <v>575</v>
      </c>
      <c r="AG888" s="324">
        <v>48000</v>
      </c>
      <c r="AH888" s="324">
        <v>48000</v>
      </c>
      <c r="AI888" s="324" t="s">
        <v>55</v>
      </c>
      <c r="AJ888" s="324">
        <v>48000</v>
      </c>
      <c r="AK888" s="324" t="s">
        <v>55</v>
      </c>
      <c r="AL888" s="324" t="s">
        <v>55</v>
      </c>
      <c r="AM888" s="324" t="s">
        <v>55</v>
      </c>
    </row>
    <row r="889" spans="1:39" s="324" customFormat="1" ht="0.65" hidden="1" customHeight="1">
      <c r="A889" s="324">
        <v>3201</v>
      </c>
      <c r="AA889" s="324">
        <v>28</v>
      </c>
      <c r="AB889" s="324" t="s">
        <v>645</v>
      </c>
      <c r="AC889" s="324" t="s">
        <v>55</v>
      </c>
      <c r="AD889" s="324" t="s">
        <v>55</v>
      </c>
      <c r="AE889" s="324">
        <v>0</v>
      </c>
      <c r="AF889" s="324" t="s">
        <v>577</v>
      </c>
      <c r="AG889" s="324">
        <v>48000</v>
      </c>
      <c r="AH889" s="324">
        <v>48000</v>
      </c>
      <c r="AI889" s="324" t="s">
        <v>55</v>
      </c>
      <c r="AJ889" s="324">
        <v>48000</v>
      </c>
      <c r="AK889" s="324" t="s">
        <v>55</v>
      </c>
      <c r="AL889" s="324" t="s">
        <v>55</v>
      </c>
      <c r="AM889" s="324" t="s">
        <v>55</v>
      </c>
    </row>
    <row r="890" spans="1:39" s="324" customFormat="1" ht="0.65" hidden="1" customHeight="1">
      <c r="A890" s="324">
        <v>3202</v>
      </c>
      <c r="AA890" s="324">
        <v>29</v>
      </c>
      <c r="AB890" s="324" t="s">
        <v>645</v>
      </c>
      <c r="AC890" s="324" t="s">
        <v>55</v>
      </c>
      <c r="AD890" s="324" t="s">
        <v>55</v>
      </c>
      <c r="AE890" s="324">
        <v>0</v>
      </c>
      <c r="AF890" s="324" t="s">
        <v>579</v>
      </c>
      <c r="AG890" s="324">
        <v>72000</v>
      </c>
      <c r="AH890" s="324">
        <v>72000</v>
      </c>
      <c r="AI890" s="324" t="s">
        <v>55</v>
      </c>
      <c r="AJ890" s="324">
        <v>72000</v>
      </c>
      <c r="AK890" s="324" t="s">
        <v>55</v>
      </c>
      <c r="AL890" s="324" t="s">
        <v>55</v>
      </c>
      <c r="AM890" s="324" t="s">
        <v>55</v>
      </c>
    </row>
    <row r="891" spans="1:39" s="324" customFormat="1" ht="0.65" hidden="1" customHeight="1">
      <c r="A891" s="324">
        <v>3203</v>
      </c>
      <c r="AA891" s="324">
        <v>30</v>
      </c>
      <c r="AB891" s="324" t="s">
        <v>645</v>
      </c>
      <c r="AC891" s="324" t="s">
        <v>55</v>
      </c>
      <c r="AD891" s="324" t="s">
        <v>55</v>
      </c>
      <c r="AE891" s="324">
        <v>0</v>
      </c>
      <c r="AF891" s="324" t="s">
        <v>582</v>
      </c>
      <c r="AG891" s="324">
        <v>72000</v>
      </c>
      <c r="AH891" s="324">
        <v>72000</v>
      </c>
      <c r="AI891" s="324" t="s">
        <v>55</v>
      </c>
      <c r="AJ891" s="324">
        <v>72000</v>
      </c>
      <c r="AK891" s="324" t="s">
        <v>55</v>
      </c>
      <c r="AL891" s="324" t="s">
        <v>55</v>
      </c>
      <c r="AM891" s="324" t="s">
        <v>55</v>
      </c>
    </row>
    <row r="892" spans="1:39" s="324" customFormat="1" ht="0.65" hidden="1" customHeight="1">
      <c r="A892" s="324">
        <v>3204</v>
      </c>
      <c r="AA892" s="324">
        <v>31</v>
      </c>
      <c r="AB892" s="324" t="s">
        <v>645</v>
      </c>
      <c r="AC892" s="324" t="s">
        <v>55</v>
      </c>
      <c r="AD892" s="324" t="s">
        <v>55</v>
      </c>
      <c r="AE892" s="324">
        <v>0</v>
      </c>
      <c r="AF892" s="324" t="s">
        <v>584</v>
      </c>
      <c r="AG892" s="324">
        <v>72000</v>
      </c>
      <c r="AH892" s="324">
        <v>72000</v>
      </c>
      <c r="AI892" s="324" t="s">
        <v>55</v>
      </c>
      <c r="AJ892" s="324">
        <v>72000</v>
      </c>
      <c r="AK892" s="324" t="s">
        <v>55</v>
      </c>
      <c r="AL892" s="324" t="s">
        <v>55</v>
      </c>
      <c r="AM892" s="324" t="s">
        <v>55</v>
      </c>
    </row>
    <row r="893" spans="1:39" s="324" customFormat="1" ht="0.65" hidden="1" customHeight="1">
      <c r="A893" s="324">
        <v>3205</v>
      </c>
      <c r="AA893" s="324">
        <v>32</v>
      </c>
      <c r="AB893" s="324" t="s">
        <v>645</v>
      </c>
      <c r="AC893" s="324" t="s">
        <v>55</v>
      </c>
      <c r="AD893" s="324" t="s">
        <v>55</v>
      </c>
      <c r="AE893" s="324">
        <v>0</v>
      </c>
      <c r="AF893" s="324" t="s">
        <v>586</v>
      </c>
      <c r="AG893" s="324">
        <v>72000</v>
      </c>
      <c r="AH893" s="324">
        <v>72000</v>
      </c>
      <c r="AI893" s="324" t="s">
        <v>55</v>
      </c>
      <c r="AJ893" s="324">
        <v>72000</v>
      </c>
      <c r="AK893" s="324" t="s">
        <v>55</v>
      </c>
      <c r="AL893" s="324" t="s">
        <v>55</v>
      </c>
      <c r="AM893" s="324" t="s">
        <v>55</v>
      </c>
    </row>
    <row r="894" spans="1:39" s="324" customFormat="1" ht="0.65" hidden="1" customHeight="1">
      <c r="A894" s="324">
        <v>3206</v>
      </c>
      <c r="AA894" s="324">
        <v>33</v>
      </c>
      <c r="AB894" s="324" t="s">
        <v>645</v>
      </c>
      <c r="AC894" s="324" t="s">
        <v>55</v>
      </c>
      <c r="AD894" s="324" t="s">
        <v>55</v>
      </c>
      <c r="AE894" s="324">
        <v>0</v>
      </c>
      <c r="AF894" s="324" t="s">
        <v>589</v>
      </c>
      <c r="AG894" s="324">
        <v>0</v>
      </c>
      <c r="AH894" s="324">
        <v>0</v>
      </c>
      <c r="AI894" s="324" t="s">
        <v>55</v>
      </c>
      <c r="AJ894" s="324">
        <v>0</v>
      </c>
      <c r="AK894" s="324" t="s">
        <v>55</v>
      </c>
      <c r="AL894" s="324" t="s">
        <v>55</v>
      </c>
      <c r="AM894" s="324" t="s">
        <v>55</v>
      </c>
    </row>
    <row r="895" spans="1:39" s="324" customFormat="1" ht="0.65" hidden="1" customHeight="1">
      <c r="A895" s="324">
        <v>3207</v>
      </c>
      <c r="AA895" s="324">
        <v>34</v>
      </c>
      <c r="AB895" s="324" t="s">
        <v>645</v>
      </c>
      <c r="AC895" s="324" t="s">
        <v>55</v>
      </c>
      <c r="AD895" s="324" t="s">
        <v>55</v>
      </c>
      <c r="AE895" s="324">
        <v>0</v>
      </c>
      <c r="AF895" s="324" t="s">
        <v>590</v>
      </c>
      <c r="AG895" s="324">
        <v>0</v>
      </c>
      <c r="AH895" s="324">
        <v>0</v>
      </c>
      <c r="AI895" s="324" t="s">
        <v>55</v>
      </c>
      <c r="AJ895" s="324">
        <v>0</v>
      </c>
      <c r="AK895" s="324" t="s">
        <v>55</v>
      </c>
      <c r="AL895" s="324" t="s">
        <v>55</v>
      </c>
      <c r="AM895" s="324" t="s">
        <v>55</v>
      </c>
    </row>
    <row r="896" spans="1:39" s="324" customFormat="1" ht="0.65" hidden="1" customHeight="1">
      <c r="A896" s="324">
        <v>3208</v>
      </c>
      <c r="AA896" s="324">
        <v>35</v>
      </c>
      <c r="AB896" s="324" t="s">
        <v>645</v>
      </c>
      <c r="AC896" s="324" t="s">
        <v>55</v>
      </c>
      <c r="AD896" s="324" t="s">
        <v>55</v>
      </c>
      <c r="AE896" s="324">
        <v>0</v>
      </c>
      <c r="AF896" s="324" t="s">
        <v>592</v>
      </c>
      <c r="AG896" s="324">
        <v>31833.333333333343</v>
      </c>
      <c r="AH896" s="324">
        <v>31833.333333333343</v>
      </c>
      <c r="AI896" s="324" t="s">
        <v>55</v>
      </c>
      <c r="AJ896" s="324">
        <v>31833.333333333343</v>
      </c>
      <c r="AK896" s="324" t="s">
        <v>55</v>
      </c>
      <c r="AL896" s="324" t="s">
        <v>55</v>
      </c>
      <c r="AM896" s="324" t="s">
        <v>55</v>
      </c>
    </row>
    <row r="897" spans="1:39" s="324" customFormat="1" ht="0.65" hidden="1" customHeight="1">
      <c r="A897" s="324">
        <v>3209</v>
      </c>
      <c r="AA897" s="324">
        <v>36</v>
      </c>
      <c r="AB897" s="324" t="s">
        <v>645</v>
      </c>
      <c r="AC897" s="324" t="s">
        <v>55</v>
      </c>
      <c r="AD897" s="324" t="s">
        <v>55</v>
      </c>
      <c r="AE897" s="324">
        <v>0</v>
      </c>
      <c r="AF897" s="324" t="s">
        <v>595</v>
      </c>
      <c r="AG897" s="324">
        <v>103833.33333333334</v>
      </c>
      <c r="AH897" s="324">
        <v>103833.33333333334</v>
      </c>
      <c r="AI897" s="324" t="s">
        <v>55</v>
      </c>
      <c r="AJ897" s="324">
        <v>103833.33333333334</v>
      </c>
      <c r="AK897" s="324" t="s">
        <v>55</v>
      </c>
      <c r="AL897" s="324" t="s">
        <v>55</v>
      </c>
      <c r="AM897" s="324" t="s">
        <v>55</v>
      </c>
    </row>
    <row r="898" spans="1:39" s="324" customFormat="1" ht="0.65" hidden="1" customHeight="1">
      <c r="A898" s="324">
        <v>3210</v>
      </c>
      <c r="AA898" s="324">
        <v>37</v>
      </c>
      <c r="AB898" s="324" t="s">
        <v>645</v>
      </c>
      <c r="AC898" s="324" t="s">
        <v>55</v>
      </c>
      <c r="AD898" s="324" t="s">
        <v>55</v>
      </c>
      <c r="AE898" s="324">
        <v>0</v>
      </c>
      <c r="AF898" s="324" t="s">
        <v>598</v>
      </c>
      <c r="AG898" s="324">
        <v>103833.33333333334</v>
      </c>
      <c r="AH898" s="324">
        <v>103833.33333333334</v>
      </c>
      <c r="AI898" s="324" t="s">
        <v>55</v>
      </c>
      <c r="AJ898" s="324">
        <v>103833.33333333334</v>
      </c>
      <c r="AK898" s="324" t="s">
        <v>55</v>
      </c>
      <c r="AL898" s="324" t="s">
        <v>55</v>
      </c>
      <c r="AM898" s="324" t="s">
        <v>55</v>
      </c>
    </row>
    <row r="899" spans="1:39" s="324" customFormat="1" ht="0.65" hidden="1" customHeight="1">
      <c r="A899" s="324">
        <v>3211</v>
      </c>
      <c r="AA899" s="324">
        <v>38</v>
      </c>
      <c r="AB899" s="324" t="s">
        <v>645</v>
      </c>
      <c r="AC899" s="324" t="s">
        <v>55</v>
      </c>
      <c r="AD899" s="324" t="s">
        <v>55</v>
      </c>
      <c r="AE899" s="324">
        <v>0</v>
      </c>
      <c r="AF899" s="324" t="s">
        <v>491</v>
      </c>
      <c r="AG899" s="324">
        <v>75000</v>
      </c>
      <c r="AH899" s="324">
        <v>75000</v>
      </c>
      <c r="AI899" s="324" t="s">
        <v>55</v>
      </c>
      <c r="AJ899" s="324">
        <v>75000</v>
      </c>
      <c r="AK899" s="324" t="s">
        <v>55</v>
      </c>
      <c r="AL899" s="324" t="s">
        <v>55</v>
      </c>
      <c r="AM899" s="324" t="s">
        <v>55</v>
      </c>
    </row>
    <row r="900" spans="1:39" s="324" customFormat="1" ht="0.65" hidden="1" customHeight="1">
      <c r="A900" s="324">
        <v>3212</v>
      </c>
      <c r="AA900" s="324">
        <v>39</v>
      </c>
      <c r="AB900" s="324" t="s">
        <v>645</v>
      </c>
      <c r="AC900" s="324" t="s">
        <v>55</v>
      </c>
      <c r="AD900" s="324" t="s">
        <v>55</v>
      </c>
      <c r="AE900" s="324">
        <v>0</v>
      </c>
      <c r="AF900" s="324" t="s">
        <v>493</v>
      </c>
      <c r="AG900" s="324">
        <v>72000</v>
      </c>
      <c r="AH900" s="324">
        <v>72000</v>
      </c>
      <c r="AI900" s="324" t="s">
        <v>55</v>
      </c>
      <c r="AJ900" s="324">
        <v>72000</v>
      </c>
      <c r="AK900" s="324" t="s">
        <v>55</v>
      </c>
      <c r="AL900" s="324" t="s">
        <v>55</v>
      </c>
      <c r="AM900" s="324" t="s">
        <v>55</v>
      </c>
    </row>
    <row r="901" spans="1:39" s="324" customFormat="1" ht="0.65" hidden="1" customHeight="1">
      <c r="A901" s="324">
        <v>3213</v>
      </c>
      <c r="AA901" s="324">
        <v>40</v>
      </c>
      <c r="AB901" s="324" t="s">
        <v>645</v>
      </c>
      <c r="AC901" s="324" t="s">
        <v>55</v>
      </c>
      <c r="AD901" s="324" t="s">
        <v>55</v>
      </c>
      <c r="AE901" s="324">
        <v>0</v>
      </c>
      <c r="AF901" s="324" t="s">
        <v>494</v>
      </c>
      <c r="AG901" s="324">
        <v>147000</v>
      </c>
      <c r="AH901" s="324">
        <v>147000</v>
      </c>
      <c r="AI901" s="324" t="s">
        <v>55</v>
      </c>
      <c r="AJ901" s="324">
        <v>147000</v>
      </c>
      <c r="AK901" s="324" t="s">
        <v>55</v>
      </c>
      <c r="AL901" s="324" t="s">
        <v>55</v>
      </c>
      <c r="AM901" s="324" t="s">
        <v>55</v>
      </c>
    </row>
    <row r="902" spans="1:39" s="324" customFormat="1" ht="0.65" hidden="1" customHeight="1">
      <c r="A902" s="324">
        <v>3214</v>
      </c>
      <c r="AA902" s="324">
        <v>41</v>
      </c>
      <c r="AB902" s="324" t="s">
        <v>645</v>
      </c>
      <c r="AC902" s="324" t="s">
        <v>55</v>
      </c>
      <c r="AD902" s="324" t="s">
        <v>55</v>
      </c>
      <c r="AE902" s="324">
        <v>0</v>
      </c>
      <c r="AF902" s="324" t="s">
        <v>607</v>
      </c>
      <c r="AG902" s="324">
        <v>-175000</v>
      </c>
      <c r="AH902" s="324">
        <v>-175000</v>
      </c>
      <c r="AI902" s="324" t="s">
        <v>55</v>
      </c>
      <c r="AJ902" s="324">
        <v>-175000</v>
      </c>
      <c r="AK902" s="324" t="s">
        <v>55</v>
      </c>
      <c r="AL902" s="324" t="s">
        <v>55</v>
      </c>
      <c r="AM902" s="324" t="s">
        <v>55</v>
      </c>
    </row>
    <row r="903" spans="1:39" s="324" customFormat="1" ht="0.65" hidden="1" customHeight="1">
      <c r="A903" s="324">
        <v>3215</v>
      </c>
      <c r="AA903" s="324">
        <v>42</v>
      </c>
      <c r="AB903" s="324" t="s">
        <v>645</v>
      </c>
      <c r="AC903" s="324" t="s">
        <v>55</v>
      </c>
      <c r="AD903" s="324" t="s">
        <v>55</v>
      </c>
      <c r="AE903" s="324">
        <v>0</v>
      </c>
      <c r="AF903" s="324" t="s">
        <v>610</v>
      </c>
      <c r="AG903" s="324">
        <v>31833.333333333343</v>
      </c>
      <c r="AH903" s="324">
        <v>31833.333333333343</v>
      </c>
      <c r="AI903" s="324" t="s">
        <v>55</v>
      </c>
      <c r="AJ903" s="324">
        <v>31833.333333333343</v>
      </c>
      <c r="AK903" s="324" t="s">
        <v>55</v>
      </c>
      <c r="AL903" s="324" t="s">
        <v>55</v>
      </c>
      <c r="AM903" s="324" t="s">
        <v>55</v>
      </c>
    </row>
    <row r="904" spans="1:39" s="324" customFormat="1" ht="0.65" hidden="1" customHeight="1">
      <c r="A904" s="324">
        <v>3216</v>
      </c>
      <c r="AA904" s="324">
        <v>43</v>
      </c>
      <c r="AB904" s="324" t="s">
        <v>645</v>
      </c>
      <c r="AC904" s="324" t="s">
        <v>55</v>
      </c>
      <c r="AD904" s="324" t="s">
        <v>55</v>
      </c>
      <c r="AE904" s="324">
        <v>0</v>
      </c>
      <c r="AF904" s="324" t="s">
        <v>611</v>
      </c>
      <c r="AG904" s="324">
        <v>103833.33333333334</v>
      </c>
      <c r="AH904" s="324">
        <v>103833.33333333334</v>
      </c>
      <c r="AI904" s="324" t="s">
        <v>55</v>
      </c>
      <c r="AJ904" s="324">
        <v>103833.33333333334</v>
      </c>
      <c r="AK904" s="324" t="s">
        <v>55</v>
      </c>
      <c r="AL904" s="324" t="s">
        <v>55</v>
      </c>
      <c r="AM904" s="324" t="s">
        <v>55</v>
      </c>
    </row>
    <row r="905" spans="1:39" s="324" customFormat="1" ht="0.65" hidden="1" customHeight="1">
      <c r="A905" s="324">
        <v>3217</v>
      </c>
      <c r="AA905" s="324">
        <v>44</v>
      </c>
      <c r="AB905" s="324" t="s">
        <v>645</v>
      </c>
      <c r="AC905" s="324" t="s">
        <v>55</v>
      </c>
      <c r="AD905" s="324" t="s">
        <v>55</v>
      </c>
      <c r="AE905" s="324">
        <v>0</v>
      </c>
      <c r="AF905" s="324" t="s">
        <v>612</v>
      </c>
      <c r="AG905" s="324">
        <v>250833.33333333334</v>
      </c>
      <c r="AH905" s="324">
        <v>250833.33333333334</v>
      </c>
      <c r="AI905" s="324" t="s">
        <v>55</v>
      </c>
      <c r="AJ905" s="324">
        <v>250833.33333333334</v>
      </c>
      <c r="AK905" s="324" t="s">
        <v>55</v>
      </c>
      <c r="AL905" s="324" t="s">
        <v>55</v>
      </c>
      <c r="AM905" s="324" t="s">
        <v>55</v>
      </c>
    </row>
    <row r="906" spans="1:39" s="324" customFormat="1" ht="0.65" hidden="1" customHeight="1">
      <c r="A906" s="324">
        <v>3218</v>
      </c>
      <c r="AA906" s="324">
        <v>45</v>
      </c>
      <c r="AB906" s="324" t="s">
        <v>645</v>
      </c>
      <c r="AC906" s="324" t="s">
        <v>55</v>
      </c>
      <c r="AD906" s="324" t="s">
        <v>55</v>
      </c>
      <c r="AE906" s="324">
        <v>0</v>
      </c>
      <c r="AF906" s="324" t="s">
        <v>124</v>
      </c>
      <c r="AG906" s="324">
        <v>4.4999999999999998E-2</v>
      </c>
      <c r="AH906" s="324">
        <v>4.4999999999999998E-2</v>
      </c>
      <c r="AI906" s="324" t="s">
        <v>55</v>
      </c>
      <c r="AJ906" s="324">
        <v>4.4999999999999998E-2</v>
      </c>
      <c r="AK906" s="324" t="s">
        <v>55</v>
      </c>
      <c r="AL906" s="324" t="s">
        <v>55</v>
      </c>
      <c r="AM906" s="324" t="s">
        <v>55</v>
      </c>
    </row>
    <row r="907" spans="1:39" s="324" customFormat="1" ht="0.65" hidden="1" customHeight="1">
      <c r="A907" s="324">
        <v>3219</v>
      </c>
      <c r="AA907" s="324">
        <v>46</v>
      </c>
      <c r="AB907" s="324" t="s">
        <v>645</v>
      </c>
      <c r="AC907" s="324" t="s">
        <v>55</v>
      </c>
      <c r="AD907" s="324" t="s">
        <v>55</v>
      </c>
      <c r="AE907" s="324">
        <v>0</v>
      </c>
      <c r="AF907" s="324" t="s">
        <v>125</v>
      </c>
      <c r="AG907" s="324">
        <v>0.08</v>
      </c>
      <c r="AH907" s="324">
        <v>0.08</v>
      </c>
      <c r="AI907" s="324" t="s">
        <v>55</v>
      </c>
      <c r="AJ907" s="324">
        <v>0.08</v>
      </c>
      <c r="AK907" s="324" t="s">
        <v>55</v>
      </c>
      <c r="AL907" s="324" t="s">
        <v>55</v>
      </c>
      <c r="AM907" s="324" t="s">
        <v>55</v>
      </c>
    </row>
    <row r="908" spans="1:39" s="324" customFormat="1" ht="0.65" hidden="1" customHeight="1">
      <c r="A908" s="324">
        <v>3220</v>
      </c>
      <c r="AA908" s="324">
        <v>47</v>
      </c>
      <c r="AB908" s="324" t="s">
        <v>645</v>
      </c>
      <c r="AC908" s="324" t="s">
        <v>55</v>
      </c>
      <c r="AD908" s="324" t="s">
        <v>55</v>
      </c>
      <c r="AE908" s="324">
        <v>0</v>
      </c>
      <c r="AF908" s="324" t="s">
        <v>126</v>
      </c>
      <c r="AG908" s="324">
        <v>7.1249999999999994E-2</v>
      </c>
      <c r="AH908" s="324">
        <v>7.1249999999999994E-2</v>
      </c>
      <c r="AI908" s="324" t="s">
        <v>55</v>
      </c>
      <c r="AJ908" s="324">
        <v>7.1249999999999994E-2</v>
      </c>
      <c r="AK908" s="324" t="s">
        <v>55</v>
      </c>
      <c r="AL908" s="324" t="s">
        <v>55</v>
      </c>
      <c r="AM908" s="324" t="s">
        <v>55</v>
      </c>
    </row>
    <row r="909" spans="1:39" s="324" customFormat="1" ht="0.65" hidden="1" customHeight="1">
      <c r="A909" s="324">
        <v>3221</v>
      </c>
      <c r="AA909" s="324">
        <v>48</v>
      </c>
      <c r="AB909" s="324" t="s">
        <v>645</v>
      </c>
      <c r="AC909" s="324" t="s">
        <v>55</v>
      </c>
      <c r="AD909" s="324" t="s">
        <v>55</v>
      </c>
      <c r="AE909" s="324">
        <v>0</v>
      </c>
      <c r="AF909" s="324" t="s">
        <v>13</v>
      </c>
      <c r="AG909" s="324">
        <v>149235.38433886995</v>
      </c>
      <c r="AH909" s="324">
        <v>149235.38433886995</v>
      </c>
      <c r="AI909" s="324" t="s">
        <v>55</v>
      </c>
      <c r="AJ909" s="324">
        <v>149235.38433886995</v>
      </c>
      <c r="AK909" s="324" t="s">
        <v>55</v>
      </c>
      <c r="AL909" s="324" t="s">
        <v>55</v>
      </c>
      <c r="AM909" s="324" t="s">
        <v>55</v>
      </c>
    </row>
    <row r="910" spans="1:39" s="324" customFormat="1" ht="0.65" hidden="1" customHeight="1">
      <c r="A910" s="324">
        <v>3222</v>
      </c>
      <c r="AA910" s="324">
        <v>49</v>
      </c>
      <c r="AB910" s="324" t="s">
        <v>645</v>
      </c>
      <c r="AC910" s="324" t="s">
        <v>55</v>
      </c>
      <c r="AD910" s="324" t="s">
        <v>55</v>
      </c>
      <c r="AE910" s="324">
        <v>0</v>
      </c>
      <c r="AF910" s="324" t="s">
        <v>28</v>
      </c>
      <c r="AG910" s="324">
        <v>0.37357216681627725</v>
      </c>
      <c r="AH910" s="324">
        <v>0.37357216681627725</v>
      </c>
      <c r="AI910" s="324" t="s">
        <v>55</v>
      </c>
      <c r="AJ910" s="324">
        <v>0.37357216681627725</v>
      </c>
      <c r="AK910" s="324" t="s">
        <v>55</v>
      </c>
      <c r="AL910" s="324" t="s">
        <v>55</v>
      </c>
      <c r="AM910" s="324" t="s">
        <v>55</v>
      </c>
    </row>
    <row r="911" spans="1:39" s="324" customFormat="1" ht="0.65" hidden="1" customHeight="1">
      <c r="A911" s="324">
        <v>3223</v>
      </c>
      <c r="AH911" s="324" t="s">
        <v>207</v>
      </c>
      <c r="AI911" s="324">
        <v>0</v>
      </c>
      <c r="AJ911" s="324" t="s">
        <v>207</v>
      </c>
      <c r="AK911" s="324">
        <v>0</v>
      </c>
    </row>
    <row r="912" spans="1:39" s="324" customFormat="1" ht="0.65" hidden="1" customHeight="1"/>
    <row r="913" spans="1:33" s="324" customFormat="1" ht="0.65" hidden="1" customHeight="1"/>
    <row r="914" spans="1:33" s="324" customFormat="1" ht="0.65" hidden="1" customHeight="1"/>
    <row r="915" spans="1:33" s="324" customFormat="1" ht="0.65" hidden="1" customHeight="1">
      <c r="B915" s="324" t="s">
        <v>19</v>
      </c>
      <c r="D915" s="324" t="s">
        <v>336</v>
      </c>
      <c r="E915" s="324">
        <v>4</v>
      </c>
    </row>
    <row r="916" spans="1:33" s="324" customFormat="1" ht="0.65" hidden="1" customHeight="1">
      <c r="B916" s="324" t="s">
        <v>3951</v>
      </c>
      <c r="D916" s="324" t="s">
        <v>336</v>
      </c>
      <c r="E916" s="324" t="s">
        <v>486</v>
      </c>
      <c r="H916" s="324" t="s">
        <v>55</v>
      </c>
      <c r="I916" s="324" t="s">
        <v>55</v>
      </c>
      <c r="J916" s="324" t="s">
        <v>55</v>
      </c>
      <c r="K916" s="324" t="s">
        <v>55</v>
      </c>
      <c r="L916" s="324" t="s">
        <v>55</v>
      </c>
      <c r="M916" s="324" t="s">
        <v>55</v>
      </c>
      <c r="N916" s="324" t="s">
        <v>55</v>
      </c>
      <c r="O916" s="324" t="s">
        <v>55</v>
      </c>
      <c r="P916" s="324" t="s">
        <v>55</v>
      </c>
    </row>
    <row r="917" spans="1:33" s="324" customFormat="1" ht="0.65" hidden="1" customHeight="1">
      <c r="A917" s="324">
        <v>4001</v>
      </c>
      <c r="C917" s="324" t="s">
        <v>5</v>
      </c>
      <c r="D917" s="324">
        <v>2022</v>
      </c>
      <c r="G917" s="324" t="s">
        <v>0</v>
      </c>
      <c r="H917" s="324" t="s">
        <v>69</v>
      </c>
      <c r="I917" s="324" t="s">
        <v>70</v>
      </c>
      <c r="J917" s="324" t="s">
        <v>71</v>
      </c>
      <c r="K917" s="324" t="s">
        <v>72</v>
      </c>
      <c r="L917" s="324" t="s">
        <v>73</v>
      </c>
      <c r="M917" s="324" t="s">
        <v>74</v>
      </c>
      <c r="N917" s="324" t="s">
        <v>75</v>
      </c>
      <c r="O917" s="324" t="s">
        <v>80</v>
      </c>
      <c r="P917" s="324" t="s">
        <v>1</v>
      </c>
      <c r="U917" s="324" t="s">
        <v>151</v>
      </c>
      <c r="AD917" s="324" t="s">
        <v>455</v>
      </c>
    </row>
    <row r="918" spans="1:33" s="324" customFormat="1" ht="0.65" hidden="1" customHeight="1">
      <c r="A918" s="324">
        <v>4002</v>
      </c>
      <c r="G918" s="324">
        <v>2022</v>
      </c>
      <c r="H918" s="324">
        <v>0</v>
      </c>
      <c r="I918" s="324">
        <v>0</v>
      </c>
      <c r="J918" s="324">
        <v>0</v>
      </c>
      <c r="K918" s="324">
        <v>0</v>
      </c>
      <c r="L918" s="324">
        <v>0</v>
      </c>
      <c r="M918" s="324">
        <v>0</v>
      </c>
      <c r="N918" s="324">
        <v>0</v>
      </c>
      <c r="O918" s="324">
        <v>0</v>
      </c>
      <c r="P918" s="324">
        <v>-306250</v>
      </c>
      <c r="AD918" s="324" t="s">
        <v>487</v>
      </c>
    </row>
    <row r="919" spans="1:33" s="324" customFormat="1" ht="0.65" hidden="1" customHeight="1">
      <c r="A919" s="324">
        <v>4003</v>
      </c>
      <c r="C919" s="324" t="s">
        <v>32</v>
      </c>
      <c r="G919" s="324">
        <v>2023</v>
      </c>
      <c r="H919" s="324">
        <v>600000</v>
      </c>
      <c r="I919" s="324">
        <v>500000</v>
      </c>
      <c r="J919" s="324">
        <v>-12500</v>
      </c>
      <c r="K919" s="324">
        <v>112500</v>
      </c>
      <c r="L919" s="324">
        <v>28125</v>
      </c>
      <c r="M919" s="324">
        <v>84375</v>
      </c>
      <c r="N919" s="324">
        <v>71875</v>
      </c>
      <c r="O919" s="324">
        <v>46875</v>
      </c>
      <c r="P919" s="324">
        <v>46875</v>
      </c>
      <c r="U919" s="324" t="s">
        <v>152</v>
      </c>
      <c r="Z919" s="324" t="s">
        <v>176</v>
      </c>
      <c r="AA919" s="324">
        <v>-36847.959271750646</v>
      </c>
      <c r="AF919" s="324" t="s">
        <v>247</v>
      </c>
    </row>
    <row r="920" spans="1:33" s="324" customFormat="1" ht="0.65" hidden="1" customHeight="1">
      <c r="A920" s="324">
        <v>4004</v>
      </c>
      <c r="C920" s="324" t="s">
        <v>488</v>
      </c>
      <c r="D920" s="324">
        <v>500000</v>
      </c>
      <c r="E920" s="324" t="s">
        <v>55</v>
      </c>
      <c r="G920" s="324">
        <v>2024</v>
      </c>
      <c r="H920" s="324">
        <v>600000</v>
      </c>
      <c r="I920" s="324">
        <v>500000</v>
      </c>
      <c r="J920" s="324">
        <v>-12500</v>
      </c>
      <c r="K920" s="324">
        <v>112500</v>
      </c>
      <c r="L920" s="324">
        <v>28125</v>
      </c>
      <c r="M920" s="324">
        <v>84375</v>
      </c>
      <c r="N920" s="324">
        <v>71875</v>
      </c>
      <c r="O920" s="324">
        <v>71875</v>
      </c>
      <c r="P920" s="324">
        <v>71875</v>
      </c>
      <c r="Y920" s="324" t="s">
        <v>139</v>
      </c>
      <c r="Z920" s="324" t="s">
        <v>174</v>
      </c>
      <c r="AF920" s="324" t="s">
        <v>248</v>
      </c>
    </row>
    <row r="921" spans="1:33" s="324" customFormat="1" ht="0.65" hidden="1" customHeight="1">
      <c r="A921" s="324">
        <v>4005</v>
      </c>
      <c r="C921" s="324" t="s">
        <v>6</v>
      </c>
      <c r="D921" s="324">
        <v>10</v>
      </c>
      <c r="G921" s="324">
        <v>2025</v>
      </c>
      <c r="H921" s="324">
        <v>600000</v>
      </c>
      <c r="I921" s="324">
        <v>500000</v>
      </c>
      <c r="J921" s="324">
        <v>-12500</v>
      </c>
      <c r="K921" s="324">
        <v>112500</v>
      </c>
      <c r="L921" s="324">
        <v>28125</v>
      </c>
      <c r="M921" s="324">
        <v>84375</v>
      </c>
      <c r="N921" s="324">
        <v>71875</v>
      </c>
      <c r="O921" s="324">
        <v>71875</v>
      </c>
      <c r="P921" s="324">
        <v>210937.5</v>
      </c>
      <c r="T921" s="324" t="s">
        <v>187</v>
      </c>
      <c r="V921" s="324" t="s">
        <v>180</v>
      </c>
      <c r="X921" s="324" t="s">
        <v>177</v>
      </c>
      <c r="Y921" s="324" t="s">
        <v>173</v>
      </c>
      <c r="Z921" s="324" t="s">
        <v>175</v>
      </c>
      <c r="AA921" s="324" t="s">
        <v>172</v>
      </c>
      <c r="AD921" s="324" t="s">
        <v>177</v>
      </c>
      <c r="AE921" s="324" t="s">
        <v>246</v>
      </c>
      <c r="AF921" s="324" t="s">
        <v>249</v>
      </c>
      <c r="AG921" s="324" t="s">
        <v>462</v>
      </c>
    </row>
    <row r="922" spans="1:33" s="324" customFormat="1" ht="0.65" hidden="1" customHeight="1">
      <c r="A922" s="324">
        <v>4006</v>
      </c>
      <c r="C922" s="324" t="s">
        <v>489</v>
      </c>
      <c r="D922" s="324">
        <v>100000</v>
      </c>
      <c r="H922" s="324" t="s">
        <v>55</v>
      </c>
      <c r="I922" s="324" t="s">
        <v>55</v>
      </c>
      <c r="J922" s="324" t="s">
        <v>55</v>
      </c>
      <c r="K922" s="324" t="s">
        <v>55</v>
      </c>
      <c r="T922" s="324">
        <v>1</v>
      </c>
      <c r="U922" s="324" t="s">
        <v>153</v>
      </c>
      <c r="V922" s="324" t="s">
        <v>178</v>
      </c>
      <c r="W922" s="324" t="s">
        <v>55</v>
      </c>
      <c r="X922" s="324" t="s">
        <v>6</v>
      </c>
      <c r="Y922" s="324">
        <v>10</v>
      </c>
      <c r="Z922" s="324">
        <v>15</v>
      </c>
      <c r="AA922" s="324">
        <v>-37703.367922213132</v>
      </c>
      <c r="AB922" s="324" t="s">
        <v>55</v>
      </c>
      <c r="AC922" s="324">
        <v>1</v>
      </c>
      <c r="AD922" s="324" t="s">
        <v>55</v>
      </c>
      <c r="AE922" s="324" t="s">
        <v>55</v>
      </c>
      <c r="AF922" s="324" t="s">
        <v>55</v>
      </c>
      <c r="AG922" s="324" t="s">
        <v>55</v>
      </c>
    </row>
    <row r="923" spans="1:33" s="324" customFormat="1" ht="0.65" hidden="1" customHeight="1">
      <c r="A923" s="324">
        <v>4007</v>
      </c>
      <c r="G923" s="324" t="s">
        <v>0</v>
      </c>
      <c r="H923" s="324" t="s">
        <v>76</v>
      </c>
      <c r="I923" s="324" t="s">
        <v>77</v>
      </c>
      <c r="J923" s="324" t="s">
        <v>78</v>
      </c>
      <c r="K923" s="324" t="s">
        <v>79</v>
      </c>
      <c r="N923" s="324" t="s">
        <v>55</v>
      </c>
      <c r="P923" s="324" t="s">
        <v>55</v>
      </c>
      <c r="T923" s="324">
        <v>2</v>
      </c>
      <c r="U923" s="324" t="s">
        <v>154</v>
      </c>
      <c r="V923" s="324" t="s">
        <v>178</v>
      </c>
      <c r="W923" s="324" t="s">
        <v>55</v>
      </c>
      <c r="X923" s="324" t="s">
        <v>488</v>
      </c>
      <c r="Y923" s="324">
        <v>500000</v>
      </c>
      <c r="Z923" s="324">
        <v>550000</v>
      </c>
      <c r="AA923" s="324">
        <v>-76804.985446227773</v>
      </c>
      <c r="AB923" s="324" t="s">
        <v>55</v>
      </c>
    </row>
    <row r="924" spans="1:33" s="324" customFormat="1" ht="0.65" hidden="1" customHeight="1">
      <c r="A924" s="324">
        <v>4008</v>
      </c>
      <c r="C924" s="324" t="s">
        <v>34</v>
      </c>
      <c r="D924" s="324">
        <v>600000</v>
      </c>
      <c r="G924" s="324">
        <v>2022</v>
      </c>
      <c r="H924" s="324">
        <v>0</v>
      </c>
      <c r="I924" s="324">
        <v>0</v>
      </c>
      <c r="J924" s="324">
        <v>0</v>
      </c>
      <c r="K924" s="324">
        <v>0</v>
      </c>
      <c r="M924" s="324" t="s">
        <v>490</v>
      </c>
      <c r="N924" s="324">
        <v>306250</v>
      </c>
      <c r="O924" s="324" t="s">
        <v>124</v>
      </c>
      <c r="P924" s="324">
        <v>0.06</v>
      </c>
      <c r="T924" s="324">
        <v>3</v>
      </c>
      <c r="U924" s="324" t="s">
        <v>155</v>
      </c>
      <c r="V924" s="324" t="s">
        <v>178</v>
      </c>
      <c r="W924" s="324" t="s">
        <v>55</v>
      </c>
      <c r="X924" s="324" t="s">
        <v>489</v>
      </c>
      <c r="Y924" s="324">
        <v>100000</v>
      </c>
      <c r="Z924" s="324">
        <v>90000</v>
      </c>
      <c r="AA924" s="324">
        <v>-42719.770009981112</v>
      </c>
      <c r="AB924" s="324" t="s">
        <v>55</v>
      </c>
      <c r="AC924" s="324">
        <v>2</v>
      </c>
      <c r="AD924" s="324" t="s">
        <v>55</v>
      </c>
      <c r="AE924" s="324" t="s">
        <v>55</v>
      </c>
      <c r="AF924" s="324" t="s">
        <v>55</v>
      </c>
      <c r="AG924" s="324" t="s">
        <v>55</v>
      </c>
    </row>
    <row r="925" spans="1:33" s="324" customFormat="1" ht="0.65" hidden="1" customHeight="1">
      <c r="A925" s="324">
        <v>4009</v>
      </c>
      <c r="C925" s="324" t="s">
        <v>35</v>
      </c>
      <c r="D925" s="324">
        <v>500000</v>
      </c>
      <c r="G925" s="324">
        <v>2023</v>
      </c>
      <c r="H925" s="324">
        <v>150000</v>
      </c>
      <c r="I925" s="324">
        <v>125000</v>
      </c>
      <c r="J925" s="324">
        <v>25000</v>
      </c>
      <c r="K925" s="324">
        <v>25000</v>
      </c>
      <c r="M925" s="324" t="s">
        <v>491</v>
      </c>
      <c r="N925" s="324">
        <v>114062.5</v>
      </c>
      <c r="O925" s="324" t="s">
        <v>125</v>
      </c>
      <c r="P925" s="324">
        <v>0.11</v>
      </c>
      <c r="T925" s="324">
        <v>4</v>
      </c>
      <c r="U925" s="324" t="s">
        <v>156</v>
      </c>
      <c r="V925" s="324" t="s">
        <v>179</v>
      </c>
      <c r="W925" s="324" t="s">
        <v>55</v>
      </c>
      <c r="X925" s="324" t="s">
        <v>492</v>
      </c>
      <c r="Y925" s="324">
        <v>175000</v>
      </c>
      <c r="Z925" s="324">
        <v>192500.00000000003</v>
      </c>
      <c r="AA925" s="324">
        <v>-23722.959271750624</v>
      </c>
      <c r="AB925" s="324" t="s">
        <v>55</v>
      </c>
    </row>
    <row r="926" spans="1:33" s="324" customFormat="1" ht="0.65" hidden="1" customHeight="1">
      <c r="A926" s="324">
        <v>4010</v>
      </c>
      <c r="G926" s="324">
        <v>2024</v>
      </c>
      <c r="H926" s="324">
        <v>150000</v>
      </c>
      <c r="I926" s="324">
        <v>125000</v>
      </c>
      <c r="J926" s="324">
        <v>25000</v>
      </c>
      <c r="K926" s="324">
        <v>0</v>
      </c>
      <c r="M926" s="324" t="s">
        <v>493</v>
      </c>
      <c r="N926" s="324">
        <v>25000</v>
      </c>
      <c r="O926" s="324" t="s">
        <v>126</v>
      </c>
      <c r="P926" s="324">
        <v>8.5000000000000006E-2</v>
      </c>
      <c r="T926" s="324">
        <v>5</v>
      </c>
      <c r="U926" s="324" t="s">
        <v>157</v>
      </c>
      <c r="V926" s="324" t="s">
        <v>178</v>
      </c>
      <c r="W926" s="324" t="s">
        <v>55</v>
      </c>
      <c r="X926" s="324" t="s">
        <v>6</v>
      </c>
      <c r="Y926" s="324">
        <v>4</v>
      </c>
      <c r="Z926" s="324">
        <v>3</v>
      </c>
      <c r="AA926" s="324">
        <v>-37917.220084828747</v>
      </c>
      <c r="AB926" s="324" t="s">
        <v>55</v>
      </c>
      <c r="AC926" s="324">
        <v>3</v>
      </c>
      <c r="AD926" s="324" t="s">
        <v>55</v>
      </c>
      <c r="AE926" s="324" t="s">
        <v>55</v>
      </c>
      <c r="AF926" s="324" t="s">
        <v>55</v>
      </c>
      <c r="AG926" s="324" t="s">
        <v>55</v>
      </c>
    </row>
    <row r="927" spans="1:33" s="324" customFormat="1" ht="0.65" hidden="1" customHeight="1">
      <c r="A927" s="324">
        <v>4011</v>
      </c>
      <c r="C927" s="324" t="s">
        <v>7</v>
      </c>
      <c r="D927" s="324">
        <v>90</v>
      </c>
      <c r="G927" s="324">
        <v>2025</v>
      </c>
      <c r="H927" s="324">
        <v>150000</v>
      </c>
      <c r="I927" s="324">
        <v>125000</v>
      </c>
      <c r="J927" s="324">
        <v>25000</v>
      </c>
      <c r="K927" s="324">
        <v>0</v>
      </c>
      <c r="M927" s="324" t="s">
        <v>494</v>
      </c>
      <c r="N927" s="324">
        <v>139062.5</v>
      </c>
      <c r="T927" s="324">
        <v>6</v>
      </c>
      <c r="U927" s="324" t="s">
        <v>158</v>
      </c>
      <c r="V927" s="324" t="s">
        <v>179</v>
      </c>
      <c r="W927" s="324" t="s">
        <v>55</v>
      </c>
      <c r="X927" s="324" t="s">
        <v>495</v>
      </c>
      <c r="Y927" s="324">
        <v>250000</v>
      </c>
      <c r="Z927" s="324">
        <v>275000</v>
      </c>
      <c r="AA927" s="324">
        <v>-35811.913130866145</v>
      </c>
      <c r="AB927" s="324" t="s">
        <v>55</v>
      </c>
    </row>
    <row r="928" spans="1:33" s="324" customFormat="1" ht="0.65" hidden="1" customHeight="1">
      <c r="A928" s="324">
        <v>4012</v>
      </c>
      <c r="C928" s="324" t="s">
        <v>8</v>
      </c>
      <c r="D928" s="324">
        <v>90</v>
      </c>
      <c r="T928" s="324">
        <v>7</v>
      </c>
      <c r="U928" s="324" t="s">
        <v>159</v>
      </c>
      <c r="V928" s="324" t="s">
        <v>178</v>
      </c>
      <c r="W928" s="324" t="s">
        <v>55</v>
      </c>
      <c r="X928" s="324" t="s">
        <v>492</v>
      </c>
      <c r="Y928" s="324">
        <v>175000</v>
      </c>
      <c r="Z928" s="324">
        <v>157500</v>
      </c>
      <c r="AA928" s="324">
        <v>-49972.959271750646</v>
      </c>
      <c r="AB928" s="324" t="s">
        <v>55</v>
      </c>
      <c r="AC928" s="324">
        <v>4</v>
      </c>
      <c r="AD928" s="324" t="s">
        <v>55</v>
      </c>
      <c r="AE928" s="324" t="s">
        <v>55</v>
      </c>
      <c r="AF928" s="324" t="s">
        <v>55</v>
      </c>
      <c r="AG928" s="324" t="s">
        <v>55</v>
      </c>
    </row>
    <row r="929" spans="1:33" s="324" customFormat="1" ht="0.65" hidden="1" customHeight="1">
      <c r="A929" s="324">
        <v>4013</v>
      </c>
      <c r="O929" s="324" t="s">
        <v>13</v>
      </c>
      <c r="P929" s="324">
        <v>-36847.959271750646</v>
      </c>
      <c r="T929" s="324">
        <v>8</v>
      </c>
      <c r="U929" s="324" t="s">
        <v>160</v>
      </c>
      <c r="V929" s="324" t="s">
        <v>178</v>
      </c>
      <c r="W929" s="324" t="s">
        <v>55</v>
      </c>
      <c r="X929" s="324" t="s">
        <v>489</v>
      </c>
      <c r="Y929" s="324">
        <v>43750</v>
      </c>
      <c r="Z929" s="324">
        <v>48125.000000000007</v>
      </c>
      <c r="AA929" s="324">
        <v>-39416.876469726478</v>
      </c>
      <c r="AB929" s="324" t="s">
        <v>55</v>
      </c>
    </row>
    <row r="930" spans="1:33" s="324" customFormat="1" ht="0.65" hidden="1" customHeight="1">
      <c r="A930" s="324">
        <v>4014</v>
      </c>
      <c r="C930" s="324" t="s">
        <v>33</v>
      </c>
      <c r="O930" s="324" t="s">
        <v>28</v>
      </c>
      <c r="P930" s="324">
        <v>3.0062994449785885E-2</v>
      </c>
      <c r="T930" s="324">
        <v>9</v>
      </c>
      <c r="U930" s="324" t="s">
        <v>161</v>
      </c>
      <c r="V930" s="324" t="s">
        <v>179</v>
      </c>
      <c r="W930" s="324" t="s">
        <v>55</v>
      </c>
      <c r="X930" s="324" t="s">
        <v>34</v>
      </c>
      <c r="Y930" s="324">
        <v>600000</v>
      </c>
      <c r="Z930" s="324">
        <v>660000</v>
      </c>
      <c r="AA930" s="324">
        <v>76001.784125226914</v>
      </c>
      <c r="AB930" s="324" t="s">
        <v>55</v>
      </c>
      <c r="AC930" s="324">
        <v>5</v>
      </c>
      <c r="AD930" s="324" t="s">
        <v>55</v>
      </c>
      <c r="AE930" s="324" t="s">
        <v>55</v>
      </c>
      <c r="AF930" s="324" t="s">
        <v>55</v>
      </c>
      <c r="AG930" s="324" t="s">
        <v>55</v>
      </c>
    </row>
    <row r="931" spans="1:33" s="324" customFormat="1" ht="0.65" hidden="1" customHeight="1">
      <c r="A931" s="324">
        <v>4015</v>
      </c>
      <c r="C931" s="324" t="s">
        <v>492</v>
      </c>
      <c r="D931" s="324">
        <v>175000</v>
      </c>
      <c r="K931" s="324" t="s">
        <v>127</v>
      </c>
      <c r="L931" s="324" t="s">
        <v>36</v>
      </c>
      <c r="M931" s="324" t="s">
        <v>55</v>
      </c>
      <c r="T931" s="324">
        <v>10</v>
      </c>
      <c r="U931" s="324" t="s">
        <v>162</v>
      </c>
      <c r="V931" s="324" t="s">
        <v>178</v>
      </c>
      <c r="W931" s="324" t="s">
        <v>55</v>
      </c>
      <c r="X931" s="324" t="s">
        <v>7</v>
      </c>
      <c r="Y931" s="324">
        <v>90</v>
      </c>
      <c r="Z931" s="324">
        <v>120</v>
      </c>
      <c r="AA931" s="324">
        <v>-43785.503658969952</v>
      </c>
      <c r="AB931" s="324" t="s">
        <v>55</v>
      </c>
    </row>
    <row r="932" spans="1:33" s="324" customFormat="1" ht="0.65" hidden="1" customHeight="1">
      <c r="A932" s="324">
        <v>4016</v>
      </c>
      <c r="C932" s="324" t="s">
        <v>495</v>
      </c>
      <c r="D932" s="324">
        <v>250000</v>
      </c>
      <c r="E932" s="324" t="s">
        <v>55</v>
      </c>
      <c r="K932" s="324" t="s">
        <v>496</v>
      </c>
      <c r="L932" s="324" t="s">
        <v>424</v>
      </c>
      <c r="T932" s="324">
        <v>11</v>
      </c>
      <c r="U932" s="324" t="s">
        <v>163</v>
      </c>
      <c r="V932" s="324" t="s">
        <v>179</v>
      </c>
      <c r="W932" s="324" t="s">
        <v>55</v>
      </c>
      <c r="X932" s="324" t="s">
        <v>35</v>
      </c>
      <c r="Y932" s="324">
        <v>500000</v>
      </c>
      <c r="Z932" s="324">
        <v>450000</v>
      </c>
      <c r="AA932" s="324">
        <v>57193.493559063994</v>
      </c>
      <c r="AB932" s="324" t="s">
        <v>55</v>
      </c>
      <c r="AC932" s="324">
        <v>6</v>
      </c>
      <c r="AD932" s="324" t="s">
        <v>55</v>
      </c>
      <c r="AE932" s="324" t="s">
        <v>55</v>
      </c>
      <c r="AF932" s="324" t="s">
        <v>55</v>
      </c>
      <c r="AG932" s="324" t="s">
        <v>55</v>
      </c>
    </row>
    <row r="933" spans="1:33" s="324" customFormat="1" ht="0.65" hidden="1" customHeight="1">
      <c r="A933" s="324">
        <v>4017</v>
      </c>
      <c r="C933" s="324" t="s">
        <v>6</v>
      </c>
      <c r="D933" s="324">
        <v>4</v>
      </c>
      <c r="K933" s="324" t="s">
        <v>410</v>
      </c>
      <c r="L933" s="324">
        <v>0</v>
      </c>
      <c r="M933" s="324" t="s">
        <v>337</v>
      </c>
      <c r="T933" s="324">
        <v>12</v>
      </c>
      <c r="U933" s="324" t="s">
        <v>164</v>
      </c>
      <c r="V933" s="324" t="s">
        <v>178</v>
      </c>
      <c r="W933" s="324" t="s">
        <v>55</v>
      </c>
      <c r="X933" s="324" t="s">
        <v>8</v>
      </c>
      <c r="Y933" s="324">
        <v>90</v>
      </c>
      <c r="Z933" s="324">
        <v>60</v>
      </c>
      <c r="AA933" s="324">
        <v>-42629.246261100059</v>
      </c>
      <c r="AB933" s="324" t="s">
        <v>55</v>
      </c>
    </row>
    <row r="934" spans="1:33" s="324" customFormat="1" ht="0.65" hidden="1" customHeight="1">
      <c r="A934" s="324">
        <v>4018</v>
      </c>
      <c r="C934" s="324" t="s">
        <v>489</v>
      </c>
      <c r="D934" s="324">
        <v>43750</v>
      </c>
      <c r="N934" s="324" t="s">
        <v>55</v>
      </c>
      <c r="T934" s="324">
        <v>13</v>
      </c>
      <c r="U934" s="324" t="s">
        <v>165</v>
      </c>
      <c r="V934" s="324" t="s">
        <v>178</v>
      </c>
      <c r="W934" s="324" t="s">
        <v>55</v>
      </c>
      <c r="X934" s="324" t="s">
        <v>10</v>
      </c>
      <c r="Y934" s="324">
        <v>400000</v>
      </c>
      <c r="Z934" s="324">
        <v>440000.00000000006</v>
      </c>
      <c r="AA934" s="324">
        <v>-38665.641661988964</v>
      </c>
      <c r="AB934" s="324" t="s">
        <v>55</v>
      </c>
      <c r="AC934" s="324">
        <v>7</v>
      </c>
      <c r="AD934" s="324" t="s">
        <v>55</v>
      </c>
      <c r="AE934" s="324" t="s">
        <v>55</v>
      </c>
      <c r="AF934" s="324" t="s">
        <v>55</v>
      </c>
      <c r="AG934" s="324" t="s">
        <v>55</v>
      </c>
    </row>
    <row r="935" spans="1:33" s="324" customFormat="1" ht="0.65" hidden="1" customHeight="1">
      <c r="A935" s="324">
        <v>4019</v>
      </c>
      <c r="K935" s="324" t="s">
        <v>413</v>
      </c>
      <c r="L935" s="324">
        <v>33</v>
      </c>
      <c r="M935" s="324" t="s">
        <v>55</v>
      </c>
      <c r="T935" s="324">
        <v>14</v>
      </c>
      <c r="U935" s="324" t="s">
        <v>166</v>
      </c>
      <c r="V935" s="324" t="s">
        <v>179</v>
      </c>
      <c r="W935" s="324" t="s">
        <v>55</v>
      </c>
      <c r="X935" s="324" t="s">
        <v>12</v>
      </c>
      <c r="Y935" s="324">
        <v>0.01</v>
      </c>
      <c r="Z935" s="324">
        <v>0</v>
      </c>
      <c r="AA935" s="324">
        <v>-33777.006172839552</v>
      </c>
      <c r="AB935" s="324" t="s">
        <v>55</v>
      </c>
    </row>
    <row r="936" spans="1:33" s="324" customFormat="1" ht="0.65" hidden="1" customHeight="1">
      <c r="A936" s="324">
        <v>4020</v>
      </c>
      <c r="C936" s="324" t="s">
        <v>4</v>
      </c>
      <c r="D936" s="324">
        <v>0.25</v>
      </c>
      <c r="K936" s="324" t="s">
        <v>479</v>
      </c>
      <c r="N936" s="324" t="s">
        <v>466</v>
      </c>
      <c r="T936" s="324">
        <v>15</v>
      </c>
      <c r="U936" s="324" t="s">
        <v>167</v>
      </c>
      <c r="V936" s="324" t="s">
        <v>178</v>
      </c>
      <c r="W936" s="324" t="s">
        <v>55</v>
      </c>
      <c r="X936" s="324" t="s">
        <v>11</v>
      </c>
      <c r="Y936" s="324">
        <v>500000</v>
      </c>
      <c r="Z936" s="324">
        <v>550000</v>
      </c>
      <c r="AA936" s="324">
        <v>-39867.210502621987</v>
      </c>
      <c r="AB936" s="324" t="s">
        <v>55</v>
      </c>
      <c r="AC936" s="324">
        <v>8</v>
      </c>
      <c r="AD936" s="324" t="s">
        <v>55</v>
      </c>
      <c r="AE936" s="324" t="s">
        <v>55</v>
      </c>
      <c r="AF936" s="324" t="s">
        <v>55</v>
      </c>
      <c r="AG936" s="324" t="s">
        <v>55</v>
      </c>
    </row>
    <row r="937" spans="1:33" s="324" customFormat="1" ht="0.65" hidden="1" customHeight="1">
      <c r="A937" s="324">
        <v>4021</v>
      </c>
      <c r="D937" s="324" t="s">
        <v>9</v>
      </c>
      <c r="K937" s="324" t="s">
        <v>409</v>
      </c>
      <c r="L937" s="324" t="s">
        <v>38</v>
      </c>
      <c r="M937" s="324" t="s">
        <v>55</v>
      </c>
      <c r="N937" s="324" t="s">
        <v>467</v>
      </c>
      <c r="O937" s="324" t="s">
        <v>468</v>
      </c>
      <c r="T937" s="324">
        <v>16</v>
      </c>
      <c r="U937" s="324" t="s">
        <v>168</v>
      </c>
      <c r="V937" s="324" t="s">
        <v>181</v>
      </c>
      <c r="W937" s="324" t="s">
        <v>55</v>
      </c>
      <c r="X937" s="324" t="s">
        <v>3</v>
      </c>
      <c r="Y937" s="324">
        <v>5000000</v>
      </c>
      <c r="Z937" s="324">
        <v>5500000</v>
      </c>
      <c r="AA937" s="324">
        <v>-34659.763750390688</v>
      </c>
      <c r="AB937" s="324" t="s">
        <v>55</v>
      </c>
    </row>
    <row r="938" spans="1:33" s="324" customFormat="1" ht="0.65" hidden="1" customHeight="1">
      <c r="A938" s="324">
        <v>4022</v>
      </c>
      <c r="N938" s="324" t="s">
        <v>469</v>
      </c>
      <c r="O938" s="324" t="s">
        <v>470</v>
      </c>
      <c r="T938" s="324">
        <v>17</v>
      </c>
      <c r="U938" s="324" t="s">
        <v>169</v>
      </c>
      <c r="V938" s="324" t="s">
        <v>178</v>
      </c>
      <c r="W938" s="324" t="s">
        <v>55</v>
      </c>
      <c r="X938" s="324" t="s">
        <v>2</v>
      </c>
      <c r="Y938" s="324">
        <v>5000000</v>
      </c>
      <c r="Z938" s="324">
        <v>2500000</v>
      </c>
      <c r="AA938" s="324">
        <v>-44301.595683677326</v>
      </c>
      <c r="AB938" s="324" t="s">
        <v>55</v>
      </c>
      <c r="AC938" s="324">
        <v>9</v>
      </c>
      <c r="AD938" s="324" t="s">
        <v>55</v>
      </c>
      <c r="AE938" s="324" t="s">
        <v>55</v>
      </c>
      <c r="AF938" s="324" t="s">
        <v>55</v>
      </c>
      <c r="AG938" s="324" t="s">
        <v>55</v>
      </c>
    </row>
    <row r="939" spans="1:33" s="324" customFormat="1" ht="0.65" hidden="1" customHeight="1">
      <c r="A939" s="324">
        <v>4023</v>
      </c>
      <c r="C939" s="324" t="s">
        <v>10</v>
      </c>
      <c r="D939" s="324">
        <v>400000</v>
      </c>
      <c r="N939" s="324" t="s">
        <v>471</v>
      </c>
      <c r="O939" s="324" t="s">
        <v>472</v>
      </c>
      <c r="T939" s="324">
        <v>18</v>
      </c>
      <c r="U939" s="324" t="s">
        <v>170</v>
      </c>
      <c r="V939" s="324" t="s">
        <v>181</v>
      </c>
      <c r="W939" s="324" t="s">
        <v>55</v>
      </c>
      <c r="X939" s="324" t="s">
        <v>4</v>
      </c>
      <c r="Y939" s="324">
        <v>0.25</v>
      </c>
      <c r="Z939" s="324">
        <v>0.3</v>
      </c>
      <c r="AA939" s="324">
        <v>-37191.284269530035</v>
      </c>
      <c r="AB939" s="324" t="s">
        <v>55</v>
      </c>
    </row>
    <row r="940" spans="1:33" s="324" customFormat="1" ht="0.65" hidden="1" customHeight="1">
      <c r="A940" s="324">
        <v>4024</v>
      </c>
      <c r="C940" s="324" t="s">
        <v>11</v>
      </c>
      <c r="D940" s="324">
        <v>500000</v>
      </c>
      <c r="I940" s="324" t="s">
        <v>320</v>
      </c>
      <c r="K940" s="324" t="s">
        <v>497</v>
      </c>
      <c r="L940" s="324" t="s">
        <v>498</v>
      </c>
      <c r="M940" s="324" t="s">
        <v>55</v>
      </c>
      <c r="T940" s="324">
        <v>19</v>
      </c>
      <c r="U940" s="324" t="s">
        <v>171</v>
      </c>
      <c r="V940" s="324" t="s">
        <v>181</v>
      </c>
      <c r="W940" s="324" t="s">
        <v>55</v>
      </c>
      <c r="X940" s="324" t="s">
        <v>14</v>
      </c>
      <c r="Y940" s="324" t="s">
        <v>16</v>
      </c>
      <c r="Z940" s="324">
        <v>4</v>
      </c>
      <c r="AA940" s="324">
        <v>8740.8785163348221</v>
      </c>
      <c r="AB940" s="324" t="s">
        <v>55</v>
      </c>
      <c r="AC940" s="324">
        <v>10</v>
      </c>
      <c r="AD940" s="324" t="s">
        <v>55</v>
      </c>
      <c r="AE940" s="324" t="s">
        <v>55</v>
      </c>
      <c r="AF940" s="324" t="s">
        <v>55</v>
      </c>
      <c r="AG940" s="324" t="s">
        <v>55</v>
      </c>
    </row>
    <row r="941" spans="1:33" s="324" customFormat="1" ht="0.65" hidden="1" customHeight="1">
      <c r="A941" s="324">
        <v>4025</v>
      </c>
      <c r="C941" s="324" t="s">
        <v>12</v>
      </c>
      <c r="D941" s="324">
        <v>0.01</v>
      </c>
    </row>
    <row r="942" spans="1:33" s="324" customFormat="1" ht="0.65" hidden="1" customHeight="1">
      <c r="A942" s="324">
        <v>4026</v>
      </c>
      <c r="C942" s="324" t="s">
        <v>2</v>
      </c>
      <c r="D942" s="324">
        <v>5000000</v>
      </c>
      <c r="I942" s="324" t="s">
        <v>318</v>
      </c>
      <c r="K942" s="324" t="s">
        <v>497</v>
      </c>
      <c r="L942" s="324" t="s">
        <v>498</v>
      </c>
      <c r="M942" s="324" t="s">
        <v>1405</v>
      </c>
      <c r="AC942" s="324">
        <v>11</v>
      </c>
      <c r="AD942" s="324" t="s">
        <v>55</v>
      </c>
      <c r="AE942" s="324" t="s">
        <v>55</v>
      </c>
      <c r="AF942" s="324" t="s">
        <v>55</v>
      </c>
      <c r="AG942" s="324" t="s">
        <v>55</v>
      </c>
    </row>
    <row r="943" spans="1:33" s="324" customFormat="1" ht="0.65" hidden="1" customHeight="1">
      <c r="A943" s="324">
        <v>4027</v>
      </c>
      <c r="C943" s="324" t="s">
        <v>3</v>
      </c>
      <c r="D943" s="324">
        <v>5000000</v>
      </c>
      <c r="U943" s="324" t="s">
        <v>127</v>
      </c>
      <c r="V943" s="324" t="s">
        <v>36</v>
      </c>
      <c r="W943" s="324" t="s">
        <v>55</v>
      </c>
    </row>
    <row r="944" spans="1:33" s="324" customFormat="1" ht="0.65" hidden="1" customHeight="1">
      <c r="A944" s="324">
        <v>4028</v>
      </c>
      <c r="AC944" s="324">
        <v>12</v>
      </c>
      <c r="AD944" s="324" t="s">
        <v>55</v>
      </c>
      <c r="AE944" s="324" t="s">
        <v>55</v>
      </c>
      <c r="AF944" s="324" t="s">
        <v>55</v>
      </c>
      <c r="AG944" s="324" t="s">
        <v>55</v>
      </c>
    </row>
    <row r="945" spans="1:33" s="324" customFormat="1" ht="0.65" hidden="1" customHeight="1">
      <c r="A945" s="324">
        <v>4029</v>
      </c>
      <c r="C945" s="324" t="s">
        <v>14</v>
      </c>
      <c r="D945" s="324" t="s">
        <v>16</v>
      </c>
      <c r="V945" s="324">
        <v>0</v>
      </c>
    </row>
    <row r="946" spans="1:33" s="324" customFormat="1" ht="0.65" hidden="1" customHeight="1">
      <c r="A946" s="324">
        <v>4030</v>
      </c>
      <c r="G946" s="324" t="s">
        <v>128</v>
      </c>
      <c r="M946" s="324" t="s">
        <v>500</v>
      </c>
      <c r="AC946" s="324">
        <v>13</v>
      </c>
      <c r="AD946" s="324" t="s">
        <v>55</v>
      </c>
      <c r="AE946" s="324" t="s">
        <v>55</v>
      </c>
      <c r="AF946" s="324" t="s">
        <v>55</v>
      </c>
      <c r="AG946" s="324" t="s">
        <v>55</v>
      </c>
    </row>
    <row r="947" spans="1:33" s="324" customFormat="1" ht="0.65" hidden="1" customHeight="1">
      <c r="A947" s="324">
        <v>4031</v>
      </c>
      <c r="B947" s="324" t="s">
        <v>460</v>
      </c>
      <c r="F947" s="324">
        <v>1</v>
      </c>
      <c r="I947" s="324" t="s">
        <v>129</v>
      </c>
      <c r="J947" s="324">
        <v>1</v>
      </c>
      <c r="K947" s="324" t="s">
        <v>501</v>
      </c>
      <c r="U947" s="324" t="s">
        <v>204</v>
      </c>
      <c r="V947" s="324">
        <v>12</v>
      </c>
      <c r="W947" s="324" t="s">
        <v>55</v>
      </c>
    </row>
    <row r="948" spans="1:33" s="324" customFormat="1" ht="0.65" hidden="1" customHeight="1">
      <c r="A948" s="324">
        <v>4032</v>
      </c>
      <c r="F948" s="324">
        <v>1.5</v>
      </c>
      <c r="I948" s="324" t="s">
        <v>138</v>
      </c>
      <c r="J948" s="324">
        <v>1.5</v>
      </c>
      <c r="K948" s="324" t="s">
        <v>502</v>
      </c>
      <c r="Z948" s="324" t="s">
        <v>291</v>
      </c>
      <c r="AC948" s="324">
        <v>14</v>
      </c>
      <c r="AD948" s="324" t="s">
        <v>55</v>
      </c>
      <c r="AE948" s="324" t="s">
        <v>55</v>
      </c>
      <c r="AF948" s="324" t="s">
        <v>55</v>
      </c>
      <c r="AG948" s="324" t="s">
        <v>55</v>
      </c>
    </row>
    <row r="949" spans="1:33" s="324" customFormat="1" ht="0.65" hidden="1" customHeight="1">
      <c r="A949" s="324">
        <v>4033</v>
      </c>
      <c r="F949" s="324">
        <v>1.5</v>
      </c>
      <c r="I949" s="324" t="s">
        <v>130</v>
      </c>
      <c r="J949" s="324">
        <v>1.5</v>
      </c>
      <c r="K949" s="324" t="s">
        <v>502</v>
      </c>
      <c r="W949" s="324" t="s">
        <v>139</v>
      </c>
      <c r="X949" s="324" t="s">
        <v>174</v>
      </c>
      <c r="Z949" s="324" t="s">
        <v>1406</v>
      </c>
      <c r="AA949" s="324">
        <v>-5781.2869893494135</v>
      </c>
      <c r="AB949" s="324">
        <v>-5781.2869893494135</v>
      </c>
    </row>
    <row r="950" spans="1:33" s="324" customFormat="1" ht="0.65" hidden="1" customHeight="1">
      <c r="A950" s="324">
        <v>4034</v>
      </c>
      <c r="F950" s="324">
        <v>1</v>
      </c>
      <c r="I950" s="324" t="s">
        <v>131</v>
      </c>
      <c r="J950" s="324">
        <v>1</v>
      </c>
      <c r="K950" s="324" t="s">
        <v>501</v>
      </c>
      <c r="V950" s="324" t="s">
        <v>177</v>
      </c>
      <c r="W950" s="324" t="s">
        <v>173</v>
      </c>
      <c r="X950" s="324" t="s">
        <v>175</v>
      </c>
      <c r="Z950" s="324">
        <v>-5781.2869893494135</v>
      </c>
      <c r="AA950" s="324">
        <v>-5781.2869893494135</v>
      </c>
      <c r="AB950" s="324">
        <v>-5781.2869893494135</v>
      </c>
      <c r="AC950" s="324">
        <v>15</v>
      </c>
      <c r="AD950" s="324" t="s">
        <v>55</v>
      </c>
      <c r="AE950" s="324" t="s">
        <v>55</v>
      </c>
      <c r="AF950" s="324" t="s">
        <v>55</v>
      </c>
      <c r="AG950" s="324" t="s">
        <v>55</v>
      </c>
    </row>
    <row r="951" spans="1:33" s="324" customFormat="1" ht="0.65" hidden="1" customHeight="1">
      <c r="A951" s="324">
        <v>4035</v>
      </c>
      <c r="F951" s="324">
        <v>1</v>
      </c>
      <c r="I951" s="324" t="s">
        <v>132</v>
      </c>
      <c r="J951" s="324">
        <v>1</v>
      </c>
      <c r="K951" s="324" t="s">
        <v>501</v>
      </c>
      <c r="T951" s="324">
        <v>12</v>
      </c>
      <c r="U951" s="324" t="s">
        <v>164</v>
      </c>
      <c r="V951" s="324" t="s">
        <v>8</v>
      </c>
      <c r="W951" s="324">
        <v>90</v>
      </c>
      <c r="X951" s="324">
        <v>60</v>
      </c>
      <c r="Z951" s="324">
        <v>-5781.2869893494135</v>
      </c>
      <c r="AA951" s="324">
        <v>-5781.2869893494135</v>
      </c>
      <c r="AB951" s="324">
        <v>-5781.2869893494135</v>
      </c>
    </row>
    <row r="952" spans="1:33" s="324" customFormat="1" ht="0.65" hidden="1" customHeight="1">
      <c r="A952" s="324">
        <v>4036</v>
      </c>
      <c r="F952" s="324">
        <v>0.5</v>
      </c>
      <c r="I952" s="324" t="s">
        <v>133</v>
      </c>
      <c r="J952" s="324">
        <v>0.5</v>
      </c>
      <c r="K952" s="324" t="s">
        <v>504</v>
      </c>
      <c r="V952" s="324" t="s">
        <v>13</v>
      </c>
      <c r="W952" s="324">
        <v>-36847.959271750646</v>
      </c>
      <c r="X952" s="324">
        <v>-42629.246261099994</v>
      </c>
      <c r="Z952" s="324">
        <v>-5781.2869893494135</v>
      </c>
      <c r="AA952" s="324">
        <v>-5781.2869893494135</v>
      </c>
      <c r="AB952" s="324">
        <v>-5781.2869893494135</v>
      </c>
      <c r="AC952" s="324">
        <v>16</v>
      </c>
      <c r="AD952" s="324" t="s">
        <v>55</v>
      </c>
      <c r="AE952" s="324" t="s">
        <v>55</v>
      </c>
      <c r="AF952" s="324" t="s">
        <v>55</v>
      </c>
      <c r="AG952" s="324" t="s">
        <v>55</v>
      </c>
    </row>
    <row r="953" spans="1:33" s="324" customFormat="1" ht="0.65" hidden="1" customHeight="1">
      <c r="A953" s="324">
        <v>4037</v>
      </c>
      <c r="F953" s="324">
        <v>0.5</v>
      </c>
      <c r="I953" s="324" t="s">
        <v>134</v>
      </c>
      <c r="J953" s="324">
        <v>0.5</v>
      </c>
      <c r="K953" s="324" t="s">
        <v>504</v>
      </c>
      <c r="V953" s="324" t="s">
        <v>505</v>
      </c>
      <c r="X953" s="324">
        <v>-5781.2869893494135</v>
      </c>
      <c r="Z953" s="324">
        <v>-5781.2869893494135</v>
      </c>
      <c r="AA953" s="324">
        <v>-5781.2869893494135</v>
      </c>
      <c r="AB953" s="324">
        <v>-5781.2869893494135</v>
      </c>
    </row>
    <row r="954" spans="1:33" s="324" customFormat="1" ht="0.65" hidden="1" customHeight="1">
      <c r="A954" s="324">
        <v>4038</v>
      </c>
      <c r="F954" s="324">
        <v>1</v>
      </c>
      <c r="I954" s="324" t="s">
        <v>135</v>
      </c>
      <c r="J954" s="324">
        <v>1</v>
      </c>
      <c r="K954" s="324" t="s">
        <v>501</v>
      </c>
      <c r="Z954" s="324">
        <v>-5781.2869893494135</v>
      </c>
      <c r="AA954" s="324">
        <v>-5781.2869893494135</v>
      </c>
      <c r="AB954" s="324">
        <v>-5781.2869893494135</v>
      </c>
      <c r="AC954" s="324">
        <v>17</v>
      </c>
      <c r="AD954" s="324" t="s">
        <v>55</v>
      </c>
      <c r="AE954" s="324" t="s">
        <v>55</v>
      </c>
      <c r="AF954" s="324" t="s">
        <v>55</v>
      </c>
      <c r="AG954" s="324" t="s">
        <v>55</v>
      </c>
    </row>
    <row r="955" spans="1:33" s="324" customFormat="1" ht="0.65" hidden="1" customHeight="1">
      <c r="A955" s="324">
        <v>4039</v>
      </c>
      <c r="F955" s="324">
        <v>0.5</v>
      </c>
      <c r="I955" s="324" t="s">
        <v>13</v>
      </c>
      <c r="J955" s="324">
        <v>0.5</v>
      </c>
      <c r="K955" s="324" t="s">
        <v>504</v>
      </c>
    </row>
    <row r="956" spans="1:33" s="324" customFormat="1" ht="0.65" hidden="1" customHeight="1">
      <c r="A956" s="324">
        <v>4040</v>
      </c>
      <c r="F956" s="324">
        <v>0.5</v>
      </c>
      <c r="I956" s="324" t="s">
        <v>28</v>
      </c>
      <c r="J956" s="324">
        <v>0.5</v>
      </c>
      <c r="K956" s="324" t="s">
        <v>504</v>
      </c>
      <c r="U956" s="324" t="s">
        <v>196</v>
      </c>
      <c r="AC956" s="324">
        <v>18</v>
      </c>
      <c r="AD956" s="324" t="s">
        <v>55</v>
      </c>
      <c r="AE956" s="324" t="s">
        <v>55</v>
      </c>
      <c r="AF956" s="324" t="s">
        <v>55</v>
      </c>
      <c r="AG956" s="324" t="s">
        <v>55</v>
      </c>
    </row>
    <row r="957" spans="1:33" s="324" customFormat="1" ht="0.65" hidden="1" customHeight="1">
      <c r="A957" s="324">
        <v>4041</v>
      </c>
      <c r="F957" s="324">
        <v>1</v>
      </c>
      <c r="I957" s="324" t="s">
        <v>136</v>
      </c>
      <c r="J957" s="324">
        <v>1</v>
      </c>
      <c r="K957" s="324" t="s">
        <v>501</v>
      </c>
    </row>
    <row r="958" spans="1:33" s="324" customFormat="1" ht="0.65" hidden="1" customHeight="1">
      <c r="A958" s="324">
        <v>4042</v>
      </c>
      <c r="F958" s="324">
        <v>10</v>
      </c>
      <c r="I958" s="324" t="s">
        <v>137</v>
      </c>
      <c r="J958" s="324">
        <v>10</v>
      </c>
      <c r="K958" s="324" t="s">
        <v>506</v>
      </c>
      <c r="AC958" s="324">
        <v>19</v>
      </c>
      <c r="AD958" s="324" t="s">
        <v>55</v>
      </c>
      <c r="AE958" s="324" t="s">
        <v>55</v>
      </c>
      <c r="AF958" s="324" t="s">
        <v>55</v>
      </c>
      <c r="AG958" s="324" t="s">
        <v>55</v>
      </c>
    </row>
    <row r="959" spans="1:33" s="324" customFormat="1" ht="0.65" hidden="1" customHeight="1">
      <c r="A959" s="324">
        <v>4043</v>
      </c>
    </row>
    <row r="960" spans="1:33" s="324" customFormat="1" ht="0.65" hidden="1" customHeight="1">
      <c r="A960" s="324">
        <v>4044</v>
      </c>
      <c r="AC960" s="324">
        <v>20</v>
      </c>
      <c r="AD960" s="324" t="s">
        <v>55</v>
      </c>
      <c r="AE960" s="324" t="s">
        <v>55</v>
      </c>
      <c r="AF960" s="324" t="s">
        <v>55</v>
      </c>
      <c r="AG960" s="324" t="s">
        <v>55</v>
      </c>
    </row>
    <row r="961" spans="1:42" s="324" customFormat="1" ht="0.65" hidden="1" customHeight="1">
      <c r="A961" s="324">
        <v>4045</v>
      </c>
    </row>
    <row r="962" spans="1:42" s="324" customFormat="1" ht="0.65" hidden="1" customHeight="1">
      <c r="A962" s="324">
        <v>4046</v>
      </c>
    </row>
    <row r="963" spans="1:42" s="324" customFormat="1" ht="0.65" hidden="1" customHeight="1">
      <c r="A963" s="324">
        <v>4047</v>
      </c>
      <c r="G963" s="324">
        <v>1</v>
      </c>
      <c r="H963" s="324">
        <v>2</v>
      </c>
      <c r="I963" s="324">
        <v>3</v>
      </c>
      <c r="J963" s="324">
        <v>4</v>
      </c>
      <c r="K963" s="324">
        <v>5</v>
      </c>
      <c r="L963" s="324">
        <v>6</v>
      </c>
      <c r="M963" s="324">
        <v>7</v>
      </c>
      <c r="N963" s="324">
        <v>8</v>
      </c>
      <c r="O963" s="324">
        <v>9</v>
      </c>
      <c r="P963" s="324">
        <v>10</v>
      </c>
    </row>
    <row r="964" spans="1:42" s="324" customFormat="1" ht="0.65" hidden="1" customHeight="1">
      <c r="A964" s="324">
        <v>4048</v>
      </c>
      <c r="G964" s="324" t="s">
        <v>212</v>
      </c>
      <c r="H964" s="324" t="s">
        <v>213</v>
      </c>
      <c r="I964" s="324" t="s">
        <v>214</v>
      </c>
      <c r="J964" s="324" t="s">
        <v>215</v>
      </c>
      <c r="K964" s="324" t="s">
        <v>216</v>
      </c>
      <c r="L964" s="324" t="s">
        <v>218</v>
      </c>
      <c r="M964" s="324" t="s">
        <v>219</v>
      </c>
      <c r="N964" s="324" t="s">
        <v>220</v>
      </c>
      <c r="O964" s="324" t="s">
        <v>221</v>
      </c>
      <c r="P964" s="324" t="s">
        <v>222</v>
      </c>
    </row>
    <row r="965" spans="1:42" s="324" customFormat="1" ht="0.65" hidden="1" customHeight="1">
      <c r="A965" s="324">
        <v>4049</v>
      </c>
      <c r="G965" s="324">
        <v>25000</v>
      </c>
      <c r="H965" s="324">
        <v>50000</v>
      </c>
      <c r="I965" s="324" t="s">
        <v>55</v>
      </c>
      <c r="J965" s="324" t="s">
        <v>55</v>
      </c>
      <c r="K965" s="324" t="s">
        <v>55</v>
      </c>
      <c r="L965" s="324" t="s">
        <v>55</v>
      </c>
      <c r="M965" s="324" t="s">
        <v>55</v>
      </c>
      <c r="N965" s="324" t="s">
        <v>55</v>
      </c>
      <c r="O965" s="324" t="s">
        <v>1405</v>
      </c>
      <c r="P965" s="324" t="s">
        <v>507</v>
      </c>
    </row>
    <row r="966" spans="1:42" s="324" customFormat="1" ht="0.65" hidden="1" customHeight="1">
      <c r="A966" s="324">
        <v>4050</v>
      </c>
      <c r="G966" s="324" t="s">
        <v>267</v>
      </c>
      <c r="H966" s="324" t="s">
        <v>268</v>
      </c>
      <c r="I966" s="324" t="s">
        <v>55</v>
      </c>
      <c r="J966" s="324" t="s">
        <v>55</v>
      </c>
      <c r="K966" s="324" t="s">
        <v>55</v>
      </c>
      <c r="L966" s="324" t="s">
        <v>55</v>
      </c>
      <c r="M966" s="324" t="s">
        <v>55</v>
      </c>
      <c r="N966" s="324" t="s">
        <v>55</v>
      </c>
      <c r="O966" s="324" t="s">
        <v>55</v>
      </c>
      <c r="P966" s="324" t="s">
        <v>55</v>
      </c>
    </row>
    <row r="967" spans="1:42" s="324" customFormat="1" ht="0.65" hidden="1" customHeight="1">
      <c r="A967" s="324">
        <v>4051</v>
      </c>
    </row>
    <row r="968" spans="1:42" s="324" customFormat="1" ht="0.65" hidden="1" customHeight="1">
      <c r="A968" s="324">
        <v>4052</v>
      </c>
      <c r="B968" s="324">
        <v>2</v>
      </c>
      <c r="C968" s="324">
        <v>3</v>
      </c>
      <c r="D968" s="324">
        <v>4</v>
      </c>
      <c r="E968" s="324">
        <v>5</v>
      </c>
      <c r="F968" s="324">
        <v>6</v>
      </c>
      <c r="G968" s="324">
        <v>7</v>
      </c>
      <c r="H968" s="324">
        <v>8</v>
      </c>
      <c r="I968" s="324">
        <v>9</v>
      </c>
      <c r="J968" s="324">
        <v>10</v>
      </c>
      <c r="K968" s="324">
        <v>11</v>
      </c>
      <c r="L968" s="324">
        <v>12</v>
      </c>
      <c r="M968" s="324">
        <v>13</v>
      </c>
      <c r="N968" s="324">
        <v>14</v>
      </c>
      <c r="O968" s="324">
        <v>15</v>
      </c>
      <c r="P968" s="324">
        <v>16</v>
      </c>
      <c r="Q968" s="324">
        <v>17</v>
      </c>
      <c r="R968" s="324">
        <v>18</v>
      </c>
      <c r="S968" s="324">
        <v>19</v>
      </c>
      <c r="T968" s="324">
        <v>20</v>
      </c>
      <c r="U968" s="324">
        <v>21</v>
      </c>
      <c r="V968" s="324">
        <v>22</v>
      </c>
      <c r="W968" s="324">
        <v>23</v>
      </c>
      <c r="X968" s="324">
        <v>24</v>
      </c>
      <c r="Y968" s="324">
        <v>25</v>
      </c>
      <c r="Z968" s="324">
        <v>26</v>
      </c>
      <c r="AA968" s="324">
        <v>27</v>
      </c>
      <c r="AB968" s="324">
        <v>28</v>
      </c>
      <c r="AC968" s="324">
        <v>29</v>
      </c>
      <c r="AD968" s="324">
        <v>30</v>
      </c>
      <c r="AE968" s="324">
        <v>31</v>
      </c>
      <c r="AF968" s="324">
        <v>32</v>
      </c>
      <c r="AG968" s="324">
        <v>33</v>
      </c>
      <c r="AH968" s="324">
        <v>34</v>
      </c>
      <c r="AI968" s="324">
        <v>35</v>
      </c>
      <c r="AJ968" s="324">
        <v>36</v>
      </c>
      <c r="AK968" s="324">
        <v>37</v>
      </c>
      <c r="AL968" s="324">
        <v>38</v>
      </c>
      <c r="AM968" s="324">
        <v>39</v>
      </c>
      <c r="AN968" s="324">
        <v>40</v>
      </c>
      <c r="AO968" s="324">
        <v>41</v>
      </c>
      <c r="AP968" s="324">
        <v>42</v>
      </c>
    </row>
    <row r="969" spans="1:42" s="324" customFormat="1" ht="0.65" hidden="1" customHeight="1">
      <c r="A969" s="324">
        <v>4053</v>
      </c>
    </row>
    <row r="970" spans="1:42" s="324" customFormat="1" ht="0.65" hidden="1" customHeight="1">
      <c r="A970" s="324">
        <v>4054</v>
      </c>
      <c r="B970" s="324">
        <v>500000</v>
      </c>
      <c r="C970" s="324">
        <v>500000</v>
      </c>
      <c r="D970" s="324">
        <v>1</v>
      </c>
      <c r="G970" s="324" t="s">
        <v>0</v>
      </c>
      <c r="H970" s="324" t="s">
        <v>69</v>
      </c>
      <c r="I970" s="324" t="s">
        <v>70</v>
      </c>
      <c r="J970" s="324" t="s">
        <v>71</v>
      </c>
      <c r="K970" s="324" t="s">
        <v>72</v>
      </c>
      <c r="L970" s="324" t="s">
        <v>73</v>
      </c>
      <c r="M970" s="324" t="s">
        <v>74</v>
      </c>
      <c r="N970" s="324" t="s">
        <v>75</v>
      </c>
      <c r="O970" s="324" t="s">
        <v>80</v>
      </c>
      <c r="P970" s="324" t="s">
        <v>1</v>
      </c>
    </row>
    <row r="971" spans="1:42" s="324" customFormat="1" ht="0.65" hidden="1" customHeight="1">
      <c r="A971" s="324">
        <v>4055</v>
      </c>
      <c r="B971" s="324">
        <v>10</v>
      </c>
      <c r="C971" s="324">
        <v>10</v>
      </c>
      <c r="D971" s="324">
        <v>1</v>
      </c>
      <c r="G971" s="324">
        <v>2022</v>
      </c>
      <c r="P971" s="324">
        <v>41</v>
      </c>
    </row>
    <row r="972" spans="1:42" s="324" customFormat="1" ht="0.65" hidden="1" customHeight="1">
      <c r="A972" s="324">
        <v>4056</v>
      </c>
      <c r="B972" s="324">
        <v>100000</v>
      </c>
      <c r="C972" s="324">
        <v>100000</v>
      </c>
      <c r="D972" s="324">
        <v>1</v>
      </c>
      <c r="G972" s="324">
        <v>2023</v>
      </c>
      <c r="H972" s="324">
        <v>2</v>
      </c>
      <c r="I972" s="324">
        <v>5</v>
      </c>
      <c r="J972" s="324">
        <v>8</v>
      </c>
      <c r="K972" s="324">
        <v>11</v>
      </c>
      <c r="L972" s="324">
        <v>14</v>
      </c>
      <c r="M972" s="324">
        <v>17</v>
      </c>
      <c r="N972" s="324">
        <v>20</v>
      </c>
      <c r="O972" s="324">
        <v>35</v>
      </c>
      <c r="P972" s="324">
        <v>42</v>
      </c>
    </row>
    <row r="973" spans="1:42" s="324" customFormat="1" ht="0.65" hidden="1" customHeight="1">
      <c r="A973" s="324">
        <v>4057</v>
      </c>
      <c r="G973" s="324">
        <v>2024</v>
      </c>
      <c r="H973" s="324">
        <v>3</v>
      </c>
      <c r="I973" s="324">
        <v>6</v>
      </c>
      <c r="J973" s="324">
        <v>9</v>
      </c>
      <c r="K973" s="324">
        <v>12</v>
      </c>
      <c r="L973" s="324">
        <v>15</v>
      </c>
      <c r="M973" s="324">
        <v>18</v>
      </c>
      <c r="N973" s="324">
        <v>21</v>
      </c>
      <c r="O973" s="324">
        <v>36</v>
      </c>
      <c r="P973" s="324">
        <v>43</v>
      </c>
    </row>
    <row r="974" spans="1:42" s="324" customFormat="1" ht="0.65" hidden="1" customHeight="1">
      <c r="A974" s="324">
        <v>4058</v>
      </c>
      <c r="B974" s="324">
        <v>600000</v>
      </c>
      <c r="C974" s="324">
        <v>600000</v>
      </c>
      <c r="D974" s="324">
        <v>1</v>
      </c>
      <c r="G974" s="324">
        <v>2025</v>
      </c>
      <c r="H974" s="324">
        <v>4</v>
      </c>
      <c r="I974" s="324">
        <v>7</v>
      </c>
      <c r="J974" s="324">
        <v>10</v>
      </c>
      <c r="K974" s="324">
        <v>13</v>
      </c>
      <c r="L974" s="324">
        <v>16</v>
      </c>
      <c r="M974" s="324">
        <v>19</v>
      </c>
      <c r="N974" s="324">
        <v>22</v>
      </c>
      <c r="O974" s="324">
        <v>37</v>
      </c>
      <c r="P974" s="324">
        <v>44</v>
      </c>
    </row>
    <row r="975" spans="1:42" s="324" customFormat="1" ht="0.65" hidden="1" customHeight="1">
      <c r="A975" s="324">
        <v>4059</v>
      </c>
      <c r="B975" s="324">
        <v>500000</v>
      </c>
      <c r="C975" s="324">
        <v>500000</v>
      </c>
      <c r="D975" s="324">
        <v>1</v>
      </c>
    </row>
    <row r="976" spans="1:42" s="324" customFormat="1" ht="0.65" hidden="1" customHeight="1">
      <c r="A976" s="324">
        <v>4060</v>
      </c>
      <c r="G976" s="324" t="s">
        <v>0</v>
      </c>
      <c r="H976" s="324" t="s">
        <v>76</v>
      </c>
      <c r="I976" s="324" t="s">
        <v>77</v>
      </c>
      <c r="J976" s="324" t="s">
        <v>78</v>
      </c>
      <c r="K976" s="324" t="s">
        <v>79</v>
      </c>
    </row>
    <row r="977" spans="1:31" s="324" customFormat="1" ht="0.65" hidden="1" customHeight="1">
      <c r="A977" s="324">
        <v>4061</v>
      </c>
      <c r="B977" s="324">
        <v>90</v>
      </c>
      <c r="C977" s="324">
        <v>90</v>
      </c>
      <c r="D977" s="324">
        <v>1</v>
      </c>
      <c r="G977" s="324">
        <v>2022</v>
      </c>
      <c r="M977" s="324" t="s">
        <v>490</v>
      </c>
      <c r="N977" s="324">
        <v>1</v>
      </c>
      <c r="O977" s="324" t="s">
        <v>124</v>
      </c>
      <c r="P977" s="324">
        <v>45</v>
      </c>
    </row>
    <row r="978" spans="1:31" s="324" customFormat="1" ht="0.65" hidden="1" customHeight="1">
      <c r="A978" s="324">
        <v>4062</v>
      </c>
      <c r="B978" s="324">
        <v>90</v>
      </c>
      <c r="C978" s="324">
        <v>90</v>
      </c>
      <c r="D978" s="324">
        <v>1</v>
      </c>
      <c r="G978" s="324">
        <v>2023</v>
      </c>
      <c r="H978" s="324">
        <v>23</v>
      </c>
      <c r="I978" s="324">
        <v>26</v>
      </c>
      <c r="J978" s="324">
        <v>29</v>
      </c>
      <c r="K978" s="324">
        <v>32</v>
      </c>
      <c r="M978" s="324" t="s">
        <v>491</v>
      </c>
      <c r="N978" s="324">
        <v>38</v>
      </c>
      <c r="O978" s="324" t="s">
        <v>125</v>
      </c>
      <c r="P978" s="324">
        <v>46</v>
      </c>
    </row>
    <row r="979" spans="1:31" s="324" customFormat="1" ht="0.65" hidden="1" customHeight="1">
      <c r="A979" s="324">
        <v>4063</v>
      </c>
      <c r="G979" s="324">
        <v>2024</v>
      </c>
      <c r="H979" s="324">
        <v>24</v>
      </c>
      <c r="I979" s="324">
        <v>27</v>
      </c>
      <c r="J979" s="324">
        <v>30</v>
      </c>
      <c r="K979" s="324">
        <v>33</v>
      </c>
      <c r="M979" s="324" t="s">
        <v>493</v>
      </c>
      <c r="N979" s="324">
        <v>39</v>
      </c>
      <c r="O979" s="324" t="s">
        <v>126</v>
      </c>
      <c r="P979" s="324">
        <v>47</v>
      </c>
    </row>
    <row r="980" spans="1:31" s="324" customFormat="1" ht="0.65" hidden="1" customHeight="1">
      <c r="A980" s="324">
        <v>4064</v>
      </c>
      <c r="G980" s="324">
        <v>2025</v>
      </c>
      <c r="H980" s="324">
        <v>25</v>
      </c>
      <c r="I980" s="324">
        <v>28</v>
      </c>
      <c r="J980" s="324">
        <v>31</v>
      </c>
      <c r="K980" s="324">
        <v>34</v>
      </c>
      <c r="M980" s="324" t="s">
        <v>494</v>
      </c>
      <c r="N980" s="324">
        <v>40</v>
      </c>
    </row>
    <row r="981" spans="1:31" s="324" customFormat="1" ht="0.65" hidden="1" customHeight="1">
      <c r="A981" s="324">
        <v>4065</v>
      </c>
      <c r="B981" s="324">
        <v>175000</v>
      </c>
      <c r="C981" s="324">
        <v>175000</v>
      </c>
      <c r="D981" s="324">
        <v>1</v>
      </c>
    </row>
    <row r="982" spans="1:31" s="324" customFormat="1" ht="0.65" hidden="1" customHeight="1">
      <c r="A982" s="324">
        <v>4066</v>
      </c>
      <c r="B982" s="324">
        <v>250000</v>
      </c>
      <c r="C982" s="324">
        <v>250000</v>
      </c>
      <c r="D982" s="324">
        <v>1</v>
      </c>
      <c r="O982" s="324" t="s">
        <v>13</v>
      </c>
      <c r="P982" s="324">
        <v>48</v>
      </c>
    </row>
    <row r="983" spans="1:31" s="324" customFormat="1" ht="0.65" hidden="1" customHeight="1">
      <c r="A983" s="324">
        <v>4067</v>
      </c>
      <c r="B983" s="324">
        <v>4</v>
      </c>
      <c r="C983" s="324">
        <v>4</v>
      </c>
      <c r="D983" s="324">
        <v>1</v>
      </c>
      <c r="O983" s="324" t="s">
        <v>28</v>
      </c>
      <c r="P983" s="324">
        <v>49</v>
      </c>
    </row>
    <row r="984" spans="1:31" s="324" customFormat="1" ht="0.65" hidden="1" customHeight="1">
      <c r="A984" s="324">
        <v>4068</v>
      </c>
      <c r="B984" s="324">
        <v>43750</v>
      </c>
      <c r="C984" s="324">
        <v>43750</v>
      </c>
      <c r="D984" s="324">
        <v>1</v>
      </c>
      <c r="O984" s="324" t="s">
        <v>29</v>
      </c>
      <c r="P984" s="324">
        <v>50</v>
      </c>
    </row>
    <row r="985" spans="1:31" s="324" customFormat="1" ht="0.65" hidden="1" customHeight="1">
      <c r="A985" s="324">
        <v>4069</v>
      </c>
      <c r="O985" s="324" t="s">
        <v>30</v>
      </c>
      <c r="P985" s="324">
        <v>51</v>
      </c>
    </row>
    <row r="986" spans="1:31" s="324" customFormat="1" ht="0.65" hidden="1" customHeight="1">
      <c r="A986" s="324">
        <v>4070</v>
      </c>
      <c r="B986" s="324">
        <v>0.25</v>
      </c>
      <c r="C986" s="324">
        <v>0.25</v>
      </c>
      <c r="D986" s="324">
        <v>1</v>
      </c>
    </row>
    <row r="987" spans="1:31" s="324" customFormat="1" ht="0.65" hidden="1" customHeight="1">
      <c r="A987" s="324">
        <v>4071</v>
      </c>
    </row>
    <row r="988" spans="1:31" s="324" customFormat="1" ht="0.65" hidden="1" customHeight="1">
      <c r="A988" s="324">
        <v>4072</v>
      </c>
    </row>
    <row r="989" spans="1:31" s="324" customFormat="1" ht="0.65" hidden="1" customHeight="1">
      <c r="A989" s="324">
        <v>4073</v>
      </c>
      <c r="B989" s="324">
        <v>400000</v>
      </c>
      <c r="C989" s="324">
        <v>400000</v>
      </c>
      <c r="D989" s="324">
        <v>1</v>
      </c>
    </row>
    <row r="990" spans="1:31" s="324" customFormat="1" ht="0.65" hidden="1" customHeight="1">
      <c r="A990" s="324">
        <v>4074</v>
      </c>
      <c r="B990" s="324">
        <v>500000</v>
      </c>
      <c r="C990" s="324">
        <v>500000</v>
      </c>
      <c r="D990" s="324">
        <v>1</v>
      </c>
      <c r="K990" s="324" t="s">
        <v>475</v>
      </c>
      <c r="M990" s="324" t="s">
        <v>212</v>
      </c>
      <c r="N990" s="324" t="s">
        <v>213</v>
      </c>
      <c r="O990" s="324" t="s">
        <v>214</v>
      </c>
      <c r="P990" s="324" t="s">
        <v>215</v>
      </c>
      <c r="Q990" s="324" t="s">
        <v>216</v>
      </c>
      <c r="R990" s="324" t="s">
        <v>218</v>
      </c>
      <c r="S990" s="324" t="s">
        <v>219</v>
      </c>
      <c r="T990" s="324" t="s">
        <v>220</v>
      </c>
      <c r="U990" s="324" t="s">
        <v>473</v>
      </c>
      <c r="V990" s="324" t="s">
        <v>474</v>
      </c>
      <c r="X990" s="324" t="s">
        <v>223</v>
      </c>
      <c r="Y990" s="324" t="s">
        <v>224</v>
      </c>
      <c r="Z990" s="324" t="s">
        <v>225</v>
      </c>
      <c r="AA990" s="324" t="s">
        <v>226</v>
      </c>
      <c r="AB990" s="324" t="s">
        <v>227</v>
      </c>
      <c r="AC990" s="324" t="s">
        <v>228</v>
      </c>
      <c r="AD990" s="324" t="s">
        <v>229</v>
      </c>
      <c r="AE990" s="324" t="s">
        <v>230</v>
      </c>
    </row>
    <row r="991" spans="1:31" s="324" customFormat="1" ht="0.65" hidden="1" customHeight="1">
      <c r="A991" s="324">
        <v>4075</v>
      </c>
      <c r="B991" s="324">
        <v>0.01</v>
      </c>
      <c r="C991" s="324">
        <v>0.01</v>
      </c>
      <c r="D991" s="324">
        <v>1</v>
      </c>
      <c r="F991" s="324">
        <v>1</v>
      </c>
      <c r="G991" s="324">
        <v>1</v>
      </c>
      <c r="H991" s="324" t="s">
        <v>490</v>
      </c>
      <c r="I991" s="324">
        <v>306250</v>
      </c>
      <c r="J991" s="324">
        <v>306250</v>
      </c>
      <c r="K991" s="324" t="s">
        <v>1407</v>
      </c>
      <c r="M991" s="324">
        <v>500000</v>
      </c>
      <c r="N991" s="324">
        <v>325000</v>
      </c>
      <c r="O991" s="324">
        <v>343750</v>
      </c>
      <c r="P991" s="324">
        <v>675000</v>
      </c>
      <c r="U991" s="324" t="s">
        <v>1407</v>
      </c>
      <c r="V991" s="324" t="s">
        <v>509</v>
      </c>
      <c r="X991" s="324" t="s">
        <v>231</v>
      </c>
      <c r="Y991" s="324" t="s">
        <v>250</v>
      </c>
      <c r="Z991" s="324" t="s">
        <v>251</v>
      </c>
      <c r="AA991" s="324" t="s">
        <v>232</v>
      </c>
    </row>
    <row r="992" spans="1:31" s="324" customFormat="1" ht="0.65" hidden="1" customHeight="1">
      <c r="A992" s="324">
        <v>4076</v>
      </c>
      <c r="B992" s="324">
        <v>5000000</v>
      </c>
      <c r="C992" s="324">
        <v>5000000</v>
      </c>
      <c r="D992" s="324">
        <v>1</v>
      </c>
      <c r="F992" s="324">
        <v>1</v>
      </c>
      <c r="G992" s="324">
        <v>2</v>
      </c>
      <c r="H992" s="324" t="s">
        <v>510</v>
      </c>
      <c r="I992" s="324">
        <v>600000</v>
      </c>
      <c r="J992" s="324">
        <v>600000</v>
      </c>
      <c r="K992" s="324" t="s">
        <v>1408</v>
      </c>
      <c r="M992" s="324">
        <v>450000</v>
      </c>
      <c r="N992" s="324">
        <v>150000</v>
      </c>
      <c r="U992" s="324" t="s">
        <v>1408</v>
      </c>
      <c r="V992" s="324" t="s">
        <v>512</v>
      </c>
      <c r="X992" s="324" t="s">
        <v>233</v>
      </c>
    </row>
    <row r="993" spans="1:28" s="324" customFormat="1" ht="0.65" hidden="1" customHeight="1">
      <c r="A993" s="324">
        <v>4077</v>
      </c>
      <c r="B993" s="324">
        <v>5000000</v>
      </c>
      <c r="C993" s="324">
        <v>5000000</v>
      </c>
      <c r="D993" s="324">
        <v>1</v>
      </c>
      <c r="F993" s="324">
        <v>1</v>
      </c>
      <c r="G993" s="324">
        <v>3</v>
      </c>
      <c r="H993" s="324" t="s">
        <v>513</v>
      </c>
      <c r="I993" s="324">
        <v>600000</v>
      </c>
      <c r="J993" s="324">
        <v>600000</v>
      </c>
      <c r="K993" s="324" t="s">
        <v>1408</v>
      </c>
      <c r="M993" s="324">
        <v>450000</v>
      </c>
      <c r="N993" s="324">
        <v>150000</v>
      </c>
      <c r="O993" s="324">
        <v>1200000</v>
      </c>
      <c r="U993" s="324" t="s">
        <v>1408</v>
      </c>
      <c r="V993" s="324" t="s">
        <v>514</v>
      </c>
      <c r="X993" s="324" t="s">
        <v>233</v>
      </c>
      <c r="Y993" s="324" t="s">
        <v>252</v>
      </c>
      <c r="Z993" s="324" t="s">
        <v>234</v>
      </c>
    </row>
    <row r="994" spans="1:28" s="324" customFormat="1" ht="0.65" hidden="1" customHeight="1">
      <c r="A994" s="324">
        <v>4078</v>
      </c>
      <c r="F994" s="324">
        <v>1</v>
      </c>
      <c r="G994" s="324">
        <v>4</v>
      </c>
      <c r="H994" s="324" t="s">
        <v>515</v>
      </c>
      <c r="I994" s="324">
        <v>600000</v>
      </c>
      <c r="J994" s="324">
        <v>600000</v>
      </c>
      <c r="K994" s="324" t="s">
        <v>1408</v>
      </c>
      <c r="M994" s="324">
        <v>450000</v>
      </c>
      <c r="N994" s="324">
        <v>150000</v>
      </c>
      <c r="O994" s="324">
        <v>1800000</v>
      </c>
      <c r="U994" s="324" t="s">
        <v>1408</v>
      </c>
      <c r="V994" s="324" t="s">
        <v>516</v>
      </c>
      <c r="X994" s="324" t="s">
        <v>233</v>
      </c>
      <c r="Y994" s="324" t="s">
        <v>252</v>
      </c>
      <c r="Z994" s="324" t="s">
        <v>235</v>
      </c>
    </row>
    <row r="995" spans="1:28" s="324" customFormat="1" ht="0.65" hidden="1" customHeight="1">
      <c r="A995" s="324">
        <v>4079</v>
      </c>
      <c r="C995" s="324" t="s">
        <v>422</v>
      </c>
      <c r="D995" s="324">
        <v>28</v>
      </c>
      <c r="F995" s="324">
        <v>1</v>
      </c>
      <c r="G995" s="324">
        <v>5</v>
      </c>
      <c r="H995" s="324" t="s">
        <v>517</v>
      </c>
      <c r="I995" s="324">
        <v>500000</v>
      </c>
      <c r="J995" s="324">
        <v>500000</v>
      </c>
      <c r="K995" s="324" t="s">
        <v>1409</v>
      </c>
      <c r="M995" s="324">
        <v>375000</v>
      </c>
      <c r="N995" s="324">
        <v>125000</v>
      </c>
      <c r="U995" s="324" t="s">
        <v>1409</v>
      </c>
      <c r="V995" s="324" t="s">
        <v>519</v>
      </c>
      <c r="X995" s="324" t="s">
        <v>236</v>
      </c>
      <c r="Y995" s="324" t="s">
        <v>253</v>
      </c>
    </row>
    <row r="996" spans="1:28" s="324" customFormat="1" ht="0.65" hidden="1" customHeight="1">
      <c r="A996" s="324">
        <v>4080</v>
      </c>
      <c r="C996" s="324" t="s">
        <v>423</v>
      </c>
      <c r="D996" s="324" t="s">
        <v>520</v>
      </c>
      <c r="F996" s="324">
        <v>1</v>
      </c>
      <c r="G996" s="324">
        <v>6</v>
      </c>
      <c r="H996" s="324" t="s">
        <v>521</v>
      </c>
      <c r="I996" s="324">
        <v>500000</v>
      </c>
      <c r="J996" s="324">
        <v>500000</v>
      </c>
      <c r="K996" s="324" t="s">
        <v>1409</v>
      </c>
      <c r="M996" s="324">
        <v>375000</v>
      </c>
      <c r="N996" s="324">
        <v>125000</v>
      </c>
      <c r="O996" s="324">
        <v>1000000</v>
      </c>
      <c r="U996" s="324" t="s">
        <v>1409</v>
      </c>
      <c r="V996" s="324" t="s">
        <v>522</v>
      </c>
      <c r="X996" s="324" t="s">
        <v>236</v>
      </c>
      <c r="Y996" s="324" t="s">
        <v>253</v>
      </c>
      <c r="Z996" s="324" t="s">
        <v>237</v>
      </c>
    </row>
    <row r="997" spans="1:28" s="324" customFormat="1" ht="0.65" hidden="1" customHeight="1">
      <c r="A997" s="324">
        <v>4081</v>
      </c>
      <c r="F997" s="324">
        <v>1</v>
      </c>
      <c r="G997" s="324">
        <v>7</v>
      </c>
      <c r="H997" s="324" t="s">
        <v>523</v>
      </c>
      <c r="I997" s="324">
        <v>500000</v>
      </c>
      <c r="J997" s="324">
        <v>500000</v>
      </c>
      <c r="K997" s="324" t="s">
        <v>1409</v>
      </c>
      <c r="M997" s="324">
        <v>375000</v>
      </c>
      <c r="N997" s="324">
        <v>125000</v>
      </c>
      <c r="O997" s="324">
        <v>1500000</v>
      </c>
      <c r="U997" s="324" t="s">
        <v>1409</v>
      </c>
      <c r="V997" s="324" t="s">
        <v>524</v>
      </c>
      <c r="X997" s="324" t="s">
        <v>236</v>
      </c>
      <c r="Y997" s="324" t="s">
        <v>253</v>
      </c>
      <c r="Z997" s="324" t="s">
        <v>238</v>
      </c>
    </row>
    <row r="998" spans="1:28" s="324" customFormat="1" ht="0.65" hidden="1" customHeight="1">
      <c r="A998" s="324">
        <v>4082</v>
      </c>
      <c r="B998" s="324">
        <v>2022</v>
      </c>
      <c r="C998" s="324">
        <v>2022</v>
      </c>
      <c r="D998" s="324">
        <v>1</v>
      </c>
      <c r="F998" s="324">
        <v>1</v>
      </c>
      <c r="G998" s="324">
        <v>8</v>
      </c>
      <c r="H998" s="324" t="s">
        <v>525</v>
      </c>
      <c r="I998" s="324">
        <v>-12500</v>
      </c>
      <c r="J998" s="324">
        <v>-12500</v>
      </c>
      <c r="K998" s="324" t="s">
        <v>1410</v>
      </c>
      <c r="M998" s="324">
        <v>50000</v>
      </c>
      <c r="N998" s="324">
        <v>112500</v>
      </c>
      <c r="O998" s="324">
        <v>6250</v>
      </c>
      <c r="P998" s="324">
        <v>12500</v>
      </c>
      <c r="U998" s="324" t="s">
        <v>1410</v>
      </c>
      <c r="V998" s="324" t="s">
        <v>527</v>
      </c>
      <c r="X998" s="324" t="s">
        <v>239</v>
      </c>
      <c r="Y998" s="324" t="s">
        <v>240</v>
      </c>
      <c r="Z998" s="324" t="s">
        <v>241</v>
      </c>
      <c r="AA998" s="324" t="s">
        <v>242</v>
      </c>
    </row>
    <row r="999" spans="1:28" s="324" customFormat="1" ht="0.65" hidden="1" customHeight="1">
      <c r="A999" s="324">
        <v>4083</v>
      </c>
      <c r="B999" s="324">
        <v>2023</v>
      </c>
      <c r="C999" s="324">
        <v>2023</v>
      </c>
      <c r="D999" s="324">
        <v>1</v>
      </c>
      <c r="F999" s="324">
        <v>1</v>
      </c>
      <c r="G999" s="324">
        <v>9</v>
      </c>
      <c r="H999" s="324" t="s">
        <v>528</v>
      </c>
      <c r="I999" s="324">
        <v>-12500</v>
      </c>
      <c r="J999" s="324">
        <v>-12500</v>
      </c>
      <c r="K999" s="324" t="s">
        <v>1410</v>
      </c>
      <c r="M999" s="324">
        <v>50000</v>
      </c>
      <c r="N999" s="324">
        <v>112500</v>
      </c>
      <c r="O999" s="324">
        <v>6250</v>
      </c>
      <c r="P999" s="324">
        <v>12500</v>
      </c>
      <c r="U999" s="324" t="s">
        <v>1410</v>
      </c>
      <c r="V999" s="324" t="s">
        <v>529</v>
      </c>
      <c r="X999" s="324" t="s">
        <v>239</v>
      </c>
      <c r="Y999" s="324" t="s">
        <v>240</v>
      </c>
      <c r="Z999" s="324" t="s">
        <v>241</v>
      </c>
      <c r="AA999" s="324" t="s">
        <v>242</v>
      </c>
    </row>
    <row r="1000" spans="1:28" s="324" customFormat="1" ht="0.65" hidden="1" customHeight="1">
      <c r="A1000" s="324">
        <v>4084</v>
      </c>
      <c r="B1000" s="324">
        <v>2024</v>
      </c>
      <c r="C1000" s="324">
        <v>2024</v>
      </c>
      <c r="D1000" s="324">
        <v>1</v>
      </c>
      <c r="F1000" s="324">
        <v>1</v>
      </c>
      <c r="G1000" s="324">
        <v>10</v>
      </c>
      <c r="H1000" s="324" t="s">
        <v>530</v>
      </c>
      <c r="I1000" s="324">
        <v>-12500</v>
      </c>
      <c r="J1000" s="324">
        <v>-12500</v>
      </c>
      <c r="K1000" s="324" t="s">
        <v>1410</v>
      </c>
      <c r="M1000" s="324">
        <v>50000</v>
      </c>
      <c r="N1000" s="324">
        <v>112500</v>
      </c>
      <c r="O1000" s="324">
        <v>6250</v>
      </c>
      <c r="P1000" s="324">
        <v>12500</v>
      </c>
      <c r="Q1000" s="324">
        <v>-12500</v>
      </c>
      <c r="U1000" s="324" t="s">
        <v>1410</v>
      </c>
      <c r="V1000" s="324" t="s">
        <v>532</v>
      </c>
      <c r="X1000" s="324" t="s">
        <v>239</v>
      </c>
      <c r="Y1000" s="324" t="s">
        <v>240</v>
      </c>
      <c r="Z1000" s="324" t="s">
        <v>241</v>
      </c>
      <c r="AA1000" s="324" t="s">
        <v>242</v>
      </c>
      <c r="AB1000" s="324" t="s">
        <v>254</v>
      </c>
    </row>
    <row r="1001" spans="1:28" s="324" customFormat="1" ht="0.65" hidden="1" customHeight="1">
      <c r="A1001" s="324">
        <v>4085</v>
      </c>
      <c r="B1001" s="324">
        <v>2025</v>
      </c>
      <c r="C1001" s="324">
        <v>2025</v>
      </c>
      <c r="D1001" s="324">
        <v>1</v>
      </c>
      <c r="F1001" s="324">
        <v>1</v>
      </c>
      <c r="G1001" s="324">
        <v>11</v>
      </c>
      <c r="H1001" s="324" t="s">
        <v>533</v>
      </c>
      <c r="I1001" s="324">
        <v>112500</v>
      </c>
      <c r="J1001" s="324">
        <v>112500</v>
      </c>
      <c r="K1001" s="324" t="s">
        <v>1411</v>
      </c>
      <c r="M1001" s="324">
        <v>87500</v>
      </c>
      <c r="N1001" s="324">
        <v>100000</v>
      </c>
      <c r="O1001" s="324">
        <v>1112500</v>
      </c>
      <c r="U1001" s="324" t="s">
        <v>1411</v>
      </c>
      <c r="V1001" s="324" t="s">
        <v>535</v>
      </c>
      <c r="X1001" s="324" t="s">
        <v>243</v>
      </c>
      <c r="Y1001" s="324" t="s">
        <v>255</v>
      </c>
      <c r="Z1001" s="324" t="s">
        <v>341</v>
      </c>
    </row>
    <row r="1002" spans="1:28" s="324" customFormat="1" ht="0.65" hidden="1" customHeight="1">
      <c r="A1002" s="324">
        <v>4086</v>
      </c>
      <c r="F1002" s="324">
        <v>1</v>
      </c>
      <c r="G1002" s="324">
        <v>12</v>
      </c>
      <c r="H1002" s="324" t="s">
        <v>536</v>
      </c>
      <c r="I1002" s="324">
        <v>112500</v>
      </c>
      <c r="J1002" s="324">
        <v>112500</v>
      </c>
      <c r="K1002" s="324" t="s">
        <v>1411</v>
      </c>
      <c r="M1002" s="324">
        <v>87500</v>
      </c>
      <c r="N1002" s="324">
        <v>100000</v>
      </c>
      <c r="O1002" s="324">
        <v>1112500</v>
      </c>
      <c r="U1002" s="324" t="s">
        <v>1411</v>
      </c>
      <c r="V1002" s="324" t="s">
        <v>537</v>
      </c>
      <c r="X1002" s="324" t="s">
        <v>243</v>
      </c>
      <c r="Y1002" s="324" t="s">
        <v>255</v>
      </c>
      <c r="Z1002" s="324" t="s">
        <v>341</v>
      </c>
    </row>
    <row r="1003" spans="1:28" s="324" customFormat="1" ht="0.65" hidden="1" customHeight="1">
      <c r="A1003" s="324">
        <v>4087</v>
      </c>
      <c r="F1003" s="324">
        <v>1</v>
      </c>
      <c r="G1003" s="324">
        <v>13</v>
      </c>
      <c r="H1003" s="324" t="s">
        <v>538</v>
      </c>
      <c r="I1003" s="324">
        <v>112500</v>
      </c>
      <c r="J1003" s="324">
        <v>112500</v>
      </c>
      <c r="K1003" s="324" t="s">
        <v>1411</v>
      </c>
      <c r="M1003" s="324">
        <v>87500</v>
      </c>
      <c r="N1003" s="324">
        <v>100000</v>
      </c>
      <c r="O1003" s="324">
        <v>1050000</v>
      </c>
      <c r="U1003" s="324" t="s">
        <v>1411</v>
      </c>
      <c r="V1003" s="324" t="s">
        <v>540</v>
      </c>
      <c r="X1003" s="324" t="s">
        <v>243</v>
      </c>
      <c r="Y1003" s="324" t="s">
        <v>255</v>
      </c>
      <c r="Z1003" s="324" t="s">
        <v>341</v>
      </c>
    </row>
    <row r="1004" spans="1:28" s="324" customFormat="1" ht="0.65" hidden="1" customHeight="1">
      <c r="A1004" s="324">
        <v>4088</v>
      </c>
      <c r="B1004" s="324">
        <v>2022</v>
      </c>
      <c r="C1004" s="324">
        <v>2022</v>
      </c>
      <c r="D1004" s="324">
        <v>1</v>
      </c>
      <c r="F1004" s="324">
        <v>1</v>
      </c>
      <c r="G1004" s="324">
        <v>14</v>
      </c>
      <c r="H1004" s="324" t="s">
        <v>541</v>
      </c>
      <c r="I1004" s="324">
        <v>28125</v>
      </c>
      <c r="J1004" s="324">
        <v>28125</v>
      </c>
      <c r="K1004" s="324" t="s">
        <v>1412</v>
      </c>
      <c r="M1004" s="324">
        <v>0</v>
      </c>
      <c r="N1004" s="324">
        <v>33750</v>
      </c>
      <c r="O1004" s="324">
        <v>84375</v>
      </c>
      <c r="U1004" s="324" t="s">
        <v>1412</v>
      </c>
      <c r="V1004" s="324" t="s">
        <v>543</v>
      </c>
      <c r="X1004" s="324" t="s">
        <v>279</v>
      </c>
      <c r="Y1004" s="324" t="s">
        <v>280</v>
      </c>
      <c r="Z1004" s="324" t="s">
        <v>342</v>
      </c>
    </row>
    <row r="1005" spans="1:28" s="324" customFormat="1" ht="0.65" hidden="1" customHeight="1">
      <c r="A1005" s="324">
        <v>4089</v>
      </c>
      <c r="B1005" s="324">
        <v>2023</v>
      </c>
      <c r="C1005" s="324">
        <v>2023</v>
      </c>
      <c r="D1005" s="324">
        <v>1</v>
      </c>
      <c r="F1005" s="324">
        <v>1</v>
      </c>
      <c r="G1005" s="324">
        <v>15</v>
      </c>
      <c r="H1005" s="324" t="s">
        <v>544</v>
      </c>
      <c r="I1005" s="324">
        <v>28125</v>
      </c>
      <c r="J1005" s="324">
        <v>28125</v>
      </c>
      <c r="K1005" s="324" t="s">
        <v>1412</v>
      </c>
      <c r="M1005" s="324">
        <v>0</v>
      </c>
      <c r="N1005" s="324">
        <v>33750</v>
      </c>
      <c r="O1005" s="324">
        <v>84375</v>
      </c>
      <c r="U1005" s="324" t="s">
        <v>1412</v>
      </c>
      <c r="V1005" s="324" t="s">
        <v>545</v>
      </c>
      <c r="X1005" s="324" t="s">
        <v>279</v>
      </c>
      <c r="Y1005" s="324" t="s">
        <v>280</v>
      </c>
      <c r="Z1005" s="324" t="s">
        <v>342</v>
      </c>
    </row>
    <row r="1006" spans="1:28" s="324" customFormat="1" ht="0.65" hidden="1" customHeight="1">
      <c r="A1006" s="324">
        <v>4090</v>
      </c>
      <c r="B1006" s="324">
        <v>2024</v>
      </c>
      <c r="C1006" s="324">
        <v>2024</v>
      </c>
      <c r="D1006" s="324">
        <v>1</v>
      </c>
      <c r="F1006" s="324">
        <v>1</v>
      </c>
      <c r="G1006" s="324">
        <v>16</v>
      </c>
      <c r="H1006" s="324" t="s">
        <v>546</v>
      </c>
      <c r="I1006" s="324">
        <v>28125</v>
      </c>
      <c r="J1006" s="324">
        <v>28125</v>
      </c>
      <c r="K1006" s="324" t="s">
        <v>1412</v>
      </c>
      <c r="M1006" s="324">
        <v>0</v>
      </c>
      <c r="N1006" s="324">
        <v>33750</v>
      </c>
      <c r="O1006" s="324">
        <v>37500</v>
      </c>
      <c r="U1006" s="324" t="s">
        <v>1412</v>
      </c>
      <c r="V1006" s="324" t="s">
        <v>548</v>
      </c>
      <c r="X1006" s="324" t="s">
        <v>279</v>
      </c>
      <c r="Y1006" s="324" t="s">
        <v>280</v>
      </c>
      <c r="Z1006" s="324" t="s">
        <v>342</v>
      </c>
    </row>
    <row r="1007" spans="1:28" s="324" customFormat="1" ht="0.65" hidden="1" customHeight="1">
      <c r="A1007" s="324">
        <v>4091</v>
      </c>
      <c r="B1007" s="324">
        <v>2025</v>
      </c>
      <c r="C1007" s="324">
        <v>2025</v>
      </c>
      <c r="D1007" s="324">
        <v>1</v>
      </c>
      <c r="F1007" s="324">
        <v>1</v>
      </c>
      <c r="G1007" s="324">
        <v>17</v>
      </c>
      <c r="H1007" s="324" t="s">
        <v>549</v>
      </c>
      <c r="I1007" s="324">
        <v>84375</v>
      </c>
      <c r="J1007" s="324">
        <v>84375</v>
      </c>
      <c r="K1007" s="324" t="s">
        <v>1413</v>
      </c>
      <c r="M1007" s="324">
        <v>140625</v>
      </c>
      <c r="U1007" s="324" t="s">
        <v>1413</v>
      </c>
      <c r="V1007" s="324" t="s">
        <v>551</v>
      </c>
      <c r="X1007" s="324" t="s">
        <v>256</v>
      </c>
    </row>
    <row r="1008" spans="1:28" s="324" customFormat="1" ht="0.65" hidden="1" customHeight="1">
      <c r="A1008" s="324">
        <v>4092</v>
      </c>
      <c r="F1008" s="324">
        <v>1</v>
      </c>
      <c r="G1008" s="324">
        <v>18</v>
      </c>
      <c r="H1008" s="324" t="s">
        <v>552</v>
      </c>
      <c r="I1008" s="324">
        <v>84375</v>
      </c>
      <c r="J1008" s="324">
        <v>84375</v>
      </c>
      <c r="K1008" s="324" t="s">
        <v>1413</v>
      </c>
      <c r="M1008" s="324">
        <v>140625</v>
      </c>
      <c r="U1008" s="324" t="s">
        <v>1413</v>
      </c>
      <c r="V1008" s="324" t="s">
        <v>553</v>
      </c>
      <c r="X1008" s="324" t="s">
        <v>256</v>
      </c>
    </row>
    <row r="1009" spans="1:26" s="324" customFormat="1" ht="0.65" hidden="1" customHeight="1">
      <c r="A1009" s="324">
        <v>4093</v>
      </c>
      <c r="B1009" s="324">
        <v>0</v>
      </c>
      <c r="C1009" s="324">
        <v>0</v>
      </c>
      <c r="D1009" s="324">
        <v>1</v>
      </c>
      <c r="F1009" s="324">
        <v>1</v>
      </c>
      <c r="G1009" s="324">
        <v>19</v>
      </c>
      <c r="H1009" s="324" t="s">
        <v>554</v>
      </c>
      <c r="I1009" s="324">
        <v>84375</v>
      </c>
      <c r="J1009" s="324">
        <v>84375</v>
      </c>
      <c r="K1009" s="324" t="s">
        <v>1413</v>
      </c>
      <c r="M1009" s="324">
        <v>140625</v>
      </c>
      <c r="U1009" s="324" t="s">
        <v>1413</v>
      </c>
      <c r="V1009" s="324" t="s">
        <v>556</v>
      </c>
      <c r="X1009" s="324" t="s">
        <v>256</v>
      </c>
    </row>
    <row r="1010" spans="1:26" s="324" customFormat="1" ht="0.65" hidden="1" customHeight="1">
      <c r="A1010" s="324">
        <v>4094</v>
      </c>
      <c r="B1010" s="324">
        <v>0</v>
      </c>
      <c r="C1010" s="324">
        <v>0</v>
      </c>
      <c r="D1010" s="324">
        <v>1</v>
      </c>
      <c r="F1010" s="324">
        <v>1</v>
      </c>
      <c r="G1010" s="324">
        <v>20</v>
      </c>
      <c r="H1010" s="324" t="s">
        <v>557</v>
      </c>
      <c r="I1010" s="324">
        <v>71875</v>
      </c>
      <c r="J1010" s="324">
        <v>71875</v>
      </c>
      <c r="K1010" s="324" t="s">
        <v>1414</v>
      </c>
      <c r="M1010" s="324">
        <v>84375</v>
      </c>
      <c r="N1010" s="324">
        <v>96875</v>
      </c>
      <c r="U1010" s="324" t="s">
        <v>1414</v>
      </c>
      <c r="V1010" s="324" t="s">
        <v>559</v>
      </c>
      <c r="X1010" s="324" t="s">
        <v>257</v>
      </c>
      <c r="Y1010" s="324" t="s">
        <v>258</v>
      </c>
    </row>
    <row r="1011" spans="1:26" s="324" customFormat="1" ht="0.65" hidden="1" customHeight="1">
      <c r="A1011" s="324">
        <v>4095</v>
      </c>
      <c r="B1011" s="324">
        <v>0</v>
      </c>
      <c r="C1011" s="324">
        <v>0</v>
      </c>
      <c r="D1011" s="324">
        <v>1</v>
      </c>
      <c r="F1011" s="324">
        <v>1</v>
      </c>
      <c r="G1011" s="324">
        <v>21</v>
      </c>
      <c r="H1011" s="324" t="s">
        <v>560</v>
      </c>
      <c r="I1011" s="324">
        <v>71875</v>
      </c>
      <c r="J1011" s="324">
        <v>71875</v>
      </c>
      <c r="K1011" s="324" t="s">
        <v>1414</v>
      </c>
      <c r="M1011" s="324">
        <v>84375</v>
      </c>
      <c r="N1011" s="324">
        <v>96875</v>
      </c>
      <c r="U1011" s="324" t="s">
        <v>1414</v>
      </c>
      <c r="V1011" s="324" t="s">
        <v>561</v>
      </c>
      <c r="X1011" s="324" t="s">
        <v>257</v>
      </c>
      <c r="Y1011" s="324" t="s">
        <v>258</v>
      </c>
    </row>
    <row r="1012" spans="1:26" s="324" customFormat="1" ht="0.65" hidden="1" customHeight="1">
      <c r="A1012" s="324">
        <v>4096</v>
      </c>
      <c r="F1012" s="324">
        <v>1</v>
      </c>
      <c r="G1012" s="324">
        <v>22</v>
      </c>
      <c r="H1012" s="324" t="s">
        <v>562</v>
      </c>
      <c r="I1012" s="324">
        <v>71875</v>
      </c>
      <c r="J1012" s="324">
        <v>71875</v>
      </c>
      <c r="K1012" s="324" t="s">
        <v>1414</v>
      </c>
      <c r="M1012" s="324">
        <v>84375</v>
      </c>
      <c r="N1012" s="324">
        <v>96875</v>
      </c>
      <c r="U1012" s="324" t="s">
        <v>1414</v>
      </c>
      <c r="V1012" s="324" t="s">
        <v>564</v>
      </c>
      <c r="X1012" s="324" t="s">
        <v>257</v>
      </c>
      <c r="Y1012" s="324" t="s">
        <v>258</v>
      </c>
    </row>
    <row r="1013" spans="1:26" s="324" customFormat="1" ht="0.65" hidden="1" customHeight="1">
      <c r="A1013" s="324">
        <v>4097</v>
      </c>
      <c r="F1013" s="324">
        <v>1</v>
      </c>
      <c r="G1013" s="324">
        <v>23</v>
      </c>
      <c r="H1013" s="324" t="s">
        <v>565</v>
      </c>
      <c r="I1013" s="324">
        <v>150000</v>
      </c>
      <c r="J1013" s="324">
        <v>150000</v>
      </c>
      <c r="K1013" s="324" t="s">
        <v>1415</v>
      </c>
      <c r="M1013" s="324">
        <v>450000</v>
      </c>
      <c r="N1013" s="324">
        <v>150000</v>
      </c>
      <c r="O1013" s="324">
        <v>600000</v>
      </c>
      <c r="U1013" s="324" t="s">
        <v>1415</v>
      </c>
      <c r="V1013" s="324" t="s">
        <v>567</v>
      </c>
      <c r="X1013" s="324" t="s">
        <v>259</v>
      </c>
      <c r="Y1013" s="324" t="s">
        <v>260</v>
      </c>
      <c r="Z1013" s="324" t="s">
        <v>343</v>
      </c>
    </row>
    <row r="1014" spans="1:26" s="324" customFormat="1" ht="0.65" hidden="1" customHeight="1">
      <c r="A1014" s="324">
        <v>4098</v>
      </c>
      <c r="F1014" s="324">
        <v>1</v>
      </c>
      <c r="G1014" s="324">
        <v>24</v>
      </c>
      <c r="H1014" s="324" t="s">
        <v>568</v>
      </c>
      <c r="I1014" s="324">
        <v>150000</v>
      </c>
      <c r="J1014" s="324">
        <v>150000</v>
      </c>
      <c r="K1014" s="324" t="s">
        <v>1415</v>
      </c>
      <c r="M1014" s="324">
        <v>450000</v>
      </c>
      <c r="N1014" s="324">
        <v>150000</v>
      </c>
      <c r="O1014" s="324">
        <v>300000</v>
      </c>
      <c r="U1014" s="324" t="s">
        <v>1415</v>
      </c>
      <c r="V1014" s="324" t="s">
        <v>569</v>
      </c>
      <c r="X1014" s="324" t="s">
        <v>259</v>
      </c>
      <c r="Y1014" s="324" t="s">
        <v>260</v>
      </c>
      <c r="Z1014" s="324" t="s">
        <v>261</v>
      </c>
    </row>
    <row r="1015" spans="1:26" s="324" customFormat="1" ht="0.65" hidden="1" customHeight="1">
      <c r="A1015" s="324">
        <v>4099</v>
      </c>
      <c r="F1015" s="324">
        <v>1</v>
      </c>
      <c r="G1015" s="324">
        <v>25</v>
      </c>
      <c r="H1015" s="324" t="s">
        <v>570</v>
      </c>
      <c r="I1015" s="324">
        <v>150000</v>
      </c>
      <c r="J1015" s="324">
        <v>150000</v>
      </c>
      <c r="K1015" s="324" t="s">
        <v>1415</v>
      </c>
      <c r="M1015" s="324">
        <v>450000</v>
      </c>
      <c r="N1015" s="324">
        <v>150000</v>
      </c>
      <c r="O1015" s="324">
        <v>450000</v>
      </c>
      <c r="U1015" s="324" t="s">
        <v>1415</v>
      </c>
      <c r="V1015" s="324" t="s">
        <v>571</v>
      </c>
      <c r="X1015" s="324" t="s">
        <v>259</v>
      </c>
      <c r="Y1015" s="324" t="s">
        <v>260</v>
      </c>
      <c r="Z1015" s="324" t="s">
        <v>261</v>
      </c>
    </row>
    <row r="1016" spans="1:26" s="324" customFormat="1" ht="0.65" hidden="1" customHeight="1">
      <c r="A1016" s="324">
        <v>4100</v>
      </c>
      <c r="F1016" s="324">
        <v>1</v>
      </c>
      <c r="G1016" s="324">
        <v>26</v>
      </c>
      <c r="H1016" s="324" t="s">
        <v>572</v>
      </c>
      <c r="I1016" s="324">
        <v>125000</v>
      </c>
      <c r="J1016" s="324">
        <v>125000</v>
      </c>
      <c r="K1016" s="324" t="s">
        <v>1416</v>
      </c>
      <c r="M1016" s="324">
        <v>375000</v>
      </c>
      <c r="N1016" s="324">
        <v>125000</v>
      </c>
      <c r="O1016" s="324">
        <v>500000</v>
      </c>
      <c r="U1016" s="324" t="s">
        <v>1416</v>
      </c>
      <c r="V1016" s="324" t="s">
        <v>574</v>
      </c>
      <c r="X1016" s="324" t="s">
        <v>262</v>
      </c>
      <c r="Y1016" s="324" t="s">
        <v>263</v>
      </c>
      <c r="Z1016" s="324" t="s">
        <v>344</v>
      </c>
    </row>
    <row r="1017" spans="1:26" s="324" customFormat="1" ht="0.65" hidden="1" customHeight="1">
      <c r="A1017" s="324">
        <v>4101</v>
      </c>
      <c r="F1017" s="324">
        <v>1</v>
      </c>
      <c r="G1017" s="324">
        <v>27</v>
      </c>
      <c r="H1017" s="324" t="s">
        <v>575</v>
      </c>
      <c r="I1017" s="324">
        <v>125000</v>
      </c>
      <c r="J1017" s="324">
        <v>125000</v>
      </c>
      <c r="K1017" s="324" t="s">
        <v>1416</v>
      </c>
      <c r="M1017" s="324">
        <v>375000</v>
      </c>
      <c r="N1017" s="324">
        <v>125000</v>
      </c>
      <c r="O1017" s="324">
        <v>250000</v>
      </c>
      <c r="U1017" s="324" t="s">
        <v>1416</v>
      </c>
      <c r="V1017" s="324" t="s">
        <v>576</v>
      </c>
      <c r="X1017" s="324" t="s">
        <v>262</v>
      </c>
      <c r="Y1017" s="324" t="s">
        <v>263</v>
      </c>
      <c r="Z1017" s="324" t="s">
        <v>264</v>
      </c>
    </row>
    <row r="1018" spans="1:26" s="324" customFormat="1" ht="0.65" hidden="1" customHeight="1">
      <c r="A1018" s="324">
        <v>4102</v>
      </c>
      <c r="F1018" s="324">
        <v>1</v>
      </c>
      <c r="G1018" s="324">
        <v>28</v>
      </c>
      <c r="H1018" s="324" t="s">
        <v>577</v>
      </c>
      <c r="I1018" s="324">
        <v>125000</v>
      </c>
      <c r="J1018" s="324">
        <v>125000</v>
      </c>
      <c r="K1018" s="324" t="s">
        <v>1416</v>
      </c>
      <c r="M1018" s="324">
        <v>375000</v>
      </c>
      <c r="N1018" s="324">
        <v>125000</v>
      </c>
      <c r="O1018" s="324">
        <v>375000</v>
      </c>
      <c r="U1018" s="324" t="s">
        <v>1416</v>
      </c>
      <c r="V1018" s="324" t="s">
        <v>578</v>
      </c>
      <c r="X1018" s="324" t="s">
        <v>262</v>
      </c>
      <c r="Y1018" s="324" t="s">
        <v>263</v>
      </c>
      <c r="Z1018" s="324" t="s">
        <v>264</v>
      </c>
    </row>
    <row r="1019" spans="1:26" s="324" customFormat="1" ht="0.65" hidden="1" customHeight="1">
      <c r="A1019" s="324">
        <v>4103</v>
      </c>
      <c r="F1019" s="324">
        <v>1</v>
      </c>
      <c r="G1019" s="324">
        <v>29</v>
      </c>
      <c r="H1019" s="324" t="s">
        <v>579</v>
      </c>
      <c r="I1019" s="324">
        <v>25000</v>
      </c>
      <c r="J1019" s="324">
        <v>25000</v>
      </c>
      <c r="K1019" s="324" t="s">
        <v>1417</v>
      </c>
      <c r="M1019" s="324">
        <v>275000</v>
      </c>
      <c r="N1019" s="324">
        <v>0</v>
      </c>
      <c r="O1019" s="324">
        <v>150000</v>
      </c>
      <c r="U1019" s="324" t="s">
        <v>1417</v>
      </c>
      <c r="V1019" s="324" t="s">
        <v>581</v>
      </c>
      <c r="X1019" s="324" t="s">
        <v>265</v>
      </c>
      <c r="Y1019" s="324" t="s">
        <v>266</v>
      </c>
      <c r="Z1019" s="324" t="s">
        <v>281</v>
      </c>
    </row>
    <row r="1020" spans="1:26" s="324" customFormat="1" ht="0.65" hidden="1" customHeight="1">
      <c r="A1020" s="324">
        <v>4104</v>
      </c>
      <c r="F1020" s="324">
        <v>1</v>
      </c>
      <c r="G1020" s="324">
        <v>30</v>
      </c>
      <c r="H1020" s="324" t="s">
        <v>582</v>
      </c>
      <c r="I1020" s="324">
        <v>25000</v>
      </c>
      <c r="J1020" s="324">
        <v>25000</v>
      </c>
      <c r="K1020" s="324" t="s">
        <v>1417</v>
      </c>
      <c r="M1020" s="324">
        <v>275000</v>
      </c>
      <c r="N1020" s="324">
        <v>0</v>
      </c>
      <c r="O1020" s="324">
        <v>150000</v>
      </c>
      <c r="U1020" s="324" t="s">
        <v>1417</v>
      </c>
      <c r="V1020" s="324" t="s">
        <v>583</v>
      </c>
      <c r="X1020" s="324" t="s">
        <v>265</v>
      </c>
      <c r="Y1020" s="324" t="s">
        <v>266</v>
      </c>
      <c r="Z1020" s="324" t="s">
        <v>281</v>
      </c>
    </row>
    <row r="1021" spans="1:26" s="324" customFormat="1" ht="0.65" hidden="1" customHeight="1">
      <c r="A1021" s="324">
        <v>4105</v>
      </c>
      <c r="F1021" s="324">
        <v>1</v>
      </c>
      <c r="G1021" s="324">
        <v>31</v>
      </c>
      <c r="H1021" s="324" t="s">
        <v>584</v>
      </c>
      <c r="I1021" s="324">
        <v>25000</v>
      </c>
      <c r="J1021" s="324">
        <v>25000</v>
      </c>
      <c r="K1021" s="324" t="s">
        <v>1417</v>
      </c>
      <c r="M1021" s="324">
        <v>275000</v>
      </c>
      <c r="N1021" s="324">
        <v>0</v>
      </c>
      <c r="O1021" s="324">
        <v>150000</v>
      </c>
      <c r="U1021" s="324" t="s">
        <v>1417</v>
      </c>
      <c r="V1021" s="324" t="s">
        <v>585</v>
      </c>
      <c r="X1021" s="324" t="s">
        <v>265</v>
      </c>
      <c r="Y1021" s="324" t="s">
        <v>266</v>
      </c>
      <c r="Z1021" s="324" t="s">
        <v>281</v>
      </c>
    </row>
    <row r="1022" spans="1:26" s="324" customFormat="1" ht="0.65" hidden="1" customHeight="1">
      <c r="A1022" s="324">
        <v>4106</v>
      </c>
      <c r="F1022" s="324">
        <v>1</v>
      </c>
      <c r="G1022" s="324">
        <v>32</v>
      </c>
      <c r="H1022" s="324" t="s">
        <v>586</v>
      </c>
      <c r="I1022" s="324">
        <v>25000</v>
      </c>
      <c r="J1022" s="324">
        <v>25000</v>
      </c>
      <c r="K1022" s="324" t="s">
        <v>1418</v>
      </c>
      <c r="U1022" s="324" t="s">
        <v>1418</v>
      </c>
      <c r="V1022" s="324" t="s">
        <v>588</v>
      </c>
    </row>
    <row r="1023" spans="1:26" s="324" customFormat="1" ht="0.65" hidden="1" customHeight="1">
      <c r="A1023" s="324">
        <v>4107</v>
      </c>
      <c r="F1023" s="324">
        <v>1</v>
      </c>
      <c r="G1023" s="324">
        <v>33</v>
      </c>
      <c r="H1023" s="324" t="s">
        <v>589</v>
      </c>
      <c r="I1023" s="324">
        <v>0</v>
      </c>
      <c r="J1023" s="324">
        <v>0</v>
      </c>
      <c r="K1023" s="324" t="s">
        <v>1405</v>
      </c>
      <c r="M1023" s="324">
        <v>25000</v>
      </c>
      <c r="N1023" s="324">
        <v>50000</v>
      </c>
      <c r="U1023" s="324" t="s">
        <v>1405</v>
      </c>
      <c r="V1023" s="324" t="s">
        <v>507</v>
      </c>
      <c r="X1023" s="324" t="s">
        <v>267</v>
      </c>
      <c r="Y1023" s="324" t="s">
        <v>268</v>
      </c>
    </row>
    <row r="1024" spans="1:26" s="324" customFormat="1" ht="0.65" hidden="1" customHeight="1">
      <c r="A1024" s="324">
        <v>4108</v>
      </c>
      <c r="F1024" s="324">
        <v>1</v>
      </c>
      <c r="G1024" s="324">
        <v>34</v>
      </c>
      <c r="H1024" s="324" t="s">
        <v>590</v>
      </c>
      <c r="I1024" s="324">
        <v>0</v>
      </c>
      <c r="J1024" s="324">
        <v>0</v>
      </c>
      <c r="K1024" s="324" t="s">
        <v>1405</v>
      </c>
      <c r="M1024" s="324">
        <v>25000</v>
      </c>
      <c r="N1024" s="324">
        <v>50000</v>
      </c>
      <c r="U1024" s="324" t="s">
        <v>1405</v>
      </c>
      <c r="V1024" s="324" t="s">
        <v>591</v>
      </c>
      <c r="X1024" s="324" t="s">
        <v>267</v>
      </c>
      <c r="Y1024" s="324" t="s">
        <v>268</v>
      </c>
    </row>
    <row r="1025" spans="1:28" s="324" customFormat="1" ht="0.65" hidden="1" customHeight="1">
      <c r="A1025" s="324">
        <v>4109</v>
      </c>
      <c r="F1025" s="324">
        <v>1</v>
      </c>
      <c r="G1025" s="324">
        <v>35</v>
      </c>
      <c r="H1025" s="324" t="s">
        <v>592</v>
      </c>
      <c r="I1025" s="324">
        <v>46875</v>
      </c>
      <c r="J1025" s="324">
        <v>46875</v>
      </c>
      <c r="K1025" s="324" t="s">
        <v>1419</v>
      </c>
      <c r="M1025" s="324">
        <v>96875</v>
      </c>
      <c r="N1025" s="324">
        <v>71875</v>
      </c>
      <c r="U1025" s="324" t="s">
        <v>1419</v>
      </c>
      <c r="V1025" s="324" t="s">
        <v>594</v>
      </c>
      <c r="X1025" s="324" t="s">
        <v>269</v>
      </c>
      <c r="Y1025" s="324" t="s">
        <v>282</v>
      </c>
    </row>
    <row r="1026" spans="1:28" s="324" customFormat="1" ht="0.65" hidden="1" customHeight="1">
      <c r="A1026" s="324">
        <v>4110</v>
      </c>
      <c r="F1026" s="324">
        <v>1</v>
      </c>
      <c r="G1026" s="324">
        <v>36</v>
      </c>
      <c r="H1026" s="324" t="s">
        <v>595</v>
      </c>
      <c r="I1026" s="324">
        <v>71875</v>
      </c>
      <c r="J1026" s="324">
        <v>71875</v>
      </c>
      <c r="K1026" s="324" t="s">
        <v>1420</v>
      </c>
      <c r="M1026" s="324">
        <v>46875</v>
      </c>
      <c r="U1026" s="324" t="s">
        <v>1420</v>
      </c>
      <c r="V1026" s="324" t="s">
        <v>597</v>
      </c>
      <c r="X1026" s="324" t="s">
        <v>270</v>
      </c>
    </row>
    <row r="1027" spans="1:28" s="324" customFormat="1" ht="0.65" hidden="1" customHeight="1">
      <c r="A1027" s="324">
        <v>4111</v>
      </c>
      <c r="F1027" s="324">
        <v>1</v>
      </c>
      <c r="G1027" s="324">
        <v>37</v>
      </c>
      <c r="H1027" s="324" t="s">
        <v>598</v>
      </c>
      <c r="I1027" s="324">
        <v>71875</v>
      </c>
      <c r="J1027" s="324">
        <v>71875</v>
      </c>
      <c r="K1027" s="324" t="s">
        <v>1420</v>
      </c>
      <c r="M1027" s="324">
        <v>46875</v>
      </c>
      <c r="U1027" s="324" t="s">
        <v>1420</v>
      </c>
      <c r="V1027" s="324" t="s">
        <v>600</v>
      </c>
      <c r="X1027" s="324" t="s">
        <v>270</v>
      </c>
    </row>
    <row r="1028" spans="1:28" s="324" customFormat="1" ht="0.65" hidden="1" customHeight="1">
      <c r="A1028" s="324">
        <v>4112</v>
      </c>
      <c r="F1028" s="324">
        <v>1</v>
      </c>
      <c r="G1028" s="324">
        <v>38</v>
      </c>
      <c r="H1028" s="324" t="s">
        <v>491</v>
      </c>
      <c r="I1028" s="324">
        <v>114062.5</v>
      </c>
      <c r="J1028" s="324">
        <v>114062.5</v>
      </c>
      <c r="K1028" s="324" t="s">
        <v>1421</v>
      </c>
      <c r="M1028" s="324">
        <v>56250</v>
      </c>
      <c r="N1028" s="324">
        <v>42187.5</v>
      </c>
      <c r="O1028" s="324">
        <v>139062.5</v>
      </c>
      <c r="P1028" s="324">
        <v>162500</v>
      </c>
      <c r="Q1028" s="324">
        <v>31250</v>
      </c>
      <c r="U1028" s="324" t="s">
        <v>1421</v>
      </c>
      <c r="V1028" s="324" t="s">
        <v>602</v>
      </c>
      <c r="X1028" s="324" t="s">
        <v>271</v>
      </c>
      <c r="Y1028" s="324" t="s">
        <v>272</v>
      </c>
      <c r="Z1028" s="324" t="s">
        <v>273</v>
      </c>
      <c r="AA1028" s="324" t="s">
        <v>283</v>
      </c>
      <c r="AB1028" s="324" t="s">
        <v>345</v>
      </c>
    </row>
    <row r="1029" spans="1:28" s="324" customFormat="1" ht="0.65" hidden="1" customHeight="1">
      <c r="A1029" s="324">
        <v>4113</v>
      </c>
      <c r="F1029" s="324">
        <v>1</v>
      </c>
      <c r="G1029" s="324">
        <v>39</v>
      </c>
      <c r="H1029" s="324" t="s">
        <v>493</v>
      </c>
      <c r="I1029" s="324">
        <v>25000</v>
      </c>
      <c r="J1029" s="324">
        <v>25000</v>
      </c>
      <c r="K1029" s="324" t="s">
        <v>1422</v>
      </c>
      <c r="M1029" s="324">
        <v>0</v>
      </c>
      <c r="U1029" s="324" t="s">
        <v>1422</v>
      </c>
      <c r="V1029" s="324" t="s">
        <v>604</v>
      </c>
      <c r="X1029" s="324" t="s">
        <v>289</v>
      </c>
    </row>
    <row r="1030" spans="1:28" s="324" customFormat="1" ht="0.65" hidden="1" customHeight="1">
      <c r="A1030" s="324">
        <v>4114</v>
      </c>
      <c r="F1030" s="324">
        <v>1</v>
      </c>
      <c r="G1030" s="324">
        <v>40</v>
      </c>
      <c r="H1030" s="324" t="s">
        <v>494</v>
      </c>
      <c r="I1030" s="324">
        <v>139062.5</v>
      </c>
      <c r="J1030" s="324">
        <v>139062.5</v>
      </c>
      <c r="K1030" s="324" t="s">
        <v>1423</v>
      </c>
      <c r="M1030" s="324">
        <v>89062.5</v>
      </c>
      <c r="N1030" s="324">
        <v>114062.5</v>
      </c>
      <c r="O1030" s="324">
        <v>25000</v>
      </c>
      <c r="U1030" s="324" t="s">
        <v>1423</v>
      </c>
      <c r="V1030" s="324" t="s">
        <v>606</v>
      </c>
      <c r="X1030" s="324" t="s">
        <v>274</v>
      </c>
      <c r="Y1030" s="324" t="s">
        <v>284</v>
      </c>
      <c r="Z1030" s="324" t="s">
        <v>285</v>
      </c>
    </row>
    <row r="1031" spans="1:28" s="324" customFormat="1" ht="0.65" hidden="1" customHeight="1">
      <c r="A1031" s="324">
        <v>4115</v>
      </c>
      <c r="F1031" s="324">
        <v>1</v>
      </c>
      <c r="G1031" s="324">
        <v>41</v>
      </c>
      <c r="H1031" s="324" t="s">
        <v>607</v>
      </c>
      <c r="I1031" s="324">
        <v>-306250</v>
      </c>
      <c r="J1031" s="324">
        <v>-306250</v>
      </c>
      <c r="K1031" s="324" t="s">
        <v>1424</v>
      </c>
      <c r="M1031" s="324">
        <v>306250</v>
      </c>
      <c r="U1031" s="324" t="s">
        <v>1424</v>
      </c>
      <c r="V1031" s="324" t="s">
        <v>609</v>
      </c>
      <c r="X1031" s="324" t="s">
        <v>275</v>
      </c>
    </row>
    <row r="1032" spans="1:28" s="324" customFormat="1" ht="0.65" hidden="1" customHeight="1">
      <c r="A1032" s="324">
        <v>4116</v>
      </c>
      <c r="F1032" s="324">
        <v>1</v>
      </c>
      <c r="G1032" s="324">
        <v>42</v>
      </c>
      <c r="H1032" s="324" t="s">
        <v>610</v>
      </c>
      <c r="I1032" s="324">
        <v>46875</v>
      </c>
      <c r="J1032" s="324">
        <v>46875</v>
      </c>
      <c r="K1032" s="324" t="s">
        <v>1419</v>
      </c>
      <c r="U1032" s="324" t="s">
        <v>1419</v>
      </c>
      <c r="V1032" s="324" t="s">
        <v>594</v>
      </c>
    </row>
    <row r="1033" spans="1:28" s="324" customFormat="1" ht="0.65" hidden="1" customHeight="1">
      <c r="A1033" s="324">
        <v>4117</v>
      </c>
      <c r="F1033" s="324">
        <v>1</v>
      </c>
      <c r="G1033" s="324">
        <v>43</v>
      </c>
      <c r="H1033" s="324" t="s">
        <v>611</v>
      </c>
      <c r="I1033" s="324">
        <v>71875</v>
      </c>
      <c r="J1033" s="324">
        <v>71875</v>
      </c>
      <c r="K1033" s="324" t="s">
        <v>1420</v>
      </c>
      <c r="U1033" s="324" t="s">
        <v>1420</v>
      </c>
      <c r="V1033" s="324" t="s">
        <v>597</v>
      </c>
    </row>
    <row r="1034" spans="1:28" s="324" customFormat="1" ht="0.65" hidden="1" customHeight="1">
      <c r="A1034" s="324">
        <v>4118</v>
      </c>
      <c r="F1034" s="324">
        <v>1</v>
      </c>
      <c r="G1034" s="324">
        <v>44</v>
      </c>
      <c r="H1034" s="324" t="s">
        <v>612</v>
      </c>
      <c r="I1034" s="324">
        <v>210937.5</v>
      </c>
      <c r="J1034" s="324">
        <v>210937.5</v>
      </c>
      <c r="K1034" s="324" t="s">
        <v>1425</v>
      </c>
      <c r="M1034" s="324">
        <v>71875</v>
      </c>
      <c r="N1034" s="324">
        <v>-67187.5</v>
      </c>
      <c r="U1034" s="324" t="s">
        <v>1425</v>
      </c>
      <c r="V1034" s="324" t="s">
        <v>614</v>
      </c>
      <c r="X1034" s="324" t="s">
        <v>276</v>
      </c>
      <c r="Y1034" s="324" t="s">
        <v>346</v>
      </c>
    </row>
    <row r="1035" spans="1:28" s="324" customFormat="1" ht="0.65" hidden="1" customHeight="1">
      <c r="A1035" s="324">
        <v>4119</v>
      </c>
      <c r="F1035" s="324">
        <v>1</v>
      </c>
      <c r="G1035" s="324">
        <v>45</v>
      </c>
      <c r="H1035" s="324" t="s">
        <v>414</v>
      </c>
      <c r="I1035" s="324">
        <v>0.06</v>
      </c>
      <c r="J1035" s="324">
        <v>0.06</v>
      </c>
      <c r="K1035" s="324" t="s">
        <v>1426</v>
      </c>
      <c r="M1035" s="324">
        <v>0.08</v>
      </c>
      <c r="N1035" s="324">
        <v>400000</v>
      </c>
      <c r="O1035" s="324">
        <v>0.02</v>
      </c>
      <c r="P1035" s="324">
        <v>0.1</v>
      </c>
      <c r="U1035" s="324" t="s">
        <v>1426</v>
      </c>
      <c r="V1035" s="324" t="s">
        <v>616</v>
      </c>
      <c r="X1035" s="324" t="s">
        <v>277</v>
      </c>
      <c r="Y1035" s="324" t="s">
        <v>347</v>
      </c>
      <c r="Z1035" s="324" t="s">
        <v>348</v>
      </c>
      <c r="AA1035" s="324" t="s">
        <v>349</v>
      </c>
    </row>
    <row r="1036" spans="1:28" s="324" customFormat="1" ht="0.65" hidden="1" customHeight="1">
      <c r="A1036" s="324">
        <v>4120</v>
      </c>
      <c r="F1036" s="324">
        <v>1</v>
      </c>
      <c r="G1036" s="324">
        <v>46</v>
      </c>
      <c r="H1036" s="324" t="s">
        <v>415</v>
      </c>
      <c r="I1036" s="324">
        <v>0.11</v>
      </c>
      <c r="J1036" s="324">
        <v>0.11</v>
      </c>
      <c r="K1036" s="324" t="s">
        <v>1427</v>
      </c>
      <c r="M1036" s="324">
        <v>0.1</v>
      </c>
      <c r="N1036" s="324">
        <v>500000</v>
      </c>
      <c r="O1036" s="324">
        <v>9.0000000000000011E-2</v>
      </c>
      <c r="U1036" s="324" t="s">
        <v>1427</v>
      </c>
      <c r="V1036" s="324" t="s">
        <v>618</v>
      </c>
      <c r="X1036" s="324" t="s">
        <v>278</v>
      </c>
      <c r="Y1036" s="324" t="s">
        <v>350</v>
      </c>
      <c r="Z1036" s="324" t="s">
        <v>351</v>
      </c>
    </row>
    <row r="1037" spans="1:28" s="324" customFormat="1" ht="0.65" hidden="1" customHeight="1">
      <c r="A1037" s="324">
        <v>4121</v>
      </c>
      <c r="F1037" s="324">
        <v>1</v>
      </c>
      <c r="G1037" s="324">
        <v>47</v>
      </c>
      <c r="H1037" s="324" t="s">
        <v>416</v>
      </c>
      <c r="I1037" s="324">
        <v>8.4999999999999992E-2</v>
      </c>
      <c r="J1037" s="324">
        <v>8.5000000000000006E-2</v>
      </c>
      <c r="K1037" s="324" t="s">
        <v>1428</v>
      </c>
      <c r="U1037" s="324" t="s">
        <v>1428</v>
      </c>
      <c r="V1037" s="324" t="s">
        <v>620</v>
      </c>
    </row>
    <row r="1038" spans="1:28" s="324" customFormat="1" ht="0.65" hidden="1" customHeight="1">
      <c r="A1038" s="324">
        <v>4122</v>
      </c>
      <c r="F1038" s="324">
        <v>1</v>
      </c>
      <c r="G1038" s="324">
        <v>48</v>
      </c>
      <c r="H1038" s="324" t="s">
        <v>13</v>
      </c>
      <c r="I1038" s="324">
        <v>-36847.959271750646</v>
      </c>
      <c r="J1038" s="324">
        <v>-36847.959271750646</v>
      </c>
      <c r="K1038" s="324" t="s">
        <v>1429</v>
      </c>
      <c r="M1038" s="324">
        <v>-20952.615246142785</v>
      </c>
      <c r="N1038" s="324">
        <v>-51449.225887684646</v>
      </c>
      <c r="O1038" s="324">
        <v>-33961.252785023637</v>
      </c>
      <c r="P1038" s="324">
        <v>269402.04072824935</v>
      </c>
      <c r="Q1038" s="324">
        <v>575652.04072824935</v>
      </c>
      <c r="U1038" s="324" t="s">
        <v>1429</v>
      </c>
      <c r="V1038" s="324" t="s">
        <v>622</v>
      </c>
      <c r="X1038" s="324" t="s">
        <v>286</v>
      </c>
      <c r="Y1038" s="324" t="s">
        <v>287</v>
      </c>
      <c r="Z1038" s="324" t="s">
        <v>288</v>
      </c>
      <c r="AA1038" s="324" t="s">
        <v>352</v>
      </c>
      <c r="AB1038" s="324" t="s">
        <v>353</v>
      </c>
    </row>
    <row r="1039" spans="1:28" s="324" customFormat="1" ht="0.65" hidden="1" customHeight="1">
      <c r="A1039" s="324">
        <v>4123</v>
      </c>
      <c r="F1039" s="324">
        <v>1</v>
      </c>
      <c r="G1039" s="324">
        <v>49</v>
      </c>
      <c r="H1039" s="324" t="s">
        <v>28</v>
      </c>
      <c r="I1039" s="324">
        <v>3.0062994449785885E-2</v>
      </c>
      <c r="J1039" s="324">
        <v>3.0062994449785885E-2</v>
      </c>
      <c r="K1039" s="324" t="s">
        <v>1430</v>
      </c>
      <c r="U1039" s="324" t="s">
        <v>1430</v>
      </c>
      <c r="V1039" s="324" t="s">
        <v>624</v>
      </c>
    </row>
    <row r="1040" spans="1:28" s="324" customFormat="1" ht="0.65" hidden="1" customHeight="1">
      <c r="A1040" s="324">
        <v>4124</v>
      </c>
      <c r="M1040" s="324">
        <v>1</v>
      </c>
      <c r="N1040" s="324">
        <v>2</v>
      </c>
      <c r="O1040" s="324">
        <v>3</v>
      </c>
      <c r="P1040" s="324">
        <v>4</v>
      </c>
      <c r="Q1040" s="324">
        <v>5</v>
      </c>
      <c r="R1040" s="324">
        <v>6</v>
      </c>
      <c r="S1040" s="324">
        <v>7</v>
      </c>
      <c r="T1040" s="324">
        <v>8</v>
      </c>
      <c r="U1040" s="324">
        <v>9</v>
      </c>
      <c r="V1040" s="324">
        <v>10</v>
      </c>
    </row>
    <row r="1041" spans="1:11" s="324" customFormat="1" ht="0.65" hidden="1" customHeight="1">
      <c r="A1041" s="324">
        <v>4125</v>
      </c>
    </row>
    <row r="1042" spans="1:11" s="324" customFormat="1" ht="0.65" hidden="1" customHeight="1">
      <c r="A1042" s="324">
        <v>4126</v>
      </c>
    </row>
    <row r="1043" spans="1:11" s="324" customFormat="1" ht="0.65" hidden="1" customHeight="1">
      <c r="A1043" s="324">
        <v>4127</v>
      </c>
      <c r="K1043" s="324" t="s">
        <v>211</v>
      </c>
    </row>
    <row r="1044" spans="1:11" s="324" customFormat="1" ht="0.65" hidden="1" customHeight="1">
      <c r="A1044" s="324">
        <v>4128</v>
      </c>
    </row>
    <row r="1045" spans="1:11" s="324" customFormat="1" ht="0.65" hidden="1" customHeight="1">
      <c r="A1045" s="324">
        <v>4129</v>
      </c>
    </row>
    <row r="1046" spans="1:11" s="324" customFormat="1" ht="0.65" hidden="1" customHeight="1">
      <c r="A1046" s="324">
        <v>4130</v>
      </c>
    </row>
    <row r="1047" spans="1:11" s="324" customFormat="1" ht="0.65" hidden="1" customHeight="1">
      <c r="A1047" s="324">
        <v>4131</v>
      </c>
    </row>
    <row r="1048" spans="1:11" s="324" customFormat="1" ht="0.65" hidden="1" customHeight="1">
      <c r="A1048" s="324">
        <v>4132</v>
      </c>
    </row>
    <row r="1049" spans="1:11" s="324" customFormat="1" ht="0.65" hidden="1" customHeight="1">
      <c r="A1049" s="324">
        <v>4133</v>
      </c>
    </row>
    <row r="1050" spans="1:11" s="324" customFormat="1" ht="0.65" hidden="1" customHeight="1">
      <c r="A1050" s="324">
        <v>4134</v>
      </c>
    </row>
    <row r="1051" spans="1:11" s="324" customFormat="1" ht="0.65" hidden="1" customHeight="1">
      <c r="A1051" s="324">
        <v>4135</v>
      </c>
    </row>
    <row r="1052" spans="1:11" s="324" customFormat="1" ht="0.65" hidden="1" customHeight="1">
      <c r="A1052" s="324">
        <v>4136</v>
      </c>
    </row>
    <row r="1053" spans="1:11" s="324" customFormat="1" ht="0.65" hidden="1" customHeight="1">
      <c r="A1053" s="324">
        <v>4137</v>
      </c>
    </row>
    <row r="1054" spans="1:11" s="324" customFormat="1" ht="0.65" hidden="1" customHeight="1">
      <c r="A1054" s="324">
        <v>4138</v>
      </c>
    </row>
    <row r="1055" spans="1:11" s="324" customFormat="1" ht="0.65" hidden="1" customHeight="1">
      <c r="A1055" s="324">
        <v>4139</v>
      </c>
    </row>
    <row r="1056" spans="1:11" s="324" customFormat="1" ht="0.65" hidden="1" customHeight="1">
      <c r="A1056" s="324">
        <v>4140</v>
      </c>
    </row>
    <row r="1057" spans="1:32" s="324" customFormat="1" ht="0.65" hidden="1" customHeight="1">
      <c r="A1057" s="324">
        <v>4141</v>
      </c>
    </row>
    <row r="1058" spans="1:32" s="324" customFormat="1" ht="0.65" hidden="1" customHeight="1">
      <c r="A1058" s="324">
        <v>4142</v>
      </c>
    </row>
    <row r="1059" spans="1:32" s="324" customFormat="1" ht="0.65" hidden="1" customHeight="1">
      <c r="A1059" s="324">
        <v>4143</v>
      </c>
    </row>
    <row r="1060" spans="1:32" s="324" customFormat="1" ht="0.65" hidden="1" customHeight="1">
      <c r="A1060" s="324">
        <v>4144</v>
      </c>
      <c r="U1060" s="324" t="s">
        <v>1431</v>
      </c>
    </row>
    <row r="1061" spans="1:32" s="324" customFormat="1" ht="0.65" hidden="1" customHeight="1">
      <c r="A1061" s="324">
        <v>4145</v>
      </c>
      <c r="G1061" s="324" t="s">
        <v>0</v>
      </c>
      <c r="H1061" s="324" t="s">
        <v>69</v>
      </c>
      <c r="I1061" s="324" t="s">
        <v>70</v>
      </c>
      <c r="J1061" s="324" t="s">
        <v>71</v>
      </c>
      <c r="K1061" s="324" t="s">
        <v>72</v>
      </c>
      <c r="L1061" s="324" t="s">
        <v>73</v>
      </c>
      <c r="M1061" s="324" t="s">
        <v>74</v>
      </c>
      <c r="N1061" s="324" t="s">
        <v>75</v>
      </c>
      <c r="O1061" s="324" t="s">
        <v>80</v>
      </c>
      <c r="P1061" s="324" t="s">
        <v>1</v>
      </c>
      <c r="V1061" s="324" t="s">
        <v>182</v>
      </c>
      <c r="W1061" s="324" t="s">
        <v>183</v>
      </c>
      <c r="X1061" s="324" t="s">
        <v>184</v>
      </c>
      <c r="Y1061" s="324" t="s">
        <v>185</v>
      </c>
    </row>
    <row r="1062" spans="1:32" s="324" customFormat="1" ht="0.65" hidden="1" customHeight="1">
      <c r="A1062" s="324">
        <v>4146</v>
      </c>
      <c r="G1062" s="324">
        <v>2022</v>
      </c>
      <c r="H1062" s="324">
        <v>0</v>
      </c>
      <c r="I1062" s="324">
        <v>0</v>
      </c>
      <c r="J1062" s="324">
        <v>0</v>
      </c>
      <c r="K1062" s="324">
        <v>0</v>
      </c>
      <c r="L1062" s="324">
        <v>0</v>
      </c>
      <c r="M1062" s="324">
        <v>0</v>
      </c>
      <c r="N1062" s="324">
        <v>0</v>
      </c>
      <c r="O1062" s="324">
        <v>0</v>
      </c>
      <c r="P1062" s="324">
        <v>-306250</v>
      </c>
      <c r="T1062" s="324">
        <v>1</v>
      </c>
      <c r="U1062" s="324" t="s">
        <v>153</v>
      </c>
      <c r="V1062" s="324" t="s">
        <v>178</v>
      </c>
      <c r="W1062" s="324">
        <v>-37703.367922213103</v>
      </c>
      <c r="X1062" s="324">
        <v>-855.40865046245744</v>
      </c>
      <c r="Y1062" s="324">
        <v>-855.40865046249019</v>
      </c>
      <c r="AA1062" s="324" t="s">
        <v>188</v>
      </c>
      <c r="AB1062" s="324" t="s">
        <v>1432</v>
      </c>
      <c r="AD1062" s="324">
        <v>-306250</v>
      </c>
      <c r="AE1062" s="324">
        <v>-36847.959271750646</v>
      </c>
      <c r="AF1062" s="324">
        <v>-306250</v>
      </c>
    </row>
    <row r="1063" spans="1:32" s="324" customFormat="1" ht="0.65" hidden="1" customHeight="1">
      <c r="A1063" s="324">
        <v>4147</v>
      </c>
      <c r="G1063" s="324">
        <v>2023</v>
      </c>
      <c r="H1063" s="324">
        <v>600000</v>
      </c>
      <c r="I1063" s="324">
        <v>500000</v>
      </c>
      <c r="J1063" s="324">
        <v>-12500</v>
      </c>
      <c r="K1063" s="324">
        <v>112500</v>
      </c>
      <c r="L1063" s="324">
        <v>28125</v>
      </c>
      <c r="M1063" s="324">
        <v>84375</v>
      </c>
      <c r="N1063" s="324">
        <v>71875</v>
      </c>
      <c r="O1063" s="324">
        <v>46875</v>
      </c>
      <c r="P1063" s="324">
        <v>46875</v>
      </c>
      <c r="T1063" s="324">
        <v>2</v>
      </c>
      <c r="U1063" s="324" t="s">
        <v>154</v>
      </c>
      <c r="V1063" s="324" t="s">
        <v>178</v>
      </c>
      <c r="W1063" s="324">
        <v>-76804.985446227714</v>
      </c>
      <c r="X1063" s="324">
        <v>-39957.026174477069</v>
      </c>
      <c r="Y1063" s="324">
        <v>-39957.026174477141</v>
      </c>
      <c r="AA1063" s="324" t="s">
        <v>197</v>
      </c>
      <c r="AB1063" s="324" t="s">
        <v>1433</v>
      </c>
      <c r="AD1063" s="324">
        <v>46875</v>
      </c>
      <c r="AF1063" s="324">
        <v>46875</v>
      </c>
    </row>
    <row r="1064" spans="1:32" s="324" customFormat="1" ht="0.65" hidden="1" customHeight="1">
      <c r="A1064" s="324">
        <v>4148</v>
      </c>
      <c r="G1064" s="324">
        <v>2024</v>
      </c>
      <c r="H1064" s="324">
        <v>600000</v>
      </c>
      <c r="I1064" s="324">
        <v>500000</v>
      </c>
      <c r="J1064" s="324">
        <v>-12500</v>
      </c>
      <c r="K1064" s="324">
        <v>112500</v>
      </c>
      <c r="L1064" s="324">
        <v>28125</v>
      </c>
      <c r="M1064" s="324">
        <v>84375</v>
      </c>
      <c r="N1064" s="324">
        <v>71875</v>
      </c>
      <c r="O1064" s="324">
        <v>71875</v>
      </c>
      <c r="P1064" s="324">
        <v>71875</v>
      </c>
      <c r="T1064" s="324">
        <v>3</v>
      </c>
      <c r="U1064" s="324" t="s">
        <v>155</v>
      </c>
      <c r="V1064" s="324" t="s">
        <v>178</v>
      </c>
      <c r="W1064" s="324">
        <v>-42719.770009981061</v>
      </c>
      <c r="X1064" s="324">
        <v>-5871.8107382304152</v>
      </c>
      <c r="Y1064" s="324">
        <v>-5871.8107382304688</v>
      </c>
      <c r="AA1064" s="324" t="s">
        <v>191</v>
      </c>
      <c r="AB1064" s="324" t="s">
        <v>1434</v>
      </c>
      <c r="AD1064" s="324">
        <v>71875</v>
      </c>
      <c r="AF1064" s="324">
        <v>71875</v>
      </c>
    </row>
    <row r="1065" spans="1:32" s="324" customFormat="1" ht="0.65" hidden="1" customHeight="1">
      <c r="A1065" s="324">
        <v>4149</v>
      </c>
      <c r="G1065" s="324">
        <v>2025</v>
      </c>
      <c r="H1065" s="324">
        <v>600000</v>
      </c>
      <c r="I1065" s="324">
        <v>500000</v>
      </c>
      <c r="J1065" s="324">
        <v>-12500</v>
      </c>
      <c r="K1065" s="324">
        <v>112500</v>
      </c>
      <c r="L1065" s="324">
        <v>28125</v>
      </c>
      <c r="M1065" s="324">
        <v>84375</v>
      </c>
      <c r="N1065" s="324">
        <v>71875</v>
      </c>
      <c r="O1065" s="324">
        <v>71875</v>
      </c>
      <c r="P1065" s="324">
        <v>210937.5</v>
      </c>
      <c r="T1065" s="324">
        <v>4</v>
      </c>
      <c r="U1065" s="324" t="s">
        <v>156</v>
      </c>
      <c r="V1065" s="324" t="s">
        <v>179</v>
      </c>
      <c r="W1065" s="324">
        <v>-23722.959271750646</v>
      </c>
      <c r="X1065" s="324">
        <v>13125</v>
      </c>
      <c r="Y1065" s="324">
        <v>13125.000000000022</v>
      </c>
      <c r="AA1065" s="324" t="s">
        <v>198</v>
      </c>
      <c r="AB1065" s="324" t="s">
        <v>1435</v>
      </c>
      <c r="AD1065" s="324">
        <v>210937.5</v>
      </c>
      <c r="AF1065" s="324">
        <v>210937.5</v>
      </c>
    </row>
    <row r="1066" spans="1:32" s="324" customFormat="1" ht="0.65" hidden="1" customHeight="1">
      <c r="A1066" s="324">
        <v>4150</v>
      </c>
      <c r="T1066" s="324">
        <v>5</v>
      </c>
      <c r="U1066" s="324" t="s">
        <v>157</v>
      </c>
      <c r="V1066" s="324" t="s">
        <v>178</v>
      </c>
      <c r="W1066" s="324">
        <v>-37917.220084828732</v>
      </c>
      <c r="X1066" s="324">
        <v>-1069.2608130780864</v>
      </c>
      <c r="Y1066" s="324">
        <v>-1069.2608130781045</v>
      </c>
      <c r="AA1066" s="324" t="s">
        <v>192</v>
      </c>
      <c r="AB1066" s="324" t="s">
        <v>1436</v>
      </c>
      <c r="AD1066" s="324">
        <v>8.5000000000000006E-2</v>
      </c>
      <c r="AF1066" s="324">
        <v>8.5000000000000006E-2</v>
      </c>
    </row>
    <row r="1067" spans="1:32" s="324" customFormat="1" ht="0.65" hidden="1" customHeight="1">
      <c r="A1067" s="324">
        <v>4151</v>
      </c>
      <c r="G1067" s="324" t="s">
        <v>0</v>
      </c>
      <c r="H1067" s="324" t="s">
        <v>76</v>
      </c>
      <c r="I1067" s="324" t="s">
        <v>77</v>
      </c>
      <c r="J1067" s="324" t="s">
        <v>78</v>
      </c>
      <c r="K1067" s="324" t="s">
        <v>79</v>
      </c>
      <c r="T1067" s="324">
        <v>6</v>
      </c>
      <c r="U1067" s="324" t="s">
        <v>158</v>
      </c>
      <c r="V1067" s="324" t="s">
        <v>179</v>
      </c>
      <c r="W1067" s="324">
        <v>-35811.913130866073</v>
      </c>
      <c r="X1067" s="324">
        <v>1036.0461408845731</v>
      </c>
      <c r="Y1067" s="324">
        <v>1036.0461408845083</v>
      </c>
      <c r="AA1067" s="324" t="s">
        <v>193</v>
      </c>
      <c r="AB1067" s="324" t="s">
        <v>1437</v>
      </c>
      <c r="AD1067" s="324">
        <v>-36847.959271750646</v>
      </c>
      <c r="AF1067" s="324">
        <v>-36847.959271750646</v>
      </c>
    </row>
    <row r="1068" spans="1:32" s="324" customFormat="1" ht="0.65" hidden="1" customHeight="1">
      <c r="A1068" s="324">
        <v>4152</v>
      </c>
      <c r="G1068" s="324">
        <v>2022</v>
      </c>
      <c r="H1068" s="324">
        <v>0</v>
      </c>
      <c r="I1068" s="324">
        <v>0</v>
      </c>
      <c r="J1068" s="324">
        <v>0</v>
      </c>
      <c r="K1068" s="324">
        <v>0</v>
      </c>
      <c r="M1068" s="324" t="s">
        <v>490</v>
      </c>
      <c r="N1068" s="324">
        <v>306250</v>
      </c>
      <c r="O1068" s="324" t="s">
        <v>124</v>
      </c>
      <c r="P1068" s="324">
        <v>0.06</v>
      </c>
      <c r="T1068" s="324">
        <v>7</v>
      </c>
      <c r="U1068" s="324" t="s">
        <v>159</v>
      </c>
      <c r="V1068" s="324" t="s">
        <v>178</v>
      </c>
      <c r="W1068" s="324">
        <v>-49972.959271750646</v>
      </c>
      <c r="X1068" s="324">
        <v>-13125</v>
      </c>
      <c r="Y1068" s="324">
        <v>-13125</v>
      </c>
      <c r="AA1068" s="324" t="s">
        <v>194</v>
      </c>
      <c r="AB1068" s="324" t="s">
        <v>1438</v>
      </c>
      <c r="AF1068" s="324">
        <v>-36847.959271750646</v>
      </c>
    </row>
    <row r="1069" spans="1:32" s="324" customFormat="1" ht="0.65" hidden="1" customHeight="1">
      <c r="A1069" s="324">
        <v>4153</v>
      </c>
      <c r="G1069" s="324">
        <v>2023</v>
      </c>
      <c r="H1069" s="324">
        <v>150000</v>
      </c>
      <c r="I1069" s="324">
        <v>125000</v>
      </c>
      <c r="J1069" s="324">
        <v>25000</v>
      </c>
      <c r="K1069" s="324">
        <v>25000</v>
      </c>
      <c r="M1069" s="324" t="s">
        <v>491</v>
      </c>
      <c r="N1069" s="324">
        <v>114062.5</v>
      </c>
      <c r="O1069" s="324" t="s">
        <v>125</v>
      </c>
      <c r="P1069" s="324">
        <v>0.11</v>
      </c>
      <c r="T1069" s="324">
        <v>8</v>
      </c>
      <c r="U1069" s="324" t="s">
        <v>160</v>
      </c>
      <c r="V1069" s="324" t="s">
        <v>178</v>
      </c>
      <c r="W1069" s="324">
        <v>-39416.876469726441</v>
      </c>
      <c r="X1069" s="324">
        <v>-2568.9171979757957</v>
      </c>
      <c r="Y1069" s="324">
        <v>-2568.9171979758344</v>
      </c>
      <c r="AA1069" s="324" t="s">
        <v>195</v>
      </c>
      <c r="AB1069" s="324" t="s">
        <v>1439</v>
      </c>
    </row>
    <row r="1070" spans="1:32" s="324" customFormat="1" ht="0.65" hidden="1" customHeight="1">
      <c r="A1070" s="324">
        <v>4154</v>
      </c>
      <c r="G1070" s="324">
        <v>2024</v>
      </c>
      <c r="H1070" s="324">
        <v>150000</v>
      </c>
      <c r="I1070" s="324">
        <v>125000</v>
      </c>
      <c r="J1070" s="324">
        <v>25000</v>
      </c>
      <c r="K1070" s="324">
        <v>0</v>
      </c>
      <c r="M1070" s="324" t="s">
        <v>493</v>
      </c>
      <c r="N1070" s="324">
        <v>25000</v>
      </c>
      <c r="O1070" s="324" t="s">
        <v>126</v>
      </c>
      <c r="P1070" s="324">
        <v>8.4999999999999992E-2</v>
      </c>
      <c r="T1070" s="324">
        <v>9</v>
      </c>
      <c r="U1070" s="324" t="s">
        <v>161</v>
      </c>
      <c r="V1070" s="324" t="s">
        <v>179</v>
      </c>
      <c r="W1070" s="324">
        <v>76001.784125226957</v>
      </c>
      <c r="X1070" s="324">
        <v>112849.7433969776</v>
      </c>
      <c r="Y1070" s="324">
        <v>112849.74339697754</v>
      </c>
      <c r="AA1070" s="324" t="s">
        <v>199</v>
      </c>
      <c r="AB1070" s="324" t="s">
        <v>1440</v>
      </c>
      <c r="AD1070" s="324">
        <v>-306250</v>
      </c>
    </row>
    <row r="1071" spans="1:32" s="324" customFormat="1" ht="0.65" hidden="1" customHeight="1">
      <c r="A1071" s="324">
        <v>4155</v>
      </c>
      <c r="G1071" s="324">
        <v>2025</v>
      </c>
      <c r="H1071" s="324">
        <v>150000</v>
      </c>
      <c r="I1071" s="324">
        <v>125000</v>
      </c>
      <c r="J1071" s="324">
        <v>25000</v>
      </c>
      <c r="K1071" s="324">
        <v>0</v>
      </c>
      <c r="M1071" s="324" t="s">
        <v>494</v>
      </c>
      <c r="N1071" s="324">
        <v>139062.5</v>
      </c>
      <c r="T1071" s="324">
        <v>10</v>
      </c>
      <c r="U1071" s="324" t="s">
        <v>162</v>
      </c>
      <c r="V1071" s="324" t="s">
        <v>178</v>
      </c>
      <c r="W1071" s="324">
        <v>-43785.503658969945</v>
      </c>
      <c r="X1071" s="324">
        <v>-6937.5443872192991</v>
      </c>
      <c r="Y1071" s="324">
        <v>-6937.5443872193064</v>
      </c>
      <c r="AA1071" s="324" t="s">
        <v>200</v>
      </c>
      <c r="AB1071" s="324" t="s">
        <v>1441</v>
      </c>
      <c r="AD1071" s="324">
        <v>46875</v>
      </c>
    </row>
    <row r="1072" spans="1:32" s="324" customFormat="1" ht="0.65" hidden="1" customHeight="1">
      <c r="A1072" s="324">
        <v>4156</v>
      </c>
      <c r="T1072" s="324">
        <v>11</v>
      </c>
      <c r="U1072" s="324" t="s">
        <v>163</v>
      </c>
      <c r="V1072" s="324" t="s">
        <v>179</v>
      </c>
      <c r="W1072" s="324">
        <v>57193.493559063994</v>
      </c>
      <c r="X1072" s="324">
        <v>94041.45283081464</v>
      </c>
      <c r="Y1072" s="324">
        <v>94041.452830814625</v>
      </c>
      <c r="AA1072" s="324" t="s">
        <v>201</v>
      </c>
      <c r="AB1072" s="324" t="s">
        <v>1442</v>
      </c>
      <c r="AD1072" s="324">
        <v>71875</v>
      </c>
    </row>
    <row r="1073" spans="1:36" s="324" customFormat="1" ht="0.65" hidden="1" customHeight="1">
      <c r="A1073" s="324">
        <v>4157</v>
      </c>
      <c r="O1073" s="324" t="s">
        <v>13</v>
      </c>
      <c r="P1073" s="324">
        <v>-36847.959271750646</v>
      </c>
      <c r="T1073" s="324">
        <v>12</v>
      </c>
      <c r="U1073" s="324" t="s">
        <v>164</v>
      </c>
      <c r="V1073" s="324" t="s">
        <v>178</v>
      </c>
      <c r="W1073" s="324">
        <v>-42629.246261099994</v>
      </c>
      <c r="X1073" s="324">
        <v>-5781.286989349348</v>
      </c>
      <c r="Y1073" s="324">
        <v>-5781.2869893494135</v>
      </c>
      <c r="AA1073" s="324" t="s">
        <v>196</v>
      </c>
      <c r="AB1073" s="324" t="s">
        <v>1406</v>
      </c>
      <c r="AD1073" s="324">
        <v>71875</v>
      </c>
    </row>
    <row r="1074" spans="1:36" s="324" customFormat="1" ht="0.65" hidden="1" customHeight="1">
      <c r="A1074" s="324">
        <v>4158</v>
      </c>
      <c r="O1074" s="324" t="s">
        <v>28</v>
      </c>
      <c r="P1074" s="324">
        <v>3.0062994449785885E-2</v>
      </c>
      <c r="T1074" s="324">
        <v>13</v>
      </c>
      <c r="U1074" s="324" t="s">
        <v>165</v>
      </c>
      <c r="V1074" s="324" t="s">
        <v>178</v>
      </c>
      <c r="W1074" s="324">
        <v>-38665.641661988979</v>
      </c>
      <c r="X1074" s="324">
        <v>-1817.682390238333</v>
      </c>
      <c r="Y1074" s="324">
        <v>-1817.6823902383173</v>
      </c>
      <c r="Z1074" s="324">
        <v>8.7999999999999995E-2</v>
      </c>
      <c r="AA1074" s="324" t="s">
        <v>202</v>
      </c>
      <c r="AB1074" s="324" t="s">
        <v>1443</v>
      </c>
      <c r="AD1074" s="324">
        <v>214062.5</v>
      </c>
    </row>
    <row r="1075" spans="1:36" s="324" customFormat="1" ht="0.65" hidden="1" customHeight="1">
      <c r="A1075" s="324">
        <v>4159</v>
      </c>
      <c r="O1075" s="324" t="s">
        <v>29</v>
      </c>
      <c r="P1075" s="324">
        <v>-0.12031986700979802</v>
      </c>
      <c r="T1075" s="324">
        <v>14</v>
      </c>
      <c r="U1075" s="324" t="s">
        <v>166</v>
      </c>
      <c r="V1075" s="324" t="s">
        <v>179</v>
      </c>
      <c r="W1075" s="324">
        <v>-33777.006172839552</v>
      </c>
      <c r="X1075" s="324">
        <v>3070.9530989110935</v>
      </c>
      <c r="Y1075" s="324">
        <v>3070.9530989110976</v>
      </c>
      <c r="Z1075" s="324">
        <v>0.08</v>
      </c>
      <c r="AA1075" s="324" t="s">
        <v>189</v>
      </c>
      <c r="AB1075" s="324" t="s">
        <v>1444</v>
      </c>
      <c r="AD1075" s="324">
        <v>8.5000000000000006E-2</v>
      </c>
    </row>
    <row r="1076" spans="1:36" s="324" customFormat="1" ht="0.65" hidden="1" customHeight="1">
      <c r="A1076" s="324">
        <v>4160</v>
      </c>
      <c r="O1076" s="324" t="s">
        <v>30</v>
      </c>
      <c r="P1076" s="324">
        <v>3</v>
      </c>
      <c r="T1076" s="324">
        <v>15</v>
      </c>
      <c r="U1076" s="324" t="s">
        <v>167</v>
      </c>
      <c r="V1076" s="324" t="s">
        <v>178</v>
      </c>
      <c r="W1076" s="324">
        <v>-39867.210502622009</v>
      </c>
      <c r="X1076" s="324">
        <v>-3019.2512308713631</v>
      </c>
      <c r="Y1076" s="324">
        <v>-3019.2512308713408</v>
      </c>
      <c r="Z1076" s="324">
        <v>0.09</v>
      </c>
      <c r="AA1076" s="324" t="s">
        <v>190</v>
      </c>
      <c r="AB1076" s="324" t="s">
        <v>1445</v>
      </c>
      <c r="AD1076" s="324">
        <v>8740.8785163348075</v>
      </c>
    </row>
    <row r="1077" spans="1:36" s="324" customFormat="1" ht="0.65" hidden="1" customHeight="1">
      <c r="A1077" s="324">
        <v>4161</v>
      </c>
      <c r="T1077" s="324">
        <v>16</v>
      </c>
      <c r="U1077" s="324" t="s">
        <v>168</v>
      </c>
      <c r="V1077" s="324" t="s">
        <v>181</v>
      </c>
      <c r="W1077" s="324">
        <v>-34659.763750390674</v>
      </c>
      <c r="X1077" s="324">
        <v>2188.1955213599722</v>
      </c>
      <c r="Y1077" s="324">
        <v>2188.1955213599549</v>
      </c>
      <c r="Z1077" s="324">
        <v>8.1428571428571433E-2</v>
      </c>
      <c r="AA1077" s="324" t="s">
        <v>427</v>
      </c>
      <c r="AB1077" s="324" t="s">
        <v>1446</v>
      </c>
      <c r="AD1077" s="324">
        <v>8740.8785163348075</v>
      </c>
    </row>
    <row r="1078" spans="1:36" s="324" customFormat="1" ht="0.65" hidden="1" customHeight="1">
      <c r="A1078" s="324">
        <v>4162</v>
      </c>
      <c r="P1078" s="324">
        <v>1</v>
      </c>
      <c r="T1078" s="324">
        <v>17</v>
      </c>
      <c r="U1078" s="324" t="s">
        <v>169</v>
      </c>
      <c r="V1078" s="324" t="s">
        <v>178</v>
      </c>
      <c r="W1078" s="324">
        <v>-44301.595683677355</v>
      </c>
      <c r="X1078" s="324">
        <v>-7453.6364119267091</v>
      </c>
      <c r="Y1078" s="324">
        <v>-7453.6364119266791</v>
      </c>
      <c r="Z1078" s="324">
        <v>9.7500000000000003E-2</v>
      </c>
      <c r="AA1078" s="324" t="s">
        <v>425</v>
      </c>
      <c r="AB1078" s="324" t="s">
        <v>1447</v>
      </c>
    </row>
    <row r="1079" spans="1:36" s="324" customFormat="1" ht="0.65" hidden="1" customHeight="1">
      <c r="A1079" s="324">
        <v>4163</v>
      </c>
      <c r="H1079" s="324">
        <v>1</v>
      </c>
      <c r="I1079" s="324">
        <v>1</v>
      </c>
      <c r="J1079" s="324">
        <v>1</v>
      </c>
      <c r="K1079" s="324">
        <v>1</v>
      </c>
      <c r="L1079" s="324">
        <v>1</v>
      </c>
      <c r="M1079" s="324">
        <v>1</v>
      </c>
      <c r="N1079" s="324">
        <v>1</v>
      </c>
      <c r="O1079" s="324">
        <v>1</v>
      </c>
      <c r="P1079" s="324">
        <v>1</v>
      </c>
      <c r="T1079" s="324">
        <v>18</v>
      </c>
      <c r="U1079" s="324" t="s">
        <v>170</v>
      </c>
      <c r="V1079" s="324" t="s">
        <v>181</v>
      </c>
      <c r="W1079" s="324">
        <v>-37191.284269529977</v>
      </c>
      <c r="X1079" s="324">
        <v>-343.32499777933117</v>
      </c>
      <c r="Y1079" s="324">
        <v>-343.32499777934481</v>
      </c>
      <c r="Z1079" s="324">
        <v>8.3000000000000004E-2</v>
      </c>
      <c r="AA1079" s="324" t="s">
        <v>203</v>
      </c>
      <c r="AB1079" s="324" t="s">
        <v>1448</v>
      </c>
    </row>
    <row r="1080" spans="1:36" s="324" customFormat="1" ht="0.65" hidden="1" customHeight="1">
      <c r="A1080" s="324">
        <v>4164</v>
      </c>
      <c r="H1080" s="324">
        <v>1</v>
      </c>
      <c r="I1080" s="324">
        <v>1</v>
      </c>
      <c r="J1080" s="324">
        <v>1</v>
      </c>
      <c r="K1080" s="324">
        <v>1</v>
      </c>
      <c r="L1080" s="324">
        <v>1</v>
      </c>
      <c r="M1080" s="324">
        <v>1</v>
      </c>
      <c r="N1080" s="324">
        <v>1</v>
      </c>
      <c r="O1080" s="324">
        <v>1</v>
      </c>
      <c r="P1080" s="324">
        <v>1</v>
      </c>
      <c r="T1080" s="324">
        <v>19</v>
      </c>
      <c r="U1080" s="324" t="s">
        <v>171</v>
      </c>
      <c r="V1080" s="324" t="s">
        <v>181</v>
      </c>
      <c r="W1080" s="324">
        <v>8740.8785163348075</v>
      </c>
      <c r="X1080" s="324">
        <v>45588.837788085453</v>
      </c>
      <c r="Y1080" s="324">
        <v>45588.837788085482</v>
      </c>
      <c r="AA1080" s="324" t="s">
        <v>426</v>
      </c>
      <c r="AB1080" s="324" t="s">
        <v>1449</v>
      </c>
    </row>
    <row r="1081" spans="1:36" s="324" customFormat="1" ht="0.65" hidden="1" customHeight="1">
      <c r="A1081" s="324">
        <v>4165</v>
      </c>
      <c r="H1081" s="324">
        <v>1</v>
      </c>
      <c r="I1081" s="324">
        <v>1</v>
      </c>
      <c r="J1081" s="324">
        <v>1</v>
      </c>
      <c r="K1081" s="324">
        <v>1</v>
      </c>
      <c r="L1081" s="324">
        <v>1</v>
      </c>
      <c r="M1081" s="324">
        <v>1</v>
      </c>
      <c r="N1081" s="324">
        <v>1</v>
      </c>
      <c r="O1081" s="324">
        <v>1</v>
      </c>
      <c r="P1081" s="324">
        <v>1</v>
      </c>
    </row>
    <row r="1082" spans="1:36" s="324" customFormat="1" ht="0.65" hidden="1" customHeight="1">
      <c r="A1082" s="324">
        <v>4166</v>
      </c>
    </row>
    <row r="1083" spans="1:36" s="324" customFormat="1" ht="0.65" hidden="1" customHeight="1">
      <c r="A1083" s="324">
        <v>4167</v>
      </c>
      <c r="X1083" s="324" t="s">
        <v>186</v>
      </c>
      <c r="Y1083" s="324">
        <v>2.9103830456733704E-10</v>
      </c>
    </row>
    <row r="1084" spans="1:36" s="324" customFormat="1" ht="0.65" hidden="1" customHeight="1">
      <c r="A1084" s="324">
        <v>4168</v>
      </c>
      <c r="N1084" s="324">
        <v>1</v>
      </c>
      <c r="P1084" s="324">
        <v>1</v>
      </c>
    </row>
    <row r="1085" spans="1:36" s="324" customFormat="1" ht="0.65" hidden="1" customHeight="1">
      <c r="A1085" s="324">
        <v>4169</v>
      </c>
      <c r="H1085" s="324">
        <v>1</v>
      </c>
      <c r="I1085" s="324">
        <v>1</v>
      </c>
      <c r="J1085" s="324">
        <v>1</v>
      </c>
      <c r="K1085" s="324">
        <v>1</v>
      </c>
      <c r="N1085" s="324">
        <v>1</v>
      </c>
      <c r="P1085" s="324">
        <v>1</v>
      </c>
    </row>
    <row r="1086" spans="1:36" s="324" customFormat="1" ht="0.65" hidden="1" customHeight="1">
      <c r="A1086" s="324">
        <v>4170</v>
      </c>
      <c r="H1086" s="324">
        <v>1</v>
      </c>
      <c r="I1086" s="324">
        <v>1</v>
      </c>
      <c r="J1086" s="324">
        <v>1</v>
      </c>
      <c r="K1086" s="324">
        <v>1</v>
      </c>
      <c r="N1086" s="324">
        <v>1</v>
      </c>
      <c r="P1086" s="324">
        <v>1</v>
      </c>
    </row>
    <row r="1087" spans="1:36" s="324" customFormat="1" ht="0.65" hidden="1" customHeight="1">
      <c r="A1087" s="324">
        <v>4171</v>
      </c>
      <c r="H1087" s="324">
        <v>1</v>
      </c>
      <c r="I1087" s="324">
        <v>1</v>
      </c>
      <c r="J1087" s="324">
        <v>1</v>
      </c>
      <c r="K1087" s="324">
        <v>1</v>
      </c>
      <c r="N1087" s="324">
        <v>1</v>
      </c>
    </row>
    <row r="1088" spans="1:36" s="324" customFormat="1" ht="0.65" hidden="1" customHeight="1">
      <c r="A1088" s="324">
        <v>4172</v>
      </c>
      <c r="AI1088" s="324">
        <v>1E-4</v>
      </c>
      <c r="AJ1088" s="324" t="s">
        <v>244</v>
      </c>
    </row>
    <row r="1089" spans="1:39" s="324" customFormat="1" ht="0.65" hidden="1" customHeight="1">
      <c r="A1089" s="324">
        <v>4173</v>
      </c>
      <c r="P1089" s="324">
        <v>1</v>
      </c>
      <c r="AC1089" s="324" t="s">
        <v>463</v>
      </c>
      <c r="AD1089" s="324" t="s">
        <v>208</v>
      </c>
      <c r="AG1089" s="324" t="s">
        <v>210</v>
      </c>
      <c r="AH1089" s="324" t="s">
        <v>209</v>
      </c>
      <c r="AI1089" s="324" t="s">
        <v>206</v>
      </c>
      <c r="AJ1089" s="324" t="s">
        <v>245</v>
      </c>
      <c r="AK1089" s="324" t="s">
        <v>206</v>
      </c>
      <c r="AL1089" s="324" t="s">
        <v>205</v>
      </c>
    </row>
    <row r="1090" spans="1:39" s="324" customFormat="1" ht="0.65" hidden="1" customHeight="1">
      <c r="A1090" s="324">
        <v>4174</v>
      </c>
      <c r="P1090" s="324">
        <v>1</v>
      </c>
      <c r="AA1090" s="324">
        <v>1</v>
      </c>
      <c r="AB1090" s="324" t="s">
        <v>645</v>
      </c>
      <c r="AC1090" s="324" t="s">
        <v>55</v>
      </c>
      <c r="AD1090" s="324" t="s">
        <v>55</v>
      </c>
      <c r="AE1090" s="324">
        <v>0</v>
      </c>
      <c r="AF1090" s="324" t="s">
        <v>490</v>
      </c>
      <c r="AG1090" s="324">
        <v>306250</v>
      </c>
      <c r="AH1090" s="324">
        <v>306250</v>
      </c>
      <c r="AI1090" s="324" t="s">
        <v>55</v>
      </c>
      <c r="AJ1090" s="324">
        <v>306250</v>
      </c>
      <c r="AK1090" s="324" t="s">
        <v>55</v>
      </c>
      <c r="AL1090" s="324" t="s">
        <v>55</v>
      </c>
      <c r="AM1090" s="324" t="s">
        <v>55</v>
      </c>
    </row>
    <row r="1091" spans="1:39" s="324" customFormat="1" ht="0.65" hidden="1" customHeight="1">
      <c r="A1091" s="324">
        <v>4175</v>
      </c>
      <c r="AA1091" s="324">
        <v>2</v>
      </c>
      <c r="AB1091" s="324" t="s">
        <v>645</v>
      </c>
      <c r="AC1091" s="324" t="s">
        <v>55</v>
      </c>
      <c r="AD1091" s="324" t="s">
        <v>55</v>
      </c>
      <c r="AE1091" s="324">
        <v>0</v>
      </c>
      <c r="AF1091" s="324" t="s">
        <v>510</v>
      </c>
      <c r="AG1091" s="324">
        <v>600000</v>
      </c>
      <c r="AH1091" s="324">
        <v>600000</v>
      </c>
      <c r="AI1091" s="324" t="s">
        <v>55</v>
      </c>
      <c r="AJ1091" s="324">
        <v>600000</v>
      </c>
      <c r="AK1091" s="324" t="s">
        <v>55</v>
      </c>
      <c r="AL1091" s="324" t="s">
        <v>55</v>
      </c>
      <c r="AM1091" s="324" t="s">
        <v>55</v>
      </c>
    </row>
    <row r="1092" spans="1:39" s="324" customFormat="1" ht="0.65" hidden="1" customHeight="1">
      <c r="A1092" s="324">
        <v>4176</v>
      </c>
      <c r="G1092" s="324" t="s">
        <v>411</v>
      </c>
      <c r="H1092" s="324">
        <v>49</v>
      </c>
      <c r="AA1092" s="324">
        <v>3</v>
      </c>
      <c r="AB1092" s="324" t="s">
        <v>645</v>
      </c>
      <c r="AC1092" s="324" t="s">
        <v>55</v>
      </c>
      <c r="AD1092" s="324" t="s">
        <v>55</v>
      </c>
      <c r="AE1092" s="324">
        <v>0</v>
      </c>
      <c r="AF1092" s="324" t="s">
        <v>513</v>
      </c>
      <c r="AG1092" s="324">
        <v>600000</v>
      </c>
      <c r="AH1092" s="324">
        <v>600000</v>
      </c>
      <c r="AI1092" s="324" t="s">
        <v>55</v>
      </c>
      <c r="AJ1092" s="324">
        <v>600000</v>
      </c>
      <c r="AK1092" s="324" t="s">
        <v>55</v>
      </c>
      <c r="AL1092" s="324" t="s">
        <v>55</v>
      </c>
      <c r="AM1092" s="324" t="s">
        <v>55</v>
      </c>
    </row>
    <row r="1093" spans="1:39" s="324" customFormat="1" ht="0.65" hidden="1" customHeight="1">
      <c r="A1093" s="324">
        <v>4177</v>
      </c>
      <c r="G1093" s="324" t="s">
        <v>412</v>
      </c>
      <c r="AA1093" s="324">
        <v>4</v>
      </c>
      <c r="AB1093" s="324" t="s">
        <v>645</v>
      </c>
      <c r="AC1093" s="324" t="s">
        <v>55</v>
      </c>
      <c r="AD1093" s="324" t="s">
        <v>55</v>
      </c>
      <c r="AE1093" s="324">
        <v>0</v>
      </c>
      <c r="AF1093" s="324" t="s">
        <v>515</v>
      </c>
      <c r="AG1093" s="324">
        <v>600000</v>
      </c>
      <c r="AH1093" s="324">
        <v>600000</v>
      </c>
      <c r="AI1093" s="324" t="s">
        <v>55</v>
      </c>
      <c r="AJ1093" s="324">
        <v>600000</v>
      </c>
      <c r="AK1093" s="324" t="s">
        <v>55</v>
      </c>
      <c r="AL1093" s="324" t="s">
        <v>55</v>
      </c>
      <c r="AM1093" s="324" t="s">
        <v>55</v>
      </c>
    </row>
    <row r="1094" spans="1:39" s="324" customFormat="1" ht="0.65" hidden="1" customHeight="1">
      <c r="A1094" s="324">
        <v>4178</v>
      </c>
      <c r="AA1094" s="324">
        <v>5</v>
      </c>
      <c r="AB1094" s="324" t="s">
        <v>645</v>
      </c>
      <c r="AC1094" s="324" t="s">
        <v>55</v>
      </c>
      <c r="AD1094" s="324" t="s">
        <v>55</v>
      </c>
      <c r="AE1094" s="324">
        <v>0</v>
      </c>
      <c r="AF1094" s="324" t="s">
        <v>517</v>
      </c>
      <c r="AG1094" s="324">
        <v>500000</v>
      </c>
      <c r="AH1094" s="324">
        <v>500000</v>
      </c>
      <c r="AI1094" s="324" t="s">
        <v>55</v>
      </c>
      <c r="AJ1094" s="324">
        <v>500000</v>
      </c>
      <c r="AK1094" s="324" t="s">
        <v>55</v>
      </c>
      <c r="AL1094" s="324" t="s">
        <v>55</v>
      </c>
      <c r="AM1094" s="324" t="s">
        <v>55</v>
      </c>
    </row>
    <row r="1095" spans="1:39" s="324" customFormat="1" ht="0.65" hidden="1" customHeight="1">
      <c r="A1095" s="324">
        <v>4179</v>
      </c>
      <c r="AA1095" s="324">
        <v>6</v>
      </c>
      <c r="AB1095" s="324" t="s">
        <v>645</v>
      </c>
      <c r="AC1095" s="324" t="s">
        <v>55</v>
      </c>
      <c r="AD1095" s="324" t="s">
        <v>55</v>
      </c>
      <c r="AE1095" s="324">
        <v>0</v>
      </c>
      <c r="AF1095" s="324" t="s">
        <v>521</v>
      </c>
      <c r="AG1095" s="324">
        <v>500000</v>
      </c>
      <c r="AH1095" s="324">
        <v>500000</v>
      </c>
      <c r="AI1095" s="324" t="s">
        <v>55</v>
      </c>
      <c r="AJ1095" s="324">
        <v>500000</v>
      </c>
      <c r="AK1095" s="324" t="s">
        <v>55</v>
      </c>
      <c r="AL1095" s="324" t="s">
        <v>55</v>
      </c>
      <c r="AM1095" s="324" t="s">
        <v>55</v>
      </c>
    </row>
    <row r="1096" spans="1:39" s="324" customFormat="1" ht="0.65" hidden="1" customHeight="1">
      <c r="A1096" s="324">
        <v>4180</v>
      </c>
      <c r="AA1096" s="324">
        <v>7</v>
      </c>
      <c r="AB1096" s="324" t="s">
        <v>645</v>
      </c>
      <c r="AC1096" s="324" t="s">
        <v>55</v>
      </c>
      <c r="AD1096" s="324" t="s">
        <v>55</v>
      </c>
      <c r="AE1096" s="324">
        <v>0</v>
      </c>
      <c r="AF1096" s="324" t="s">
        <v>523</v>
      </c>
      <c r="AG1096" s="324">
        <v>500000</v>
      </c>
      <c r="AH1096" s="324">
        <v>500000</v>
      </c>
      <c r="AI1096" s="324" t="s">
        <v>55</v>
      </c>
      <c r="AJ1096" s="324">
        <v>500000</v>
      </c>
      <c r="AK1096" s="324" t="s">
        <v>55</v>
      </c>
      <c r="AL1096" s="324" t="s">
        <v>55</v>
      </c>
      <c r="AM1096" s="324" t="s">
        <v>55</v>
      </c>
    </row>
    <row r="1097" spans="1:39" s="324" customFormat="1" ht="0.65" hidden="1" customHeight="1">
      <c r="A1097" s="324">
        <v>4181</v>
      </c>
      <c r="G1097" s="324" t="s">
        <v>0</v>
      </c>
      <c r="H1097" s="324" t="s">
        <v>69</v>
      </c>
      <c r="I1097" s="324" t="s">
        <v>70</v>
      </c>
      <c r="J1097" s="324" t="s">
        <v>71</v>
      </c>
      <c r="K1097" s="324" t="s">
        <v>72</v>
      </c>
      <c r="L1097" s="324" t="s">
        <v>73</v>
      </c>
      <c r="M1097" s="324" t="s">
        <v>74</v>
      </c>
      <c r="N1097" s="324" t="s">
        <v>75</v>
      </c>
      <c r="O1097" s="324" t="s">
        <v>80</v>
      </c>
      <c r="P1097" s="324" t="s">
        <v>1</v>
      </c>
      <c r="AA1097" s="324">
        <v>8</v>
      </c>
      <c r="AB1097" s="324" t="s">
        <v>645</v>
      </c>
      <c r="AC1097" s="324" t="s">
        <v>55</v>
      </c>
      <c r="AD1097" s="324" t="s">
        <v>55</v>
      </c>
      <c r="AE1097" s="324">
        <v>0</v>
      </c>
      <c r="AF1097" s="324" t="s">
        <v>525</v>
      </c>
      <c r="AG1097" s="324">
        <v>-12500</v>
      </c>
      <c r="AH1097" s="324">
        <v>-12500</v>
      </c>
      <c r="AI1097" s="324" t="s">
        <v>55</v>
      </c>
      <c r="AJ1097" s="324">
        <v>-12500</v>
      </c>
      <c r="AK1097" s="324" t="s">
        <v>55</v>
      </c>
      <c r="AL1097" s="324" t="s">
        <v>55</v>
      </c>
      <c r="AM1097" s="324" t="s">
        <v>55</v>
      </c>
    </row>
    <row r="1098" spans="1:39" s="324" customFormat="1" ht="0.65" hidden="1" customHeight="1">
      <c r="A1098" s="324">
        <v>4182</v>
      </c>
      <c r="G1098" s="324">
        <v>2021</v>
      </c>
      <c r="P1098" s="324" t="s">
        <v>645</v>
      </c>
      <c r="AA1098" s="324">
        <v>9</v>
      </c>
      <c r="AB1098" s="324" t="s">
        <v>645</v>
      </c>
      <c r="AC1098" s="324" t="s">
        <v>55</v>
      </c>
      <c r="AD1098" s="324" t="s">
        <v>55</v>
      </c>
      <c r="AE1098" s="324">
        <v>0</v>
      </c>
      <c r="AF1098" s="324" t="s">
        <v>528</v>
      </c>
      <c r="AG1098" s="324">
        <v>-12500</v>
      </c>
      <c r="AH1098" s="324">
        <v>-12500</v>
      </c>
      <c r="AI1098" s="324" t="s">
        <v>55</v>
      </c>
      <c r="AJ1098" s="324">
        <v>-12500</v>
      </c>
      <c r="AK1098" s="324" t="s">
        <v>55</v>
      </c>
      <c r="AL1098" s="324" t="s">
        <v>55</v>
      </c>
      <c r="AM1098" s="324" t="s">
        <v>55</v>
      </c>
    </row>
    <row r="1099" spans="1:39" s="324" customFormat="1" ht="0.65" hidden="1" customHeight="1">
      <c r="A1099" s="324">
        <v>4183</v>
      </c>
      <c r="G1099" s="324">
        <v>2022</v>
      </c>
      <c r="H1099" s="324" t="s">
        <v>645</v>
      </c>
      <c r="I1099" s="324" t="s">
        <v>645</v>
      </c>
      <c r="J1099" s="324" t="s">
        <v>645</v>
      </c>
      <c r="K1099" s="324" t="s">
        <v>645</v>
      </c>
      <c r="L1099" s="324" t="s">
        <v>645</v>
      </c>
      <c r="M1099" s="324" t="s">
        <v>645</v>
      </c>
      <c r="N1099" s="324" t="s">
        <v>645</v>
      </c>
      <c r="O1099" s="324" t="s">
        <v>645</v>
      </c>
      <c r="P1099" s="324" t="s">
        <v>645</v>
      </c>
      <c r="AA1099" s="324">
        <v>10</v>
      </c>
      <c r="AB1099" s="324" t="s">
        <v>645</v>
      </c>
      <c r="AC1099" s="324" t="s">
        <v>55</v>
      </c>
      <c r="AD1099" s="324" t="s">
        <v>55</v>
      </c>
      <c r="AE1099" s="324">
        <v>0</v>
      </c>
      <c r="AF1099" s="324" t="s">
        <v>530</v>
      </c>
      <c r="AG1099" s="324">
        <v>-12500</v>
      </c>
      <c r="AH1099" s="324">
        <v>-12500</v>
      </c>
      <c r="AI1099" s="324" t="s">
        <v>55</v>
      </c>
      <c r="AJ1099" s="324">
        <v>-12500</v>
      </c>
      <c r="AK1099" s="324" t="s">
        <v>55</v>
      </c>
      <c r="AL1099" s="324" t="s">
        <v>55</v>
      </c>
      <c r="AM1099" s="324" t="s">
        <v>55</v>
      </c>
    </row>
    <row r="1100" spans="1:39" s="324" customFormat="1" ht="0.65" hidden="1" customHeight="1">
      <c r="A1100" s="324">
        <v>4184</v>
      </c>
      <c r="G1100" s="324">
        <v>2023</v>
      </c>
      <c r="H1100" s="324" t="s">
        <v>645</v>
      </c>
      <c r="I1100" s="324" t="s">
        <v>645</v>
      </c>
      <c r="J1100" s="324" t="s">
        <v>645</v>
      </c>
      <c r="K1100" s="324" t="s">
        <v>645</v>
      </c>
      <c r="L1100" s="324" t="s">
        <v>645</v>
      </c>
      <c r="M1100" s="324" t="s">
        <v>645</v>
      </c>
      <c r="N1100" s="324" t="s">
        <v>645</v>
      </c>
      <c r="O1100" s="324" t="s">
        <v>645</v>
      </c>
      <c r="P1100" s="324" t="s">
        <v>645</v>
      </c>
      <c r="AA1100" s="324">
        <v>11</v>
      </c>
      <c r="AB1100" s="324" t="s">
        <v>645</v>
      </c>
      <c r="AC1100" s="324" t="s">
        <v>55</v>
      </c>
      <c r="AD1100" s="324" t="s">
        <v>55</v>
      </c>
      <c r="AE1100" s="324">
        <v>0</v>
      </c>
      <c r="AF1100" s="324" t="s">
        <v>533</v>
      </c>
      <c r="AG1100" s="324">
        <v>112500</v>
      </c>
      <c r="AH1100" s="324">
        <v>112500</v>
      </c>
      <c r="AI1100" s="324" t="s">
        <v>55</v>
      </c>
      <c r="AJ1100" s="324">
        <v>112500</v>
      </c>
      <c r="AK1100" s="324" t="s">
        <v>55</v>
      </c>
      <c r="AL1100" s="324" t="s">
        <v>55</v>
      </c>
      <c r="AM1100" s="324" t="s">
        <v>55</v>
      </c>
    </row>
    <row r="1101" spans="1:39" s="324" customFormat="1" ht="0.65" hidden="1" customHeight="1">
      <c r="A1101" s="324">
        <v>4185</v>
      </c>
      <c r="G1101" s="324">
        <v>2024</v>
      </c>
      <c r="H1101" s="324" t="s">
        <v>645</v>
      </c>
      <c r="I1101" s="324" t="s">
        <v>645</v>
      </c>
      <c r="J1101" s="324" t="s">
        <v>645</v>
      </c>
      <c r="K1101" s="324" t="s">
        <v>645</v>
      </c>
      <c r="L1101" s="324" t="s">
        <v>645</v>
      </c>
      <c r="M1101" s="324" t="s">
        <v>645</v>
      </c>
      <c r="N1101" s="324" t="s">
        <v>645</v>
      </c>
      <c r="O1101" s="324" t="s">
        <v>645</v>
      </c>
      <c r="P1101" s="324" t="s">
        <v>645</v>
      </c>
      <c r="AA1101" s="324">
        <v>12</v>
      </c>
      <c r="AB1101" s="324" t="s">
        <v>645</v>
      </c>
      <c r="AC1101" s="324" t="s">
        <v>55</v>
      </c>
      <c r="AD1101" s="324" t="s">
        <v>55</v>
      </c>
      <c r="AE1101" s="324">
        <v>0</v>
      </c>
      <c r="AF1101" s="324" t="s">
        <v>536</v>
      </c>
      <c r="AG1101" s="324">
        <v>112500</v>
      </c>
      <c r="AH1101" s="324">
        <v>112500</v>
      </c>
      <c r="AI1101" s="324" t="s">
        <v>55</v>
      </c>
      <c r="AJ1101" s="324">
        <v>112500</v>
      </c>
      <c r="AK1101" s="324" t="s">
        <v>55</v>
      </c>
      <c r="AL1101" s="324" t="s">
        <v>55</v>
      </c>
      <c r="AM1101" s="324" t="s">
        <v>55</v>
      </c>
    </row>
    <row r="1102" spans="1:39" s="324" customFormat="1" ht="0.65" hidden="1" customHeight="1">
      <c r="A1102" s="324">
        <v>4186</v>
      </c>
      <c r="AA1102" s="324">
        <v>13</v>
      </c>
      <c r="AB1102" s="324" t="s">
        <v>645</v>
      </c>
      <c r="AC1102" s="324" t="s">
        <v>55</v>
      </c>
      <c r="AD1102" s="324" t="s">
        <v>55</v>
      </c>
      <c r="AE1102" s="324">
        <v>0</v>
      </c>
      <c r="AF1102" s="324" t="s">
        <v>538</v>
      </c>
      <c r="AG1102" s="324">
        <v>112500</v>
      </c>
      <c r="AH1102" s="324">
        <v>112500</v>
      </c>
      <c r="AI1102" s="324" t="s">
        <v>55</v>
      </c>
      <c r="AJ1102" s="324">
        <v>112500</v>
      </c>
      <c r="AK1102" s="324" t="s">
        <v>55</v>
      </c>
      <c r="AL1102" s="324" t="s">
        <v>55</v>
      </c>
      <c r="AM1102" s="324" t="s">
        <v>55</v>
      </c>
    </row>
    <row r="1103" spans="1:39" s="324" customFormat="1" ht="0.65" hidden="1" customHeight="1">
      <c r="A1103" s="324">
        <v>4187</v>
      </c>
      <c r="G1103" s="324" t="s">
        <v>0</v>
      </c>
      <c r="H1103" s="324" t="s">
        <v>76</v>
      </c>
      <c r="I1103" s="324" t="s">
        <v>77</v>
      </c>
      <c r="J1103" s="324" t="s">
        <v>78</v>
      </c>
      <c r="K1103" s="324" t="s">
        <v>79</v>
      </c>
      <c r="AA1103" s="324">
        <v>14</v>
      </c>
      <c r="AB1103" s="324" t="s">
        <v>645</v>
      </c>
      <c r="AC1103" s="324" t="s">
        <v>55</v>
      </c>
      <c r="AD1103" s="324" t="s">
        <v>55</v>
      </c>
      <c r="AE1103" s="324">
        <v>0</v>
      </c>
      <c r="AF1103" s="324" t="s">
        <v>541</v>
      </c>
      <c r="AG1103" s="324">
        <v>28125</v>
      </c>
      <c r="AH1103" s="324">
        <v>28125</v>
      </c>
      <c r="AI1103" s="324" t="s">
        <v>55</v>
      </c>
      <c r="AJ1103" s="324">
        <v>28125</v>
      </c>
      <c r="AK1103" s="324" t="s">
        <v>55</v>
      </c>
      <c r="AL1103" s="324" t="s">
        <v>55</v>
      </c>
      <c r="AM1103" s="324" t="s">
        <v>55</v>
      </c>
    </row>
    <row r="1104" spans="1:39" s="324" customFormat="1" ht="0.65" hidden="1" customHeight="1">
      <c r="A1104" s="324">
        <v>4188</v>
      </c>
      <c r="G1104" s="324">
        <v>2021</v>
      </c>
      <c r="M1104" s="324" t="s">
        <v>456</v>
      </c>
      <c r="N1104" s="324" t="s">
        <v>645</v>
      </c>
      <c r="O1104" s="324" t="s">
        <v>124</v>
      </c>
      <c r="P1104" s="324" t="s">
        <v>645</v>
      </c>
      <c r="AA1104" s="324">
        <v>15</v>
      </c>
      <c r="AB1104" s="324" t="s">
        <v>645</v>
      </c>
      <c r="AC1104" s="324" t="s">
        <v>55</v>
      </c>
      <c r="AD1104" s="324" t="s">
        <v>55</v>
      </c>
      <c r="AE1104" s="324">
        <v>0</v>
      </c>
      <c r="AF1104" s="324" t="s">
        <v>544</v>
      </c>
      <c r="AG1104" s="324">
        <v>28125</v>
      </c>
      <c r="AH1104" s="324">
        <v>28125</v>
      </c>
      <c r="AI1104" s="324" t="s">
        <v>55</v>
      </c>
      <c r="AJ1104" s="324">
        <v>28125</v>
      </c>
      <c r="AK1104" s="324" t="s">
        <v>55</v>
      </c>
      <c r="AL1104" s="324" t="s">
        <v>55</v>
      </c>
      <c r="AM1104" s="324" t="s">
        <v>55</v>
      </c>
    </row>
    <row r="1105" spans="1:39" s="324" customFormat="1" ht="0.65" hidden="1" customHeight="1">
      <c r="A1105" s="324">
        <v>4189</v>
      </c>
      <c r="G1105" s="324">
        <v>2022</v>
      </c>
      <c r="H1105" s="324" t="s">
        <v>645</v>
      </c>
      <c r="I1105" s="324" t="s">
        <v>645</v>
      </c>
      <c r="J1105" s="324" t="s">
        <v>645</v>
      </c>
      <c r="K1105" s="324" t="s">
        <v>645</v>
      </c>
      <c r="M1105" s="324" t="s">
        <v>457</v>
      </c>
      <c r="N1105" s="324" t="s">
        <v>645</v>
      </c>
      <c r="O1105" s="324" t="s">
        <v>125</v>
      </c>
      <c r="P1105" s="324" t="s">
        <v>645</v>
      </c>
      <c r="AA1105" s="324">
        <v>16</v>
      </c>
      <c r="AB1105" s="324" t="s">
        <v>645</v>
      </c>
      <c r="AC1105" s="324" t="s">
        <v>55</v>
      </c>
      <c r="AD1105" s="324" t="s">
        <v>55</v>
      </c>
      <c r="AE1105" s="324">
        <v>0</v>
      </c>
      <c r="AF1105" s="324" t="s">
        <v>546</v>
      </c>
      <c r="AG1105" s="324">
        <v>28125</v>
      </c>
      <c r="AH1105" s="324">
        <v>28125</v>
      </c>
      <c r="AI1105" s="324" t="s">
        <v>55</v>
      </c>
      <c r="AJ1105" s="324">
        <v>28125</v>
      </c>
      <c r="AK1105" s="324" t="s">
        <v>55</v>
      </c>
      <c r="AL1105" s="324" t="s">
        <v>55</v>
      </c>
      <c r="AM1105" s="324" t="s">
        <v>55</v>
      </c>
    </row>
    <row r="1106" spans="1:39" s="324" customFormat="1" ht="0.65" hidden="1" customHeight="1">
      <c r="A1106" s="324">
        <v>4190</v>
      </c>
      <c r="G1106" s="324">
        <v>2023</v>
      </c>
      <c r="H1106" s="324" t="s">
        <v>645</v>
      </c>
      <c r="I1106" s="324" t="s">
        <v>645</v>
      </c>
      <c r="J1106" s="324" t="s">
        <v>645</v>
      </c>
      <c r="K1106" s="324" t="s">
        <v>645</v>
      </c>
      <c r="M1106" s="324" t="s">
        <v>458</v>
      </c>
      <c r="N1106" s="324" t="s">
        <v>645</v>
      </c>
      <c r="O1106" s="324" t="s">
        <v>126</v>
      </c>
      <c r="P1106" s="324" t="s">
        <v>645</v>
      </c>
      <c r="AA1106" s="324">
        <v>17</v>
      </c>
      <c r="AB1106" s="324" t="s">
        <v>645</v>
      </c>
      <c r="AC1106" s="324" t="s">
        <v>55</v>
      </c>
      <c r="AD1106" s="324" t="s">
        <v>55</v>
      </c>
      <c r="AE1106" s="324">
        <v>0</v>
      </c>
      <c r="AF1106" s="324" t="s">
        <v>549</v>
      </c>
      <c r="AG1106" s="324">
        <v>84375</v>
      </c>
      <c r="AH1106" s="324">
        <v>84375</v>
      </c>
      <c r="AI1106" s="324" t="s">
        <v>55</v>
      </c>
      <c r="AJ1106" s="324">
        <v>84375</v>
      </c>
      <c r="AK1106" s="324" t="s">
        <v>55</v>
      </c>
      <c r="AL1106" s="324" t="s">
        <v>55</v>
      </c>
      <c r="AM1106" s="324" t="s">
        <v>55</v>
      </c>
    </row>
    <row r="1107" spans="1:39" s="324" customFormat="1" ht="0.65" hidden="1" customHeight="1">
      <c r="A1107" s="324">
        <v>4191</v>
      </c>
      <c r="G1107" s="324">
        <v>2024</v>
      </c>
      <c r="H1107" s="324" t="s">
        <v>645</v>
      </c>
      <c r="I1107" s="324" t="s">
        <v>645</v>
      </c>
      <c r="J1107" s="324" t="s">
        <v>645</v>
      </c>
      <c r="K1107" s="324" t="s">
        <v>645</v>
      </c>
      <c r="M1107" s="324" t="s">
        <v>459</v>
      </c>
      <c r="N1107" s="324" t="s">
        <v>645</v>
      </c>
      <c r="AA1107" s="324">
        <v>18</v>
      </c>
      <c r="AB1107" s="324" t="s">
        <v>645</v>
      </c>
      <c r="AC1107" s="324" t="s">
        <v>55</v>
      </c>
      <c r="AD1107" s="324" t="s">
        <v>55</v>
      </c>
      <c r="AE1107" s="324">
        <v>0</v>
      </c>
      <c r="AF1107" s="324" t="s">
        <v>552</v>
      </c>
      <c r="AG1107" s="324">
        <v>84375</v>
      </c>
      <c r="AH1107" s="324">
        <v>84375</v>
      </c>
      <c r="AI1107" s="324" t="s">
        <v>55</v>
      </c>
      <c r="AJ1107" s="324">
        <v>84375</v>
      </c>
      <c r="AK1107" s="324" t="s">
        <v>55</v>
      </c>
      <c r="AL1107" s="324" t="s">
        <v>55</v>
      </c>
      <c r="AM1107" s="324" t="s">
        <v>55</v>
      </c>
    </row>
    <row r="1108" spans="1:39" s="324" customFormat="1" ht="0.65" hidden="1" customHeight="1">
      <c r="A1108" s="324">
        <v>4192</v>
      </c>
      <c r="AA1108" s="324">
        <v>19</v>
      </c>
      <c r="AB1108" s="324" t="s">
        <v>645</v>
      </c>
      <c r="AC1108" s="324" t="s">
        <v>55</v>
      </c>
      <c r="AD1108" s="324" t="s">
        <v>55</v>
      </c>
      <c r="AE1108" s="324">
        <v>0</v>
      </c>
      <c r="AF1108" s="324" t="s">
        <v>554</v>
      </c>
      <c r="AG1108" s="324">
        <v>84375</v>
      </c>
      <c r="AH1108" s="324">
        <v>84375</v>
      </c>
      <c r="AI1108" s="324" t="s">
        <v>55</v>
      </c>
      <c r="AJ1108" s="324">
        <v>84375</v>
      </c>
      <c r="AK1108" s="324" t="s">
        <v>55</v>
      </c>
      <c r="AL1108" s="324" t="s">
        <v>55</v>
      </c>
      <c r="AM1108" s="324" t="s">
        <v>55</v>
      </c>
    </row>
    <row r="1109" spans="1:39" s="324" customFormat="1" ht="0.65" hidden="1" customHeight="1">
      <c r="A1109" s="324">
        <v>4193</v>
      </c>
      <c r="O1109" s="324" t="s">
        <v>13</v>
      </c>
      <c r="P1109" s="324" t="s">
        <v>645</v>
      </c>
      <c r="AA1109" s="324">
        <v>20</v>
      </c>
      <c r="AB1109" s="324" t="s">
        <v>645</v>
      </c>
      <c r="AC1109" s="324" t="s">
        <v>55</v>
      </c>
      <c r="AD1109" s="324" t="s">
        <v>55</v>
      </c>
      <c r="AE1109" s="324">
        <v>0</v>
      </c>
      <c r="AF1109" s="324" t="s">
        <v>557</v>
      </c>
      <c r="AG1109" s="324">
        <v>71875</v>
      </c>
      <c r="AH1109" s="324">
        <v>71875</v>
      </c>
      <c r="AI1109" s="324" t="s">
        <v>55</v>
      </c>
      <c r="AJ1109" s="324">
        <v>71875</v>
      </c>
      <c r="AK1109" s="324" t="s">
        <v>55</v>
      </c>
      <c r="AL1109" s="324" t="s">
        <v>55</v>
      </c>
      <c r="AM1109" s="324" t="s">
        <v>55</v>
      </c>
    </row>
    <row r="1110" spans="1:39" s="324" customFormat="1" ht="0.65" hidden="1" customHeight="1">
      <c r="A1110" s="324">
        <v>4194</v>
      </c>
      <c r="O1110" s="324" t="s">
        <v>28</v>
      </c>
      <c r="P1110" s="324" t="s">
        <v>645</v>
      </c>
      <c r="AA1110" s="324">
        <v>21</v>
      </c>
      <c r="AB1110" s="324" t="s">
        <v>645</v>
      </c>
      <c r="AC1110" s="324" t="s">
        <v>55</v>
      </c>
      <c r="AD1110" s="324" t="s">
        <v>55</v>
      </c>
      <c r="AE1110" s="324">
        <v>0</v>
      </c>
      <c r="AF1110" s="324" t="s">
        <v>560</v>
      </c>
      <c r="AG1110" s="324">
        <v>71875</v>
      </c>
      <c r="AH1110" s="324">
        <v>71875</v>
      </c>
      <c r="AI1110" s="324" t="s">
        <v>55</v>
      </c>
      <c r="AJ1110" s="324">
        <v>71875</v>
      </c>
      <c r="AK1110" s="324" t="s">
        <v>55</v>
      </c>
      <c r="AL1110" s="324" t="s">
        <v>55</v>
      </c>
      <c r="AM1110" s="324" t="s">
        <v>55</v>
      </c>
    </row>
    <row r="1111" spans="1:39" s="324" customFormat="1" ht="0.65" hidden="1" customHeight="1">
      <c r="A1111" s="324">
        <v>4195</v>
      </c>
      <c r="O1111" s="324" t="s">
        <v>29</v>
      </c>
      <c r="AA1111" s="324">
        <v>22</v>
      </c>
      <c r="AB1111" s="324" t="s">
        <v>645</v>
      </c>
      <c r="AC1111" s="324" t="s">
        <v>55</v>
      </c>
      <c r="AD1111" s="324" t="s">
        <v>55</v>
      </c>
      <c r="AE1111" s="324">
        <v>0</v>
      </c>
      <c r="AF1111" s="324" t="s">
        <v>562</v>
      </c>
      <c r="AG1111" s="324">
        <v>71875</v>
      </c>
      <c r="AH1111" s="324">
        <v>71875</v>
      </c>
      <c r="AI1111" s="324" t="s">
        <v>55</v>
      </c>
      <c r="AJ1111" s="324">
        <v>71875</v>
      </c>
      <c r="AK1111" s="324" t="s">
        <v>55</v>
      </c>
      <c r="AL1111" s="324" t="s">
        <v>55</v>
      </c>
      <c r="AM1111" s="324" t="s">
        <v>55</v>
      </c>
    </row>
    <row r="1112" spans="1:39" s="324" customFormat="1" ht="0.65" hidden="1" customHeight="1">
      <c r="A1112" s="324">
        <v>4196</v>
      </c>
      <c r="O1112" s="324" t="s">
        <v>30</v>
      </c>
      <c r="AA1112" s="324">
        <v>23</v>
      </c>
      <c r="AB1112" s="324" t="s">
        <v>645</v>
      </c>
      <c r="AC1112" s="324" t="s">
        <v>55</v>
      </c>
      <c r="AD1112" s="324" t="s">
        <v>55</v>
      </c>
      <c r="AE1112" s="324">
        <v>0</v>
      </c>
      <c r="AF1112" s="324" t="s">
        <v>565</v>
      </c>
      <c r="AG1112" s="324">
        <v>150000</v>
      </c>
      <c r="AH1112" s="324">
        <v>150000</v>
      </c>
      <c r="AI1112" s="324" t="s">
        <v>55</v>
      </c>
      <c r="AJ1112" s="324">
        <v>150000</v>
      </c>
      <c r="AK1112" s="324" t="s">
        <v>55</v>
      </c>
      <c r="AL1112" s="324" t="s">
        <v>55</v>
      </c>
      <c r="AM1112" s="324" t="s">
        <v>55</v>
      </c>
    </row>
    <row r="1113" spans="1:39" s="324" customFormat="1" ht="0.65" hidden="1" customHeight="1">
      <c r="A1113" s="324">
        <v>4197</v>
      </c>
      <c r="AA1113" s="324">
        <v>24</v>
      </c>
      <c r="AB1113" s="324" t="s">
        <v>645</v>
      </c>
      <c r="AC1113" s="324" t="s">
        <v>55</v>
      </c>
      <c r="AD1113" s="324" t="s">
        <v>55</v>
      </c>
      <c r="AE1113" s="324">
        <v>0</v>
      </c>
      <c r="AF1113" s="324" t="s">
        <v>568</v>
      </c>
      <c r="AG1113" s="324">
        <v>150000</v>
      </c>
      <c r="AH1113" s="324">
        <v>150000</v>
      </c>
      <c r="AI1113" s="324" t="s">
        <v>55</v>
      </c>
      <c r="AJ1113" s="324">
        <v>150000</v>
      </c>
      <c r="AK1113" s="324" t="s">
        <v>55</v>
      </c>
      <c r="AL1113" s="324" t="s">
        <v>55</v>
      </c>
      <c r="AM1113" s="324" t="s">
        <v>55</v>
      </c>
    </row>
    <row r="1114" spans="1:39" s="324" customFormat="1" ht="0.65" hidden="1" customHeight="1">
      <c r="A1114" s="324">
        <v>4198</v>
      </c>
      <c r="AA1114" s="324">
        <v>25</v>
      </c>
      <c r="AB1114" s="324" t="s">
        <v>645</v>
      </c>
      <c r="AC1114" s="324" t="s">
        <v>55</v>
      </c>
      <c r="AD1114" s="324" t="s">
        <v>55</v>
      </c>
      <c r="AE1114" s="324">
        <v>0</v>
      </c>
      <c r="AF1114" s="324" t="s">
        <v>570</v>
      </c>
      <c r="AG1114" s="324">
        <v>150000</v>
      </c>
      <c r="AH1114" s="324">
        <v>150000</v>
      </c>
      <c r="AI1114" s="324" t="s">
        <v>55</v>
      </c>
      <c r="AJ1114" s="324">
        <v>150000</v>
      </c>
      <c r="AK1114" s="324" t="s">
        <v>55</v>
      </c>
      <c r="AL1114" s="324" t="s">
        <v>55</v>
      </c>
      <c r="AM1114" s="324" t="s">
        <v>55</v>
      </c>
    </row>
    <row r="1115" spans="1:39" s="324" customFormat="1" ht="0.65" hidden="1" customHeight="1">
      <c r="A1115" s="324">
        <v>4199</v>
      </c>
      <c r="AA1115" s="324">
        <v>26</v>
      </c>
      <c r="AB1115" s="324" t="s">
        <v>645</v>
      </c>
      <c r="AC1115" s="324" t="s">
        <v>55</v>
      </c>
      <c r="AD1115" s="324" t="s">
        <v>55</v>
      </c>
      <c r="AE1115" s="324">
        <v>0</v>
      </c>
      <c r="AF1115" s="324" t="s">
        <v>572</v>
      </c>
      <c r="AG1115" s="324">
        <v>125000</v>
      </c>
      <c r="AH1115" s="324">
        <v>125000</v>
      </c>
      <c r="AI1115" s="324" t="s">
        <v>55</v>
      </c>
      <c r="AJ1115" s="324">
        <v>125000</v>
      </c>
      <c r="AK1115" s="324" t="s">
        <v>55</v>
      </c>
      <c r="AL1115" s="324" t="s">
        <v>55</v>
      </c>
      <c r="AM1115" s="324" t="s">
        <v>55</v>
      </c>
    </row>
    <row r="1116" spans="1:39" s="324" customFormat="1" ht="0.65" hidden="1" customHeight="1">
      <c r="A1116" s="324">
        <v>4200</v>
      </c>
      <c r="AA1116" s="324">
        <v>27</v>
      </c>
      <c r="AB1116" s="324" t="s">
        <v>645</v>
      </c>
      <c r="AC1116" s="324" t="s">
        <v>55</v>
      </c>
      <c r="AD1116" s="324" t="s">
        <v>55</v>
      </c>
      <c r="AE1116" s="324">
        <v>0</v>
      </c>
      <c r="AF1116" s="324" t="s">
        <v>575</v>
      </c>
      <c r="AG1116" s="324">
        <v>125000</v>
      </c>
      <c r="AH1116" s="324">
        <v>125000</v>
      </c>
      <c r="AI1116" s="324" t="s">
        <v>55</v>
      </c>
      <c r="AJ1116" s="324">
        <v>125000</v>
      </c>
      <c r="AK1116" s="324" t="s">
        <v>55</v>
      </c>
      <c r="AL1116" s="324" t="s">
        <v>55</v>
      </c>
      <c r="AM1116" s="324" t="s">
        <v>55</v>
      </c>
    </row>
    <row r="1117" spans="1:39" s="324" customFormat="1" ht="0.65" hidden="1" customHeight="1">
      <c r="A1117" s="324">
        <v>4201</v>
      </c>
      <c r="AA1117" s="324">
        <v>28</v>
      </c>
      <c r="AB1117" s="324" t="s">
        <v>645</v>
      </c>
      <c r="AC1117" s="324" t="s">
        <v>55</v>
      </c>
      <c r="AD1117" s="324" t="s">
        <v>55</v>
      </c>
      <c r="AE1117" s="324">
        <v>0</v>
      </c>
      <c r="AF1117" s="324" t="s">
        <v>577</v>
      </c>
      <c r="AG1117" s="324">
        <v>125000</v>
      </c>
      <c r="AH1117" s="324">
        <v>125000</v>
      </c>
      <c r="AI1117" s="324" t="s">
        <v>55</v>
      </c>
      <c r="AJ1117" s="324">
        <v>125000</v>
      </c>
      <c r="AK1117" s="324" t="s">
        <v>55</v>
      </c>
      <c r="AL1117" s="324" t="s">
        <v>55</v>
      </c>
      <c r="AM1117" s="324" t="s">
        <v>55</v>
      </c>
    </row>
    <row r="1118" spans="1:39" s="324" customFormat="1" ht="0.65" hidden="1" customHeight="1">
      <c r="A1118" s="324">
        <v>4202</v>
      </c>
      <c r="AA1118" s="324">
        <v>29</v>
      </c>
      <c r="AB1118" s="324" t="s">
        <v>645</v>
      </c>
      <c r="AC1118" s="324" t="s">
        <v>55</v>
      </c>
      <c r="AD1118" s="324" t="s">
        <v>55</v>
      </c>
      <c r="AE1118" s="324">
        <v>0</v>
      </c>
      <c r="AF1118" s="324" t="s">
        <v>579</v>
      </c>
      <c r="AG1118" s="324">
        <v>25000</v>
      </c>
      <c r="AH1118" s="324">
        <v>25000</v>
      </c>
      <c r="AI1118" s="324" t="s">
        <v>55</v>
      </c>
      <c r="AJ1118" s="324">
        <v>25000</v>
      </c>
      <c r="AK1118" s="324" t="s">
        <v>55</v>
      </c>
      <c r="AL1118" s="324" t="s">
        <v>55</v>
      </c>
      <c r="AM1118" s="324" t="s">
        <v>55</v>
      </c>
    </row>
    <row r="1119" spans="1:39" s="324" customFormat="1" ht="0.65" hidden="1" customHeight="1">
      <c r="A1119" s="324">
        <v>4203</v>
      </c>
      <c r="AA1119" s="324">
        <v>30</v>
      </c>
      <c r="AB1119" s="324" t="s">
        <v>645</v>
      </c>
      <c r="AC1119" s="324" t="s">
        <v>55</v>
      </c>
      <c r="AD1119" s="324" t="s">
        <v>55</v>
      </c>
      <c r="AE1119" s="324">
        <v>0</v>
      </c>
      <c r="AF1119" s="324" t="s">
        <v>582</v>
      </c>
      <c r="AG1119" s="324">
        <v>25000</v>
      </c>
      <c r="AH1119" s="324">
        <v>25000</v>
      </c>
      <c r="AI1119" s="324" t="s">
        <v>55</v>
      </c>
      <c r="AJ1119" s="324">
        <v>25000</v>
      </c>
      <c r="AK1119" s="324" t="s">
        <v>55</v>
      </c>
      <c r="AL1119" s="324" t="s">
        <v>55</v>
      </c>
      <c r="AM1119" s="324" t="s">
        <v>55</v>
      </c>
    </row>
    <row r="1120" spans="1:39" s="324" customFormat="1" ht="0.65" hidden="1" customHeight="1">
      <c r="A1120" s="324">
        <v>4204</v>
      </c>
      <c r="AA1120" s="324">
        <v>31</v>
      </c>
      <c r="AB1120" s="324" t="s">
        <v>645</v>
      </c>
      <c r="AC1120" s="324" t="s">
        <v>55</v>
      </c>
      <c r="AD1120" s="324" t="s">
        <v>55</v>
      </c>
      <c r="AE1120" s="324">
        <v>0</v>
      </c>
      <c r="AF1120" s="324" t="s">
        <v>584</v>
      </c>
      <c r="AG1120" s="324">
        <v>25000</v>
      </c>
      <c r="AH1120" s="324">
        <v>25000</v>
      </c>
      <c r="AI1120" s="324" t="s">
        <v>55</v>
      </c>
      <c r="AJ1120" s="324">
        <v>25000</v>
      </c>
      <c r="AK1120" s="324" t="s">
        <v>55</v>
      </c>
      <c r="AL1120" s="324" t="s">
        <v>55</v>
      </c>
      <c r="AM1120" s="324" t="s">
        <v>55</v>
      </c>
    </row>
    <row r="1121" spans="1:39" s="324" customFormat="1" ht="0.65" hidden="1" customHeight="1">
      <c r="A1121" s="324">
        <v>4205</v>
      </c>
      <c r="AA1121" s="324">
        <v>32</v>
      </c>
      <c r="AB1121" s="324" t="s">
        <v>645</v>
      </c>
      <c r="AC1121" s="324" t="s">
        <v>55</v>
      </c>
      <c r="AD1121" s="324" t="s">
        <v>55</v>
      </c>
      <c r="AE1121" s="324">
        <v>0</v>
      </c>
      <c r="AF1121" s="324" t="s">
        <v>586</v>
      </c>
      <c r="AG1121" s="324">
        <v>25000</v>
      </c>
      <c r="AH1121" s="324">
        <v>25000</v>
      </c>
      <c r="AI1121" s="324" t="s">
        <v>55</v>
      </c>
      <c r="AJ1121" s="324">
        <v>25000</v>
      </c>
      <c r="AK1121" s="324" t="s">
        <v>55</v>
      </c>
      <c r="AL1121" s="324" t="s">
        <v>55</v>
      </c>
      <c r="AM1121" s="324" t="s">
        <v>55</v>
      </c>
    </row>
    <row r="1122" spans="1:39" s="324" customFormat="1" ht="0.65" hidden="1" customHeight="1">
      <c r="A1122" s="324">
        <v>4206</v>
      </c>
      <c r="AA1122" s="324">
        <v>33</v>
      </c>
      <c r="AB1122" s="324" t="s">
        <v>645</v>
      </c>
      <c r="AC1122" s="324" t="s">
        <v>55</v>
      </c>
      <c r="AD1122" s="324" t="s">
        <v>55</v>
      </c>
      <c r="AE1122" s="324">
        <v>0</v>
      </c>
      <c r="AF1122" s="324" t="s">
        <v>589</v>
      </c>
      <c r="AG1122" s="324">
        <v>0</v>
      </c>
      <c r="AH1122" s="324">
        <v>0</v>
      </c>
      <c r="AI1122" s="324" t="s">
        <v>55</v>
      </c>
      <c r="AJ1122" s="324">
        <v>0</v>
      </c>
      <c r="AK1122" s="324" t="s">
        <v>55</v>
      </c>
      <c r="AL1122" s="324" t="s">
        <v>55</v>
      </c>
      <c r="AM1122" s="324" t="s">
        <v>55</v>
      </c>
    </row>
    <row r="1123" spans="1:39" s="324" customFormat="1" ht="0.65" hidden="1" customHeight="1">
      <c r="A1123" s="324">
        <v>4207</v>
      </c>
      <c r="AA1123" s="324">
        <v>34</v>
      </c>
      <c r="AB1123" s="324" t="s">
        <v>645</v>
      </c>
      <c r="AC1123" s="324" t="s">
        <v>55</v>
      </c>
      <c r="AD1123" s="324" t="s">
        <v>55</v>
      </c>
      <c r="AE1123" s="324">
        <v>0</v>
      </c>
      <c r="AF1123" s="324" t="s">
        <v>590</v>
      </c>
      <c r="AG1123" s="324">
        <v>0</v>
      </c>
      <c r="AH1123" s="324">
        <v>0</v>
      </c>
      <c r="AI1123" s="324" t="s">
        <v>55</v>
      </c>
      <c r="AJ1123" s="324">
        <v>0</v>
      </c>
      <c r="AK1123" s="324" t="s">
        <v>55</v>
      </c>
      <c r="AL1123" s="324" t="s">
        <v>55</v>
      </c>
      <c r="AM1123" s="324" t="s">
        <v>55</v>
      </c>
    </row>
    <row r="1124" spans="1:39" s="324" customFormat="1" ht="0.65" hidden="1" customHeight="1">
      <c r="A1124" s="324">
        <v>4208</v>
      </c>
      <c r="AA1124" s="324">
        <v>35</v>
      </c>
      <c r="AB1124" s="324" t="s">
        <v>645</v>
      </c>
      <c r="AC1124" s="324" t="s">
        <v>55</v>
      </c>
      <c r="AD1124" s="324" t="s">
        <v>55</v>
      </c>
      <c r="AE1124" s="324">
        <v>0</v>
      </c>
      <c r="AF1124" s="324" t="s">
        <v>592</v>
      </c>
      <c r="AG1124" s="324">
        <v>46875</v>
      </c>
      <c r="AH1124" s="324">
        <v>46875</v>
      </c>
      <c r="AI1124" s="324" t="s">
        <v>55</v>
      </c>
      <c r="AJ1124" s="324">
        <v>46875</v>
      </c>
      <c r="AK1124" s="324" t="s">
        <v>55</v>
      </c>
      <c r="AL1124" s="324" t="s">
        <v>55</v>
      </c>
      <c r="AM1124" s="324" t="s">
        <v>55</v>
      </c>
    </row>
    <row r="1125" spans="1:39" s="324" customFormat="1" ht="0.65" hidden="1" customHeight="1">
      <c r="A1125" s="324">
        <v>4209</v>
      </c>
      <c r="AA1125" s="324">
        <v>36</v>
      </c>
      <c r="AB1125" s="324" t="s">
        <v>645</v>
      </c>
      <c r="AC1125" s="324" t="s">
        <v>55</v>
      </c>
      <c r="AD1125" s="324" t="s">
        <v>55</v>
      </c>
      <c r="AE1125" s="324">
        <v>0</v>
      </c>
      <c r="AF1125" s="324" t="s">
        <v>595</v>
      </c>
      <c r="AG1125" s="324">
        <v>71875</v>
      </c>
      <c r="AH1125" s="324">
        <v>71875</v>
      </c>
      <c r="AI1125" s="324" t="s">
        <v>55</v>
      </c>
      <c r="AJ1125" s="324">
        <v>71875</v>
      </c>
      <c r="AK1125" s="324" t="s">
        <v>55</v>
      </c>
      <c r="AL1125" s="324" t="s">
        <v>55</v>
      </c>
      <c r="AM1125" s="324" t="s">
        <v>55</v>
      </c>
    </row>
    <row r="1126" spans="1:39" s="324" customFormat="1" ht="0.65" hidden="1" customHeight="1">
      <c r="A1126" s="324">
        <v>4210</v>
      </c>
      <c r="AA1126" s="324">
        <v>37</v>
      </c>
      <c r="AB1126" s="324" t="s">
        <v>645</v>
      </c>
      <c r="AC1126" s="324" t="s">
        <v>55</v>
      </c>
      <c r="AD1126" s="324" t="s">
        <v>55</v>
      </c>
      <c r="AE1126" s="324">
        <v>0</v>
      </c>
      <c r="AF1126" s="324" t="s">
        <v>598</v>
      </c>
      <c r="AG1126" s="324">
        <v>71875</v>
      </c>
      <c r="AH1126" s="324">
        <v>71875</v>
      </c>
      <c r="AI1126" s="324" t="s">
        <v>55</v>
      </c>
      <c r="AJ1126" s="324">
        <v>71875</v>
      </c>
      <c r="AK1126" s="324" t="s">
        <v>55</v>
      </c>
      <c r="AL1126" s="324" t="s">
        <v>55</v>
      </c>
      <c r="AM1126" s="324" t="s">
        <v>55</v>
      </c>
    </row>
    <row r="1127" spans="1:39" s="324" customFormat="1" ht="0.65" hidden="1" customHeight="1">
      <c r="A1127" s="324">
        <v>4211</v>
      </c>
      <c r="AA1127" s="324">
        <v>38</v>
      </c>
      <c r="AB1127" s="324" t="s">
        <v>645</v>
      </c>
      <c r="AC1127" s="324" t="s">
        <v>55</v>
      </c>
      <c r="AD1127" s="324" t="s">
        <v>55</v>
      </c>
      <c r="AE1127" s="324">
        <v>0</v>
      </c>
      <c r="AF1127" s="324" t="s">
        <v>491</v>
      </c>
      <c r="AG1127" s="324">
        <v>114062.5</v>
      </c>
      <c r="AH1127" s="324">
        <v>114062.5</v>
      </c>
      <c r="AI1127" s="324" t="s">
        <v>55</v>
      </c>
      <c r="AJ1127" s="324">
        <v>114062.5</v>
      </c>
      <c r="AK1127" s="324" t="s">
        <v>55</v>
      </c>
      <c r="AL1127" s="324" t="s">
        <v>55</v>
      </c>
      <c r="AM1127" s="324" t="s">
        <v>55</v>
      </c>
    </row>
    <row r="1128" spans="1:39" s="324" customFormat="1" ht="0.65" hidden="1" customHeight="1">
      <c r="A1128" s="324">
        <v>4212</v>
      </c>
      <c r="AA1128" s="324">
        <v>39</v>
      </c>
      <c r="AB1128" s="324" t="s">
        <v>645</v>
      </c>
      <c r="AC1128" s="324" t="s">
        <v>55</v>
      </c>
      <c r="AD1128" s="324" t="s">
        <v>55</v>
      </c>
      <c r="AE1128" s="324">
        <v>0</v>
      </c>
      <c r="AF1128" s="324" t="s">
        <v>493</v>
      </c>
      <c r="AG1128" s="324">
        <v>25000</v>
      </c>
      <c r="AH1128" s="324">
        <v>25000</v>
      </c>
      <c r="AI1128" s="324" t="s">
        <v>55</v>
      </c>
      <c r="AJ1128" s="324">
        <v>25000</v>
      </c>
      <c r="AK1128" s="324" t="s">
        <v>55</v>
      </c>
      <c r="AL1128" s="324" t="s">
        <v>55</v>
      </c>
      <c r="AM1128" s="324" t="s">
        <v>55</v>
      </c>
    </row>
    <row r="1129" spans="1:39" s="324" customFormat="1" ht="0.65" hidden="1" customHeight="1">
      <c r="A1129" s="324">
        <v>4213</v>
      </c>
      <c r="AA1129" s="324">
        <v>40</v>
      </c>
      <c r="AB1129" s="324" t="s">
        <v>645</v>
      </c>
      <c r="AC1129" s="324" t="s">
        <v>55</v>
      </c>
      <c r="AD1129" s="324" t="s">
        <v>55</v>
      </c>
      <c r="AE1129" s="324">
        <v>0</v>
      </c>
      <c r="AF1129" s="324" t="s">
        <v>494</v>
      </c>
      <c r="AG1129" s="324">
        <v>139062.5</v>
      </c>
      <c r="AH1129" s="324">
        <v>139062.5</v>
      </c>
      <c r="AI1129" s="324" t="s">
        <v>55</v>
      </c>
      <c r="AJ1129" s="324">
        <v>139062.5</v>
      </c>
      <c r="AK1129" s="324" t="s">
        <v>55</v>
      </c>
      <c r="AL1129" s="324" t="s">
        <v>55</v>
      </c>
      <c r="AM1129" s="324" t="s">
        <v>55</v>
      </c>
    </row>
    <row r="1130" spans="1:39" s="324" customFormat="1" ht="0.65" hidden="1" customHeight="1">
      <c r="A1130" s="324">
        <v>4214</v>
      </c>
      <c r="AA1130" s="324">
        <v>41</v>
      </c>
      <c r="AB1130" s="324" t="s">
        <v>645</v>
      </c>
      <c r="AC1130" s="324" t="s">
        <v>55</v>
      </c>
      <c r="AD1130" s="324" t="s">
        <v>55</v>
      </c>
      <c r="AE1130" s="324">
        <v>0</v>
      </c>
      <c r="AF1130" s="324" t="s">
        <v>607</v>
      </c>
      <c r="AG1130" s="324">
        <v>-306250</v>
      </c>
      <c r="AH1130" s="324">
        <v>-306250</v>
      </c>
      <c r="AI1130" s="324" t="s">
        <v>55</v>
      </c>
      <c r="AJ1130" s="324">
        <v>-306250</v>
      </c>
      <c r="AK1130" s="324" t="s">
        <v>55</v>
      </c>
      <c r="AL1130" s="324" t="s">
        <v>55</v>
      </c>
      <c r="AM1130" s="324" t="s">
        <v>55</v>
      </c>
    </row>
    <row r="1131" spans="1:39" s="324" customFormat="1" ht="0.65" hidden="1" customHeight="1">
      <c r="A1131" s="324">
        <v>4215</v>
      </c>
      <c r="AA1131" s="324">
        <v>42</v>
      </c>
      <c r="AB1131" s="324" t="s">
        <v>645</v>
      </c>
      <c r="AC1131" s="324" t="s">
        <v>55</v>
      </c>
      <c r="AD1131" s="324" t="s">
        <v>55</v>
      </c>
      <c r="AE1131" s="324">
        <v>0</v>
      </c>
      <c r="AF1131" s="324" t="s">
        <v>610</v>
      </c>
      <c r="AG1131" s="324">
        <v>46875</v>
      </c>
      <c r="AH1131" s="324">
        <v>46875</v>
      </c>
      <c r="AI1131" s="324" t="s">
        <v>55</v>
      </c>
      <c r="AJ1131" s="324">
        <v>46875</v>
      </c>
      <c r="AK1131" s="324" t="s">
        <v>55</v>
      </c>
      <c r="AL1131" s="324" t="s">
        <v>55</v>
      </c>
      <c r="AM1131" s="324" t="s">
        <v>55</v>
      </c>
    </row>
    <row r="1132" spans="1:39" s="324" customFormat="1" ht="0.65" hidden="1" customHeight="1">
      <c r="A1132" s="324">
        <v>4216</v>
      </c>
      <c r="AA1132" s="324">
        <v>43</v>
      </c>
      <c r="AB1132" s="324" t="s">
        <v>645</v>
      </c>
      <c r="AC1132" s="324" t="s">
        <v>55</v>
      </c>
      <c r="AD1132" s="324" t="s">
        <v>55</v>
      </c>
      <c r="AE1132" s="324">
        <v>0</v>
      </c>
      <c r="AF1132" s="324" t="s">
        <v>611</v>
      </c>
      <c r="AG1132" s="324">
        <v>71875</v>
      </c>
      <c r="AH1132" s="324">
        <v>71875</v>
      </c>
      <c r="AI1132" s="324" t="s">
        <v>55</v>
      </c>
      <c r="AJ1132" s="324">
        <v>71875</v>
      </c>
      <c r="AK1132" s="324" t="s">
        <v>55</v>
      </c>
      <c r="AL1132" s="324" t="s">
        <v>55</v>
      </c>
      <c r="AM1132" s="324" t="s">
        <v>55</v>
      </c>
    </row>
    <row r="1133" spans="1:39" s="324" customFormat="1" ht="0.65" hidden="1" customHeight="1">
      <c r="A1133" s="324">
        <v>4217</v>
      </c>
      <c r="AA1133" s="324">
        <v>44</v>
      </c>
      <c r="AB1133" s="324" t="s">
        <v>645</v>
      </c>
      <c r="AC1133" s="324" t="s">
        <v>55</v>
      </c>
      <c r="AD1133" s="324" t="s">
        <v>55</v>
      </c>
      <c r="AE1133" s="324">
        <v>0</v>
      </c>
      <c r="AF1133" s="324" t="s">
        <v>612</v>
      </c>
      <c r="AG1133" s="324">
        <v>210937.5</v>
      </c>
      <c r="AH1133" s="324">
        <v>210937.5</v>
      </c>
      <c r="AI1133" s="324" t="s">
        <v>55</v>
      </c>
      <c r="AJ1133" s="324">
        <v>210937.5</v>
      </c>
      <c r="AK1133" s="324" t="s">
        <v>55</v>
      </c>
      <c r="AL1133" s="324" t="s">
        <v>55</v>
      </c>
      <c r="AM1133" s="324" t="s">
        <v>55</v>
      </c>
    </row>
    <row r="1134" spans="1:39" s="324" customFormat="1" ht="0.65" hidden="1" customHeight="1">
      <c r="A1134" s="324">
        <v>4218</v>
      </c>
      <c r="AA1134" s="324">
        <v>45</v>
      </c>
      <c r="AB1134" s="324" t="s">
        <v>645</v>
      </c>
      <c r="AC1134" s="324" t="s">
        <v>55</v>
      </c>
      <c r="AD1134" s="324" t="s">
        <v>55</v>
      </c>
      <c r="AE1134" s="324">
        <v>0</v>
      </c>
      <c r="AF1134" s="324" t="s">
        <v>124</v>
      </c>
      <c r="AG1134" s="324">
        <v>0.06</v>
      </c>
      <c r="AH1134" s="324">
        <v>0.06</v>
      </c>
      <c r="AI1134" s="324" t="s">
        <v>55</v>
      </c>
      <c r="AJ1134" s="324">
        <v>0.06</v>
      </c>
      <c r="AK1134" s="324" t="s">
        <v>55</v>
      </c>
      <c r="AL1134" s="324" t="s">
        <v>55</v>
      </c>
      <c r="AM1134" s="324" t="s">
        <v>55</v>
      </c>
    </row>
    <row r="1135" spans="1:39" s="324" customFormat="1" ht="0.65" hidden="1" customHeight="1">
      <c r="A1135" s="324">
        <v>4219</v>
      </c>
      <c r="AA1135" s="324">
        <v>46</v>
      </c>
      <c r="AB1135" s="324" t="s">
        <v>645</v>
      </c>
      <c r="AC1135" s="324" t="s">
        <v>55</v>
      </c>
      <c r="AD1135" s="324" t="s">
        <v>55</v>
      </c>
      <c r="AE1135" s="324">
        <v>0</v>
      </c>
      <c r="AF1135" s="324" t="s">
        <v>125</v>
      </c>
      <c r="AG1135" s="324">
        <v>0.11</v>
      </c>
      <c r="AH1135" s="324">
        <v>0.11</v>
      </c>
      <c r="AI1135" s="324" t="s">
        <v>55</v>
      </c>
      <c r="AJ1135" s="324">
        <v>0.11</v>
      </c>
      <c r="AK1135" s="324" t="s">
        <v>55</v>
      </c>
      <c r="AL1135" s="324" t="s">
        <v>55</v>
      </c>
      <c r="AM1135" s="324" t="s">
        <v>55</v>
      </c>
    </row>
    <row r="1136" spans="1:39" s="324" customFormat="1" ht="0.65" hidden="1" customHeight="1">
      <c r="A1136" s="324">
        <v>4220</v>
      </c>
      <c r="AA1136" s="324">
        <v>47</v>
      </c>
      <c r="AB1136" s="324" t="s">
        <v>645</v>
      </c>
      <c r="AC1136" s="324" t="s">
        <v>55</v>
      </c>
      <c r="AD1136" s="324" t="s">
        <v>55</v>
      </c>
      <c r="AE1136" s="324">
        <v>0</v>
      </c>
      <c r="AF1136" s="324" t="s">
        <v>126</v>
      </c>
      <c r="AG1136" s="324">
        <v>8.5000000000000006E-2</v>
      </c>
      <c r="AH1136" s="324">
        <v>8.4999999999999992E-2</v>
      </c>
      <c r="AI1136" s="324" t="s">
        <v>55</v>
      </c>
      <c r="AJ1136" s="324">
        <v>8.5000000000000006E-2</v>
      </c>
      <c r="AK1136" s="324" t="s">
        <v>55</v>
      </c>
      <c r="AL1136" s="324" t="s">
        <v>55</v>
      </c>
      <c r="AM1136" s="324" t="s">
        <v>55</v>
      </c>
    </row>
    <row r="1137" spans="1:39" s="324" customFormat="1" ht="0.65" hidden="1" customHeight="1">
      <c r="A1137" s="324">
        <v>4221</v>
      </c>
      <c r="AA1137" s="324">
        <v>48</v>
      </c>
      <c r="AB1137" s="324" t="s">
        <v>645</v>
      </c>
      <c r="AC1137" s="324" t="s">
        <v>55</v>
      </c>
      <c r="AD1137" s="324" t="s">
        <v>55</v>
      </c>
      <c r="AE1137" s="324">
        <v>0</v>
      </c>
      <c r="AF1137" s="324" t="s">
        <v>13</v>
      </c>
      <c r="AG1137" s="324">
        <v>-36847.959271750646</v>
      </c>
      <c r="AH1137" s="324">
        <v>-36847.959271750646</v>
      </c>
      <c r="AI1137" s="324" t="s">
        <v>55</v>
      </c>
      <c r="AJ1137" s="324">
        <v>-36847.959271750646</v>
      </c>
      <c r="AK1137" s="324" t="s">
        <v>55</v>
      </c>
      <c r="AL1137" s="324" t="s">
        <v>55</v>
      </c>
      <c r="AM1137" s="324" t="s">
        <v>55</v>
      </c>
    </row>
    <row r="1138" spans="1:39" s="324" customFormat="1" ht="0.65" hidden="1" customHeight="1">
      <c r="A1138" s="324">
        <v>4222</v>
      </c>
      <c r="AA1138" s="324">
        <v>49</v>
      </c>
      <c r="AB1138" s="324" t="s">
        <v>645</v>
      </c>
      <c r="AC1138" s="324" t="s">
        <v>55</v>
      </c>
      <c r="AD1138" s="324" t="s">
        <v>55</v>
      </c>
      <c r="AE1138" s="324">
        <v>0</v>
      </c>
      <c r="AF1138" s="324" t="s">
        <v>28</v>
      </c>
      <c r="AG1138" s="324">
        <v>3.0062994449785885E-2</v>
      </c>
      <c r="AH1138" s="324">
        <v>3.0062994449785885E-2</v>
      </c>
      <c r="AI1138" s="324" t="s">
        <v>55</v>
      </c>
      <c r="AJ1138" s="324">
        <v>3.0062994449785885E-2</v>
      </c>
      <c r="AK1138" s="324" t="s">
        <v>55</v>
      </c>
      <c r="AL1138" s="324" t="s">
        <v>55</v>
      </c>
      <c r="AM1138" s="324" t="s">
        <v>55</v>
      </c>
    </row>
    <row r="1139" spans="1:39" s="324" customFormat="1" ht="0.65" hidden="1" customHeight="1">
      <c r="A1139" s="324">
        <v>4223</v>
      </c>
      <c r="AH1139" s="324" t="s">
        <v>207</v>
      </c>
      <c r="AI1139" s="324">
        <v>0</v>
      </c>
      <c r="AJ1139" s="324" t="s">
        <v>207</v>
      </c>
      <c r="AK1139" s="324">
        <v>0</v>
      </c>
    </row>
    <row r="1140" spans="1:39" s="324" customFormat="1" ht="0.65" hidden="1" customHeight="1"/>
    <row r="1141" spans="1:39" s="324" customFormat="1" ht="0.65" hidden="1" customHeight="1"/>
    <row r="1142" spans="1:39" s="324" customFormat="1" ht="0.65" hidden="1" customHeight="1"/>
    <row r="1143" spans="1:39" s="324" customFormat="1" ht="0.65" hidden="1" customHeight="1">
      <c r="B1143" s="324" t="s">
        <v>19</v>
      </c>
      <c r="D1143" s="324" t="s">
        <v>336</v>
      </c>
      <c r="E1143" s="324">
        <v>5</v>
      </c>
    </row>
    <row r="1144" spans="1:39" s="324" customFormat="1" ht="0.65" hidden="1" customHeight="1">
      <c r="B1144" s="324" t="s">
        <v>3951</v>
      </c>
      <c r="D1144" s="324" t="s">
        <v>336</v>
      </c>
      <c r="E1144" s="324" t="s">
        <v>486</v>
      </c>
      <c r="H1144" s="324" t="s">
        <v>55</v>
      </c>
      <c r="I1144" s="324" t="s">
        <v>55</v>
      </c>
      <c r="J1144" s="324" t="s">
        <v>55</v>
      </c>
      <c r="K1144" s="324" t="s">
        <v>55</v>
      </c>
      <c r="L1144" s="324" t="s">
        <v>55</v>
      </c>
      <c r="M1144" s="324" t="s">
        <v>55</v>
      </c>
      <c r="N1144" s="324" t="s">
        <v>55</v>
      </c>
      <c r="O1144" s="324" t="s">
        <v>55</v>
      </c>
      <c r="P1144" s="324" t="s">
        <v>55</v>
      </c>
    </row>
    <row r="1145" spans="1:39" s="324" customFormat="1" ht="0.65" hidden="1" customHeight="1">
      <c r="A1145" s="324">
        <v>5001</v>
      </c>
      <c r="C1145" s="324" t="s">
        <v>5</v>
      </c>
      <c r="D1145" s="324">
        <v>2022</v>
      </c>
      <c r="G1145" s="324" t="s">
        <v>0</v>
      </c>
      <c r="H1145" s="324" t="s">
        <v>69</v>
      </c>
      <c r="I1145" s="324" t="s">
        <v>70</v>
      </c>
      <c r="J1145" s="324" t="s">
        <v>71</v>
      </c>
      <c r="K1145" s="324" t="s">
        <v>72</v>
      </c>
      <c r="L1145" s="324" t="s">
        <v>73</v>
      </c>
      <c r="M1145" s="324" t="s">
        <v>74</v>
      </c>
      <c r="N1145" s="324" t="s">
        <v>75</v>
      </c>
      <c r="O1145" s="324" t="s">
        <v>80</v>
      </c>
      <c r="P1145" s="324" t="s">
        <v>1</v>
      </c>
      <c r="U1145" s="324" t="s">
        <v>151</v>
      </c>
      <c r="AD1145" s="324" t="s">
        <v>455</v>
      </c>
    </row>
    <row r="1146" spans="1:39" s="324" customFormat="1" ht="0.65" hidden="1" customHeight="1">
      <c r="A1146" s="324">
        <v>5002</v>
      </c>
      <c r="G1146" s="324">
        <v>2022</v>
      </c>
      <c r="H1146" s="324">
        <v>0</v>
      </c>
      <c r="I1146" s="324">
        <v>0</v>
      </c>
      <c r="J1146" s="324">
        <v>0</v>
      </c>
      <c r="K1146" s="324">
        <v>0</v>
      </c>
      <c r="L1146" s="324">
        <v>0</v>
      </c>
      <c r="M1146" s="324">
        <v>0</v>
      </c>
      <c r="N1146" s="324">
        <v>0</v>
      </c>
      <c r="O1146" s="324">
        <v>0</v>
      </c>
      <c r="P1146" s="324">
        <v>-967500</v>
      </c>
      <c r="AD1146" s="324" t="s">
        <v>487</v>
      </c>
    </row>
    <row r="1147" spans="1:39" s="324" customFormat="1" ht="0.65" hidden="1" customHeight="1">
      <c r="A1147" s="324">
        <v>5003</v>
      </c>
      <c r="C1147" s="324" t="s">
        <v>32</v>
      </c>
      <c r="G1147" s="324">
        <v>2023</v>
      </c>
      <c r="H1147" s="324">
        <v>600000</v>
      </c>
      <c r="I1147" s="324">
        <v>150000</v>
      </c>
      <c r="J1147" s="324">
        <v>-30000</v>
      </c>
      <c r="K1147" s="324">
        <v>480000</v>
      </c>
      <c r="L1147" s="324">
        <v>120000</v>
      </c>
      <c r="M1147" s="324">
        <v>360000</v>
      </c>
      <c r="N1147" s="324">
        <v>330000</v>
      </c>
      <c r="O1147" s="324">
        <v>267500</v>
      </c>
      <c r="P1147" s="324">
        <v>267500</v>
      </c>
      <c r="U1147" s="324" t="s">
        <v>152</v>
      </c>
      <c r="Z1147" s="324" t="s">
        <v>176</v>
      </c>
      <c r="AA1147" s="324">
        <v>104229.1490951411</v>
      </c>
      <c r="AF1147" s="324" t="s">
        <v>247</v>
      </c>
    </row>
    <row r="1148" spans="1:39" s="324" customFormat="1" ht="0.65" hidden="1" customHeight="1">
      <c r="A1148" s="324">
        <v>5004</v>
      </c>
      <c r="C1148" s="324" t="s">
        <v>488</v>
      </c>
      <c r="D1148" s="324">
        <v>1200000</v>
      </c>
      <c r="E1148" s="324" t="s">
        <v>55</v>
      </c>
      <c r="G1148" s="324">
        <v>2024</v>
      </c>
      <c r="H1148" s="324">
        <v>600000</v>
      </c>
      <c r="I1148" s="324">
        <v>150000</v>
      </c>
      <c r="J1148" s="324">
        <v>-30000</v>
      </c>
      <c r="K1148" s="324">
        <v>480000</v>
      </c>
      <c r="L1148" s="324">
        <v>120000</v>
      </c>
      <c r="M1148" s="324">
        <v>360000</v>
      </c>
      <c r="N1148" s="324">
        <v>330000</v>
      </c>
      <c r="O1148" s="324">
        <v>330000</v>
      </c>
      <c r="P1148" s="324">
        <v>330000</v>
      </c>
      <c r="Y1148" s="324" t="s">
        <v>139</v>
      </c>
      <c r="Z1148" s="324" t="s">
        <v>174</v>
      </c>
      <c r="AF1148" s="324" t="s">
        <v>248</v>
      </c>
    </row>
    <row r="1149" spans="1:39" s="324" customFormat="1" ht="0.65" hidden="1" customHeight="1">
      <c r="A1149" s="324">
        <v>5005</v>
      </c>
      <c r="C1149" s="324" t="s">
        <v>6</v>
      </c>
      <c r="D1149" s="324">
        <v>10</v>
      </c>
      <c r="G1149" s="324">
        <v>2025</v>
      </c>
      <c r="H1149" s="324">
        <v>600000</v>
      </c>
      <c r="I1149" s="324">
        <v>150000</v>
      </c>
      <c r="J1149" s="324">
        <v>120000</v>
      </c>
      <c r="K1149" s="324">
        <v>330000</v>
      </c>
      <c r="L1149" s="324">
        <v>82500</v>
      </c>
      <c r="M1149" s="324">
        <v>247500</v>
      </c>
      <c r="N1149" s="324">
        <v>367500</v>
      </c>
      <c r="O1149" s="324">
        <v>367500</v>
      </c>
      <c r="P1149" s="324">
        <v>707500</v>
      </c>
      <c r="T1149" s="324" t="s">
        <v>187</v>
      </c>
      <c r="V1149" s="324" t="s">
        <v>180</v>
      </c>
      <c r="X1149" s="324" t="s">
        <v>177</v>
      </c>
      <c r="Y1149" s="324" t="s">
        <v>173</v>
      </c>
      <c r="Z1149" s="324" t="s">
        <v>175</v>
      </c>
      <c r="AA1149" s="324" t="s">
        <v>172</v>
      </c>
      <c r="AD1149" s="324" t="s">
        <v>177</v>
      </c>
      <c r="AE1149" s="324" t="s">
        <v>246</v>
      </c>
      <c r="AF1149" s="324" t="s">
        <v>249</v>
      </c>
      <c r="AG1149" s="324" t="s">
        <v>462</v>
      </c>
    </row>
    <row r="1150" spans="1:39" s="324" customFormat="1" ht="0.65" hidden="1" customHeight="1">
      <c r="A1150" s="324">
        <v>5006</v>
      </c>
      <c r="C1150" s="324" t="s">
        <v>489</v>
      </c>
      <c r="D1150" s="324">
        <v>120000</v>
      </c>
      <c r="H1150" s="324" t="s">
        <v>55</v>
      </c>
      <c r="I1150" s="324" t="s">
        <v>55</v>
      </c>
      <c r="J1150" s="324" t="s">
        <v>55</v>
      </c>
      <c r="K1150" s="324" t="s">
        <v>55</v>
      </c>
      <c r="T1150" s="324">
        <v>1</v>
      </c>
      <c r="U1150" s="324" t="s">
        <v>153</v>
      </c>
      <c r="V1150" s="324" t="s">
        <v>178</v>
      </c>
      <c r="W1150" s="324" t="s">
        <v>55</v>
      </c>
      <c r="X1150" s="324" t="s">
        <v>6</v>
      </c>
      <c r="Y1150" s="324">
        <v>10</v>
      </c>
      <c r="Z1150" s="324">
        <v>15</v>
      </c>
      <c r="AA1150" s="324">
        <v>102100.40098369643</v>
      </c>
      <c r="AB1150" s="324" t="s">
        <v>55</v>
      </c>
      <c r="AC1150" s="324">
        <v>1</v>
      </c>
      <c r="AD1150" s="324" t="s">
        <v>55</v>
      </c>
      <c r="AE1150" s="324" t="s">
        <v>55</v>
      </c>
      <c r="AF1150" s="324" t="s">
        <v>55</v>
      </c>
      <c r="AG1150" s="324" t="s">
        <v>55</v>
      </c>
    </row>
    <row r="1151" spans="1:39" s="324" customFormat="1" ht="0.65" hidden="1" customHeight="1">
      <c r="A1151" s="324">
        <v>5007</v>
      </c>
      <c r="G1151" s="324" t="s">
        <v>0</v>
      </c>
      <c r="H1151" s="324" t="s">
        <v>76</v>
      </c>
      <c r="I1151" s="324" t="s">
        <v>77</v>
      </c>
      <c r="J1151" s="324" t="s">
        <v>78</v>
      </c>
      <c r="K1151" s="324" t="s">
        <v>79</v>
      </c>
      <c r="N1151" s="324" t="s">
        <v>55</v>
      </c>
      <c r="P1151" s="324" t="s">
        <v>55</v>
      </c>
      <c r="T1151" s="324">
        <v>2</v>
      </c>
      <c r="U1151" s="324" t="s">
        <v>154</v>
      </c>
      <c r="V1151" s="324" t="s">
        <v>178</v>
      </c>
      <c r="W1151" s="324" t="s">
        <v>55</v>
      </c>
      <c r="X1151" s="324" t="s">
        <v>488</v>
      </c>
      <c r="Y1151" s="324">
        <v>1200000</v>
      </c>
      <c r="Z1151" s="324">
        <v>1320000</v>
      </c>
      <c r="AA1151" s="324">
        <v>8097.153366178507</v>
      </c>
      <c r="AB1151" s="324" t="s">
        <v>55</v>
      </c>
    </row>
    <row r="1152" spans="1:39" s="324" customFormat="1" ht="0.65" hidden="1" customHeight="1">
      <c r="A1152" s="324">
        <v>5008</v>
      </c>
      <c r="C1152" s="324" t="s">
        <v>34</v>
      </c>
      <c r="D1152" s="324">
        <v>600000</v>
      </c>
      <c r="G1152" s="324">
        <v>2022</v>
      </c>
      <c r="H1152" s="324">
        <v>0</v>
      </c>
      <c r="I1152" s="324">
        <v>0</v>
      </c>
      <c r="J1152" s="324">
        <v>0</v>
      </c>
      <c r="K1152" s="324">
        <v>0</v>
      </c>
      <c r="M1152" s="324" t="s">
        <v>490</v>
      </c>
      <c r="N1152" s="324">
        <v>967500</v>
      </c>
      <c r="O1152" s="324" t="s">
        <v>124</v>
      </c>
      <c r="P1152" s="324">
        <v>4.4999999999999998E-2</v>
      </c>
      <c r="T1152" s="324">
        <v>3</v>
      </c>
      <c r="U1152" s="324" t="s">
        <v>155</v>
      </c>
      <c r="V1152" s="324" t="s">
        <v>178</v>
      </c>
      <c r="W1152" s="324" t="s">
        <v>55</v>
      </c>
      <c r="X1152" s="324" t="s">
        <v>489</v>
      </c>
      <c r="Y1152" s="324">
        <v>120000</v>
      </c>
      <c r="Z1152" s="324">
        <v>108000</v>
      </c>
      <c r="AA1152" s="324">
        <v>97260.335143859891</v>
      </c>
      <c r="AB1152" s="324" t="s">
        <v>55</v>
      </c>
      <c r="AC1152" s="324">
        <v>2</v>
      </c>
      <c r="AD1152" s="324" t="s">
        <v>55</v>
      </c>
      <c r="AE1152" s="324" t="s">
        <v>55</v>
      </c>
      <c r="AF1152" s="324" t="s">
        <v>55</v>
      </c>
      <c r="AG1152" s="324" t="s">
        <v>55</v>
      </c>
    </row>
    <row r="1153" spans="1:33" s="324" customFormat="1" ht="0.65" hidden="1" customHeight="1">
      <c r="A1153" s="324">
        <v>5009</v>
      </c>
      <c r="C1153" s="324" t="s">
        <v>35</v>
      </c>
      <c r="D1153" s="324">
        <v>150000</v>
      </c>
      <c r="G1153" s="324">
        <v>2023</v>
      </c>
      <c r="H1153" s="324">
        <v>100000</v>
      </c>
      <c r="I1153" s="324">
        <v>37500</v>
      </c>
      <c r="J1153" s="324">
        <v>62500</v>
      </c>
      <c r="K1153" s="324">
        <v>62500</v>
      </c>
      <c r="M1153" s="324" t="s">
        <v>491</v>
      </c>
      <c r="N1153" s="324">
        <v>277500</v>
      </c>
      <c r="O1153" s="324" t="s">
        <v>125</v>
      </c>
      <c r="P1153" s="324">
        <v>0.1</v>
      </c>
      <c r="T1153" s="324">
        <v>4</v>
      </c>
      <c r="U1153" s="324" t="s">
        <v>156</v>
      </c>
      <c r="V1153" s="324" t="s">
        <v>179</v>
      </c>
      <c r="W1153" s="324" t="s">
        <v>55</v>
      </c>
      <c r="X1153" s="324" t="s">
        <v>492</v>
      </c>
      <c r="Y1153" s="324">
        <v>210000</v>
      </c>
      <c r="Z1153" s="324">
        <v>231000.00000000003</v>
      </c>
      <c r="AA1153" s="324">
        <v>119979.14909514113</v>
      </c>
      <c r="AB1153" s="324" t="s">
        <v>55</v>
      </c>
    </row>
    <row r="1154" spans="1:33" s="324" customFormat="1" ht="0.65" hidden="1" customHeight="1">
      <c r="A1154" s="324">
        <v>5010</v>
      </c>
      <c r="G1154" s="324">
        <v>2024</v>
      </c>
      <c r="H1154" s="324">
        <v>100000</v>
      </c>
      <c r="I1154" s="324">
        <v>37500</v>
      </c>
      <c r="J1154" s="324">
        <v>62500</v>
      </c>
      <c r="K1154" s="324">
        <v>0</v>
      </c>
      <c r="M1154" s="324" t="s">
        <v>493</v>
      </c>
      <c r="N1154" s="324">
        <v>62500</v>
      </c>
      <c r="O1154" s="324" t="s">
        <v>126</v>
      </c>
      <c r="P1154" s="324">
        <v>8.8999999999999996E-2</v>
      </c>
      <c r="T1154" s="324">
        <v>5</v>
      </c>
      <c r="U1154" s="324" t="s">
        <v>157</v>
      </c>
      <c r="V1154" s="324" t="s">
        <v>178</v>
      </c>
      <c r="W1154" s="324" t="s">
        <v>55</v>
      </c>
      <c r="X1154" s="324" t="s">
        <v>6</v>
      </c>
      <c r="Y1154" s="324">
        <v>2</v>
      </c>
      <c r="Z1154" s="324">
        <v>1</v>
      </c>
      <c r="AA1154" s="324">
        <v>101414.88069109057</v>
      </c>
      <c r="AB1154" s="324" t="s">
        <v>55</v>
      </c>
      <c r="AC1154" s="324">
        <v>3</v>
      </c>
      <c r="AD1154" s="324" t="s">
        <v>55</v>
      </c>
      <c r="AE1154" s="324" t="s">
        <v>55</v>
      </c>
      <c r="AF1154" s="324" t="s">
        <v>55</v>
      </c>
      <c r="AG1154" s="324" t="s">
        <v>55</v>
      </c>
    </row>
    <row r="1155" spans="1:33" s="324" customFormat="1" ht="0.65" hidden="1" customHeight="1">
      <c r="A1155" s="324">
        <v>5011</v>
      </c>
      <c r="C1155" s="324" t="s">
        <v>7</v>
      </c>
      <c r="D1155" s="324">
        <v>60</v>
      </c>
      <c r="G1155" s="324">
        <v>2025</v>
      </c>
      <c r="H1155" s="324">
        <v>100000</v>
      </c>
      <c r="I1155" s="324">
        <v>37500</v>
      </c>
      <c r="J1155" s="324">
        <v>62500</v>
      </c>
      <c r="K1155" s="324">
        <v>0</v>
      </c>
      <c r="M1155" s="324" t="s">
        <v>494</v>
      </c>
      <c r="N1155" s="324">
        <v>340000</v>
      </c>
      <c r="T1155" s="324">
        <v>6</v>
      </c>
      <c r="U1155" s="324" t="s">
        <v>158</v>
      </c>
      <c r="V1155" s="324" t="s">
        <v>179</v>
      </c>
      <c r="W1155" s="324" t="s">
        <v>55</v>
      </c>
      <c r="X1155" s="324" t="s">
        <v>495</v>
      </c>
      <c r="Y1155" s="324">
        <v>300000</v>
      </c>
      <c r="Z1155" s="324">
        <v>330000</v>
      </c>
      <c r="AA1155" s="324">
        <v>105123.52359394835</v>
      </c>
      <c r="AB1155" s="324" t="s">
        <v>55</v>
      </c>
    </row>
    <row r="1156" spans="1:33" s="324" customFormat="1" ht="0.65" hidden="1" customHeight="1">
      <c r="A1156" s="324">
        <v>5012</v>
      </c>
      <c r="C1156" s="324" t="s">
        <v>8</v>
      </c>
      <c r="D1156" s="324">
        <v>90</v>
      </c>
      <c r="T1156" s="324">
        <v>7</v>
      </c>
      <c r="U1156" s="324" t="s">
        <v>159</v>
      </c>
      <c r="V1156" s="324" t="s">
        <v>178</v>
      </c>
      <c r="W1156" s="324" t="s">
        <v>55</v>
      </c>
      <c r="X1156" s="324" t="s">
        <v>492</v>
      </c>
      <c r="Y1156" s="324">
        <v>210000</v>
      </c>
      <c r="Z1156" s="324">
        <v>189000</v>
      </c>
      <c r="AA1156" s="324">
        <v>88479.149095141096</v>
      </c>
      <c r="AB1156" s="324" t="s">
        <v>55</v>
      </c>
      <c r="AC1156" s="324">
        <v>4</v>
      </c>
      <c r="AD1156" s="324" t="s">
        <v>55</v>
      </c>
      <c r="AE1156" s="324" t="s">
        <v>55</v>
      </c>
      <c r="AF1156" s="324" t="s">
        <v>55</v>
      </c>
      <c r="AG1156" s="324" t="s">
        <v>55</v>
      </c>
    </row>
    <row r="1157" spans="1:33" s="324" customFormat="1" ht="0.65" hidden="1" customHeight="1">
      <c r="A1157" s="324">
        <v>5013</v>
      </c>
      <c r="O1157" s="324" t="s">
        <v>13</v>
      </c>
      <c r="P1157" s="324">
        <v>104229.1490951411</v>
      </c>
      <c r="T1157" s="324">
        <v>8</v>
      </c>
      <c r="U1157" s="324" t="s">
        <v>160</v>
      </c>
      <c r="V1157" s="324" t="s">
        <v>178</v>
      </c>
      <c r="W1157" s="324" t="s">
        <v>55</v>
      </c>
      <c r="X1157" s="324" t="s">
        <v>489</v>
      </c>
      <c r="Y1157" s="324">
        <v>30000</v>
      </c>
      <c r="Z1157" s="324">
        <v>33000</v>
      </c>
      <c r="AA1157" s="324">
        <v>102486.9456073208</v>
      </c>
      <c r="AB1157" s="324" t="s">
        <v>55</v>
      </c>
    </row>
    <row r="1158" spans="1:33" s="324" customFormat="1" ht="0.65" hidden="1" customHeight="1">
      <c r="A1158" s="324">
        <v>5014</v>
      </c>
      <c r="C1158" s="324" t="s">
        <v>33</v>
      </c>
      <c r="O1158" s="324" t="s">
        <v>28</v>
      </c>
      <c r="P1158" s="324">
        <v>0.13927532491339289</v>
      </c>
      <c r="T1158" s="324">
        <v>9</v>
      </c>
      <c r="U1158" s="324" t="s">
        <v>161</v>
      </c>
      <c r="V1158" s="324" t="s">
        <v>179</v>
      </c>
      <c r="W1158" s="324" t="s">
        <v>55</v>
      </c>
      <c r="X1158" s="324" t="s">
        <v>34</v>
      </c>
      <c r="Y1158" s="324">
        <v>600000</v>
      </c>
      <c r="Z1158" s="324">
        <v>660000</v>
      </c>
      <c r="AA1158" s="324">
        <v>216901.11502293096</v>
      </c>
      <c r="AB1158" s="324" t="s">
        <v>55</v>
      </c>
      <c r="AC1158" s="324">
        <v>5</v>
      </c>
      <c r="AD1158" s="324" t="s">
        <v>55</v>
      </c>
      <c r="AE1158" s="324" t="s">
        <v>55</v>
      </c>
      <c r="AF1158" s="324" t="s">
        <v>55</v>
      </c>
      <c r="AG1158" s="324" t="s">
        <v>55</v>
      </c>
    </row>
    <row r="1159" spans="1:33" s="324" customFormat="1" ht="0.65" hidden="1" customHeight="1">
      <c r="A1159" s="324">
        <v>5015</v>
      </c>
      <c r="C1159" s="324" t="s">
        <v>492</v>
      </c>
      <c r="D1159" s="324">
        <v>210000</v>
      </c>
      <c r="K1159" s="324" t="s">
        <v>127</v>
      </c>
      <c r="L1159" s="324" t="s">
        <v>36</v>
      </c>
      <c r="M1159" s="324" t="s">
        <v>55</v>
      </c>
      <c r="T1159" s="324">
        <v>10</v>
      </c>
      <c r="U1159" s="324" t="s">
        <v>162</v>
      </c>
      <c r="V1159" s="324" t="s">
        <v>178</v>
      </c>
      <c r="W1159" s="324" t="s">
        <v>55</v>
      </c>
      <c r="X1159" s="324" t="s">
        <v>7</v>
      </c>
      <c r="Y1159" s="324">
        <v>60</v>
      </c>
      <c r="Z1159" s="324">
        <v>90</v>
      </c>
      <c r="AA1159" s="324">
        <v>97031.099880495807</v>
      </c>
      <c r="AB1159" s="324" t="s">
        <v>55</v>
      </c>
    </row>
    <row r="1160" spans="1:33" s="324" customFormat="1" ht="0.65" hidden="1" customHeight="1">
      <c r="A1160" s="324">
        <v>5016</v>
      </c>
      <c r="C1160" s="324" t="s">
        <v>495</v>
      </c>
      <c r="D1160" s="324">
        <v>300000</v>
      </c>
      <c r="E1160" s="324" t="s">
        <v>55</v>
      </c>
      <c r="K1160" s="324" t="s">
        <v>496</v>
      </c>
      <c r="L1160" s="324" t="s">
        <v>424</v>
      </c>
      <c r="T1160" s="324">
        <v>11</v>
      </c>
      <c r="U1160" s="324" t="s">
        <v>163</v>
      </c>
      <c r="V1160" s="324" t="s">
        <v>179</v>
      </c>
      <c r="W1160" s="324" t="s">
        <v>55</v>
      </c>
      <c r="X1160" s="324" t="s">
        <v>35</v>
      </c>
      <c r="Y1160" s="324">
        <v>150000</v>
      </c>
      <c r="Z1160" s="324">
        <v>135000</v>
      </c>
      <c r="AA1160" s="324">
        <v>132217.18934672244</v>
      </c>
      <c r="AB1160" s="324" t="s">
        <v>55</v>
      </c>
      <c r="AC1160" s="324">
        <v>6</v>
      </c>
      <c r="AD1160" s="324" t="s">
        <v>55</v>
      </c>
      <c r="AE1160" s="324" t="s">
        <v>55</v>
      </c>
      <c r="AF1160" s="324" t="s">
        <v>55</v>
      </c>
      <c r="AG1160" s="324" t="s">
        <v>55</v>
      </c>
    </row>
    <row r="1161" spans="1:33" s="324" customFormat="1" ht="0.65" hidden="1" customHeight="1">
      <c r="A1161" s="324">
        <v>5017</v>
      </c>
      <c r="C1161" s="324" t="s">
        <v>6</v>
      </c>
      <c r="D1161" s="324">
        <v>2</v>
      </c>
      <c r="K1161" s="324" t="s">
        <v>410</v>
      </c>
      <c r="L1161" s="324">
        <v>0</v>
      </c>
      <c r="M1161" s="324" t="s">
        <v>337</v>
      </c>
      <c r="T1161" s="324">
        <v>12</v>
      </c>
      <c r="U1161" s="324" t="s">
        <v>164</v>
      </c>
      <c r="V1161" s="324" t="s">
        <v>178</v>
      </c>
      <c r="W1161" s="324" t="s">
        <v>55</v>
      </c>
      <c r="X1161" s="324" t="s">
        <v>8</v>
      </c>
      <c r="Y1161" s="324">
        <v>90</v>
      </c>
      <c r="Z1161" s="324">
        <v>60</v>
      </c>
      <c r="AA1161" s="324">
        <v>102429.63679147977</v>
      </c>
      <c r="AB1161" s="324" t="s">
        <v>55</v>
      </c>
    </row>
    <row r="1162" spans="1:33" s="324" customFormat="1" ht="0.65" hidden="1" customHeight="1">
      <c r="A1162" s="324">
        <v>5018</v>
      </c>
      <c r="C1162" s="324" t="s">
        <v>489</v>
      </c>
      <c r="D1162" s="324">
        <v>30000</v>
      </c>
      <c r="N1162" s="324" t="s">
        <v>55</v>
      </c>
      <c r="T1162" s="324">
        <v>13</v>
      </c>
      <c r="U1162" s="324" t="s">
        <v>165</v>
      </c>
      <c r="V1162" s="324" t="s">
        <v>178</v>
      </c>
      <c r="W1162" s="324" t="s">
        <v>55</v>
      </c>
      <c r="X1162" s="324" t="s">
        <v>10</v>
      </c>
      <c r="Y1162" s="324">
        <v>360000</v>
      </c>
      <c r="Z1162" s="324">
        <v>396000.00000000006</v>
      </c>
      <c r="AA1162" s="324">
        <v>102210.9329322718</v>
      </c>
      <c r="AB1162" s="324" t="s">
        <v>55</v>
      </c>
      <c r="AC1162" s="324">
        <v>7</v>
      </c>
      <c r="AD1162" s="324" t="s">
        <v>55</v>
      </c>
      <c r="AE1162" s="324" t="s">
        <v>55</v>
      </c>
      <c r="AF1162" s="324" t="s">
        <v>55</v>
      </c>
      <c r="AG1162" s="324" t="s">
        <v>55</v>
      </c>
    </row>
    <row r="1163" spans="1:33" s="324" customFormat="1" ht="0.65" hidden="1" customHeight="1">
      <c r="A1163" s="324">
        <v>5019</v>
      </c>
      <c r="K1163" s="324" t="s">
        <v>413</v>
      </c>
      <c r="L1163" s="324">
        <v>33</v>
      </c>
      <c r="M1163" s="324" t="s">
        <v>55</v>
      </c>
      <c r="T1163" s="324">
        <v>14</v>
      </c>
      <c r="U1163" s="324" t="s">
        <v>166</v>
      </c>
      <c r="V1163" s="324" t="s">
        <v>179</v>
      </c>
      <c r="W1163" s="324" t="s">
        <v>55</v>
      </c>
      <c r="X1163" s="324" t="s">
        <v>12</v>
      </c>
      <c r="Y1163" s="324">
        <v>0.02</v>
      </c>
      <c r="Z1163" s="324">
        <v>0.01</v>
      </c>
      <c r="AA1163" s="324">
        <v>122433.76168979386</v>
      </c>
      <c r="AB1163" s="324" t="s">
        <v>55</v>
      </c>
    </row>
    <row r="1164" spans="1:33" s="324" customFormat="1" ht="0.65" hidden="1" customHeight="1">
      <c r="A1164" s="324">
        <v>5020</v>
      </c>
      <c r="C1164" s="324" t="s">
        <v>4</v>
      </c>
      <c r="D1164" s="324">
        <v>0.25</v>
      </c>
      <c r="K1164" s="324" t="s">
        <v>479</v>
      </c>
      <c r="N1164" s="324" t="s">
        <v>466</v>
      </c>
      <c r="T1164" s="324">
        <v>15</v>
      </c>
      <c r="U1164" s="324" t="s">
        <v>167</v>
      </c>
      <c r="V1164" s="324" t="s">
        <v>178</v>
      </c>
      <c r="W1164" s="324" t="s">
        <v>55</v>
      </c>
      <c r="X1164" s="324" t="s">
        <v>11</v>
      </c>
      <c r="Y1164" s="324">
        <v>1920000</v>
      </c>
      <c r="Z1164" s="324">
        <v>2112000</v>
      </c>
      <c r="AA1164" s="324">
        <v>90005.672004841865</v>
      </c>
      <c r="AB1164" s="324" t="s">
        <v>55</v>
      </c>
      <c r="AC1164" s="324">
        <v>8</v>
      </c>
      <c r="AD1164" s="324" t="s">
        <v>55</v>
      </c>
      <c r="AE1164" s="324" t="s">
        <v>55</v>
      </c>
      <c r="AF1164" s="324" t="s">
        <v>55</v>
      </c>
      <c r="AG1164" s="324" t="s">
        <v>55</v>
      </c>
    </row>
    <row r="1165" spans="1:33" s="324" customFormat="1" ht="0.65" hidden="1" customHeight="1">
      <c r="A1165" s="324">
        <v>5021</v>
      </c>
      <c r="D1165" s="324" t="s">
        <v>9</v>
      </c>
      <c r="K1165" s="324" t="s">
        <v>409</v>
      </c>
      <c r="L1165" s="324" t="s">
        <v>38</v>
      </c>
      <c r="M1165" s="324" t="s">
        <v>55</v>
      </c>
      <c r="N1165" s="324" t="s">
        <v>467</v>
      </c>
      <c r="O1165" s="324" t="s">
        <v>468</v>
      </c>
      <c r="T1165" s="324">
        <v>16</v>
      </c>
      <c r="U1165" s="324" t="s">
        <v>168</v>
      </c>
      <c r="V1165" s="324" t="s">
        <v>181</v>
      </c>
      <c r="W1165" s="324" t="s">
        <v>55</v>
      </c>
      <c r="X1165" s="324" t="s">
        <v>3</v>
      </c>
      <c r="Y1165" s="324">
        <v>24000000</v>
      </c>
      <c r="Z1165" s="324">
        <v>26400000.000000004</v>
      </c>
      <c r="AA1165" s="324">
        <v>115804.4586016777</v>
      </c>
      <c r="AB1165" s="324" t="s">
        <v>55</v>
      </c>
    </row>
    <row r="1166" spans="1:33" s="324" customFormat="1" ht="0.65" hidden="1" customHeight="1">
      <c r="A1166" s="324">
        <v>5022</v>
      </c>
      <c r="N1166" s="324" t="s">
        <v>469</v>
      </c>
      <c r="O1166" s="324" t="s">
        <v>470</v>
      </c>
      <c r="T1166" s="324">
        <v>17</v>
      </c>
      <c r="U1166" s="324" t="s">
        <v>169</v>
      </c>
      <c r="V1166" s="324" t="s">
        <v>178</v>
      </c>
      <c r="W1166" s="324" t="s">
        <v>55</v>
      </c>
      <c r="X1166" s="324" t="s">
        <v>2</v>
      </c>
      <c r="Y1166" s="324">
        <v>6000000</v>
      </c>
      <c r="Z1166" s="324">
        <v>3000000</v>
      </c>
      <c r="AA1166" s="324">
        <v>91987.927297868824</v>
      </c>
      <c r="AB1166" s="324" t="s">
        <v>55</v>
      </c>
      <c r="AC1166" s="324">
        <v>9</v>
      </c>
      <c r="AD1166" s="324" t="s">
        <v>55</v>
      </c>
      <c r="AE1166" s="324" t="s">
        <v>55</v>
      </c>
      <c r="AF1166" s="324" t="s">
        <v>55</v>
      </c>
      <c r="AG1166" s="324" t="s">
        <v>55</v>
      </c>
    </row>
    <row r="1167" spans="1:33" s="324" customFormat="1" ht="0.65" hidden="1" customHeight="1">
      <c r="A1167" s="324">
        <v>5023</v>
      </c>
      <c r="C1167" s="324" t="s">
        <v>10</v>
      </c>
      <c r="D1167" s="324">
        <v>360000</v>
      </c>
      <c r="N1167" s="324" t="s">
        <v>471</v>
      </c>
      <c r="O1167" s="324" t="s">
        <v>472</v>
      </c>
      <c r="T1167" s="324">
        <v>18</v>
      </c>
      <c r="U1167" s="324" t="s">
        <v>170</v>
      </c>
      <c r="V1167" s="324" t="s">
        <v>181</v>
      </c>
      <c r="W1167" s="324" t="s">
        <v>55</v>
      </c>
      <c r="X1167" s="324" t="s">
        <v>4</v>
      </c>
      <c r="Y1167" s="324">
        <v>0.25</v>
      </c>
      <c r="Z1167" s="324">
        <v>0.3</v>
      </c>
      <c r="AA1167" s="324">
        <v>84054.941027964873</v>
      </c>
      <c r="AB1167" s="324" t="s">
        <v>55</v>
      </c>
    </row>
    <row r="1168" spans="1:33" s="324" customFormat="1" ht="0.65" hidden="1" customHeight="1">
      <c r="A1168" s="324">
        <v>5024</v>
      </c>
      <c r="C1168" s="324" t="s">
        <v>11</v>
      </c>
      <c r="D1168" s="324">
        <v>1920000</v>
      </c>
      <c r="I1168" s="324" t="s">
        <v>320</v>
      </c>
      <c r="K1168" s="324" t="s">
        <v>497</v>
      </c>
      <c r="L1168" s="324" t="s">
        <v>498</v>
      </c>
      <c r="M1168" s="324" t="s">
        <v>55</v>
      </c>
      <c r="T1168" s="324">
        <v>19</v>
      </c>
      <c r="U1168" s="324" t="s">
        <v>171</v>
      </c>
      <c r="V1168" s="324" t="s">
        <v>181</v>
      </c>
      <c r="W1168" s="324" t="s">
        <v>55</v>
      </c>
      <c r="X1168" s="324" t="s">
        <v>14</v>
      </c>
      <c r="Y1168" s="324" t="s">
        <v>16</v>
      </c>
      <c r="Z1168" s="324">
        <v>4</v>
      </c>
      <c r="AA1168" s="324">
        <v>322686.2859578731</v>
      </c>
      <c r="AB1168" s="324" t="s">
        <v>55</v>
      </c>
      <c r="AC1168" s="324">
        <v>10</v>
      </c>
      <c r="AD1168" s="324" t="s">
        <v>55</v>
      </c>
      <c r="AE1168" s="324" t="s">
        <v>55</v>
      </c>
      <c r="AF1168" s="324" t="s">
        <v>55</v>
      </c>
      <c r="AG1168" s="324" t="s">
        <v>55</v>
      </c>
    </row>
    <row r="1169" spans="1:33" s="324" customFormat="1" ht="0.65" hidden="1" customHeight="1">
      <c r="A1169" s="324">
        <v>5025</v>
      </c>
      <c r="C1169" s="324" t="s">
        <v>12</v>
      </c>
      <c r="D1169" s="324">
        <v>0.02</v>
      </c>
    </row>
    <row r="1170" spans="1:33" s="324" customFormat="1" ht="0.65" hidden="1" customHeight="1">
      <c r="A1170" s="324">
        <v>5026</v>
      </c>
      <c r="C1170" s="324" t="s">
        <v>2</v>
      </c>
      <c r="D1170" s="324">
        <v>6000000</v>
      </c>
      <c r="I1170" s="324" t="s">
        <v>318</v>
      </c>
      <c r="K1170" s="324" t="s">
        <v>497</v>
      </c>
      <c r="L1170" s="324" t="s">
        <v>498</v>
      </c>
      <c r="M1170" s="324" t="s">
        <v>1624</v>
      </c>
      <c r="AC1170" s="324">
        <v>11</v>
      </c>
      <c r="AD1170" s="324" t="s">
        <v>55</v>
      </c>
      <c r="AE1170" s="324" t="s">
        <v>55</v>
      </c>
      <c r="AF1170" s="324" t="s">
        <v>55</v>
      </c>
      <c r="AG1170" s="324" t="s">
        <v>55</v>
      </c>
    </row>
    <row r="1171" spans="1:33" s="324" customFormat="1" ht="0.65" hidden="1" customHeight="1">
      <c r="A1171" s="324">
        <v>5027</v>
      </c>
      <c r="C1171" s="324" t="s">
        <v>3</v>
      </c>
      <c r="D1171" s="324">
        <v>24000000</v>
      </c>
      <c r="U1171" s="324" t="s">
        <v>127</v>
      </c>
      <c r="V1171" s="324" t="s">
        <v>36</v>
      </c>
      <c r="W1171" s="324" t="s">
        <v>55</v>
      </c>
    </row>
    <row r="1172" spans="1:33" s="324" customFormat="1" ht="0.65" hidden="1" customHeight="1">
      <c r="A1172" s="324">
        <v>5028</v>
      </c>
      <c r="AC1172" s="324">
        <v>12</v>
      </c>
      <c r="AD1172" s="324" t="s">
        <v>55</v>
      </c>
      <c r="AE1172" s="324" t="s">
        <v>55</v>
      </c>
      <c r="AF1172" s="324" t="s">
        <v>55</v>
      </c>
      <c r="AG1172" s="324" t="s">
        <v>55</v>
      </c>
    </row>
    <row r="1173" spans="1:33" s="324" customFormat="1" ht="0.65" hidden="1" customHeight="1">
      <c r="A1173" s="324">
        <v>5029</v>
      </c>
      <c r="C1173" s="324" t="s">
        <v>14</v>
      </c>
      <c r="D1173" s="324" t="s">
        <v>16</v>
      </c>
      <c r="V1173" s="324">
        <v>0</v>
      </c>
    </row>
    <row r="1174" spans="1:33" s="324" customFormat="1" ht="0.65" hidden="1" customHeight="1">
      <c r="A1174" s="324">
        <v>5030</v>
      </c>
      <c r="G1174" s="324" t="s">
        <v>128</v>
      </c>
      <c r="M1174" s="324" t="s">
        <v>500</v>
      </c>
      <c r="AC1174" s="324">
        <v>13</v>
      </c>
      <c r="AD1174" s="324" t="s">
        <v>55</v>
      </c>
      <c r="AE1174" s="324" t="s">
        <v>55</v>
      </c>
      <c r="AF1174" s="324" t="s">
        <v>55</v>
      </c>
      <c r="AG1174" s="324" t="s">
        <v>55</v>
      </c>
    </row>
    <row r="1175" spans="1:33" s="324" customFormat="1" ht="0.65" hidden="1" customHeight="1">
      <c r="A1175" s="324">
        <v>5031</v>
      </c>
      <c r="B1175" s="324" t="s">
        <v>460</v>
      </c>
      <c r="F1175" s="324">
        <v>1</v>
      </c>
      <c r="I1175" s="324" t="s">
        <v>129</v>
      </c>
      <c r="J1175" s="324">
        <v>1</v>
      </c>
      <c r="K1175" s="324" t="s">
        <v>501</v>
      </c>
      <c r="U1175" s="324" t="s">
        <v>204</v>
      </c>
      <c r="V1175" s="324">
        <v>12</v>
      </c>
      <c r="W1175" s="324" t="s">
        <v>55</v>
      </c>
    </row>
    <row r="1176" spans="1:33" s="324" customFormat="1" ht="0.65" hidden="1" customHeight="1">
      <c r="A1176" s="324">
        <v>5032</v>
      </c>
      <c r="F1176" s="324">
        <v>1.5</v>
      </c>
      <c r="I1176" s="324" t="s">
        <v>138</v>
      </c>
      <c r="J1176" s="324">
        <v>1.5</v>
      </c>
      <c r="K1176" s="324" t="s">
        <v>502</v>
      </c>
      <c r="Z1176" s="324" t="s">
        <v>291</v>
      </c>
      <c r="AC1176" s="324">
        <v>14</v>
      </c>
      <c r="AD1176" s="324" t="s">
        <v>55</v>
      </c>
      <c r="AE1176" s="324" t="s">
        <v>55</v>
      </c>
      <c r="AF1176" s="324" t="s">
        <v>55</v>
      </c>
      <c r="AG1176" s="324" t="s">
        <v>55</v>
      </c>
    </row>
    <row r="1177" spans="1:33" s="324" customFormat="1" ht="0.65" hidden="1" customHeight="1">
      <c r="A1177" s="324">
        <v>5033</v>
      </c>
      <c r="F1177" s="324">
        <v>1.5</v>
      </c>
      <c r="I1177" s="324" t="s">
        <v>130</v>
      </c>
      <c r="J1177" s="324">
        <v>1.5</v>
      </c>
      <c r="K1177" s="324" t="s">
        <v>502</v>
      </c>
      <c r="W1177" s="324" t="s">
        <v>139</v>
      </c>
      <c r="X1177" s="324" t="s">
        <v>174</v>
      </c>
      <c r="Z1177" s="324" t="s">
        <v>1625</v>
      </c>
      <c r="AA1177" s="324">
        <v>-1799.5123036613222</v>
      </c>
      <c r="AB1177" s="324">
        <v>-1799.5123036613222</v>
      </c>
    </row>
    <row r="1178" spans="1:33" s="324" customFormat="1" ht="0.65" hidden="1" customHeight="1">
      <c r="A1178" s="324">
        <v>5034</v>
      </c>
      <c r="F1178" s="324">
        <v>1</v>
      </c>
      <c r="I1178" s="324" t="s">
        <v>131</v>
      </c>
      <c r="J1178" s="324">
        <v>1</v>
      </c>
      <c r="K1178" s="324" t="s">
        <v>501</v>
      </c>
      <c r="V1178" s="324" t="s">
        <v>177</v>
      </c>
      <c r="W1178" s="324" t="s">
        <v>173</v>
      </c>
      <c r="X1178" s="324" t="s">
        <v>175</v>
      </c>
      <c r="Z1178" s="324">
        <v>-1799.5123036613222</v>
      </c>
      <c r="AA1178" s="324">
        <v>-1799.5123036613222</v>
      </c>
      <c r="AB1178" s="324">
        <v>-1799.5123036613222</v>
      </c>
      <c r="AC1178" s="324">
        <v>15</v>
      </c>
      <c r="AD1178" s="324" t="s">
        <v>55</v>
      </c>
      <c r="AE1178" s="324" t="s">
        <v>55</v>
      </c>
      <c r="AF1178" s="324" t="s">
        <v>55</v>
      </c>
      <c r="AG1178" s="324" t="s">
        <v>55</v>
      </c>
    </row>
    <row r="1179" spans="1:33" s="324" customFormat="1" ht="0.65" hidden="1" customHeight="1">
      <c r="A1179" s="324">
        <v>5035</v>
      </c>
      <c r="F1179" s="324">
        <v>1</v>
      </c>
      <c r="I1179" s="324" t="s">
        <v>132</v>
      </c>
      <c r="J1179" s="324">
        <v>1</v>
      </c>
      <c r="K1179" s="324" t="s">
        <v>501</v>
      </c>
      <c r="T1179" s="324">
        <v>12</v>
      </c>
      <c r="U1179" s="324" t="s">
        <v>164</v>
      </c>
      <c r="V1179" s="324" t="s">
        <v>8</v>
      </c>
      <c r="W1179" s="324">
        <v>90</v>
      </c>
      <c r="X1179" s="324">
        <v>60</v>
      </c>
      <c r="Z1179" s="324">
        <v>-1799.5123036613222</v>
      </c>
      <c r="AA1179" s="324">
        <v>-1799.5123036613222</v>
      </c>
      <c r="AB1179" s="324">
        <v>-1799.5123036613222</v>
      </c>
    </row>
    <row r="1180" spans="1:33" s="324" customFormat="1" ht="0.65" hidden="1" customHeight="1">
      <c r="A1180" s="324">
        <v>5036</v>
      </c>
      <c r="F1180" s="324">
        <v>0.5</v>
      </c>
      <c r="I1180" s="324" t="s">
        <v>133</v>
      </c>
      <c r="J1180" s="324">
        <v>0.5</v>
      </c>
      <c r="K1180" s="324" t="s">
        <v>504</v>
      </c>
      <c r="V1180" s="324" t="s">
        <v>13</v>
      </c>
      <c r="W1180" s="324">
        <v>104229.1490951411</v>
      </c>
      <c r="X1180" s="324">
        <v>102429.63679147977</v>
      </c>
      <c r="Z1180" s="324">
        <v>-1799.5123036613222</v>
      </c>
      <c r="AA1180" s="324">
        <v>-1799.5123036613222</v>
      </c>
      <c r="AB1180" s="324">
        <v>-1799.5123036613222</v>
      </c>
      <c r="AC1180" s="324">
        <v>16</v>
      </c>
      <c r="AD1180" s="324" t="s">
        <v>55</v>
      </c>
      <c r="AE1180" s="324" t="s">
        <v>55</v>
      </c>
      <c r="AF1180" s="324" t="s">
        <v>55</v>
      </c>
      <c r="AG1180" s="324" t="s">
        <v>55</v>
      </c>
    </row>
    <row r="1181" spans="1:33" s="324" customFormat="1" ht="0.65" hidden="1" customHeight="1">
      <c r="A1181" s="324">
        <v>5037</v>
      </c>
      <c r="F1181" s="324">
        <v>0.5</v>
      </c>
      <c r="I1181" s="324" t="s">
        <v>134</v>
      </c>
      <c r="J1181" s="324">
        <v>0.5</v>
      </c>
      <c r="K1181" s="324" t="s">
        <v>504</v>
      </c>
      <c r="V1181" s="324" t="s">
        <v>505</v>
      </c>
      <c r="X1181" s="324">
        <v>-1799.5123036613222</v>
      </c>
      <c r="Z1181" s="324">
        <v>-1799.5123036613222</v>
      </c>
      <c r="AA1181" s="324">
        <v>-1799.5123036613222</v>
      </c>
      <c r="AB1181" s="324">
        <v>-1799.5123036613222</v>
      </c>
    </row>
    <row r="1182" spans="1:33" s="324" customFormat="1" ht="0.65" hidden="1" customHeight="1">
      <c r="A1182" s="324">
        <v>5038</v>
      </c>
      <c r="F1182" s="324">
        <v>1</v>
      </c>
      <c r="I1182" s="324" t="s">
        <v>135</v>
      </c>
      <c r="J1182" s="324">
        <v>1</v>
      </c>
      <c r="K1182" s="324" t="s">
        <v>501</v>
      </c>
      <c r="Z1182" s="324">
        <v>-1799.5123036613222</v>
      </c>
      <c r="AA1182" s="324">
        <v>-1799.5123036613222</v>
      </c>
      <c r="AB1182" s="324">
        <v>-1799.5123036613222</v>
      </c>
      <c r="AC1182" s="324">
        <v>17</v>
      </c>
      <c r="AD1182" s="324" t="s">
        <v>55</v>
      </c>
      <c r="AE1182" s="324" t="s">
        <v>55</v>
      </c>
      <c r="AF1182" s="324" t="s">
        <v>55</v>
      </c>
      <c r="AG1182" s="324" t="s">
        <v>55</v>
      </c>
    </row>
    <row r="1183" spans="1:33" s="324" customFormat="1" ht="0.65" hidden="1" customHeight="1">
      <c r="A1183" s="324">
        <v>5039</v>
      </c>
      <c r="F1183" s="324">
        <v>0.5</v>
      </c>
      <c r="I1183" s="324" t="s">
        <v>13</v>
      </c>
      <c r="J1183" s="324">
        <v>0.5</v>
      </c>
      <c r="K1183" s="324" t="s">
        <v>504</v>
      </c>
    </row>
    <row r="1184" spans="1:33" s="324" customFormat="1" ht="0.65" hidden="1" customHeight="1">
      <c r="A1184" s="324">
        <v>5040</v>
      </c>
      <c r="F1184" s="324">
        <v>0.5</v>
      </c>
      <c r="I1184" s="324" t="s">
        <v>28</v>
      </c>
      <c r="J1184" s="324">
        <v>0.5</v>
      </c>
      <c r="K1184" s="324" t="s">
        <v>504</v>
      </c>
      <c r="U1184" s="324" t="s">
        <v>196</v>
      </c>
      <c r="AC1184" s="324">
        <v>18</v>
      </c>
      <c r="AD1184" s="324" t="s">
        <v>55</v>
      </c>
      <c r="AE1184" s="324" t="s">
        <v>55</v>
      </c>
      <c r="AF1184" s="324" t="s">
        <v>55</v>
      </c>
      <c r="AG1184" s="324" t="s">
        <v>55</v>
      </c>
    </row>
    <row r="1185" spans="1:42" s="324" customFormat="1" ht="0.65" hidden="1" customHeight="1">
      <c r="A1185" s="324">
        <v>5041</v>
      </c>
      <c r="F1185" s="324">
        <v>1</v>
      </c>
      <c r="I1185" s="324" t="s">
        <v>136</v>
      </c>
      <c r="J1185" s="324">
        <v>1</v>
      </c>
      <c r="K1185" s="324" t="s">
        <v>501</v>
      </c>
    </row>
    <row r="1186" spans="1:42" s="324" customFormat="1" ht="0.65" hidden="1" customHeight="1">
      <c r="A1186" s="324">
        <v>5042</v>
      </c>
      <c r="F1186" s="324">
        <v>10</v>
      </c>
      <c r="I1186" s="324" t="s">
        <v>137</v>
      </c>
      <c r="J1186" s="324">
        <v>10</v>
      </c>
      <c r="K1186" s="324" t="s">
        <v>506</v>
      </c>
      <c r="AC1186" s="324">
        <v>19</v>
      </c>
      <c r="AD1186" s="324" t="s">
        <v>55</v>
      </c>
      <c r="AE1186" s="324" t="s">
        <v>55</v>
      </c>
      <c r="AF1186" s="324" t="s">
        <v>55</v>
      </c>
      <c r="AG1186" s="324" t="s">
        <v>55</v>
      </c>
    </row>
    <row r="1187" spans="1:42" s="324" customFormat="1" ht="0.65" hidden="1" customHeight="1">
      <c r="A1187" s="324">
        <v>5043</v>
      </c>
    </row>
    <row r="1188" spans="1:42" s="324" customFormat="1" ht="0.65" hidden="1" customHeight="1">
      <c r="A1188" s="324">
        <v>5044</v>
      </c>
      <c r="AC1188" s="324">
        <v>20</v>
      </c>
      <c r="AD1188" s="324" t="s">
        <v>55</v>
      </c>
      <c r="AE1188" s="324" t="s">
        <v>55</v>
      </c>
      <c r="AF1188" s="324" t="s">
        <v>55</v>
      </c>
      <c r="AG1188" s="324" t="s">
        <v>55</v>
      </c>
    </row>
    <row r="1189" spans="1:42" s="324" customFormat="1" ht="0.65" hidden="1" customHeight="1">
      <c r="A1189" s="324">
        <v>5045</v>
      </c>
    </row>
    <row r="1190" spans="1:42" s="324" customFormat="1" ht="0.65" hidden="1" customHeight="1">
      <c r="A1190" s="324">
        <v>5046</v>
      </c>
    </row>
    <row r="1191" spans="1:42" s="324" customFormat="1" ht="0.65" hidden="1" customHeight="1">
      <c r="A1191" s="324">
        <v>5047</v>
      </c>
      <c r="G1191" s="324">
        <v>1</v>
      </c>
      <c r="H1191" s="324">
        <v>2</v>
      </c>
      <c r="I1191" s="324">
        <v>3</v>
      </c>
      <c r="J1191" s="324">
        <v>4</v>
      </c>
      <c r="K1191" s="324">
        <v>5</v>
      </c>
      <c r="L1191" s="324">
        <v>6</v>
      </c>
      <c r="M1191" s="324">
        <v>7</v>
      </c>
      <c r="N1191" s="324">
        <v>8</v>
      </c>
      <c r="O1191" s="324">
        <v>9</v>
      </c>
      <c r="P1191" s="324">
        <v>10</v>
      </c>
    </row>
    <row r="1192" spans="1:42" s="324" customFormat="1" ht="0.65" hidden="1" customHeight="1">
      <c r="A1192" s="324">
        <v>5048</v>
      </c>
      <c r="G1192" s="324" t="s">
        <v>212</v>
      </c>
      <c r="H1192" s="324" t="s">
        <v>213</v>
      </c>
      <c r="I1192" s="324" t="s">
        <v>214</v>
      </c>
      <c r="J1192" s="324" t="s">
        <v>215</v>
      </c>
      <c r="K1192" s="324" t="s">
        <v>216</v>
      </c>
      <c r="L1192" s="324" t="s">
        <v>218</v>
      </c>
      <c r="M1192" s="324" t="s">
        <v>219</v>
      </c>
      <c r="N1192" s="324" t="s">
        <v>220</v>
      </c>
      <c r="O1192" s="324" t="s">
        <v>221</v>
      </c>
      <c r="P1192" s="324" t="s">
        <v>222</v>
      </c>
    </row>
    <row r="1193" spans="1:42" s="324" customFormat="1" ht="0.65" hidden="1" customHeight="1">
      <c r="A1193" s="324">
        <v>5049</v>
      </c>
      <c r="G1193" s="324">
        <v>62500</v>
      </c>
      <c r="H1193" s="324">
        <v>125000</v>
      </c>
      <c r="I1193" s="324" t="s">
        <v>55</v>
      </c>
      <c r="J1193" s="324" t="s">
        <v>55</v>
      </c>
      <c r="K1193" s="324" t="s">
        <v>55</v>
      </c>
      <c r="L1193" s="324" t="s">
        <v>55</v>
      </c>
      <c r="M1193" s="324" t="s">
        <v>55</v>
      </c>
      <c r="N1193" s="324" t="s">
        <v>55</v>
      </c>
      <c r="O1193" s="324" t="s">
        <v>1624</v>
      </c>
      <c r="P1193" s="324" t="s">
        <v>507</v>
      </c>
    </row>
    <row r="1194" spans="1:42" s="324" customFormat="1" ht="0.65" hidden="1" customHeight="1">
      <c r="A1194" s="324">
        <v>5050</v>
      </c>
      <c r="G1194" s="324" t="s">
        <v>267</v>
      </c>
      <c r="H1194" s="324" t="s">
        <v>268</v>
      </c>
      <c r="I1194" s="324" t="s">
        <v>55</v>
      </c>
      <c r="J1194" s="324" t="s">
        <v>55</v>
      </c>
      <c r="K1194" s="324" t="s">
        <v>55</v>
      </c>
      <c r="L1194" s="324" t="s">
        <v>55</v>
      </c>
      <c r="M1194" s="324" t="s">
        <v>55</v>
      </c>
      <c r="N1194" s="324" t="s">
        <v>55</v>
      </c>
      <c r="O1194" s="324" t="s">
        <v>55</v>
      </c>
      <c r="P1194" s="324" t="s">
        <v>55</v>
      </c>
    </row>
    <row r="1195" spans="1:42" s="324" customFormat="1" ht="0.65" hidden="1" customHeight="1">
      <c r="A1195" s="324">
        <v>5051</v>
      </c>
    </row>
    <row r="1196" spans="1:42" s="324" customFormat="1" ht="0.65" hidden="1" customHeight="1">
      <c r="A1196" s="324">
        <v>5052</v>
      </c>
      <c r="B1196" s="324">
        <v>2</v>
      </c>
      <c r="C1196" s="324">
        <v>3</v>
      </c>
      <c r="D1196" s="324">
        <v>4</v>
      </c>
      <c r="E1196" s="324">
        <v>5</v>
      </c>
      <c r="F1196" s="324">
        <v>6</v>
      </c>
      <c r="G1196" s="324">
        <v>7</v>
      </c>
      <c r="H1196" s="324">
        <v>8</v>
      </c>
      <c r="I1196" s="324">
        <v>9</v>
      </c>
      <c r="J1196" s="324">
        <v>10</v>
      </c>
      <c r="K1196" s="324">
        <v>11</v>
      </c>
      <c r="L1196" s="324">
        <v>12</v>
      </c>
      <c r="M1196" s="324">
        <v>13</v>
      </c>
      <c r="N1196" s="324">
        <v>14</v>
      </c>
      <c r="O1196" s="324">
        <v>15</v>
      </c>
      <c r="P1196" s="324">
        <v>16</v>
      </c>
      <c r="Q1196" s="324">
        <v>17</v>
      </c>
      <c r="R1196" s="324">
        <v>18</v>
      </c>
      <c r="S1196" s="324">
        <v>19</v>
      </c>
      <c r="T1196" s="324">
        <v>20</v>
      </c>
      <c r="U1196" s="324">
        <v>21</v>
      </c>
      <c r="V1196" s="324">
        <v>22</v>
      </c>
      <c r="W1196" s="324">
        <v>23</v>
      </c>
      <c r="X1196" s="324">
        <v>24</v>
      </c>
      <c r="Y1196" s="324">
        <v>25</v>
      </c>
      <c r="Z1196" s="324">
        <v>26</v>
      </c>
      <c r="AA1196" s="324">
        <v>27</v>
      </c>
      <c r="AB1196" s="324">
        <v>28</v>
      </c>
      <c r="AC1196" s="324">
        <v>29</v>
      </c>
      <c r="AD1196" s="324">
        <v>30</v>
      </c>
      <c r="AE1196" s="324">
        <v>31</v>
      </c>
      <c r="AF1196" s="324">
        <v>32</v>
      </c>
      <c r="AG1196" s="324">
        <v>33</v>
      </c>
      <c r="AH1196" s="324">
        <v>34</v>
      </c>
      <c r="AI1196" s="324">
        <v>35</v>
      </c>
      <c r="AJ1196" s="324">
        <v>36</v>
      </c>
      <c r="AK1196" s="324">
        <v>37</v>
      </c>
      <c r="AL1196" s="324">
        <v>38</v>
      </c>
      <c r="AM1196" s="324">
        <v>39</v>
      </c>
      <c r="AN1196" s="324">
        <v>40</v>
      </c>
      <c r="AO1196" s="324">
        <v>41</v>
      </c>
      <c r="AP1196" s="324">
        <v>42</v>
      </c>
    </row>
    <row r="1197" spans="1:42" s="324" customFormat="1" ht="0.65" hidden="1" customHeight="1">
      <c r="A1197" s="324">
        <v>5053</v>
      </c>
    </row>
    <row r="1198" spans="1:42" s="324" customFormat="1" ht="0.65" hidden="1" customHeight="1">
      <c r="A1198" s="324">
        <v>5054</v>
      </c>
      <c r="B1198" s="324">
        <v>1200000</v>
      </c>
      <c r="C1198" s="324">
        <v>1200000</v>
      </c>
      <c r="D1198" s="324">
        <v>1</v>
      </c>
      <c r="G1198" s="324" t="s">
        <v>0</v>
      </c>
      <c r="H1198" s="324" t="s">
        <v>69</v>
      </c>
      <c r="I1198" s="324" t="s">
        <v>70</v>
      </c>
      <c r="J1198" s="324" t="s">
        <v>71</v>
      </c>
      <c r="K1198" s="324" t="s">
        <v>72</v>
      </c>
      <c r="L1198" s="324" t="s">
        <v>73</v>
      </c>
      <c r="M1198" s="324" t="s">
        <v>74</v>
      </c>
      <c r="N1198" s="324" t="s">
        <v>75</v>
      </c>
      <c r="O1198" s="324" t="s">
        <v>80</v>
      </c>
      <c r="P1198" s="324" t="s">
        <v>1</v>
      </c>
    </row>
    <row r="1199" spans="1:42" s="324" customFormat="1" ht="0.65" hidden="1" customHeight="1">
      <c r="A1199" s="324">
        <v>5055</v>
      </c>
      <c r="B1199" s="324">
        <v>10</v>
      </c>
      <c r="C1199" s="324">
        <v>10</v>
      </c>
      <c r="D1199" s="324">
        <v>1</v>
      </c>
      <c r="G1199" s="324">
        <v>2022</v>
      </c>
      <c r="P1199" s="324">
        <v>41</v>
      </c>
    </row>
    <row r="1200" spans="1:42" s="324" customFormat="1" ht="0.65" hidden="1" customHeight="1">
      <c r="A1200" s="324">
        <v>5056</v>
      </c>
      <c r="B1200" s="324">
        <v>120000</v>
      </c>
      <c r="C1200" s="324">
        <v>120000</v>
      </c>
      <c r="D1200" s="324">
        <v>1</v>
      </c>
      <c r="G1200" s="324">
        <v>2023</v>
      </c>
      <c r="H1200" s="324">
        <v>2</v>
      </c>
      <c r="I1200" s="324">
        <v>5</v>
      </c>
      <c r="J1200" s="324">
        <v>8</v>
      </c>
      <c r="K1200" s="324">
        <v>11</v>
      </c>
      <c r="L1200" s="324">
        <v>14</v>
      </c>
      <c r="M1200" s="324">
        <v>17</v>
      </c>
      <c r="N1200" s="324">
        <v>20</v>
      </c>
      <c r="O1200" s="324">
        <v>35</v>
      </c>
      <c r="P1200" s="324">
        <v>42</v>
      </c>
    </row>
    <row r="1201" spans="1:16" s="324" customFormat="1" ht="0.65" hidden="1" customHeight="1">
      <c r="A1201" s="324">
        <v>5057</v>
      </c>
      <c r="G1201" s="324">
        <v>2024</v>
      </c>
      <c r="H1201" s="324">
        <v>3</v>
      </c>
      <c r="I1201" s="324">
        <v>6</v>
      </c>
      <c r="J1201" s="324">
        <v>9</v>
      </c>
      <c r="K1201" s="324">
        <v>12</v>
      </c>
      <c r="L1201" s="324">
        <v>15</v>
      </c>
      <c r="M1201" s="324">
        <v>18</v>
      </c>
      <c r="N1201" s="324">
        <v>21</v>
      </c>
      <c r="O1201" s="324">
        <v>36</v>
      </c>
      <c r="P1201" s="324">
        <v>43</v>
      </c>
    </row>
    <row r="1202" spans="1:16" s="324" customFormat="1" ht="0.65" hidden="1" customHeight="1">
      <c r="A1202" s="324">
        <v>5058</v>
      </c>
      <c r="B1202" s="324">
        <v>600000</v>
      </c>
      <c r="C1202" s="324">
        <v>600000</v>
      </c>
      <c r="D1202" s="324">
        <v>1</v>
      </c>
      <c r="G1202" s="324">
        <v>2025</v>
      </c>
      <c r="H1202" s="324">
        <v>4</v>
      </c>
      <c r="I1202" s="324">
        <v>7</v>
      </c>
      <c r="J1202" s="324">
        <v>10</v>
      </c>
      <c r="K1202" s="324">
        <v>13</v>
      </c>
      <c r="L1202" s="324">
        <v>16</v>
      </c>
      <c r="M1202" s="324">
        <v>19</v>
      </c>
      <c r="N1202" s="324">
        <v>22</v>
      </c>
      <c r="O1202" s="324">
        <v>37</v>
      </c>
      <c r="P1202" s="324">
        <v>44</v>
      </c>
    </row>
    <row r="1203" spans="1:16" s="324" customFormat="1" ht="0.65" hidden="1" customHeight="1">
      <c r="A1203" s="324">
        <v>5059</v>
      </c>
      <c r="B1203" s="324">
        <v>150000</v>
      </c>
      <c r="C1203" s="324">
        <v>150000</v>
      </c>
      <c r="D1203" s="324">
        <v>1</v>
      </c>
    </row>
    <row r="1204" spans="1:16" s="324" customFormat="1" ht="0.65" hidden="1" customHeight="1">
      <c r="A1204" s="324">
        <v>5060</v>
      </c>
      <c r="G1204" s="324" t="s">
        <v>0</v>
      </c>
      <c r="H1204" s="324" t="s">
        <v>76</v>
      </c>
      <c r="I1204" s="324" t="s">
        <v>77</v>
      </c>
      <c r="J1204" s="324" t="s">
        <v>78</v>
      </c>
      <c r="K1204" s="324" t="s">
        <v>79</v>
      </c>
    </row>
    <row r="1205" spans="1:16" s="324" customFormat="1" ht="0.65" hidden="1" customHeight="1">
      <c r="A1205" s="324">
        <v>5061</v>
      </c>
      <c r="B1205" s="324">
        <v>60</v>
      </c>
      <c r="C1205" s="324">
        <v>60</v>
      </c>
      <c r="D1205" s="324">
        <v>1</v>
      </c>
      <c r="G1205" s="324">
        <v>2022</v>
      </c>
      <c r="M1205" s="324" t="s">
        <v>490</v>
      </c>
      <c r="N1205" s="324">
        <v>1</v>
      </c>
      <c r="O1205" s="324" t="s">
        <v>124</v>
      </c>
      <c r="P1205" s="324">
        <v>45</v>
      </c>
    </row>
    <row r="1206" spans="1:16" s="324" customFormat="1" ht="0.65" hidden="1" customHeight="1">
      <c r="A1206" s="324">
        <v>5062</v>
      </c>
      <c r="B1206" s="324">
        <v>90</v>
      </c>
      <c r="C1206" s="324">
        <v>90</v>
      </c>
      <c r="D1206" s="324">
        <v>1</v>
      </c>
      <c r="G1206" s="324">
        <v>2023</v>
      </c>
      <c r="H1206" s="324">
        <v>23</v>
      </c>
      <c r="I1206" s="324">
        <v>26</v>
      </c>
      <c r="J1206" s="324">
        <v>29</v>
      </c>
      <c r="K1206" s="324">
        <v>32</v>
      </c>
      <c r="M1206" s="324" t="s">
        <v>491</v>
      </c>
      <c r="N1206" s="324">
        <v>38</v>
      </c>
      <c r="O1206" s="324" t="s">
        <v>125</v>
      </c>
      <c r="P1206" s="324">
        <v>46</v>
      </c>
    </row>
    <row r="1207" spans="1:16" s="324" customFormat="1" ht="0.65" hidden="1" customHeight="1">
      <c r="A1207" s="324">
        <v>5063</v>
      </c>
      <c r="G1207" s="324">
        <v>2024</v>
      </c>
      <c r="H1207" s="324">
        <v>24</v>
      </c>
      <c r="I1207" s="324">
        <v>27</v>
      </c>
      <c r="J1207" s="324">
        <v>30</v>
      </c>
      <c r="K1207" s="324">
        <v>33</v>
      </c>
      <c r="M1207" s="324" t="s">
        <v>493</v>
      </c>
      <c r="N1207" s="324">
        <v>39</v>
      </c>
      <c r="O1207" s="324" t="s">
        <v>126</v>
      </c>
      <c r="P1207" s="324">
        <v>47</v>
      </c>
    </row>
    <row r="1208" spans="1:16" s="324" customFormat="1" ht="0.65" hidden="1" customHeight="1">
      <c r="A1208" s="324">
        <v>5064</v>
      </c>
      <c r="G1208" s="324">
        <v>2025</v>
      </c>
      <c r="H1208" s="324">
        <v>25</v>
      </c>
      <c r="I1208" s="324">
        <v>28</v>
      </c>
      <c r="J1208" s="324">
        <v>31</v>
      </c>
      <c r="K1208" s="324">
        <v>34</v>
      </c>
      <c r="M1208" s="324" t="s">
        <v>494</v>
      </c>
      <c r="N1208" s="324">
        <v>40</v>
      </c>
    </row>
    <row r="1209" spans="1:16" s="324" customFormat="1" ht="0.65" hidden="1" customHeight="1">
      <c r="A1209" s="324">
        <v>5065</v>
      </c>
      <c r="B1209" s="324">
        <v>210000</v>
      </c>
      <c r="C1209" s="324">
        <v>210000</v>
      </c>
      <c r="D1209" s="324">
        <v>1</v>
      </c>
    </row>
    <row r="1210" spans="1:16" s="324" customFormat="1" ht="0.65" hidden="1" customHeight="1">
      <c r="A1210" s="324">
        <v>5066</v>
      </c>
      <c r="B1210" s="324">
        <v>300000</v>
      </c>
      <c r="C1210" s="324">
        <v>300000</v>
      </c>
      <c r="D1210" s="324">
        <v>1</v>
      </c>
      <c r="O1210" s="324" t="s">
        <v>13</v>
      </c>
      <c r="P1210" s="324">
        <v>48</v>
      </c>
    </row>
    <row r="1211" spans="1:16" s="324" customFormat="1" ht="0.65" hidden="1" customHeight="1">
      <c r="A1211" s="324">
        <v>5067</v>
      </c>
      <c r="B1211" s="324">
        <v>2</v>
      </c>
      <c r="C1211" s="324">
        <v>2</v>
      </c>
      <c r="D1211" s="324">
        <v>1</v>
      </c>
      <c r="O1211" s="324" t="s">
        <v>28</v>
      </c>
      <c r="P1211" s="324">
        <v>49</v>
      </c>
    </row>
    <row r="1212" spans="1:16" s="324" customFormat="1" ht="0.65" hidden="1" customHeight="1">
      <c r="A1212" s="324">
        <v>5068</v>
      </c>
      <c r="B1212" s="324">
        <v>30000</v>
      </c>
      <c r="C1212" s="324">
        <v>30000</v>
      </c>
      <c r="D1212" s="324">
        <v>1</v>
      </c>
      <c r="O1212" s="324" t="s">
        <v>29</v>
      </c>
      <c r="P1212" s="324">
        <v>50</v>
      </c>
    </row>
    <row r="1213" spans="1:16" s="324" customFormat="1" ht="0.65" hidden="1" customHeight="1">
      <c r="A1213" s="324">
        <v>5069</v>
      </c>
      <c r="O1213" s="324" t="s">
        <v>30</v>
      </c>
      <c r="P1213" s="324">
        <v>51</v>
      </c>
    </row>
    <row r="1214" spans="1:16" s="324" customFormat="1" ht="0.65" hidden="1" customHeight="1">
      <c r="A1214" s="324">
        <v>5070</v>
      </c>
      <c r="B1214" s="324">
        <v>0.25</v>
      </c>
      <c r="C1214" s="324">
        <v>0.25</v>
      </c>
      <c r="D1214" s="324">
        <v>1</v>
      </c>
    </row>
    <row r="1215" spans="1:16" s="324" customFormat="1" ht="0.65" hidden="1" customHeight="1">
      <c r="A1215" s="324">
        <v>5071</v>
      </c>
    </row>
    <row r="1216" spans="1:16" s="324" customFormat="1" ht="0.65" hidden="1" customHeight="1">
      <c r="A1216" s="324">
        <v>5072</v>
      </c>
    </row>
    <row r="1217" spans="1:31" s="324" customFormat="1" ht="0.65" hidden="1" customHeight="1">
      <c r="A1217" s="324">
        <v>5073</v>
      </c>
      <c r="B1217" s="324">
        <v>360000</v>
      </c>
      <c r="C1217" s="324">
        <v>360000</v>
      </c>
      <c r="D1217" s="324">
        <v>1</v>
      </c>
    </row>
    <row r="1218" spans="1:31" s="324" customFormat="1" ht="0.65" hidden="1" customHeight="1">
      <c r="A1218" s="324">
        <v>5074</v>
      </c>
      <c r="B1218" s="324">
        <v>1920000</v>
      </c>
      <c r="C1218" s="324">
        <v>1920000</v>
      </c>
      <c r="D1218" s="324">
        <v>1</v>
      </c>
      <c r="K1218" s="324" t="s">
        <v>475</v>
      </c>
      <c r="M1218" s="324" t="s">
        <v>212</v>
      </c>
      <c r="N1218" s="324" t="s">
        <v>213</v>
      </c>
      <c r="O1218" s="324" t="s">
        <v>214</v>
      </c>
      <c r="P1218" s="324" t="s">
        <v>215</v>
      </c>
      <c r="Q1218" s="324" t="s">
        <v>216</v>
      </c>
      <c r="R1218" s="324" t="s">
        <v>218</v>
      </c>
      <c r="S1218" s="324" t="s">
        <v>219</v>
      </c>
      <c r="T1218" s="324" t="s">
        <v>220</v>
      </c>
      <c r="U1218" s="324" t="s">
        <v>473</v>
      </c>
      <c r="V1218" s="324" t="s">
        <v>474</v>
      </c>
      <c r="X1218" s="324" t="s">
        <v>223</v>
      </c>
      <c r="Y1218" s="324" t="s">
        <v>224</v>
      </c>
      <c r="Z1218" s="324" t="s">
        <v>225</v>
      </c>
      <c r="AA1218" s="324" t="s">
        <v>226</v>
      </c>
      <c r="AB1218" s="324" t="s">
        <v>227</v>
      </c>
      <c r="AC1218" s="324" t="s">
        <v>228</v>
      </c>
      <c r="AD1218" s="324" t="s">
        <v>229</v>
      </c>
      <c r="AE1218" s="324" t="s">
        <v>230</v>
      </c>
    </row>
    <row r="1219" spans="1:31" s="324" customFormat="1" ht="0.65" hidden="1" customHeight="1">
      <c r="A1219" s="324">
        <v>5075</v>
      </c>
      <c r="B1219" s="324">
        <v>0.02</v>
      </c>
      <c r="C1219" s="324">
        <v>0.02</v>
      </c>
      <c r="D1219" s="324">
        <v>1</v>
      </c>
      <c r="F1219" s="324">
        <v>1</v>
      </c>
      <c r="G1219" s="324">
        <v>1</v>
      </c>
      <c r="H1219" s="324" t="s">
        <v>490</v>
      </c>
      <c r="I1219" s="324">
        <v>967500</v>
      </c>
      <c r="J1219" s="324">
        <v>967500</v>
      </c>
      <c r="K1219" s="324" t="s">
        <v>1626</v>
      </c>
      <c r="M1219" s="324">
        <v>1200000</v>
      </c>
      <c r="N1219" s="324">
        <v>990000</v>
      </c>
      <c r="O1219" s="324">
        <v>1012500</v>
      </c>
      <c r="P1219" s="324">
        <v>1410000</v>
      </c>
      <c r="U1219" s="324" t="s">
        <v>1626</v>
      </c>
      <c r="V1219" s="324" t="s">
        <v>509</v>
      </c>
      <c r="X1219" s="324" t="s">
        <v>231</v>
      </c>
      <c r="Y1219" s="324" t="s">
        <v>250</v>
      </c>
      <c r="Z1219" s="324" t="s">
        <v>251</v>
      </c>
      <c r="AA1219" s="324" t="s">
        <v>232</v>
      </c>
    </row>
    <row r="1220" spans="1:31" s="324" customFormat="1" ht="0.65" hidden="1" customHeight="1">
      <c r="A1220" s="324">
        <v>5076</v>
      </c>
      <c r="B1220" s="324">
        <v>6000000</v>
      </c>
      <c r="C1220" s="324">
        <v>6000000</v>
      </c>
      <c r="D1220" s="324">
        <v>1</v>
      </c>
      <c r="F1220" s="324">
        <v>1</v>
      </c>
      <c r="G1220" s="324">
        <v>2</v>
      </c>
      <c r="H1220" s="324" t="s">
        <v>510</v>
      </c>
      <c r="I1220" s="324">
        <v>600000</v>
      </c>
      <c r="J1220" s="324">
        <v>600000</v>
      </c>
      <c r="K1220" s="324" t="s">
        <v>1408</v>
      </c>
      <c r="M1220" s="324">
        <v>500000</v>
      </c>
      <c r="N1220" s="324">
        <v>100000</v>
      </c>
      <c r="U1220" s="324" t="s">
        <v>1408</v>
      </c>
      <c r="V1220" s="324" t="s">
        <v>512</v>
      </c>
      <c r="X1220" s="324" t="s">
        <v>233</v>
      </c>
    </row>
    <row r="1221" spans="1:31" s="324" customFormat="1" ht="0.65" hidden="1" customHeight="1">
      <c r="A1221" s="324">
        <v>5077</v>
      </c>
      <c r="B1221" s="324">
        <v>24000000</v>
      </c>
      <c r="C1221" s="324">
        <v>24000000</v>
      </c>
      <c r="D1221" s="324">
        <v>1</v>
      </c>
      <c r="F1221" s="324">
        <v>1</v>
      </c>
      <c r="G1221" s="324">
        <v>3</v>
      </c>
      <c r="H1221" s="324" t="s">
        <v>513</v>
      </c>
      <c r="I1221" s="324">
        <v>600000</v>
      </c>
      <c r="J1221" s="324">
        <v>600000</v>
      </c>
      <c r="K1221" s="324" t="s">
        <v>1408</v>
      </c>
      <c r="M1221" s="324">
        <v>500000</v>
      </c>
      <c r="N1221" s="324">
        <v>100000</v>
      </c>
      <c r="O1221" s="324">
        <v>1200000</v>
      </c>
      <c r="U1221" s="324" t="s">
        <v>1408</v>
      </c>
      <c r="V1221" s="324" t="s">
        <v>514</v>
      </c>
      <c r="X1221" s="324" t="s">
        <v>233</v>
      </c>
      <c r="Y1221" s="324" t="s">
        <v>252</v>
      </c>
      <c r="Z1221" s="324" t="s">
        <v>234</v>
      </c>
    </row>
    <row r="1222" spans="1:31" s="324" customFormat="1" ht="0.65" hidden="1" customHeight="1">
      <c r="A1222" s="324">
        <v>5078</v>
      </c>
      <c r="F1222" s="324">
        <v>1</v>
      </c>
      <c r="G1222" s="324">
        <v>4</v>
      </c>
      <c r="H1222" s="324" t="s">
        <v>515</v>
      </c>
      <c r="I1222" s="324">
        <v>600000</v>
      </c>
      <c r="J1222" s="324">
        <v>600000</v>
      </c>
      <c r="K1222" s="324" t="s">
        <v>1408</v>
      </c>
      <c r="M1222" s="324">
        <v>500000</v>
      </c>
      <c r="N1222" s="324">
        <v>100000</v>
      </c>
      <c r="O1222" s="324">
        <v>1800000</v>
      </c>
      <c r="U1222" s="324" t="s">
        <v>1408</v>
      </c>
      <c r="V1222" s="324" t="s">
        <v>516</v>
      </c>
      <c r="X1222" s="324" t="s">
        <v>233</v>
      </c>
      <c r="Y1222" s="324" t="s">
        <v>252</v>
      </c>
      <c r="Z1222" s="324" t="s">
        <v>235</v>
      </c>
    </row>
    <row r="1223" spans="1:31" s="324" customFormat="1" ht="0.65" hidden="1" customHeight="1">
      <c r="A1223" s="324">
        <v>5079</v>
      </c>
      <c r="C1223" s="324" t="s">
        <v>422</v>
      </c>
      <c r="D1223" s="324">
        <v>28</v>
      </c>
      <c r="F1223" s="324">
        <v>1</v>
      </c>
      <c r="G1223" s="324">
        <v>5</v>
      </c>
      <c r="H1223" s="324" t="s">
        <v>517</v>
      </c>
      <c r="I1223" s="324">
        <v>150000</v>
      </c>
      <c r="J1223" s="324">
        <v>150000</v>
      </c>
      <c r="K1223" s="324" t="s">
        <v>1627</v>
      </c>
      <c r="M1223" s="324">
        <v>112500</v>
      </c>
      <c r="N1223" s="324">
        <v>37500</v>
      </c>
      <c r="U1223" s="324" t="s">
        <v>1627</v>
      </c>
      <c r="V1223" s="324" t="s">
        <v>519</v>
      </c>
      <c r="X1223" s="324" t="s">
        <v>236</v>
      </c>
      <c r="Y1223" s="324" t="s">
        <v>253</v>
      </c>
    </row>
    <row r="1224" spans="1:31" s="324" customFormat="1" ht="0.65" hidden="1" customHeight="1">
      <c r="A1224" s="324">
        <v>5080</v>
      </c>
      <c r="C1224" s="324" t="s">
        <v>423</v>
      </c>
      <c r="D1224" s="324" t="s">
        <v>520</v>
      </c>
      <c r="F1224" s="324">
        <v>1</v>
      </c>
      <c r="G1224" s="324">
        <v>6</v>
      </c>
      <c r="H1224" s="324" t="s">
        <v>521</v>
      </c>
      <c r="I1224" s="324">
        <v>150000</v>
      </c>
      <c r="J1224" s="324">
        <v>150000</v>
      </c>
      <c r="K1224" s="324" t="s">
        <v>1627</v>
      </c>
      <c r="M1224" s="324">
        <v>112500</v>
      </c>
      <c r="N1224" s="324">
        <v>37500</v>
      </c>
      <c r="O1224" s="324">
        <v>300000</v>
      </c>
      <c r="U1224" s="324" t="s">
        <v>1627</v>
      </c>
      <c r="V1224" s="324" t="s">
        <v>522</v>
      </c>
      <c r="X1224" s="324" t="s">
        <v>236</v>
      </c>
      <c r="Y1224" s="324" t="s">
        <v>253</v>
      </c>
      <c r="Z1224" s="324" t="s">
        <v>237</v>
      </c>
    </row>
    <row r="1225" spans="1:31" s="324" customFormat="1" ht="0.65" hidden="1" customHeight="1">
      <c r="A1225" s="324">
        <v>5081</v>
      </c>
      <c r="F1225" s="324">
        <v>1</v>
      </c>
      <c r="G1225" s="324">
        <v>7</v>
      </c>
      <c r="H1225" s="324" t="s">
        <v>523</v>
      </c>
      <c r="I1225" s="324">
        <v>150000</v>
      </c>
      <c r="J1225" s="324">
        <v>150000</v>
      </c>
      <c r="K1225" s="324" t="s">
        <v>1627</v>
      </c>
      <c r="M1225" s="324">
        <v>112500</v>
      </c>
      <c r="N1225" s="324">
        <v>37500</v>
      </c>
      <c r="O1225" s="324">
        <v>450000</v>
      </c>
      <c r="U1225" s="324" t="s">
        <v>1627</v>
      </c>
      <c r="V1225" s="324" t="s">
        <v>524</v>
      </c>
      <c r="X1225" s="324" t="s">
        <v>236</v>
      </c>
      <c r="Y1225" s="324" t="s">
        <v>253</v>
      </c>
      <c r="Z1225" s="324" t="s">
        <v>238</v>
      </c>
    </row>
    <row r="1226" spans="1:31" s="324" customFormat="1" ht="0.65" hidden="1" customHeight="1">
      <c r="A1226" s="324">
        <v>5082</v>
      </c>
      <c r="B1226" s="324">
        <v>2022</v>
      </c>
      <c r="C1226" s="324">
        <v>2022</v>
      </c>
      <c r="D1226" s="324">
        <v>1</v>
      </c>
      <c r="F1226" s="324">
        <v>1</v>
      </c>
      <c r="G1226" s="324">
        <v>8</v>
      </c>
      <c r="H1226" s="324" t="s">
        <v>525</v>
      </c>
      <c r="I1226" s="324">
        <v>-30000</v>
      </c>
      <c r="J1226" s="324">
        <v>-30000</v>
      </c>
      <c r="K1226" s="324" t="s">
        <v>1628</v>
      </c>
      <c r="M1226" s="324">
        <v>120000</v>
      </c>
      <c r="N1226" s="324">
        <v>270000</v>
      </c>
      <c r="O1226" s="324">
        <v>15000</v>
      </c>
      <c r="P1226" s="324">
        <v>30000</v>
      </c>
      <c r="U1226" s="324" t="s">
        <v>1628</v>
      </c>
      <c r="V1226" s="324" t="s">
        <v>527</v>
      </c>
      <c r="X1226" s="324" t="s">
        <v>239</v>
      </c>
      <c r="Y1226" s="324" t="s">
        <v>240</v>
      </c>
      <c r="Z1226" s="324" t="s">
        <v>241</v>
      </c>
      <c r="AA1226" s="324" t="s">
        <v>242</v>
      </c>
    </row>
    <row r="1227" spans="1:31" s="324" customFormat="1" ht="0.65" hidden="1" customHeight="1">
      <c r="A1227" s="324">
        <v>5083</v>
      </c>
      <c r="B1227" s="324">
        <v>2023</v>
      </c>
      <c r="C1227" s="324">
        <v>2023</v>
      </c>
      <c r="D1227" s="324">
        <v>1</v>
      </c>
      <c r="F1227" s="324">
        <v>1</v>
      </c>
      <c r="G1227" s="324">
        <v>9</v>
      </c>
      <c r="H1227" s="324" t="s">
        <v>528</v>
      </c>
      <c r="I1227" s="324">
        <v>-30000</v>
      </c>
      <c r="J1227" s="324">
        <v>-30000</v>
      </c>
      <c r="K1227" s="324" t="s">
        <v>1628</v>
      </c>
      <c r="M1227" s="324">
        <v>120000</v>
      </c>
      <c r="N1227" s="324">
        <v>270000</v>
      </c>
      <c r="O1227" s="324">
        <v>15000</v>
      </c>
      <c r="P1227" s="324">
        <v>30000</v>
      </c>
      <c r="U1227" s="324" t="s">
        <v>1628</v>
      </c>
      <c r="V1227" s="324" t="s">
        <v>529</v>
      </c>
      <c r="X1227" s="324" t="s">
        <v>239</v>
      </c>
      <c r="Y1227" s="324" t="s">
        <v>240</v>
      </c>
      <c r="Z1227" s="324" t="s">
        <v>241</v>
      </c>
      <c r="AA1227" s="324" t="s">
        <v>242</v>
      </c>
    </row>
    <row r="1228" spans="1:31" s="324" customFormat="1" ht="0.65" hidden="1" customHeight="1">
      <c r="A1228" s="324">
        <v>5084</v>
      </c>
      <c r="B1228" s="324">
        <v>2024</v>
      </c>
      <c r="C1228" s="324">
        <v>2024</v>
      </c>
      <c r="D1228" s="324">
        <v>1</v>
      </c>
      <c r="F1228" s="324">
        <v>1</v>
      </c>
      <c r="G1228" s="324">
        <v>10</v>
      </c>
      <c r="H1228" s="324" t="s">
        <v>530</v>
      </c>
      <c r="I1228" s="324">
        <v>120000</v>
      </c>
      <c r="J1228" s="324">
        <v>120000</v>
      </c>
      <c r="K1228" s="324" t="s">
        <v>1629</v>
      </c>
      <c r="M1228" s="324">
        <v>120000</v>
      </c>
      <c r="N1228" s="324">
        <v>270000</v>
      </c>
      <c r="O1228" s="324">
        <v>15000</v>
      </c>
      <c r="P1228" s="324">
        <v>30000</v>
      </c>
      <c r="Q1228" s="324">
        <v>-30000</v>
      </c>
      <c r="U1228" s="324" t="s">
        <v>1629</v>
      </c>
      <c r="V1228" s="324" t="s">
        <v>532</v>
      </c>
      <c r="X1228" s="324" t="s">
        <v>239</v>
      </c>
      <c r="Y1228" s="324" t="s">
        <v>240</v>
      </c>
      <c r="Z1228" s="324" t="s">
        <v>241</v>
      </c>
      <c r="AA1228" s="324" t="s">
        <v>242</v>
      </c>
      <c r="AB1228" s="324" t="s">
        <v>254</v>
      </c>
    </row>
    <row r="1229" spans="1:31" s="324" customFormat="1" ht="0.65" hidden="1" customHeight="1">
      <c r="A1229" s="324">
        <v>5085</v>
      </c>
      <c r="B1229" s="324">
        <v>2025</v>
      </c>
      <c r="C1229" s="324">
        <v>2025</v>
      </c>
      <c r="D1229" s="324">
        <v>1</v>
      </c>
      <c r="F1229" s="324">
        <v>1</v>
      </c>
      <c r="G1229" s="324">
        <v>11</v>
      </c>
      <c r="H1229" s="324" t="s">
        <v>533</v>
      </c>
      <c r="I1229" s="324">
        <v>480000</v>
      </c>
      <c r="J1229" s="324">
        <v>480000</v>
      </c>
      <c r="K1229" s="324" t="s">
        <v>1630</v>
      </c>
      <c r="M1229" s="324">
        <v>420000</v>
      </c>
      <c r="N1229" s="324">
        <v>450000</v>
      </c>
      <c r="O1229" s="324">
        <v>780000</v>
      </c>
      <c r="U1229" s="324" t="s">
        <v>1630</v>
      </c>
      <c r="V1229" s="324" t="s">
        <v>535</v>
      </c>
      <c r="X1229" s="324" t="s">
        <v>243</v>
      </c>
      <c r="Y1229" s="324" t="s">
        <v>255</v>
      </c>
      <c r="Z1229" s="324" t="s">
        <v>341</v>
      </c>
    </row>
    <row r="1230" spans="1:31" s="324" customFormat="1" ht="0.65" hidden="1" customHeight="1">
      <c r="A1230" s="324">
        <v>5086</v>
      </c>
      <c r="F1230" s="324">
        <v>1</v>
      </c>
      <c r="G1230" s="324">
        <v>12</v>
      </c>
      <c r="H1230" s="324" t="s">
        <v>536</v>
      </c>
      <c r="I1230" s="324">
        <v>480000</v>
      </c>
      <c r="J1230" s="324">
        <v>480000</v>
      </c>
      <c r="K1230" s="324" t="s">
        <v>1630</v>
      </c>
      <c r="M1230" s="324">
        <v>420000</v>
      </c>
      <c r="N1230" s="324">
        <v>450000</v>
      </c>
      <c r="O1230" s="324">
        <v>780000</v>
      </c>
      <c r="U1230" s="324" t="s">
        <v>1630</v>
      </c>
      <c r="V1230" s="324" t="s">
        <v>537</v>
      </c>
      <c r="X1230" s="324" t="s">
        <v>243</v>
      </c>
      <c r="Y1230" s="324" t="s">
        <v>255</v>
      </c>
      <c r="Z1230" s="324" t="s">
        <v>341</v>
      </c>
    </row>
    <row r="1231" spans="1:31" s="324" customFormat="1" ht="0.65" hidden="1" customHeight="1">
      <c r="A1231" s="324">
        <v>5087</v>
      </c>
      <c r="F1231" s="324">
        <v>1</v>
      </c>
      <c r="G1231" s="324">
        <v>13</v>
      </c>
      <c r="H1231" s="324" t="s">
        <v>538</v>
      </c>
      <c r="I1231" s="324">
        <v>330000</v>
      </c>
      <c r="J1231" s="324">
        <v>330000</v>
      </c>
      <c r="K1231" s="324" t="s">
        <v>1631</v>
      </c>
      <c r="M1231" s="324">
        <v>420000</v>
      </c>
      <c r="N1231" s="324">
        <v>450000</v>
      </c>
      <c r="O1231" s="324">
        <v>630000</v>
      </c>
      <c r="U1231" s="324" t="s">
        <v>1631</v>
      </c>
      <c r="V1231" s="324" t="s">
        <v>540</v>
      </c>
      <c r="X1231" s="324" t="s">
        <v>243</v>
      </c>
      <c r="Y1231" s="324" t="s">
        <v>255</v>
      </c>
      <c r="Z1231" s="324" t="s">
        <v>341</v>
      </c>
    </row>
    <row r="1232" spans="1:31" s="324" customFormat="1" ht="0.65" hidden="1" customHeight="1">
      <c r="A1232" s="324">
        <v>5088</v>
      </c>
      <c r="B1232" s="324">
        <v>2022</v>
      </c>
      <c r="C1232" s="324">
        <v>2022</v>
      </c>
      <c r="D1232" s="324">
        <v>1</v>
      </c>
      <c r="F1232" s="324">
        <v>1</v>
      </c>
      <c r="G1232" s="324">
        <v>14</v>
      </c>
      <c r="H1232" s="324" t="s">
        <v>541</v>
      </c>
      <c r="I1232" s="324">
        <v>120000</v>
      </c>
      <c r="J1232" s="324">
        <v>120000</v>
      </c>
      <c r="K1232" s="324" t="s">
        <v>1632</v>
      </c>
      <c r="M1232" s="324">
        <v>0</v>
      </c>
      <c r="N1232" s="324">
        <v>144000</v>
      </c>
      <c r="O1232" s="324">
        <v>360000</v>
      </c>
      <c r="U1232" s="324" t="s">
        <v>1632</v>
      </c>
      <c r="V1232" s="324" t="s">
        <v>543</v>
      </c>
      <c r="X1232" s="324" t="s">
        <v>279</v>
      </c>
      <c r="Y1232" s="324" t="s">
        <v>280</v>
      </c>
      <c r="Z1232" s="324" t="s">
        <v>342</v>
      </c>
    </row>
    <row r="1233" spans="1:26" s="324" customFormat="1" ht="0.65" hidden="1" customHeight="1">
      <c r="A1233" s="324">
        <v>5089</v>
      </c>
      <c r="B1233" s="324">
        <v>2023</v>
      </c>
      <c r="C1233" s="324">
        <v>2023</v>
      </c>
      <c r="D1233" s="324">
        <v>1</v>
      </c>
      <c r="F1233" s="324">
        <v>1</v>
      </c>
      <c r="G1233" s="324">
        <v>15</v>
      </c>
      <c r="H1233" s="324" t="s">
        <v>544</v>
      </c>
      <c r="I1233" s="324">
        <v>120000</v>
      </c>
      <c r="J1233" s="324">
        <v>120000</v>
      </c>
      <c r="K1233" s="324" t="s">
        <v>1632</v>
      </c>
      <c r="M1233" s="324">
        <v>0</v>
      </c>
      <c r="N1233" s="324">
        <v>144000</v>
      </c>
      <c r="O1233" s="324">
        <v>360000</v>
      </c>
      <c r="U1233" s="324" t="s">
        <v>1632</v>
      </c>
      <c r="V1233" s="324" t="s">
        <v>545</v>
      </c>
      <c r="X1233" s="324" t="s">
        <v>279</v>
      </c>
      <c r="Y1233" s="324" t="s">
        <v>280</v>
      </c>
      <c r="Z1233" s="324" t="s">
        <v>342</v>
      </c>
    </row>
    <row r="1234" spans="1:26" s="324" customFormat="1" ht="0.65" hidden="1" customHeight="1">
      <c r="A1234" s="324">
        <v>5090</v>
      </c>
      <c r="B1234" s="324">
        <v>2024</v>
      </c>
      <c r="C1234" s="324">
        <v>2024</v>
      </c>
      <c r="D1234" s="324">
        <v>1</v>
      </c>
      <c r="F1234" s="324">
        <v>1</v>
      </c>
      <c r="G1234" s="324">
        <v>16</v>
      </c>
      <c r="H1234" s="324" t="s">
        <v>546</v>
      </c>
      <c r="I1234" s="324">
        <v>82500</v>
      </c>
      <c r="J1234" s="324">
        <v>82500</v>
      </c>
      <c r="K1234" s="324" t="s">
        <v>1633</v>
      </c>
      <c r="M1234" s="324">
        <v>0</v>
      </c>
      <c r="N1234" s="324">
        <v>99000</v>
      </c>
      <c r="O1234" s="324">
        <v>247500</v>
      </c>
      <c r="U1234" s="324" t="s">
        <v>1633</v>
      </c>
      <c r="V1234" s="324" t="s">
        <v>548</v>
      </c>
      <c r="X1234" s="324" t="s">
        <v>279</v>
      </c>
      <c r="Y1234" s="324" t="s">
        <v>280</v>
      </c>
      <c r="Z1234" s="324" t="s">
        <v>342</v>
      </c>
    </row>
    <row r="1235" spans="1:26" s="324" customFormat="1" ht="0.65" hidden="1" customHeight="1">
      <c r="A1235" s="324">
        <v>5091</v>
      </c>
      <c r="B1235" s="324">
        <v>2025</v>
      </c>
      <c r="C1235" s="324">
        <v>2025</v>
      </c>
      <c r="D1235" s="324">
        <v>1</v>
      </c>
      <c r="F1235" s="324">
        <v>1</v>
      </c>
      <c r="G1235" s="324">
        <v>17</v>
      </c>
      <c r="H1235" s="324" t="s">
        <v>549</v>
      </c>
      <c r="I1235" s="324">
        <v>360000</v>
      </c>
      <c r="J1235" s="324">
        <v>360000</v>
      </c>
      <c r="K1235" s="324" t="s">
        <v>1634</v>
      </c>
      <c r="M1235" s="324">
        <v>600000</v>
      </c>
      <c r="U1235" s="324" t="s">
        <v>1634</v>
      </c>
      <c r="V1235" s="324" t="s">
        <v>551</v>
      </c>
      <c r="X1235" s="324" t="s">
        <v>256</v>
      </c>
    </row>
    <row r="1236" spans="1:26" s="324" customFormat="1" ht="0.65" hidden="1" customHeight="1">
      <c r="A1236" s="324">
        <v>5092</v>
      </c>
      <c r="F1236" s="324">
        <v>1</v>
      </c>
      <c r="G1236" s="324">
        <v>18</v>
      </c>
      <c r="H1236" s="324" t="s">
        <v>552</v>
      </c>
      <c r="I1236" s="324">
        <v>360000</v>
      </c>
      <c r="J1236" s="324">
        <v>360000</v>
      </c>
      <c r="K1236" s="324" t="s">
        <v>1634</v>
      </c>
      <c r="M1236" s="324">
        <v>600000</v>
      </c>
      <c r="U1236" s="324" t="s">
        <v>1634</v>
      </c>
      <c r="V1236" s="324" t="s">
        <v>553</v>
      </c>
      <c r="X1236" s="324" t="s">
        <v>256</v>
      </c>
    </row>
    <row r="1237" spans="1:26" s="324" customFormat="1" ht="0.65" hidden="1" customHeight="1">
      <c r="A1237" s="324">
        <v>5093</v>
      </c>
      <c r="B1237" s="324">
        <v>0</v>
      </c>
      <c r="C1237" s="324">
        <v>0</v>
      </c>
      <c r="D1237" s="324">
        <v>1</v>
      </c>
      <c r="F1237" s="324">
        <v>1</v>
      </c>
      <c r="G1237" s="324">
        <v>19</v>
      </c>
      <c r="H1237" s="324" t="s">
        <v>554</v>
      </c>
      <c r="I1237" s="324">
        <v>247500</v>
      </c>
      <c r="J1237" s="324">
        <v>247500</v>
      </c>
      <c r="K1237" s="324" t="s">
        <v>1635</v>
      </c>
      <c r="M1237" s="324">
        <v>412500</v>
      </c>
      <c r="U1237" s="324" t="s">
        <v>1635</v>
      </c>
      <c r="V1237" s="324" t="s">
        <v>556</v>
      </c>
      <c r="X1237" s="324" t="s">
        <v>256</v>
      </c>
    </row>
    <row r="1238" spans="1:26" s="324" customFormat="1" ht="0.65" hidden="1" customHeight="1">
      <c r="A1238" s="324">
        <v>5094</v>
      </c>
      <c r="B1238" s="324">
        <v>0</v>
      </c>
      <c r="C1238" s="324">
        <v>0</v>
      </c>
      <c r="D1238" s="324">
        <v>1</v>
      </c>
      <c r="F1238" s="324">
        <v>1</v>
      </c>
      <c r="G1238" s="324">
        <v>20</v>
      </c>
      <c r="H1238" s="324" t="s">
        <v>557</v>
      </c>
      <c r="I1238" s="324">
        <v>330000</v>
      </c>
      <c r="J1238" s="324">
        <v>330000</v>
      </c>
      <c r="K1238" s="324" t="s">
        <v>1636</v>
      </c>
      <c r="M1238" s="324">
        <v>360000</v>
      </c>
      <c r="N1238" s="324">
        <v>390000</v>
      </c>
      <c r="U1238" s="324" t="s">
        <v>1636</v>
      </c>
      <c r="V1238" s="324" t="s">
        <v>559</v>
      </c>
      <c r="X1238" s="324" t="s">
        <v>257</v>
      </c>
      <c r="Y1238" s="324" t="s">
        <v>258</v>
      </c>
    </row>
    <row r="1239" spans="1:26" s="324" customFormat="1" ht="0.65" hidden="1" customHeight="1">
      <c r="A1239" s="324">
        <v>5095</v>
      </c>
      <c r="B1239" s="324">
        <v>0</v>
      </c>
      <c r="C1239" s="324">
        <v>0</v>
      </c>
      <c r="D1239" s="324">
        <v>1</v>
      </c>
      <c r="F1239" s="324">
        <v>1</v>
      </c>
      <c r="G1239" s="324">
        <v>21</v>
      </c>
      <c r="H1239" s="324" t="s">
        <v>560</v>
      </c>
      <c r="I1239" s="324">
        <v>330000</v>
      </c>
      <c r="J1239" s="324">
        <v>330000</v>
      </c>
      <c r="K1239" s="324" t="s">
        <v>1636</v>
      </c>
      <c r="M1239" s="324">
        <v>360000</v>
      </c>
      <c r="N1239" s="324">
        <v>390000</v>
      </c>
      <c r="U1239" s="324" t="s">
        <v>1636</v>
      </c>
      <c r="V1239" s="324" t="s">
        <v>561</v>
      </c>
      <c r="X1239" s="324" t="s">
        <v>257</v>
      </c>
      <c r="Y1239" s="324" t="s">
        <v>258</v>
      </c>
    </row>
    <row r="1240" spans="1:26" s="324" customFormat="1" ht="0.65" hidden="1" customHeight="1">
      <c r="A1240" s="324">
        <v>5096</v>
      </c>
      <c r="F1240" s="324">
        <v>1</v>
      </c>
      <c r="G1240" s="324">
        <v>22</v>
      </c>
      <c r="H1240" s="324" t="s">
        <v>562</v>
      </c>
      <c r="I1240" s="324">
        <v>367500</v>
      </c>
      <c r="J1240" s="324">
        <v>367500</v>
      </c>
      <c r="K1240" s="324" t="s">
        <v>1637</v>
      </c>
      <c r="M1240" s="324">
        <v>247500</v>
      </c>
      <c r="N1240" s="324">
        <v>127500</v>
      </c>
      <c r="U1240" s="324" t="s">
        <v>1637</v>
      </c>
      <c r="V1240" s="324" t="s">
        <v>564</v>
      </c>
      <c r="X1240" s="324" t="s">
        <v>257</v>
      </c>
      <c r="Y1240" s="324" t="s">
        <v>258</v>
      </c>
    </row>
    <row r="1241" spans="1:26" s="324" customFormat="1" ht="0.65" hidden="1" customHeight="1">
      <c r="A1241" s="324">
        <v>5097</v>
      </c>
      <c r="F1241" s="324">
        <v>1</v>
      </c>
      <c r="G1241" s="324">
        <v>23</v>
      </c>
      <c r="H1241" s="324" t="s">
        <v>565</v>
      </c>
      <c r="I1241" s="324">
        <v>100000</v>
      </c>
      <c r="J1241" s="324">
        <v>100000</v>
      </c>
      <c r="K1241" s="324" t="s">
        <v>1638</v>
      </c>
      <c r="M1241" s="324">
        <v>500000</v>
      </c>
      <c r="N1241" s="324">
        <v>150000</v>
      </c>
      <c r="O1241" s="324">
        <v>600000</v>
      </c>
      <c r="U1241" s="324" t="s">
        <v>1638</v>
      </c>
      <c r="V1241" s="324" t="s">
        <v>567</v>
      </c>
      <c r="X1241" s="324" t="s">
        <v>259</v>
      </c>
      <c r="Y1241" s="324" t="s">
        <v>260</v>
      </c>
      <c r="Z1241" s="324" t="s">
        <v>343</v>
      </c>
    </row>
    <row r="1242" spans="1:26" s="324" customFormat="1" ht="0.65" hidden="1" customHeight="1">
      <c r="A1242" s="324">
        <v>5098</v>
      </c>
      <c r="F1242" s="324">
        <v>1</v>
      </c>
      <c r="G1242" s="324">
        <v>24</v>
      </c>
      <c r="H1242" s="324" t="s">
        <v>568</v>
      </c>
      <c r="I1242" s="324">
        <v>100000</v>
      </c>
      <c r="J1242" s="324">
        <v>100000</v>
      </c>
      <c r="K1242" s="324" t="s">
        <v>1638</v>
      </c>
      <c r="M1242" s="324">
        <v>500000</v>
      </c>
      <c r="N1242" s="324">
        <v>150000</v>
      </c>
      <c r="O1242" s="324">
        <v>200000</v>
      </c>
      <c r="U1242" s="324" t="s">
        <v>1638</v>
      </c>
      <c r="V1242" s="324" t="s">
        <v>569</v>
      </c>
      <c r="X1242" s="324" t="s">
        <v>259</v>
      </c>
      <c r="Y1242" s="324" t="s">
        <v>260</v>
      </c>
      <c r="Z1242" s="324" t="s">
        <v>261</v>
      </c>
    </row>
    <row r="1243" spans="1:26" s="324" customFormat="1" ht="0.65" hidden="1" customHeight="1">
      <c r="A1243" s="324">
        <v>5099</v>
      </c>
      <c r="F1243" s="324">
        <v>1</v>
      </c>
      <c r="G1243" s="324">
        <v>25</v>
      </c>
      <c r="H1243" s="324" t="s">
        <v>570</v>
      </c>
      <c r="I1243" s="324">
        <v>100000</v>
      </c>
      <c r="J1243" s="324">
        <v>100000</v>
      </c>
      <c r="K1243" s="324" t="s">
        <v>1638</v>
      </c>
      <c r="M1243" s="324">
        <v>500000</v>
      </c>
      <c r="N1243" s="324">
        <v>150000</v>
      </c>
      <c r="O1243" s="324">
        <v>300000</v>
      </c>
      <c r="U1243" s="324" t="s">
        <v>1638</v>
      </c>
      <c r="V1243" s="324" t="s">
        <v>571</v>
      </c>
      <c r="X1243" s="324" t="s">
        <v>259</v>
      </c>
      <c r="Y1243" s="324" t="s">
        <v>260</v>
      </c>
      <c r="Z1243" s="324" t="s">
        <v>261</v>
      </c>
    </row>
    <row r="1244" spans="1:26" s="324" customFormat="1" ht="0.65" hidden="1" customHeight="1">
      <c r="A1244" s="324">
        <v>5100</v>
      </c>
      <c r="F1244" s="324">
        <v>1</v>
      </c>
      <c r="G1244" s="324">
        <v>26</v>
      </c>
      <c r="H1244" s="324" t="s">
        <v>572</v>
      </c>
      <c r="I1244" s="324">
        <v>37500</v>
      </c>
      <c r="J1244" s="324">
        <v>37500</v>
      </c>
      <c r="K1244" s="324" t="s">
        <v>1639</v>
      </c>
      <c r="M1244" s="324">
        <v>112500</v>
      </c>
      <c r="N1244" s="324">
        <v>25000</v>
      </c>
      <c r="O1244" s="324">
        <v>150000</v>
      </c>
      <c r="U1244" s="324" t="s">
        <v>1639</v>
      </c>
      <c r="V1244" s="324" t="s">
        <v>574</v>
      </c>
      <c r="X1244" s="324" t="s">
        <v>262</v>
      </c>
      <c r="Y1244" s="324" t="s">
        <v>263</v>
      </c>
      <c r="Z1244" s="324" t="s">
        <v>344</v>
      </c>
    </row>
    <row r="1245" spans="1:26" s="324" customFormat="1" ht="0.65" hidden="1" customHeight="1">
      <c r="A1245" s="324">
        <v>5101</v>
      </c>
      <c r="F1245" s="324">
        <v>1</v>
      </c>
      <c r="G1245" s="324">
        <v>27</v>
      </c>
      <c r="H1245" s="324" t="s">
        <v>575</v>
      </c>
      <c r="I1245" s="324">
        <v>37500</v>
      </c>
      <c r="J1245" s="324">
        <v>37500</v>
      </c>
      <c r="K1245" s="324" t="s">
        <v>1639</v>
      </c>
      <c r="M1245" s="324">
        <v>112500</v>
      </c>
      <c r="N1245" s="324">
        <v>25000</v>
      </c>
      <c r="O1245" s="324">
        <v>75000</v>
      </c>
      <c r="U1245" s="324" t="s">
        <v>1639</v>
      </c>
      <c r="V1245" s="324" t="s">
        <v>576</v>
      </c>
      <c r="X1245" s="324" t="s">
        <v>262</v>
      </c>
      <c r="Y1245" s="324" t="s">
        <v>263</v>
      </c>
      <c r="Z1245" s="324" t="s">
        <v>264</v>
      </c>
    </row>
    <row r="1246" spans="1:26" s="324" customFormat="1" ht="0.65" hidden="1" customHeight="1">
      <c r="A1246" s="324">
        <v>5102</v>
      </c>
      <c r="F1246" s="324">
        <v>1</v>
      </c>
      <c r="G1246" s="324">
        <v>28</v>
      </c>
      <c r="H1246" s="324" t="s">
        <v>577</v>
      </c>
      <c r="I1246" s="324">
        <v>37500</v>
      </c>
      <c r="J1246" s="324">
        <v>37500</v>
      </c>
      <c r="K1246" s="324" t="s">
        <v>1639</v>
      </c>
      <c r="M1246" s="324">
        <v>112500</v>
      </c>
      <c r="N1246" s="324">
        <v>25000</v>
      </c>
      <c r="O1246" s="324">
        <v>112500</v>
      </c>
      <c r="U1246" s="324" t="s">
        <v>1639</v>
      </c>
      <c r="V1246" s="324" t="s">
        <v>578</v>
      </c>
      <c r="X1246" s="324" t="s">
        <v>262</v>
      </c>
      <c r="Y1246" s="324" t="s">
        <v>263</v>
      </c>
      <c r="Z1246" s="324" t="s">
        <v>264</v>
      </c>
    </row>
    <row r="1247" spans="1:26" s="324" customFormat="1" ht="0.65" hidden="1" customHeight="1">
      <c r="A1247" s="324">
        <v>5103</v>
      </c>
      <c r="F1247" s="324">
        <v>1</v>
      </c>
      <c r="G1247" s="324">
        <v>29</v>
      </c>
      <c r="H1247" s="324" t="s">
        <v>579</v>
      </c>
      <c r="I1247" s="324">
        <v>62500</v>
      </c>
      <c r="J1247" s="324">
        <v>62500</v>
      </c>
      <c r="K1247" s="324" t="s">
        <v>1640</v>
      </c>
      <c r="M1247" s="324">
        <v>137500</v>
      </c>
      <c r="N1247" s="324">
        <v>0</v>
      </c>
      <c r="O1247" s="324">
        <v>100000</v>
      </c>
      <c r="U1247" s="324" t="s">
        <v>1640</v>
      </c>
      <c r="V1247" s="324" t="s">
        <v>581</v>
      </c>
      <c r="X1247" s="324" t="s">
        <v>265</v>
      </c>
      <c r="Y1247" s="324" t="s">
        <v>266</v>
      </c>
      <c r="Z1247" s="324" t="s">
        <v>281</v>
      </c>
    </row>
    <row r="1248" spans="1:26" s="324" customFormat="1" ht="0.65" hidden="1" customHeight="1">
      <c r="A1248" s="324">
        <v>5104</v>
      </c>
      <c r="F1248" s="324">
        <v>1</v>
      </c>
      <c r="G1248" s="324">
        <v>30</v>
      </c>
      <c r="H1248" s="324" t="s">
        <v>582</v>
      </c>
      <c r="I1248" s="324">
        <v>62500</v>
      </c>
      <c r="J1248" s="324">
        <v>62500</v>
      </c>
      <c r="K1248" s="324" t="s">
        <v>1640</v>
      </c>
      <c r="M1248" s="324">
        <v>137500</v>
      </c>
      <c r="N1248" s="324">
        <v>0</v>
      </c>
      <c r="O1248" s="324">
        <v>100000</v>
      </c>
      <c r="U1248" s="324" t="s">
        <v>1640</v>
      </c>
      <c r="V1248" s="324" t="s">
        <v>583</v>
      </c>
      <c r="X1248" s="324" t="s">
        <v>265</v>
      </c>
      <c r="Y1248" s="324" t="s">
        <v>266</v>
      </c>
      <c r="Z1248" s="324" t="s">
        <v>281</v>
      </c>
    </row>
    <row r="1249" spans="1:28" s="324" customFormat="1" ht="0.65" hidden="1" customHeight="1">
      <c r="A1249" s="324">
        <v>5105</v>
      </c>
      <c r="F1249" s="324">
        <v>1</v>
      </c>
      <c r="G1249" s="324">
        <v>31</v>
      </c>
      <c r="H1249" s="324" t="s">
        <v>584</v>
      </c>
      <c r="I1249" s="324">
        <v>62500</v>
      </c>
      <c r="J1249" s="324">
        <v>62500</v>
      </c>
      <c r="K1249" s="324" t="s">
        <v>1640</v>
      </c>
      <c r="M1249" s="324">
        <v>137500</v>
      </c>
      <c r="N1249" s="324">
        <v>0</v>
      </c>
      <c r="O1249" s="324">
        <v>100000</v>
      </c>
      <c r="U1249" s="324" t="s">
        <v>1640</v>
      </c>
      <c r="V1249" s="324" t="s">
        <v>585</v>
      </c>
      <c r="X1249" s="324" t="s">
        <v>265</v>
      </c>
      <c r="Y1249" s="324" t="s">
        <v>266</v>
      </c>
      <c r="Z1249" s="324" t="s">
        <v>281</v>
      </c>
    </row>
    <row r="1250" spans="1:28" s="324" customFormat="1" ht="0.65" hidden="1" customHeight="1">
      <c r="A1250" s="324">
        <v>5106</v>
      </c>
      <c r="F1250" s="324">
        <v>1</v>
      </c>
      <c r="G1250" s="324">
        <v>32</v>
      </c>
      <c r="H1250" s="324" t="s">
        <v>586</v>
      </c>
      <c r="I1250" s="324">
        <v>62500</v>
      </c>
      <c r="J1250" s="324">
        <v>62500</v>
      </c>
      <c r="K1250" s="324" t="s">
        <v>1641</v>
      </c>
      <c r="U1250" s="324" t="s">
        <v>1641</v>
      </c>
      <c r="V1250" s="324" t="s">
        <v>588</v>
      </c>
    </row>
    <row r="1251" spans="1:28" s="324" customFormat="1" ht="0.65" hidden="1" customHeight="1">
      <c r="A1251" s="324">
        <v>5107</v>
      </c>
      <c r="F1251" s="324">
        <v>1</v>
      </c>
      <c r="G1251" s="324">
        <v>33</v>
      </c>
      <c r="H1251" s="324" t="s">
        <v>589</v>
      </c>
      <c r="I1251" s="324">
        <v>0</v>
      </c>
      <c r="J1251" s="324">
        <v>0</v>
      </c>
      <c r="K1251" s="324" t="s">
        <v>1624</v>
      </c>
      <c r="M1251" s="324">
        <v>62500</v>
      </c>
      <c r="N1251" s="324">
        <v>125000</v>
      </c>
      <c r="U1251" s="324" t="s">
        <v>1624</v>
      </c>
      <c r="V1251" s="324" t="s">
        <v>507</v>
      </c>
      <c r="X1251" s="324" t="s">
        <v>267</v>
      </c>
      <c r="Y1251" s="324" t="s">
        <v>268</v>
      </c>
    </row>
    <row r="1252" spans="1:28" s="324" customFormat="1" ht="0.65" hidden="1" customHeight="1">
      <c r="A1252" s="324">
        <v>5108</v>
      </c>
      <c r="F1252" s="324">
        <v>1</v>
      </c>
      <c r="G1252" s="324">
        <v>34</v>
      </c>
      <c r="H1252" s="324" t="s">
        <v>590</v>
      </c>
      <c r="I1252" s="324">
        <v>0</v>
      </c>
      <c r="J1252" s="324">
        <v>0</v>
      </c>
      <c r="K1252" s="324" t="s">
        <v>1624</v>
      </c>
      <c r="M1252" s="324">
        <v>62500</v>
      </c>
      <c r="N1252" s="324">
        <v>125000</v>
      </c>
      <c r="U1252" s="324" t="s">
        <v>1624</v>
      </c>
      <c r="V1252" s="324" t="s">
        <v>591</v>
      </c>
      <c r="X1252" s="324" t="s">
        <v>267</v>
      </c>
      <c r="Y1252" s="324" t="s">
        <v>268</v>
      </c>
    </row>
    <row r="1253" spans="1:28" s="324" customFormat="1" ht="0.65" hidden="1" customHeight="1">
      <c r="A1253" s="324">
        <v>5109</v>
      </c>
      <c r="F1253" s="324">
        <v>1</v>
      </c>
      <c r="G1253" s="324">
        <v>35</v>
      </c>
      <c r="H1253" s="324" t="s">
        <v>592</v>
      </c>
      <c r="I1253" s="324">
        <v>267500</v>
      </c>
      <c r="J1253" s="324">
        <v>267500</v>
      </c>
      <c r="K1253" s="324" t="s">
        <v>1642</v>
      </c>
      <c r="M1253" s="324">
        <v>392500</v>
      </c>
      <c r="N1253" s="324">
        <v>330000</v>
      </c>
      <c r="U1253" s="324" t="s">
        <v>1642</v>
      </c>
      <c r="V1253" s="324" t="s">
        <v>594</v>
      </c>
      <c r="X1253" s="324" t="s">
        <v>269</v>
      </c>
      <c r="Y1253" s="324" t="s">
        <v>282</v>
      </c>
    </row>
    <row r="1254" spans="1:28" s="324" customFormat="1" ht="0.65" hidden="1" customHeight="1">
      <c r="A1254" s="324">
        <v>5110</v>
      </c>
      <c r="F1254" s="324">
        <v>1</v>
      </c>
      <c r="G1254" s="324">
        <v>36</v>
      </c>
      <c r="H1254" s="324" t="s">
        <v>595</v>
      </c>
      <c r="I1254" s="324">
        <v>330000</v>
      </c>
      <c r="J1254" s="324">
        <v>330000</v>
      </c>
      <c r="K1254" s="324" t="s">
        <v>1643</v>
      </c>
      <c r="M1254" s="324">
        <v>267500</v>
      </c>
      <c r="U1254" s="324" t="s">
        <v>1643</v>
      </c>
      <c r="V1254" s="324" t="s">
        <v>597</v>
      </c>
      <c r="X1254" s="324" t="s">
        <v>270</v>
      </c>
    </row>
    <row r="1255" spans="1:28" s="324" customFormat="1" ht="0.65" hidden="1" customHeight="1">
      <c r="A1255" s="324">
        <v>5111</v>
      </c>
      <c r="F1255" s="324">
        <v>1</v>
      </c>
      <c r="G1255" s="324">
        <v>37</v>
      </c>
      <c r="H1255" s="324" t="s">
        <v>598</v>
      </c>
      <c r="I1255" s="324">
        <v>367500</v>
      </c>
      <c r="J1255" s="324">
        <v>367500</v>
      </c>
      <c r="K1255" s="324" t="s">
        <v>1644</v>
      </c>
      <c r="M1255" s="324">
        <v>305000</v>
      </c>
      <c r="U1255" s="324" t="s">
        <v>1644</v>
      </c>
      <c r="V1255" s="324" t="s">
        <v>600</v>
      </c>
      <c r="X1255" s="324" t="s">
        <v>270</v>
      </c>
    </row>
    <row r="1256" spans="1:28" s="324" customFormat="1" ht="0.65" hidden="1" customHeight="1">
      <c r="A1256" s="324">
        <v>5112</v>
      </c>
      <c r="F1256" s="324">
        <v>1</v>
      </c>
      <c r="G1256" s="324">
        <v>38</v>
      </c>
      <c r="H1256" s="324" t="s">
        <v>491</v>
      </c>
      <c r="I1256" s="324">
        <v>277500</v>
      </c>
      <c r="J1256" s="324">
        <v>277500</v>
      </c>
      <c r="K1256" s="324" t="s">
        <v>1645</v>
      </c>
      <c r="M1256" s="324">
        <v>90000</v>
      </c>
      <c r="N1256" s="324">
        <v>67500</v>
      </c>
      <c r="O1256" s="324">
        <v>340000</v>
      </c>
      <c r="P1256" s="324">
        <v>300000</v>
      </c>
      <c r="Q1256" s="324">
        <v>142500</v>
      </c>
      <c r="U1256" s="324" t="s">
        <v>1645</v>
      </c>
      <c r="V1256" s="324" t="s">
        <v>602</v>
      </c>
      <c r="X1256" s="324" t="s">
        <v>271</v>
      </c>
      <c r="Y1256" s="324" t="s">
        <v>272</v>
      </c>
      <c r="Z1256" s="324" t="s">
        <v>273</v>
      </c>
      <c r="AA1256" s="324" t="s">
        <v>283</v>
      </c>
      <c r="AB1256" s="324" t="s">
        <v>345</v>
      </c>
    </row>
    <row r="1257" spans="1:28" s="324" customFormat="1" ht="0.65" hidden="1" customHeight="1">
      <c r="A1257" s="324">
        <v>5113</v>
      </c>
      <c r="F1257" s="324">
        <v>1</v>
      </c>
      <c r="G1257" s="324">
        <v>39</v>
      </c>
      <c r="H1257" s="324" t="s">
        <v>493</v>
      </c>
      <c r="I1257" s="324">
        <v>62500</v>
      </c>
      <c r="J1257" s="324">
        <v>62500</v>
      </c>
      <c r="K1257" s="324" t="s">
        <v>1646</v>
      </c>
      <c r="M1257" s="324">
        <v>0</v>
      </c>
      <c r="U1257" s="324" t="s">
        <v>1646</v>
      </c>
      <c r="V1257" s="324" t="s">
        <v>604</v>
      </c>
      <c r="X1257" s="324" t="s">
        <v>289</v>
      </c>
    </row>
    <row r="1258" spans="1:28" s="324" customFormat="1" ht="0.65" hidden="1" customHeight="1">
      <c r="A1258" s="324">
        <v>5114</v>
      </c>
      <c r="F1258" s="324">
        <v>1</v>
      </c>
      <c r="G1258" s="324">
        <v>40</v>
      </c>
      <c r="H1258" s="324" t="s">
        <v>494</v>
      </c>
      <c r="I1258" s="324">
        <v>340000</v>
      </c>
      <c r="J1258" s="324">
        <v>340000</v>
      </c>
      <c r="K1258" s="324" t="s">
        <v>1647</v>
      </c>
      <c r="M1258" s="324">
        <v>215000</v>
      </c>
      <c r="N1258" s="324">
        <v>277500</v>
      </c>
      <c r="O1258" s="324">
        <v>62500</v>
      </c>
      <c r="U1258" s="324" t="s">
        <v>1647</v>
      </c>
      <c r="V1258" s="324" t="s">
        <v>606</v>
      </c>
      <c r="X1258" s="324" t="s">
        <v>274</v>
      </c>
      <c r="Y1258" s="324" t="s">
        <v>284</v>
      </c>
      <c r="Z1258" s="324" t="s">
        <v>285</v>
      </c>
    </row>
    <row r="1259" spans="1:28" s="324" customFormat="1" ht="0.65" hidden="1" customHeight="1">
      <c r="A1259" s="324">
        <v>5115</v>
      </c>
      <c r="F1259" s="324">
        <v>1</v>
      </c>
      <c r="G1259" s="324">
        <v>41</v>
      </c>
      <c r="H1259" s="324" t="s">
        <v>607</v>
      </c>
      <c r="I1259" s="324">
        <v>-967500</v>
      </c>
      <c r="J1259" s="324">
        <v>-967500</v>
      </c>
      <c r="K1259" s="324" t="s">
        <v>1648</v>
      </c>
      <c r="M1259" s="324">
        <v>967500</v>
      </c>
      <c r="U1259" s="324" t="s">
        <v>1648</v>
      </c>
      <c r="V1259" s="324" t="s">
        <v>609</v>
      </c>
      <c r="X1259" s="324" t="s">
        <v>275</v>
      </c>
    </row>
    <row r="1260" spans="1:28" s="324" customFormat="1" ht="0.65" hidden="1" customHeight="1">
      <c r="A1260" s="324">
        <v>5116</v>
      </c>
      <c r="F1260" s="324">
        <v>1</v>
      </c>
      <c r="G1260" s="324">
        <v>42</v>
      </c>
      <c r="H1260" s="324" t="s">
        <v>610</v>
      </c>
      <c r="I1260" s="324">
        <v>267500</v>
      </c>
      <c r="J1260" s="324">
        <v>267500</v>
      </c>
      <c r="K1260" s="324" t="s">
        <v>1642</v>
      </c>
      <c r="U1260" s="324" t="s">
        <v>1642</v>
      </c>
      <c r="V1260" s="324" t="s">
        <v>594</v>
      </c>
    </row>
    <row r="1261" spans="1:28" s="324" customFormat="1" ht="0.65" hidden="1" customHeight="1">
      <c r="A1261" s="324">
        <v>5117</v>
      </c>
      <c r="F1261" s="324">
        <v>1</v>
      </c>
      <c r="G1261" s="324">
        <v>43</v>
      </c>
      <c r="H1261" s="324" t="s">
        <v>611</v>
      </c>
      <c r="I1261" s="324">
        <v>330000</v>
      </c>
      <c r="J1261" s="324">
        <v>330000</v>
      </c>
      <c r="K1261" s="324" t="s">
        <v>1643</v>
      </c>
      <c r="U1261" s="324" t="s">
        <v>1643</v>
      </c>
      <c r="V1261" s="324" t="s">
        <v>597</v>
      </c>
    </row>
    <row r="1262" spans="1:28" s="324" customFormat="1" ht="0.65" hidden="1" customHeight="1">
      <c r="A1262" s="324">
        <v>5118</v>
      </c>
      <c r="F1262" s="324">
        <v>1</v>
      </c>
      <c r="G1262" s="324">
        <v>44</v>
      </c>
      <c r="H1262" s="324" t="s">
        <v>612</v>
      </c>
      <c r="I1262" s="324">
        <v>707500</v>
      </c>
      <c r="J1262" s="324">
        <v>707500</v>
      </c>
      <c r="K1262" s="324" t="s">
        <v>1649</v>
      </c>
      <c r="M1262" s="324">
        <v>367500</v>
      </c>
      <c r="N1262" s="324">
        <v>27500</v>
      </c>
      <c r="U1262" s="324" t="s">
        <v>1649</v>
      </c>
      <c r="V1262" s="324" t="s">
        <v>614</v>
      </c>
      <c r="X1262" s="324" t="s">
        <v>276</v>
      </c>
      <c r="Y1262" s="324" t="s">
        <v>346</v>
      </c>
    </row>
    <row r="1263" spans="1:28" s="324" customFormat="1" ht="0.65" hidden="1" customHeight="1">
      <c r="A1263" s="324">
        <v>5119</v>
      </c>
      <c r="F1263" s="324">
        <v>1</v>
      </c>
      <c r="G1263" s="324">
        <v>45</v>
      </c>
      <c r="H1263" s="324" t="s">
        <v>414</v>
      </c>
      <c r="I1263" s="324">
        <v>4.4999999999999998E-2</v>
      </c>
      <c r="J1263" s="324">
        <v>4.4999999999999998E-2</v>
      </c>
      <c r="K1263" s="324" t="s">
        <v>1650</v>
      </c>
      <c r="M1263" s="324">
        <v>0.06</v>
      </c>
      <c r="N1263" s="324">
        <v>360000</v>
      </c>
      <c r="O1263" s="324">
        <v>1.4999999999999999E-2</v>
      </c>
      <c r="P1263" s="324">
        <v>7.4999999999999997E-2</v>
      </c>
      <c r="U1263" s="324" t="s">
        <v>1650</v>
      </c>
      <c r="V1263" s="324" t="s">
        <v>616</v>
      </c>
      <c r="X1263" s="324" t="s">
        <v>277</v>
      </c>
      <c r="Y1263" s="324" t="s">
        <v>347</v>
      </c>
      <c r="Z1263" s="324" t="s">
        <v>348</v>
      </c>
      <c r="AA1263" s="324" t="s">
        <v>349</v>
      </c>
    </row>
    <row r="1264" spans="1:28" s="324" customFormat="1" ht="0.65" hidden="1" customHeight="1">
      <c r="A1264" s="324">
        <v>5120</v>
      </c>
      <c r="F1264" s="324">
        <v>1</v>
      </c>
      <c r="G1264" s="324">
        <v>46</v>
      </c>
      <c r="H1264" s="324" t="s">
        <v>415</v>
      </c>
      <c r="I1264" s="324">
        <v>0.1</v>
      </c>
      <c r="J1264" s="324">
        <v>0.1</v>
      </c>
      <c r="K1264" s="324" t="s">
        <v>1651</v>
      </c>
      <c r="M1264" s="324">
        <v>0.08</v>
      </c>
      <c r="N1264" s="324">
        <v>1920000</v>
      </c>
      <c r="O1264" s="324">
        <v>0.06</v>
      </c>
      <c r="U1264" s="324" t="s">
        <v>1651</v>
      </c>
      <c r="V1264" s="324" t="s">
        <v>618</v>
      </c>
      <c r="X1264" s="324" t="s">
        <v>278</v>
      </c>
      <c r="Y1264" s="324" t="s">
        <v>350</v>
      </c>
      <c r="Z1264" s="324" t="s">
        <v>351</v>
      </c>
    </row>
    <row r="1265" spans="1:28" s="324" customFormat="1" ht="0.65" hidden="1" customHeight="1">
      <c r="A1265" s="324">
        <v>5121</v>
      </c>
      <c r="F1265" s="324">
        <v>1</v>
      </c>
      <c r="G1265" s="324">
        <v>47</v>
      </c>
      <c r="H1265" s="324" t="s">
        <v>416</v>
      </c>
      <c r="I1265" s="324">
        <v>8.8999999999999996E-2</v>
      </c>
      <c r="J1265" s="324">
        <v>8.8999999999999996E-2</v>
      </c>
      <c r="K1265" s="324" t="s">
        <v>1652</v>
      </c>
      <c r="U1265" s="324" t="s">
        <v>1652</v>
      </c>
      <c r="V1265" s="324" t="s">
        <v>620</v>
      </c>
    </row>
    <row r="1266" spans="1:28" s="324" customFormat="1" ht="0.65" hidden="1" customHeight="1">
      <c r="A1266" s="324">
        <v>5122</v>
      </c>
      <c r="F1266" s="324">
        <v>1</v>
      </c>
      <c r="G1266" s="324">
        <v>48</v>
      </c>
      <c r="H1266" s="324" t="s">
        <v>13</v>
      </c>
      <c r="I1266" s="324">
        <v>104229.1490951411</v>
      </c>
      <c r="J1266" s="324">
        <v>104229.1490951411</v>
      </c>
      <c r="K1266" s="324" t="s">
        <v>1653</v>
      </c>
      <c r="M1266" s="324">
        <v>210651.59252120298</v>
      </c>
      <c r="N1266" s="324">
        <v>79964.312546957168</v>
      </c>
      <c r="O1266" s="324">
        <v>95710.880711791586</v>
      </c>
      <c r="P1266" s="324">
        <v>1071729.1490951411</v>
      </c>
      <c r="Q1266" s="324">
        <v>2039229.1490951411</v>
      </c>
      <c r="U1266" s="324" t="s">
        <v>1653</v>
      </c>
      <c r="V1266" s="324" t="s">
        <v>622</v>
      </c>
      <c r="X1266" s="324" t="s">
        <v>286</v>
      </c>
      <c r="Y1266" s="324" t="s">
        <v>287</v>
      </c>
      <c r="Z1266" s="324" t="s">
        <v>288</v>
      </c>
      <c r="AA1266" s="324" t="s">
        <v>352</v>
      </c>
      <c r="AB1266" s="324" t="s">
        <v>353</v>
      </c>
    </row>
    <row r="1267" spans="1:28" s="324" customFormat="1" ht="0.65" hidden="1" customHeight="1">
      <c r="A1267" s="324">
        <v>5123</v>
      </c>
      <c r="F1267" s="324">
        <v>1</v>
      </c>
      <c r="G1267" s="324">
        <v>49</v>
      </c>
      <c r="H1267" s="324" t="s">
        <v>28</v>
      </c>
      <c r="I1267" s="324">
        <v>0.13927532491339289</v>
      </c>
      <c r="J1267" s="324">
        <v>0.13927532491339289</v>
      </c>
      <c r="K1267" s="324" t="s">
        <v>1654</v>
      </c>
      <c r="U1267" s="324" t="s">
        <v>1654</v>
      </c>
      <c r="V1267" s="324" t="s">
        <v>624</v>
      </c>
    </row>
    <row r="1268" spans="1:28" s="324" customFormat="1" ht="0.65" hidden="1" customHeight="1">
      <c r="A1268" s="324">
        <v>5124</v>
      </c>
      <c r="M1268" s="324">
        <v>1</v>
      </c>
      <c r="N1268" s="324">
        <v>2</v>
      </c>
      <c r="O1268" s="324">
        <v>3</v>
      </c>
      <c r="P1268" s="324">
        <v>4</v>
      </c>
      <c r="Q1268" s="324">
        <v>5</v>
      </c>
      <c r="R1268" s="324">
        <v>6</v>
      </c>
      <c r="S1268" s="324">
        <v>7</v>
      </c>
      <c r="T1268" s="324">
        <v>8</v>
      </c>
      <c r="U1268" s="324">
        <v>9</v>
      </c>
      <c r="V1268" s="324">
        <v>10</v>
      </c>
    </row>
    <row r="1269" spans="1:28" s="324" customFormat="1" ht="0.65" hidden="1" customHeight="1">
      <c r="A1269" s="324">
        <v>5125</v>
      </c>
    </row>
    <row r="1270" spans="1:28" s="324" customFormat="1" ht="0.65" hidden="1" customHeight="1">
      <c r="A1270" s="324">
        <v>5126</v>
      </c>
    </row>
    <row r="1271" spans="1:28" s="324" customFormat="1" ht="0.65" hidden="1" customHeight="1">
      <c r="A1271" s="324">
        <v>5127</v>
      </c>
      <c r="K1271" s="324" t="s">
        <v>211</v>
      </c>
    </row>
    <row r="1272" spans="1:28" s="324" customFormat="1" ht="0.65" hidden="1" customHeight="1">
      <c r="A1272" s="324">
        <v>5128</v>
      </c>
    </row>
    <row r="1273" spans="1:28" s="324" customFormat="1" ht="0.65" hidden="1" customHeight="1">
      <c r="A1273" s="324">
        <v>5129</v>
      </c>
    </row>
    <row r="1274" spans="1:28" s="324" customFormat="1" ht="0.65" hidden="1" customHeight="1">
      <c r="A1274" s="324">
        <v>5130</v>
      </c>
    </row>
    <row r="1275" spans="1:28" s="324" customFormat="1" ht="0.65" hidden="1" customHeight="1">
      <c r="A1275" s="324">
        <v>5131</v>
      </c>
    </row>
    <row r="1276" spans="1:28" s="324" customFormat="1" ht="0.65" hidden="1" customHeight="1">
      <c r="A1276" s="324">
        <v>5132</v>
      </c>
    </row>
    <row r="1277" spans="1:28" s="324" customFormat="1" ht="0.65" hidden="1" customHeight="1">
      <c r="A1277" s="324">
        <v>5133</v>
      </c>
    </row>
    <row r="1278" spans="1:28" s="324" customFormat="1" ht="0.65" hidden="1" customHeight="1">
      <c r="A1278" s="324">
        <v>5134</v>
      </c>
    </row>
    <row r="1279" spans="1:28" s="324" customFormat="1" ht="0.65" hidden="1" customHeight="1">
      <c r="A1279" s="324">
        <v>5135</v>
      </c>
    </row>
    <row r="1280" spans="1:28" s="324" customFormat="1" ht="0.65" hidden="1" customHeight="1">
      <c r="A1280" s="324">
        <v>5136</v>
      </c>
    </row>
    <row r="1281" spans="1:32" s="324" customFormat="1" ht="0.65" hidden="1" customHeight="1">
      <c r="A1281" s="324">
        <v>5137</v>
      </c>
    </row>
    <row r="1282" spans="1:32" s="324" customFormat="1" ht="0.65" hidden="1" customHeight="1">
      <c r="A1282" s="324">
        <v>5138</v>
      </c>
    </row>
    <row r="1283" spans="1:32" s="324" customFormat="1" ht="0.65" hidden="1" customHeight="1">
      <c r="A1283" s="324">
        <v>5139</v>
      </c>
    </row>
    <row r="1284" spans="1:32" s="324" customFormat="1" ht="0.65" hidden="1" customHeight="1">
      <c r="A1284" s="324">
        <v>5140</v>
      </c>
    </row>
    <row r="1285" spans="1:32" s="324" customFormat="1" ht="0.65" hidden="1" customHeight="1">
      <c r="A1285" s="324">
        <v>5141</v>
      </c>
    </row>
    <row r="1286" spans="1:32" s="324" customFormat="1" ht="0.65" hidden="1" customHeight="1">
      <c r="A1286" s="324">
        <v>5142</v>
      </c>
    </row>
    <row r="1287" spans="1:32" s="324" customFormat="1" ht="0.65" hidden="1" customHeight="1">
      <c r="A1287" s="324">
        <v>5143</v>
      </c>
    </row>
    <row r="1288" spans="1:32" s="324" customFormat="1" ht="0.65" hidden="1" customHeight="1">
      <c r="A1288" s="324">
        <v>5144</v>
      </c>
      <c r="U1288" s="324" t="s">
        <v>1655</v>
      </c>
    </row>
    <row r="1289" spans="1:32" s="324" customFormat="1" ht="0.65" hidden="1" customHeight="1">
      <c r="A1289" s="324">
        <v>5145</v>
      </c>
      <c r="G1289" s="324" t="s">
        <v>0</v>
      </c>
      <c r="H1289" s="324" t="s">
        <v>69</v>
      </c>
      <c r="I1289" s="324" t="s">
        <v>70</v>
      </c>
      <c r="J1289" s="324" t="s">
        <v>71</v>
      </c>
      <c r="K1289" s="324" t="s">
        <v>72</v>
      </c>
      <c r="L1289" s="324" t="s">
        <v>73</v>
      </c>
      <c r="M1289" s="324" t="s">
        <v>74</v>
      </c>
      <c r="N1289" s="324" t="s">
        <v>75</v>
      </c>
      <c r="O1289" s="324" t="s">
        <v>80</v>
      </c>
      <c r="P1289" s="324" t="s">
        <v>1</v>
      </c>
      <c r="V1289" s="324" t="s">
        <v>182</v>
      </c>
      <c r="W1289" s="324" t="s">
        <v>183</v>
      </c>
      <c r="X1289" s="324" t="s">
        <v>184</v>
      </c>
      <c r="Y1289" s="324" t="s">
        <v>185</v>
      </c>
    </row>
    <row r="1290" spans="1:32" s="324" customFormat="1" ht="0.65" hidden="1" customHeight="1">
      <c r="A1290" s="324">
        <v>5146</v>
      </c>
      <c r="G1290" s="324">
        <v>2022</v>
      </c>
      <c r="H1290" s="324">
        <v>0</v>
      </c>
      <c r="I1290" s="324">
        <v>0</v>
      </c>
      <c r="J1290" s="324">
        <v>0</v>
      </c>
      <c r="K1290" s="324">
        <v>0</v>
      </c>
      <c r="L1290" s="324">
        <v>0</v>
      </c>
      <c r="M1290" s="324">
        <v>0</v>
      </c>
      <c r="N1290" s="324">
        <v>0</v>
      </c>
      <c r="O1290" s="324">
        <v>0</v>
      </c>
      <c r="P1290" s="324">
        <v>-967500</v>
      </c>
      <c r="T1290" s="324">
        <v>1</v>
      </c>
      <c r="U1290" s="324" t="s">
        <v>153</v>
      </c>
      <c r="V1290" s="324" t="s">
        <v>178</v>
      </c>
      <c r="W1290" s="324">
        <v>102100.40098369634</v>
      </c>
      <c r="X1290" s="324">
        <v>-2128.7481114447583</v>
      </c>
      <c r="Y1290" s="324">
        <v>-2128.7481114446418</v>
      </c>
      <c r="AA1290" s="324" t="s">
        <v>188</v>
      </c>
      <c r="AB1290" s="324" t="s">
        <v>1656</v>
      </c>
      <c r="AD1290" s="324">
        <v>-967500</v>
      </c>
      <c r="AE1290" s="324">
        <v>104229.1490951411</v>
      </c>
      <c r="AF1290" s="324">
        <v>-967500</v>
      </c>
    </row>
    <row r="1291" spans="1:32" s="324" customFormat="1" ht="0.65" hidden="1" customHeight="1">
      <c r="A1291" s="324">
        <v>5147</v>
      </c>
      <c r="G1291" s="324">
        <v>2023</v>
      </c>
      <c r="H1291" s="324">
        <v>600000</v>
      </c>
      <c r="I1291" s="324">
        <v>150000</v>
      </c>
      <c r="J1291" s="324">
        <v>-30000</v>
      </c>
      <c r="K1291" s="324">
        <v>480000</v>
      </c>
      <c r="L1291" s="324">
        <v>120000</v>
      </c>
      <c r="M1291" s="324">
        <v>360000</v>
      </c>
      <c r="N1291" s="324">
        <v>330000</v>
      </c>
      <c r="O1291" s="324">
        <v>267500</v>
      </c>
      <c r="P1291" s="324">
        <v>267500</v>
      </c>
      <c r="T1291" s="324">
        <v>2</v>
      </c>
      <c r="U1291" s="324" t="s">
        <v>154</v>
      </c>
      <c r="V1291" s="324" t="s">
        <v>178</v>
      </c>
      <c r="W1291" s="324">
        <v>8097.153366178507</v>
      </c>
      <c r="X1291" s="324">
        <v>-96131.995728962589</v>
      </c>
      <c r="Y1291" s="324">
        <v>-96131.995728962589</v>
      </c>
      <c r="AA1291" s="324" t="s">
        <v>197</v>
      </c>
      <c r="AB1291" s="324" t="s">
        <v>1657</v>
      </c>
      <c r="AD1291" s="324">
        <v>267500</v>
      </c>
      <c r="AF1291" s="324">
        <v>267500</v>
      </c>
    </row>
    <row r="1292" spans="1:32" s="324" customFormat="1" ht="0.65" hidden="1" customHeight="1">
      <c r="A1292" s="324">
        <v>5148</v>
      </c>
      <c r="G1292" s="324">
        <v>2024</v>
      </c>
      <c r="H1292" s="324">
        <v>600000</v>
      </c>
      <c r="I1292" s="324">
        <v>150000</v>
      </c>
      <c r="J1292" s="324">
        <v>-30000</v>
      </c>
      <c r="K1292" s="324">
        <v>480000</v>
      </c>
      <c r="L1292" s="324">
        <v>120000</v>
      </c>
      <c r="M1292" s="324">
        <v>360000</v>
      </c>
      <c r="N1292" s="324">
        <v>330000</v>
      </c>
      <c r="O1292" s="324">
        <v>330000</v>
      </c>
      <c r="P1292" s="324">
        <v>330000</v>
      </c>
      <c r="T1292" s="324">
        <v>3</v>
      </c>
      <c r="U1292" s="324" t="s">
        <v>155</v>
      </c>
      <c r="V1292" s="324" t="s">
        <v>178</v>
      </c>
      <c r="W1292" s="324">
        <v>97260.335143859964</v>
      </c>
      <c r="X1292" s="324">
        <v>-6968.8139512811322</v>
      </c>
      <c r="Y1292" s="324">
        <v>-6968.8139512812031</v>
      </c>
      <c r="AA1292" s="324" t="s">
        <v>191</v>
      </c>
      <c r="AB1292" s="324" t="s">
        <v>1658</v>
      </c>
      <c r="AD1292" s="324">
        <v>330000</v>
      </c>
      <c r="AF1292" s="324">
        <v>330000</v>
      </c>
    </row>
    <row r="1293" spans="1:32" s="324" customFormat="1" ht="0.65" hidden="1" customHeight="1">
      <c r="A1293" s="324">
        <v>5149</v>
      </c>
      <c r="G1293" s="324">
        <v>2025</v>
      </c>
      <c r="H1293" s="324">
        <v>600000</v>
      </c>
      <c r="I1293" s="324">
        <v>150000</v>
      </c>
      <c r="J1293" s="324">
        <v>120000</v>
      </c>
      <c r="K1293" s="324">
        <v>330000</v>
      </c>
      <c r="L1293" s="324">
        <v>82500</v>
      </c>
      <c r="M1293" s="324">
        <v>247500</v>
      </c>
      <c r="N1293" s="324">
        <v>367500</v>
      </c>
      <c r="O1293" s="324">
        <v>367500</v>
      </c>
      <c r="P1293" s="324">
        <v>707500</v>
      </c>
      <c r="T1293" s="324">
        <v>4</v>
      </c>
      <c r="U1293" s="324" t="s">
        <v>156</v>
      </c>
      <c r="V1293" s="324" t="s">
        <v>179</v>
      </c>
      <c r="W1293" s="324">
        <v>119979.1490951411</v>
      </c>
      <c r="X1293" s="324">
        <v>15750</v>
      </c>
      <c r="Y1293" s="324">
        <v>15750.000000000022</v>
      </c>
      <c r="AA1293" s="324" t="s">
        <v>198</v>
      </c>
      <c r="AB1293" s="324" t="s">
        <v>1659</v>
      </c>
      <c r="AD1293" s="324">
        <v>707500</v>
      </c>
      <c r="AF1293" s="324">
        <v>707500</v>
      </c>
    </row>
    <row r="1294" spans="1:32" s="324" customFormat="1" ht="0.65" hidden="1" customHeight="1">
      <c r="A1294" s="324">
        <v>5150</v>
      </c>
      <c r="T1294" s="324">
        <v>5</v>
      </c>
      <c r="U1294" s="324" t="s">
        <v>157</v>
      </c>
      <c r="V1294" s="324" t="s">
        <v>178</v>
      </c>
      <c r="W1294" s="324">
        <v>101414.8806910906</v>
      </c>
      <c r="X1294" s="324">
        <v>-2814.2684040504973</v>
      </c>
      <c r="Y1294" s="324">
        <v>-2814.2684040505264</v>
      </c>
      <c r="AA1294" s="324" t="s">
        <v>192</v>
      </c>
      <c r="AB1294" s="324" t="s">
        <v>1660</v>
      </c>
      <c r="AD1294" s="324">
        <v>8.8999999999999996E-2</v>
      </c>
      <c r="AF1294" s="324">
        <v>8.8999999999999996E-2</v>
      </c>
    </row>
    <row r="1295" spans="1:32" s="324" customFormat="1" ht="0.65" hidden="1" customHeight="1">
      <c r="A1295" s="324">
        <v>5151</v>
      </c>
      <c r="G1295" s="324" t="s">
        <v>0</v>
      </c>
      <c r="H1295" s="324" t="s">
        <v>76</v>
      </c>
      <c r="I1295" s="324" t="s">
        <v>77</v>
      </c>
      <c r="J1295" s="324" t="s">
        <v>78</v>
      </c>
      <c r="K1295" s="324" t="s">
        <v>79</v>
      </c>
      <c r="T1295" s="324">
        <v>6</v>
      </c>
      <c r="U1295" s="324" t="s">
        <v>158</v>
      </c>
      <c r="V1295" s="324" t="s">
        <v>179</v>
      </c>
      <c r="W1295" s="324">
        <v>105123.52359394822</v>
      </c>
      <c r="X1295" s="324">
        <v>894.37449880712666</v>
      </c>
      <c r="Y1295" s="324">
        <v>894.3744988072558</v>
      </c>
      <c r="AA1295" s="324" t="s">
        <v>193</v>
      </c>
      <c r="AB1295" s="324" t="s">
        <v>1661</v>
      </c>
      <c r="AD1295" s="324">
        <v>104229.1490951411</v>
      </c>
      <c r="AF1295" s="324">
        <v>104229.1490951411</v>
      </c>
    </row>
    <row r="1296" spans="1:32" s="324" customFormat="1" ht="0.65" hidden="1" customHeight="1">
      <c r="A1296" s="324">
        <v>5152</v>
      </c>
      <c r="G1296" s="324">
        <v>2022</v>
      </c>
      <c r="H1296" s="324">
        <v>0</v>
      </c>
      <c r="I1296" s="324">
        <v>0</v>
      </c>
      <c r="J1296" s="324">
        <v>0</v>
      </c>
      <c r="K1296" s="324">
        <v>0</v>
      </c>
      <c r="M1296" s="324" t="s">
        <v>490</v>
      </c>
      <c r="N1296" s="324">
        <v>967500</v>
      </c>
      <c r="O1296" s="324" t="s">
        <v>124</v>
      </c>
      <c r="P1296" s="324">
        <v>4.4999999999999998E-2</v>
      </c>
      <c r="T1296" s="324">
        <v>7</v>
      </c>
      <c r="U1296" s="324" t="s">
        <v>159</v>
      </c>
      <c r="V1296" s="324" t="s">
        <v>178</v>
      </c>
      <c r="W1296" s="324">
        <v>88479.149095141096</v>
      </c>
      <c r="X1296" s="324">
        <v>-15750</v>
      </c>
      <c r="Y1296" s="324">
        <v>-15750</v>
      </c>
      <c r="AA1296" s="324" t="s">
        <v>194</v>
      </c>
      <c r="AB1296" s="324" t="s">
        <v>1662</v>
      </c>
      <c r="AF1296" s="324">
        <v>104229.1490951411</v>
      </c>
    </row>
    <row r="1297" spans="1:30" s="324" customFormat="1" ht="0.65" hidden="1" customHeight="1">
      <c r="A1297" s="324">
        <v>5153</v>
      </c>
      <c r="G1297" s="324">
        <v>2023</v>
      </c>
      <c r="H1297" s="324">
        <v>100000</v>
      </c>
      <c r="I1297" s="324">
        <v>37500</v>
      </c>
      <c r="J1297" s="324">
        <v>62500</v>
      </c>
      <c r="K1297" s="324">
        <v>62500</v>
      </c>
      <c r="M1297" s="324" t="s">
        <v>491</v>
      </c>
      <c r="N1297" s="324">
        <v>277500</v>
      </c>
      <c r="O1297" s="324" t="s">
        <v>125</v>
      </c>
      <c r="P1297" s="324">
        <v>0.1</v>
      </c>
      <c r="T1297" s="324">
        <v>8</v>
      </c>
      <c r="U1297" s="324" t="s">
        <v>160</v>
      </c>
      <c r="V1297" s="324" t="s">
        <v>178</v>
      </c>
      <c r="W1297" s="324">
        <v>102486.94560732064</v>
      </c>
      <c r="X1297" s="324">
        <v>-1742.2034878204577</v>
      </c>
      <c r="Y1297" s="324">
        <v>-1742.2034878203008</v>
      </c>
      <c r="AA1297" s="324" t="s">
        <v>195</v>
      </c>
      <c r="AB1297" s="324" t="s">
        <v>1663</v>
      </c>
    </row>
    <row r="1298" spans="1:30" s="324" customFormat="1" ht="0.65" hidden="1" customHeight="1">
      <c r="A1298" s="324">
        <v>5154</v>
      </c>
      <c r="G1298" s="324">
        <v>2024</v>
      </c>
      <c r="H1298" s="324">
        <v>100000</v>
      </c>
      <c r="I1298" s="324">
        <v>37500</v>
      </c>
      <c r="J1298" s="324">
        <v>62500</v>
      </c>
      <c r="K1298" s="324">
        <v>0</v>
      </c>
      <c r="M1298" s="324" t="s">
        <v>493</v>
      </c>
      <c r="N1298" s="324">
        <v>62500</v>
      </c>
      <c r="O1298" s="324" t="s">
        <v>126</v>
      </c>
      <c r="P1298" s="324">
        <v>8.8999999999999996E-2</v>
      </c>
      <c r="T1298" s="324">
        <v>9</v>
      </c>
      <c r="U1298" s="324" t="s">
        <v>161</v>
      </c>
      <c r="V1298" s="324" t="s">
        <v>179</v>
      </c>
      <c r="W1298" s="324">
        <v>216901.11502293102</v>
      </c>
      <c r="X1298" s="324">
        <v>112671.96592778992</v>
      </c>
      <c r="Y1298" s="324">
        <v>112671.96592778989</v>
      </c>
      <c r="AA1298" s="324" t="s">
        <v>199</v>
      </c>
      <c r="AB1298" s="324" t="s">
        <v>1664</v>
      </c>
      <c r="AD1298" s="324">
        <v>-967500</v>
      </c>
    </row>
    <row r="1299" spans="1:30" s="324" customFormat="1" ht="0.65" hidden="1" customHeight="1">
      <c r="A1299" s="324">
        <v>5155</v>
      </c>
      <c r="G1299" s="324">
        <v>2025</v>
      </c>
      <c r="H1299" s="324">
        <v>100000</v>
      </c>
      <c r="I1299" s="324">
        <v>37500</v>
      </c>
      <c r="J1299" s="324">
        <v>62500</v>
      </c>
      <c r="K1299" s="324">
        <v>0</v>
      </c>
      <c r="M1299" s="324" t="s">
        <v>494</v>
      </c>
      <c r="N1299" s="324">
        <v>340000</v>
      </c>
      <c r="T1299" s="324">
        <v>10</v>
      </c>
      <c r="U1299" s="324" t="s">
        <v>162</v>
      </c>
      <c r="V1299" s="324" t="s">
        <v>178</v>
      </c>
      <c r="W1299" s="324">
        <v>97031.099880495807</v>
      </c>
      <c r="X1299" s="324">
        <v>-7198.0492146452889</v>
      </c>
      <c r="Y1299" s="324">
        <v>-7198.0492146452889</v>
      </c>
      <c r="AA1299" s="324" t="s">
        <v>200</v>
      </c>
      <c r="AB1299" s="324" t="s">
        <v>1665</v>
      </c>
      <c r="AD1299" s="324">
        <v>267500</v>
      </c>
    </row>
    <row r="1300" spans="1:30" s="324" customFormat="1" ht="0.65" hidden="1" customHeight="1">
      <c r="A1300" s="324">
        <v>5156</v>
      </c>
      <c r="T1300" s="324">
        <v>11</v>
      </c>
      <c r="U1300" s="324" t="s">
        <v>163</v>
      </c>
      <c r="V1300" s="324" t="s">
        <v>179</v>
      </c>
      <c r="W1300" s="324">
        <v>132217.18934672233</v>
      </c>
      <c r="X1300" s="324">
        <v>27988.040251581231</v>
      </c>
      <c r="Y1300" s="324">
        <v>27988.04025158134</v>
      </c>
      <c r="AA1300" s="324" t="s">
        <v>201</v>
      </c>
      <c r="AB1300" s="324" t="s">
        <v>1666</v>
      </c>
      <c r="AD1300" s="324">
        <v>330000</v>
      </c>
    </row>
    <row r="1301" spans="1:30" s="324" customFormat="1" ht="0.65" hidden="1" customHeight="1">
      <c r="A1301" s="324">
        <v>5157</v>
      </c>
      <c r="O1301" s="324" t="s">
        <v>13</v>
      </c>
      <c r="P1301" s="324">
        <v>104229.1490951411</v>
      </c>
      <c r="T1301" s="324">
        <v>12</v>
      </c>
      <c r="U1301" s="324" t="s">
        <v>164</v>
      </c>
      <c r="V1301" s="324" t="s">
        <v>178</v>
      </c>
      <c r="W1301" s="324">
        <v>102429.63679147977</v>
      </c>
      <c r="X1301" s="324">
        <v>-1799.5123036613222</v>
      </c>
      <c r="Y1301" s="324">
        <v>-1799.5123036613222</v>
      </c>
      <c r="AA1301" s="324" t="s">
        <v>196</v>
      </c>
      <c r="AB1301" s="324" t="s">
        <v>1625</v>
      </c>
      <c r="AD1301" s="324">
        <v>367500</v>
      </c>
    </row>
    <row r="1302" spans="1:30" s="324" customFormat="1" ht="0.65" hidden="1" customHeight="1">
      <c r="A1302" s="324">
        <v>5158</v>
      </c>
      <c r="O1302" s="324" t="s">
        <v>28</v>
      </c>
      <c r="P1302" s="324">
        <v>0.13927532491339289</v>
      </c>
      <c r="T1302" s="324">
        <v>13</v>
      </c>
      <c r="U1302" s="324" t="s">
        <v>165</v>
      </c>
      <c r="V1302" s="324" t="s">
        <v>178</v>
      </c>
      <c r="W1302" s="324">
        <v>102210.93293227185</v>
      </c>
      <c r="X1302" s="324">
        <v>-2018.2161628692411</v>
      </c>
      <c r="Y1302" s="324">
        <v>-2018.2161628692941</v>
      </c>
      <c r="Z1302" s="324">
        <v>8.9899999999999994E-2</v>
      </c>
      <c r="AA1302" s="324" t="s">
        <v>202</v>
      </c>
      <c r="AB1302" s="324" t="s">
        <v>1667</v>
      </c>
      <c r="AD1302" s="324">
        <v>677500</v>
      </c>
    </row>
    <row r="1303" spans="1:30" s="324" customFormat="1" ht="0.65" hidden="1" customHeight="1">
      <c r="A1303" s="324">
        <v>5159</v>
      </c>
      <c r="O1303" s="324" t="s">
        <v>29</v>
      </c>
      <c r="P1303" s="324">
        <v>0.10773038666164454</v>
      </c>
      <c r="T1303" s="324">
        <v>14</v>
      </c>
      <c r="U1303" s="324" t="s">
        <v>166</v>
      </c>
      <c r="V1303" s="324" t="s">
        <v>179</v>
      </c>
      <c r="W1303" s="324">
        <v>122433.76168979378</v>
      </c>
      <c r="X1303" s="324">
        <v>18204.612594652688</v>
      </c>
      <c r="Y1303" s="324">
        <v>18204.612594652757</v>
      </c>
      <c r="Z1303" s="324">
        <v>8.1000000000000003E-2</v>
      </c>
      <c r="AA1303" s="324" t="s">
        <v>189</v>
      </c>
      <c r="AB1303" s="324" t="s">
        <v>1668</v>
      </c>
      <c r="AD1303" s="324">
        <v>8.8999999999999996E-2</v>
      </c>
    </row>
    <row r="1304" spans="1:30" s="324" customFormat="1" ht="0.65" hidden="1" customHeight="1">
      <c r="A1304" s="324">
        <v>5160</v>
      </c>
      <c r="O1304" s="324" t="s">
        <v>30</v>
      </c>
      <c r="P1304" s="324">
        <v>3</v>
      </c>
      <c r="T1304" s="324">
        <v>15</v>
      </c>
      <c r="U1304" s="324" t="s">
        <v>167</v>
      </c>
      <c r="V1304" s="324" t="s">
        <v>178</v>
      </c>
      <c r="W1304" s="324">
        <v>90005.672004841967</v>
      </c>
      <c r="X1304" s="324">
        <v>-14223.477090299129</v>
      </c>
      <c r="Y1304" s="324">
        <v>-14223.477090299235</v>
      </c>
      <c r="Z1304" s="324">
        <v>9.5399999999999999E-2</v>
      </c>
      <c r="AA1304" s="324" t="s">
        <v>190</v>
      </c>
      <c r="AB1304" s="324" t="s">
        <v>1669</v>
      </c>
      <c r="AD1304" s="324">
        <v>322686.28595787333</v>
      </c>
    </row>
    <row r="1305" spans="1:30" s="324" customFormat="1" ht="0.65" hidden="1" customHeight="1">
      <c r="A1305" s="324">
        <v>5161</v>
      </c>
      <c r="T1305" s="324">
        <v>16</v>
      </c>
      <c r="U1305" s="324" t="s">
        <v>168</v>
      </c>
      <c r="V1305" s="324" t="s">
        <v>181</v>
      </c>
      <c r="W1305" s="324">
        <v>115804.45860167756</v>
      </c>
      <c r="X1305" s="324">
        <v>11575.309506536461</v>
      </c>
      <c r="Y1305" s="324">
        <v>11575.309506536611</v>
      </c>
      <c r="Z1305" s="324">
        <v>8.3888888888888888E-2</v>
      </c>
      <c r="AA1305" s="324" t="s">
        <v>427</v>
      </c>
      <c r="AB1305" s="324" t="s">
        <v>1670</v>
      </c>
      <c r="AD1305" s="324">
        <v>322686.28595787333</v>
      </c>
    </row>
    <row r="1306" spans="1:30" s="324" customFormat="1" ht="0.65" hidden="1" customHeight="1">
      <c r="A1306" s="324">
        <v>5162</v>
      </c>
      <c r="P1306" s="324">
        <v>1</v>
      </c>
      <c r="T1306" s="324">
        <v>17</v>
      </c>
      <c r="U1306" s="324" t="s">
        <v>169</v>
      </c>
      <c r="V1306" s="324" t="s">
        <v>178</v>
      </c>
      <c r="W1306" s="324">
        <v>91987.927297868766</v>
      </c>
      <c r="X1306" s="324">
        <v>-12241.22179727233</v>
      </c>
      <c r="Y1306" s="324">
        <v>-12241.221797272274</v>
      </c>
      <c r="Z1306" s="324">
        <v>9.4500000000000001E-2</v>
      </c>
      <c r="AA1306" s="324" t="s">
        <v>425</v>
      </c>
      <c r="AB1306" s="324" t="s">
        <v>1671</v>
      </c>
    </row>
    <row r="1307" spans="1:30" s="324" customFormat="1" ht="0.65" hidden="1" customHeight="1">
      <c r="A1307" s="324">
        <v>5163</v>
      </c>
      <c r="H1307" s="324">
        <v>1</v>
      </c>
      <c r="I1307" s="324">
        <v>1</v>
      </c>
      <c r="J1307" s="324">
        <v>1</v>
      </c>
      <c r="K1307" s="324">
        <v>1</v>
      </c>
      <c r="L1307" s="324">
        <v>1</v>
      </c>
      <c r="M1307" s="324">
        <v>1</v>
      </c>
      <c r="N1307" s="324">
        <v>1</v>
      </c>
      <c r="O1307" s="324">
        <v>1</v>
      </c>
      <c r="P1307" s="324">
        <v>1</v>
      </c>
      <c r="T1307" s="324">
        <v>18</v>
      </c>
      <c r="U1307" s="324" t="s">
        <v>170</v>
      </c>
      <c r="V1307" s="324" t="s">
        <v>181</v>
      </c>
      <c r="W1307" s="324">
        <v>84054.941027964931</v>
      </c>
      <c r="X1307" s="324">
        <v>-20174.208067176165</v>
      </c>
      <c r="Y1307" s="324">
        <v>-20174.208067176205</v>
      </c>
      <c r="Z1307" s="324">
        <v>8.8400000000000006E-2</v>
      </c>
      <c r="AA1307" s="324" t="s">
        <v>203</v>
      </c>
      <c r="AB1307" s="324" t="s">
        <v>1672</v>
      </c>
    </row>
    <row r="1308" spans="1:30" s="324" customFormat="1" ht="0.65" hidden="1" customHeight="1">
      <c r="A1308" s="324">
        <v>5164</v>
      </c>
      <c r="H1308" s="324">
        <v>1</v>
      </c>
      <c r="I1308" s="324">
        <v>1</v>
      </c>
      <c r="J1308" s="324">
        <v>1</v>
      </c>
      <c r="K1308" s="324">
        <v>1</v>
      </c>
      <c r="L1308" s="324">
        <v>1</v>
      </c>
      <c r="M1308" s="324">
        <v>1</v>
      </c>
      <c r="N1308" s="324">
        <v>1</v>
      </c>
      <c r="O1308" s="324">
        <v>1</v>
      </c>
      <c r="P1308" s="324">
        <v>1</v>
      </c>
      <c r="T1308" s="324">
        <v>19</v>
      </c>
      <c r="U1308" s="324" t="s">
        <v>171</v>
      </c>
      <c r="V1308" s="324" t="s">
        <v>181</v>
      </c>
      <c r="W1308" s="324">
        <v>322686.28595787333</v>
      </c>
      <c r="X1308" s="324">
        <v>218457.13686273224</v>
      </c>
      <c r="Y1308" s="324">
        <v>218457.13686273206</v>
      </c>
      <c r="AA1308" s="324" t="s">
        <v>426</v>
      </c>
      <c r="AB1308" s="324" t="s">
        <v>1673</v>
      </c>
    </row>
    <row r="1309" spans="1:30" s="324" customFormat="1" ht="0.65" hidden="1" customHeight="1">
      <c r="A1309" s="324">
        <v>5165</v>
      </c>
      <c r="H1309" s="324">
        <v>1</v>
      </c>
      <c r="I1309" s="324">
        <v>1</v>
      </c>
      <c r="J1309" s="324">
        <v>1</v>
      </c>
      <c r="K1309" s="324">
        <v>1</v>
      </c>
      <c r="L1309" s="324">
        <v>1</v>
      </c>
      <c r="M1309" s="324">
        <v>1</v>
      </c>
      <c r="N1309" s="324">
        <v>1</v>
      </c>
      <c r="O1309" s="324">
        <v>1</v>
      </c>
      <c r="P1309" s="324">
        <v>1</v>
      </c>
    </row>
    <row r="1310" spans="1:30" s="324" customFormat="1" ht="0.65" hidden="1" customHeight="1">
      <c r="A1310" s="324">
        <v>5166</v>
      </c>
    </row>
    <row r="1311" spans="1:30" s="324" customFormat="1" ht="0.65" hidden="1" customHeight="1">
      <c r="A1311" s="324">
        <v>5167</v>
      </c>
      <c r="X1311" s="324" t="s">
        <v>186</v>
      </c>
      <c r="Y1311" s="324">
        <v>-2.9103830456733704E-10</v>
      </c>
    </row>
    <row r="1312" spans="1:30" s="324" customFormat="1" ht="0.65" hidden="1" customHeight="1">
      <c r="A1312" s="324">
        <v>5168</v>
      </c>
      <c r="N1312" s="324">
        <v>1</v>
      </c>
      <c r="P1312" s="324">
        <v>1</v>
      </c>
    </row>
    <row r="1313" spans="1:39" s="324" customFormat="1" ht="0.65" hidden="1" customHeight="1">
      <c r="A1313" s="324">
        <v>5169</v>
      </c>
      <c r="H1313" s="324">
        <v>1</v>
      </c>
      <c r="I1313" s="324">
        <v>1</v>
      </c>
      <c r="J1313" s="324">
        <v>1</v>
      </c>
      <c r="K1313" s="324">
        <v>1</v>
      </c>
      <c r="N1313" s="324">
        <v>1</v>
      </c>
      <c r="P1313" s="324">
        <v>1</v>
      </c>
    </row>
    <row r="1314" spans="1:39" s="324" customFormat="1" ht="0.65" hidden="1" customHeight="1">
      <c r="A1314" s="324">
        <v>5170</v>
      </c>
      <c r="H1314" s="324">
        <v>1</v>
      </c>
      <c r="I1314" s="324">
        <v>1</v>
      </c>
      <c r="J1314" s="324">
        <v>1</v>
      </c>
      <c r="K1314" s="324">
        <v>1</v>
      </c>
      <c r="N1314" s="324">
        <v>1</v>
      </c>
      <c r="P1314" s="324">
        <v>1</v>
      </c>
    </row>
    <row r="1315" spans="1:39" s="324" customFormat="1" ht="0.65" hidden="1" customHeight="1">
      <c r="A1315" s="324">
        <v>5171</v>
      </c>
      <c r="H1315" s="324">
        <v>1</v>
      </c>
      <c r="I1315" s="324">
        <v>1</v>
      </c>
      <c r="J1315" s="324">
        <v>1</v>
      </c>
      <c r="K1315" s="324">
        <v>1</v>
      </c>
      <c r="N1315" s="324">
        <v>1</v>
      </c>
    </row>
    <row r="1316" spans="1:39" s="324" customFormat="1" ht="0.65" hidden="1" customHeight="1">
      <c r="A1316" s="324">
        <v>5172</v>
      </c>
      <c r="AI1316" s="324">
        <v>1E-4</v>
      </c>
      <c r="AJ1316" s="324" t="s">
        <v>244</v>
      </c>
    </row>
    <row r="1317" spans="1:39" s="324" customFormat="1" ht="0.65" hidden="1" customHeight="1">
      <c r="A1317" s="324">
        <v>5173</v>
      </c>
      <c r="P1317" s="324">
        <v>1</v>
      </c>
      <c r="AC1317" s="324" t="s">
        <v>463</v>
      </c>
      <c r="AD1317" s="324" t="s">
        <v>208</v>
      </c>
      <c r="AG1317" s="324" t="s">
        <v>210</v>
      </c>
      <c r="AH1317" s="324" t="s">
        <v>209</v>
      </c>
      <c r="AI1317" s="324" t="s">
        <v>206</v>
      </c>
      <c r="AJ1317" s="324" t="s">
        <v>245</v>
      </c>
      <c r="AK1317" s="324" t="s">
        <v>206</v>
      </c>
      <c r="AL1317" s="324" t="s">
        <v>205</v>
      </c>
    </row>
    <row r="1318" spans="1:39" s="324" customFormat="1" ht="0.65" hidden="1" customHeight="1">
      <c r="A1318" s="324">
        <v>5174</v>
      </c>
      <c r="P1318" s="324">
        <v>1</v>
      </c>
      <c r="AA1318" s="324">
        <v>1</v>
      </c>
      <c r="AB1318" s="324" t="s">
        <v>645</v>
      </c>
      <c r="AC1318" s="324" t="s">
        <v>55</v>
      </c>
      <c r="AD1318" s="324" t="s">
        <v>55</v>
      </c>
      <c r="AE1318" s="324">
        <v>0</v>
      </c>
      <c r="AF1318" s="324" t="s">
        <v>490</v>
      </c>
      <c r="AG1318" s="324">
        <v>967500</v>
      </c>
      <c r="AH1318" s="324">
        <v>967500</v>
      </c>
      <c r="AI1318" s="324" t="s">
        <v>55</v>
      </c>
      <c r="AJ1318" s="324">
        <v>967500</v>
      </c>
      <c r="AK1318" s="324" t="s">
        <v>55</v>
      </c>
      <c r="AL1318" s="324" t="s">
        <v>55</v>
      </c>
      <c r="AM1318" s="324" t="s">
        <v>55</v>
      </c>
    </row>
    <row r="1319" spans="1:39" s="324" customFormat="1" ht="0.65" hidden="1" customHeight="1">
      <c r="A1319" s="324">
        <v>5175</v>
      </c>
      <c r="AA1319" s="324">
        <v>2</v>
      </c>
      <c r="AB1319" s="324" t="s">
        <v>645</v>
      </c>
      <c r="AC1319" s="324" t="s">
        <v>55</v>
      </c>
      <c r="AD1319" s="324" t="s">
        <v>55</v>
      </c>
      <c r="AE1319" s="324">
        <v>0</v>
      </c>
      <c r="AF1319" s="324" t="s">
        <v>510</v>
      </c>
      <c r="AG1319" s="324">
        <v>600000</v>
      </c>
      <c r="AH1319" s="324">
        <v>600000</v>
      </c>
      <c r="AI1319" s="324" t="s">
        <v>55</v>
      </c>
      <c r="AJ1319" s="324">
        <v>600000</v>
      </c>
      <c r="AK1319" s="324" t="s">
        <v>55</v>
      </c>
      <c r="AL1319" s="324" t="s">
        <v>55</v>
      </c>
      <c r="AM1319" s="324" t="s">
        <v>55</v>
      </c>
    </row>
    <row r="1320" spans="1:39" s="324" customFormat="1" ht="0.65" hidden="1" customHeight="1">
      <c r="A1320" s="324">
        <v>5176</v>
      </c>
      <c r="G1320" s="324" t="s">
        <v>411</v>
      </c>
      <c r="H1320" s="324">
        <v>49</v>
      </c>
      <c r="AA1320" s="324">
        <v>3</v>
      </c>
      <c r="AB1320" s="324" t="s">
        <v>645</v>
      </c>
      <c r="AC1320" s="324" t="s">
        <v>55</v>
      </c>
      <c r="AD1320" s="324" t="s">
        <v>55</v>
      </c>
      <c r="AE1320" s="324">
        <v>0</v>
      </c>
      <c r="AF1320" s="324" t="s">
        <v>513</v>
      </c>
      <c r="AG1320" s="324">
        <v>600000</v>
      </c>
      <c r="AH1320" s="324">
        <v>600000</v>
      </c>
      <c r="AI1320" s="324" t="s">
        <v>55</v>
      </c>
      <c r="AJ1320" s="324">
        <v>600000</v>
      </c>
      <c r="AK1320" s="324" t="s">
        <v>55</v>
      </c>
      <c r="AL1320" s="324" t="s">
        <v>55</v>
      </c>
      <c r="AM1320" s="324" t="s">
        <v>55</v>
      </c>
    </row>
    <row r="1321" spans="1:39" s="324" customFormat="1" ht="0.65" hidden="1" customHeight="1">
      <c r="A1321" s="324">
        <v>5177</v>
      </c>
      <c r="G1321" s="324" t="s">
        <v>412</v>
      </c>
      <c r="AA1321" s="324">
        <v>4</v>
      </c>
      <c r="AB1321" s="324" t="s">
        <v>645</v>
      </c>
      <c r="AC1321" s="324" t="s">
        <v>55</v>
      </c>
      <c r="AD1321" s="324" t="s">
        <v>55</v>
      </c>
      <c r="AE1321" s="324">
        <v>0</v>
      </c>
      <c r="AF1321" s="324" t="s">
        <v>515</v>
      </c>
      <c r="AG1321" s="324">
        <v>600000</v>
      </c>
      <c r="AH1321" s="324">
        <v>600000</v>
      </c>
      <c r="AI1321" s="324" t="s">
        <v>55</v>
      </c>
      <c r="AJ1321" s="324">
        <v>600000</v>
      </c>
      <c r="AK1321" s="324" t="s">
        <v>55</v>
      </c>
      <c r="AL1321" s="324" t="s">
        <v>55</v>
      </c>
      <c r="AM1321" s="324" t="s">
        <v>55</v>
      </c>
    </row>
    <row r="1322" spans="1:39" s="324" customFormat="1" ht="0.65" hidden="1" customHeight="1">
      <c r="A1322" s="324">
        <v>5178</v>
      </c>
      <c r="AA1322" s="324">
        <v>5</v>
      </c>
      <c r="AB1322" s="324" t="s">
        <v>645</v>
      </c>
      <c r="AC1322" s="324" t="s">
        <v>55</v>
      </c>
      <c r="AD1322" s="324" t="s">
        <v>55</v>
      </c>
      <c r="AE1322" s="324">
        <v>0</v>
      </c>
      <c r="AF1322" s="324" t="s">
        <v>517</v>
      </c>
      <c r="AG1322" s="324">
        <v>150000</v>
      </c>
      <c r="AH1322" s="324">
        <v>150000</v>
      </c>
      <c r="AI1322" s="324" t="s">
        <v>55</v>
      </c>
      <c r="AJ1322" s="324">
        <v>150000</v>
      </c>
      <c r="AK1322" s="324" t="s">
        <v>55</v>
      </c>
      <c r="AL1322" s="324" t="s">
        <v>55</v>
      </c>
      <c r="AM1322" s="324" t="s">
        <v>55</v>
      </c>
    </row>
    <row r="1323" spans="1:39" s="324" customFormat="1" ht="0.65" hidden="1" customHeight="1">
      <c r="A1323" s="324">
        <v>5179</v>
      </c>
      <c r="AA1323" s="324">
        <v>6</v>
      </c>
      <c r="AB1323" s="324" t="s">
        <v>645</v>
      </c>
      <c r="AC1323" s="324" t="s">
        <v>55</v>
      </c>
      <c r="AD1323" s="324" t="s">
        <v>55</v>
      </c>
      <c r="AE1323" s="324">
        <v>0</v>
      </c>
      <c r="AF1323" s="324" t="s">
        <v>521</v>
      </c>
      <c r="AG1323" s="324">
        <v>150000</v>
      </c>
      <c r="AH1323" s="324">
        <v>150000</v>
      </c>
      <c r="AI1323" s="324" t="s">
        <v>55</v>
      </c>
      <c r="AJ1323" s="324">
        <v>150000</v>
      </c>
      <c r="AK1323" s="324" t="s">
        <v>55</v>
      </c>
      <c r="AL1323" s="324" t="s">
        <v>55</v>
      </c>
      <c r="AM1323" s="324" t="s">
        <v>55</v>
      </c>
    </row>
    <row r="1324" spans="1:39" s="324" customFormat="1" ht="0.65" hidden="1" customHeight="1">
      <c r="A1324" s="324">
        <v>5180</v>
      </c>
      <c r="AA1324" s="324">
        <v>7</v>
      </c>
      <c r="AB1324" s="324" t="s">
        <v>645</v>
      </c>
      <c r="AC1324" s="324" t="s">
        <v>55</v>
      </c>
      <c r="AD1324" s="324" t="s">
        <v>55</v>
      </c>
      <c r="AE1324" s="324">
        <v>0</v>
      </c>
      <c r="AF1324" s="324" t="s">
        <v>523</v>
      </c>
      <c r="AG1324" s="324">
        <v>150000</v>
      </c>
      <c r="AH1324" s="324">
        <v>150000</v>
      </c>
      <c r="AI1324" s="324" t="s">
        <v>55</v>
      </c>
      <c r="AJ1324" s="324">
        <v>150000</v>
      </c>
      <c r="AK1324" s="324" t="s">
        <v>55</v>
      </c>
      <c r="AL1324" s="324" t="s">
        <v>55</v>
      </c>
      <c r="AM1324" s="324" t="s">
        <v>55</v>
      </c>
    </row>
    <row r="1325" spans="1:39" s="324" customFormat="1" ht="0.65" hidden="1" customHeight="1">
      <c r="A1325" s="324">
        <v>5181</v>
      </c>
      <c r="G1325" s="324" t="s">
        <v>0</v>
      </c>
      <c r="H1325" s="324" t="s">
        <v>69</v>
      </c>
      <c r="I1325" s="324" t="s">
        <v>70</v>
      </c>
      <c r="J1325" s="324" t="s">
        <v>71</v>
      </c>
      <c r="K1325" s="324" t="s">
        <v>72</v>
      </c>
      <c r="L1325" s="324" t="s">
        <v>73</v>
      </c>
      <c r="M1325" s="324" t="s">
        <v>74</v>
      </c>
      <c r="N1325" s="324" t="s">
        <v>75</v>
      </c>
      <c r="O1325" s="324" t="s">
        <v>80</v>
      </c>
      <c r="P1325" s="324" t="s">
        <v>1</v>
      </c>
      <c r="AA1325" s="324">
        <v>8</v>
      </c>
      <c r="AB1325" s="324" t="s">
        <v>645</v>
      </c>
      <c r="AC1325" s="324" t="s">
        <v>55</v>
      </c>
      <c r="AD1325" s="324" t="s">
        <v>55</v>
      </c>
      <c r="AE1325" s="324">
        <v>0</v>
      </c>
      <c r="AF1325" s="324" t="s">
        <v>525</v>
      </c>
      <c r="AG1325" s="324">
        <v>-30000</v>
      </c>
      <c r="AH1325" s="324">
        <v>-30000</v>
      </c>
      <c r="AI1325" s="324" t="s">
        <v>55</v>
      </c>
      <c r="AJ1325" s="324">
        <v>-30000</v>
      </c>
      <c r="AK1325" s="324" t="s">
        <v>55</v>
      </c>
      <c r="AL1325" s="324" t="s">
        <v>55</v>
      </c>
      <c r="AM1325" s="324" t="s">
        <v>55</v>
      </c>
    </row>
    <row r="1326" spans="1:39" s="324" customFormat="1" ht="0.65" hidden="1" customHeight="1">
      <c r="A1326" s="324">
        <v>5182</v>
      </c>
      <c r="G1326" s="324">
        <v>2021</v>
      </c>
      <c r="P1326" s="324" t="s">
        <v>645</v>
      </c>
      <c r="AA1326" s="324">
        <v>9</v>
      </c>
      <c r="AB1326" s="324" t="s">
        <v>645</v>
      </c>
      <c r="AC1326" s="324" t="s">
        <v>55</v>
      </c>
      <c r="AD1326" s="324" t="s">
        <v>55</v>
      </c>
      <c r="AE1326" s="324">
        <v>0</v>
      </c>
      <c r="AF1326" s="324" t="s">
        <v>528</v>
      </c>
      <c r="AG1326" s="324">
        <v>-30000</v>
      </c>
      <c r="AH1326" s="324">
        <v>-30000</v>
      </c>
      <c r="AI1326" s="324" t="s">
        <v>55</v>
      </c>
      <c r="AJ1326" s="324">
        <v>-30000</v>
      </c>
      <c r="AK1326" s="324" t="s">
        <v>55</v>
      </c>
      <c r="AL1326" s="324" t="s">
        <v>55</v>
      </c>
      <c r="AM1326" s="324" t="s">
        <v>55</v>
      </c>
    </row>
    <row r="1327" spans="1:39" s="324" customFormat="1" ht="0.65" hidden="1" customHeight="1">
      <c r="A1327" s="324">
        <v>5183</v>
      </c>
      <c r="G1327" s="324">
        <v>2022</v>
      </c>
      <c r="H1327" s="324" t="s">
        <v>645</v>
      </c>
      <c r="I1327" s="324" t="s">
        <v>645</v>
      </c>
      <c r="J1327" s="324" t="s">
        <v>645</v>
      </c>
      <c r="K1327" s="324" t="s">
        <v>645</v>
      </c>
      <c r="L1327" s="324" t="s">
        <v>645</v>
      </c>
      <c r="M1327" s="324" t="s">
        <v>645</v>
      </c>
      <c r="N1327" s="324" t="s">
        <v>645</v>
      </c>
      <c r="O1327" s="324" t="s">
        <v>645</v>
      </c>
      <c r="P1327" s="324" t="s">
        <v>645</v>
      </c>
      <c r="AA1327" s="324">
        <v>10</v>
      </c>
      <c r="AB1327" s="324" t="s">
        <v>645</v>
      </c>
      <c r="AC1327" s="324" t="s">
        <v>55</v>
      </c>
      <c r="AD1327" s="324" t="s">
        <v>55</v>
      </c>
      <c r="AE1327" s="324">
        <v>0</v>
      </c>
      <c r="AF1327" s="324" t="s">
        <v>530</v>
      </c>
      <c r="AG1327" s="324">
        <v>120000</v>
      </c>
      <c r="AH1327" s="324">
        <v>120000</v>
      </c>
      <c r="AI1327" s="324" t="s">
        <v>55</v>
      </c>
      <c r="AJ1327" s="324">
        <v>120000</v>
      </c>
      <c r="AK1327" s="324" t="s">
        <v>55</v>
      </c>
      <c r="AL1327" s="324" t="s">
        <v>55</v>
      </c>
      <c r="AM1327" s="324" t="s">
        <v>55</v>
      </c>
    </row>
    <row r="1328" spans="1:39" s="324" customFormat="1" ht="0.65" hidden="1" customHeight="1">
      <c r="A1328" s="324">
        <v>5184</v>
      </c>
      <c r="G1328" s="324">
        <v>2023</v>
      </c>
      <c r="H1328" s="324" t="s">
        <v>645</v>
      </c>
      <c r="I1328" s="324" t="s">
        <v>645</v>
      </c>
      <c r="J1328" s="324" t="s">
        <v>645</v>
      </c>
      <c r="K1328" s="324" t="s">
        <v>645</v>
      </c>
      <c r="L1328" s="324" t="s">
        <v>645</v>
      </c>
      <c r="M1328" s="324" t="s">
        <v>645</v>
      </c>
      <c r="N1328" s="324" t="s">
        <v>645</v>
      </c>
      <c r="O1328" s="324" t="s">
        <v>645</v>
      </c>
      <c r="P1328" s="324" t="s">
        <v>645</v>
      </c>
      <c r="AA1328" s="324">
        <v>11</v>
      </c>
      <c r="AB1328" s="324" t="s">
        <v>645</v>
      </c>
      <c r="AC1328" s="324" t="s">
        <v>55</v>
      </c>
      <c r="AD1328" s="324" t="s">
        <v>55</v>
      </c>
      <c r="AE1328" s="324">
        <v>0</v>
      </c>
      <c r="AF1328" s="324" t="s">
        <v>533</v>
      </c>
      <c r="AG1328" s="324">
        <v>480000</v>
      </c>
      <c r="AH1328" s="324">
        <v>480000</v>
      </c>
      <c r="AI1328" s="324" t="s">
        <v>55</v>
      </c>
      <c r="AJ1328" s="324">
        <v>480000</v>
      </c>
      <c r="AK1328" s="324" t="s">
        <v>55</v>
      </c>
      <c r="AL1328" s="324" t="s">
        <v>55</v>
      </c>
      <c r="AM1328" s="324" t="s">
        <v>55</v>
      </c>
    </row>
    <row r="1329" spans="1:39" s="324" customFormat="1" ht="0.65" hidden="1" customHeight="1">
      <c r="A1329" s="324">
        <v>5185</v>
      </c>
      <c r="G1329" s="324">
        <v>2024</v>
      </c>
      <c r="H1329" s="324" t="s">
        <v>645</v>
      </c>
      <c r="I1329" s="324" t="s">
        <v>645</v>
      </c>
      <c r="J1329" s="324" t="s">
        <v>645</v>
      </c>
      <c r="K1329" s="324" t="s">
        <v>645</v>
      </c>
      <c r="L1329" s="324" t="s">
        <v>645</v>
      </c>
      <c r="M1329" s="324" t="s">
        <v>645</v>
      </c>
      <c r="N1329" s="324" t="s">
        <v>645</v>
      </c>
      <c r="O1329" s="324" t="s">
        <v>645</v>
      </c>
      <c r="P1329" s="324" t="s">
        <v>645</v>
      </c>
      <c r="AA1329" s="324">
        <v>12</v>
      </c>
      <c r="AB1329" s="324" t="s">
        <v>645</v>
      </c>
      <c r="AC1329" s="324" t="s">
        <v>55</v>
      </c>
      <c r="AD1329" s="324" t="s">
        <v>55</v>
      </c>
      <c r="AE1329" s="324">
        <v>0</v>
      </c>
      <c r="AF1329" s="324" t="s">
        <v>536</v>
      </c>
      <c r="AG1329" s="324">
        <v>480000</v>
      </c>
      <c r="AH1329" s="324">
        <v>480000</v>
      </c>
      <c r="AI1329" s="324" t="s">
        <v>55</v>
      </c>
      <c r="AJ1329" s="324">
        <v>480000</v>
      </c>
      <c r="AK1329" s="324" t="s">
        <v>55</v>
      </c>
      <c r="AL1329" s="324" t="s">
        <v>55</v>
      </c>
      <c r="AM1329" s="324" t="s">
        <v>55</v>
      </c>
    </row>
    <row r="1330" spans="1:39" s="324" customFormat="1" ht="0.65" hidden="1" customHeight="1">
      <c r="A1330" s="324">
        <v>5186</v>
      </c>
      <c r="AA1330" s="324">
        <v>13</v>
      </c>
      <c r="AB1330" s="324" t="s">
        <v>645</v>
      </c>
      <c r="AC1330" s="324" t="s">
        <v>55</v>
      </c>
      <c r="AD1330" s="324" t="s">
        <v>55</v>
      </c>
      <c r="AE1330" s="324">
        <v>0</v>
      </c>
      <c r="AF1330" s="324" t="s">
        <v>538</v>
      </c>
      <c r="AG1330" s="324">
        <v>330000</v>
      </c>
      <c r="AH1330" s="324">
        <v>330000</v>
      </c>
      <c r="AI1330" s="324" t="s">
        <v>55</v>
      </c>
      <c r="AJ1330" s="324">
        <v>330000</v>
      </c>
      <c r="AK1330" s="324" t="s">
        <v>55</v>
      </c>
      <c r="AL1330" s="324" t="s">
        <v>55</v>
      </c>
      <c r="AM1330" s="324" t="s">
        <v>55</v>
      </c>
    </row>
    <row r="1331" spans="1:39" s="324" customFormat="1" ht="0.65" hidden="1" customHeight="1">
      <c r="A1331" s="324">
        <v>5187</v>
      </c>
      <c r="G1331" s="324" t="s">
        <v>0</v>
      </c>
      <c r="H1331" s="324" t="s">
        <v>76</v>
      </c>
      <c r="I1331" s="324" t="s">
        <v>77</v>
      </c>
      <c r="J1331" s="324" t="s">
        <v>78</v>
      </c>
      <c r="K1331" s="324" t="s">
        <v>79</v>
      </c>
      <c r="AA1331" s="324">
        <v>14</v>
      </c>
      <c r="AB1331" s="324" t="s">
        <v>645</v>
      </c>
      <c r="AC1331" s="324" t="s">
        <v>55</v>
      </c>
      <c r="AD1331" s="324" t="s">
        <v>55</v>
      </c>
      <c r="AE1331" s="324">
        <v>0</v>
      </c>
      <c r="AF1331" s="324" t="s">
        <v>541</v>
      </c>
      <c r="AG1331" s="324">
        <v>120000</v>
      </c>
      <c r="AH1331" s="324">
        <v>120000</v>
      </c>
      <c r="AI1331" s="324" t="s">
        <v>55</v>
      </c>
      <c r="AJ1331" s="324">
        <v>120000</v>
      </c>
      <c r="AK1331" s="324" t="s">
        <v>55</v>
      </c>
      <c r="AL1331" s="324" t="s">
        <v>55</v>
      </c>
      <c r="AM1331" s="324" t="s">
        <v>55</v>
      </c>
    </row>
    <row r="1332" spans="1:39" s="324" customFormat="1" ht="0.65" hidden="1" customHeight="1">
      <c r="A1332" s="324">
        <v>5188</v>
      </c>
      <c r="G1332" s="324">
        <v>2021</v>
      </c>
      <c r="M1332" s="324" t="s">
        <v>456</v>
      </c>
      <c r="N1332" s="324" t="s">
        <v>645</v>
      </c>
      <c r="O1332" s="324" t="s">
        <v>124</v>
      </c>
      <c r="P1332" s="324" t="s">
        <v>645</v>
      </c>
      <c r="AA1332" s="324">
        <v>15</v>
      </c>
      <c r="AB1332" s="324" t="s">
        <v>645</v>
      </c>
      <c r="AC1332" s="324" t="s">
        <v>55</v>
      </c>
      <c r="AD1332" s="324" t="s">
        <v>55</v>
      </c>
      <c r="AE1332" s="324">
        <v>0</v>
      </c>
      <c r="AF1332" s="324" t="s">
        <v>544</v>
      </c>
      <c r="AG1332" s="324">
        <v>120000</v>
      </c>
      <c r="AH1332" s="324">
        <v>120000</v>
      </c>
      <c r="AI1332" s="324" t="s">
        <v>55</v>
      </c>
      <c r="AJ1332" s="324">
        <v>120000</v>
      </c>
      <c r="AK1332" s="324" t="s">
        <v>55</v>
      </c>
      <c r="AL1332" s="324" t="s">
        <v>55</v>
      </c>
      <c r="AM1332" s="324" t="s">
        <v>55</v>
      </c>
    </row>
    <row r="1333" spans="1:39" s="324" customFormat="1" ht="0.65" hidden="1" customHeight="1">
      <c r="A1333" s="324">
        <v>5189</v>
      </c>
      <c r="G1333" s="324">
        <v>2022</v>
      </c>
      <c r="H1333" s="324" t="s">
        <v>645</v>
      </c>
      <c r="I1333" s="324" t="s">
        <v>645</v>
      </c>
      <c r="J1333" s="324" t="s">
        <v>645</v>
      </c>
      <c r="K1333" s="324" t="s">
        <v>645</v>
      </c>
      <c r="M1333" s="324" t="s">
        <v>457</v>
      </c>
      <c r="N1333" s="324" t="s">
        <v>645</v>
      </c>
      <c r="O1333" s="324" t="s">
        <v>125</v>
      </c>
      <c r="P1333" s="324" t="s">
        <v>645</v>
      </c>
      <c r="AA1333" s="324">
        <v>16</v>
      </c>
      <c r="AB1333" s="324" t="s">
        <v>645</v>
      </c>
      <c r="AC1333" s="324" t="s">
        <v>55</v>
      </c>
      <c r="AD1333" s="324" t="s">
        <v>55</v>
      </c>
      <c r="AE1333" s="324">
        <v>0</v>
      </c>
      <c r="AF1333" s="324" t="s">
        <v>546</v>
      </c>
      <c r="AG1333" s="324">
        <v>82500</v>
      </c>
      <c r="AH1333" s="324">
        <v>82500</v>
      </c>
      <c r="AI1333" s="324" t="s">
        <v>55</v>
      </c>
      <c r="AJ1333" s="324">
        <v>82500</v>
      </c>
      <c r="AK1333" s="324" t="s">
        <v>55</v>
      </c>
      <c r="AL1333" s="324" t="s">
        <v>55</v>
      </c>
      <c r="AM1333" s="324" t="s">
        <v>55</v>
      </c>
    </row>
    <row r="1334" spans="1:39" s="324" customFormat="1" ht="0.65" hidden="1" customHeight="1">
      <c r="A1334" s="324">
        <v>5190</v>
      </c>
      <c r="G1334" s="324">
        <v>2023</v>
      </c>
      <c r="H1334" s="324" t="s">
        <v>645</v>
      </c>
      <c r="I1334" s="324" t="s">
        <v>645</v>
      </c>
      <c r="J1334" s="324" t="s">
        <v>645</v>
      </c>
      <c r="K1334" s="324" t="s">
        <v>645</v>
      </c>
      <c r="M1334" s="324" t="s">
        <v>458</v>
      </c>
      <c r="N1334" s="324" t="s">
        <v>645</v>
      </c>
      <c r="O1334" s="324" t="s">
        <v>126</v>
      </c>
      <c r="P1334" s="324" t="s">
        <v>645</v>
      </c>
      <c r="AA1334" s="324">
        <v>17</v>
      </c>
      <c r="AB1334" s="324" t="s">
        <v>645</v>
      </c>
      <c r="AC1334" s="324" t="s">
        <v>55</v>
      </c>
      <c r="AD1334" s="324" t="s">
        <v>55</v>
      </c>
      <c r="AE1334" s="324">
        <v>0</v>
      </c>
      <c r="AF1334" s="324" t="s">
        <v>549</v>
      </c>
      <c r="AG1334" s="324">
        <v>360000</v>
      </c>
      <c r="AH1334" s="324">
        <v>360000</v>
      </c>
      <c r="AI1334" s="324" t="s">
        <v>55</v>
      </c>
      <c r="AJ1334" s="324">
        <v>360000</v>
      </c>
      <c r="AK1334" s="324" t="s">
        <v>55</v>
      </c>
      <c r="AL1334" s="324" t="s">
        <v>55</v>
      </c>
      <c r="AM1334" s="324" t="s">
        <v>55</v>
      </c>
    </row>
    <row r="1335" spans="1:39" s="324" customFormat="1" ht="0.65" hidden="1" customHeight="1">
      <c r="A1335" s="324">
        <v>5191</v>
      </c>
      <c r="G1335" s="324">
        <v>2024</v>
      </c>
      <c r="H1335" s="324" t="s">
        <v>645</v>
      </c>
      <c r="I1335" s="324" t="s">
        <v>645</v>
      </c>
      <c r="J1335" s="324" t="s">
        <v>645</v>
      </c>
      <c r="K1335" s="324" t="s">
        <v>645</v>
      </c>
      <c r="M1335" s="324" t="s">
        <v>459</v>
      </c>
      <c r="N1335" s="324" t="s">
        <v>645</v>
      </c>
      <c r="AA1335" s="324">
        <v>18</v>
      </c>
      <c r="AB1335" s="324" t="s">
        <v>645</v>
      </c>
      <c r="AC1335" s="324" t="s">
        <v>55</v>
      </c>
      <c r="AD1335" s="324" t="s">
        <v>55</v>
      </c>
      <c r="AE1335" s="324">
        <v>0</v>
      </c>
      <c r="AF1335" s="324" t="s">
        <v>552</v>
      </c>
      <c r="AG1335" s="324">
        <v>360000</v>
      </c>
      <c r="AH1335" s="324">
        <v>360000</v>
      </c>
      <c r="AI1335" s="324" t="s">
        <v>55</v>
      </c>
      <c r="AJ1335" s="324">
        <v>360000</v>
      </c>
      <c r="AK1335" s="324" t="s">
        <v>55</v>
      </c>
      <c r="AL1335" s="324" t="s">
        <v>55</v>
      </c>
      <c r="AM1335" s="324" t="s">
        <v>55</v>
      </c>
    </row>
    <row r="1336" spans="1:39" s="324" customFormat="1" ht="0.65" hidden="1" customHeight="1">
      <c r="A1336" s="324">
        <v>5192</v>
      </c>
      <c r="AA1336" s="324">
        <v>19</v>
      </c>
      <c r="AB1336" s="324" t="s">
        <v>645</v>
      </c>
      <c r="AC1336" s="324" t="s">
        <v>55</v>
      </c>
      <c r="AD1336" s="324" t="s">
        <v>55</v>
      </c>
      <c r="AE1336" s="324">
        <v>0</v>
      </c>
      <c r="AF1336" s="324" t="s">
        <v>554</v>
      </c>
      <c r="AG1336" s="324">
        <v>247500</v>
      </c>
      <c r="AH1336" s="324">
        <v>247500</v>
      </c>
      <c r="AI1336" s="324" t="s">
        <v>55</v>
      </c>
      <c r="AJ1336" s="324">
        <v>247500</v>
      </c>
      <c r="AK1336" s="324" t="s">
        <v>55</v>
      </c>
      <c r="AL1336" s="324" t="s">
        <v>55</v>
      </c>
      <c r="AM1336" s="324" t="s">
        <v>55</v>
      </c>
    </row>
    <row r="1337" spans="1:39" s="324" customFormat="1" ht="0.65" hidden="1" customHeight="1">
      <c r="A1337" s="324">
        <v>5193</v>
      </c>
      <c r="O1337" s="324" t="s">
        <v>13</v>
      </c>
      <c r="P1337" s="324" t="s">
        <v>645</v>
      </c>
      <c r="AA1337" s="324">
        <v>20</v>
      </c>
      <c r="AB1337" s="324" t="s">
        <v>645</v>
      </c>
      <c r="AC1337" s="324" t="s">
        <v>55</v>
      </c>
      <c r="AD1337" s="324" t="s">
        <v>55</v>
      </c>
      <c r="AE1337" s="324">
        <v>0</v>
      </c>
      <c r="AF1337" s="324" t="s">
        <v>557</v>
      </c>
      <c r="AG1337" s="324">
        <v>330000</v>
      </c>
      <c r="AH1337" s="324">
        <v>330000</v>
      </c>
      <c r="AI1337" s="324" t="s">
        <v>55</v>
      </c>
      <c r="AJ1337" s="324">
        <v>330000</v>
      </c>
      <c r="AK1337" s="324" t="s">
        <v>55</v>
      </c>
      <c r="AL1337" s="324" t="s">
        <v>55</v>
      </c>
      <c r="AM1337" s="324" t="s">
        <v>55</v>
      </c>
    </row>
    <row r="1338" spans="1:39" s="324" customFormat="1" ht="0.65" hidden="1" customHeight="1">
      <c r="A1338" s="324">
        <v>5194</v>
      </c>
      <c r="O1338" s="324" t="s">
        <v>28</v>
      </c>
      <c r="P1338" s="324" t="s">
        <v>645</v>
      </c>
      <c r="AA1338" s="324">
        <v>21</v>
      </c>
      <c r="AB1338" s="324" t="s">
        <v>645</v>
      </c>
      <c r="AC1338" s="324" t="s">
        <v>55</v>
      </c>
      <c r="AD1338" s="324" t="s">
        <v>55</v>
      </c>
      <c r="AE1338" s="324">
        <v>0</v>
      </c>
      <c r="AF1338" s="324" t="s">
        <v>560</v>
      </c>
      <c r="AG1338" s="324">
        <v>330000</v>
      </c>
      <c r="AH1338" s="324">
        <v>330000</v>
      </c>
      <c r="AI1338" s="324" t="s">
        <v>55</v>
      </c>
      <c r="AJ1338" s="324">
        <v>330000</v>
      </c>
      <c r="AK1338" s="324" t="s">
        <v>55</v>
      </c>
      <c r="AL1338" s="324" t="s">
        <v>55</v>
      </c>
      <c r="AM1338" s="324" t="s">
        <v>55</v>
      </c>
    </row>
    <row r="1339" spans="1:39" s="324" customFormat="1" ht="0.65" hidden="1" customHeight="1">
      <c r="A1339" s="324">
        <v>5195</v>
      </c>
      <c r="O1339" s="324" t="s">
        <v>29</v>
      </c>
      <c r="AA1339" s="324">
        <v>22</v>
      </c>
      <c r="AB1339" s="324" t="s">
        <v>645</v>
      </c>
      <c r="AC1339" s="324" t="s">
        <v>55</v>
      </c>
      <c r="AD1339" s="324" t="s">
        <v>55</v>
      </c>
      <c r="AE1339" s="324">
        <v>0</v>
      </c>
      <c r="AF1339" s="324" t="s">
        <v>562</v>
      </c>
      <c r="AG1339" s="324">
        <v>367500</v>
      </c>
      <c r="AH1339" s="324">
        <v>367500</v>
      </c>
      <c r="AI1339" s="324" t="s">
        <v>55</v>
      </c>
      <c r="AJ1339" s="324">
        <v>367500</v>
      </c>
      <c r="AK1339" s="324" t="s">
        <v>55</v>
      </c>
      <c r="AL1339" s="324" t="s">
        <v>55</v>
      </c>
      <c r="AM1339" s="324" t="s">
        <v>55</v>
      </c>
    </row>
    <row r="1340" spans="1:39" s="324" customFormat="1" ht="0.65" hidden="1" customHeight="1">
      <c r="A1340" s="324">
        <v>5196</v>
      </c>
      <c r="O1340" s="324" t="s">
        <v>30</v>
      </c>
      <c r="AA1340" s="324">
        <v>23</v>
      </c>
      <c r="AB1340" s="324" t="s">
        <v>645</v>
      </c>
      <c r="AC1340" s="324" t="s">
        <v>55</v>
      </c>
      <c r="AD1340" s="324" t="s">
        <v>55</v>
      </c>
      <c r="AE1340" s="324">
        <v>0</v>
      </c>
      <c r="AF1340" s="324" t="s">
        <v>565</v>
      </c>
      <c r="AG1340" s="324">
        <v>100000</v>
      </c>
      <c r="AH1340" s="324">
        <v>100000</v>
      </c>
      <c r="AI1340" s="324" t="s">
        <v>55</v>
      </c>
      <c r="AJ1340" s="324">
        <v>100000</v>
      </c>
      <c r="AK1340" s="324" t="s">
        <v>55</v>
      </c>
      <c r="AL1340" s="324" t="s">
        <v>55</v>
      </c>
      <c r="AM1340" s="324" t="s">
        <v>55</v>
      </c>
    </row>
    <row r="1341" spans="1:39" s="324" customFormat="1" ht="0.65" hidden="1" customHeight="1">
      <c r="A1341" s="324">
        <v>5197</v>
      </c>
      <c r="AA1341" s="324">
        <v>24</v>
      </c>
      <c r="AB1341" s="324" t="s">
        <v>645</v>
      </c>
      <c r="AC1341" s="324" t="s">
        <v>55</v>
      </c>
      <c r="AD1341" s="324" t="s">
        <v>55</v>
      </c>
      <c r="AE1341" s="324">
        <v>0</v>
      </c>
      <c r="AF1341" s="324" t="s">
        <v>568</v>
      </c>
      <c r="AG1341" s="324">
        <v>100000</v>
      </c>
      <c r="AH1341" s="324">
        <v>100000</v>
      </c>
      <c r="AI1341" s="324" t="s">
        <v>55</v>
      </c>
      <c r="AJ1341" s="324">
        <v>100000</v>
      </c>
      <c r="AK1341" s="324" t="s">
        <v>55</v>
      </c>
      <c r="AL1341" s="324" t="s">
        <v>55</v>
      </c>
      <c r="AM1341" s="324" t="s">
        <v>55</v>
      </c>
    </row>
    <row r="1342" spans="1:39" s="324" customFormat="1" ht="0.65" hidden="1" customHeight="1">
      <c r="A1342" s="324">
        <v>5198</v>
      </c>
      <c r="AA1342" s="324">
        <v>25</v>
      </c>
      <c r="AB1342" s="324" t="s">
        <v>645</v>
      </c>
      <c r="AC1342" s="324" t="s">
        <v>55</v>
      </c>
      <c r="AD1342" s="324" t="s">
        <v>55</v>
      </c>
      <c r="AE1342" s="324">
        <v>0</v>
      </c>
      <c r="AF1342" s="324" t="s">
        <v>570</v>
      </c>
      <c r="AG1342" s="324">
        <v>100000</v>
      </c>
      <c r="AH1342" s="324">
        <v>100000</v>
      </c>
      <c r="AI1342" s="324" t="s">
        <v>55</v>
      </c>
      <c r="AJ1342" s="324">
        <v>100000</v>
      </c>
      <c r="AK1342" s="324" t="s">
        <v>55</v>
      </c>
      <c r="AL1342" s="324" t="s">
        <v>55</v>
      </c>
      <c r="AM1342" s="324" t="s">
        <v>55</v>
      </c>
    </row>
    <row r="1343" spans="1:39" s="324" customFormat="1" ht="0.65" hidden="1" customHeight="1">
      <c r="A1343" s="324">
        <v>5199</v>
      </c>
      <c r="AA1343" s="324">
        <v>26</v>
      </c>
      <c r="AB1343" s="324" t="s">
        <v>645</v>
      </c>
      <c r="AC1343" s="324" t="s">
        <v>55</v>
      </c>
      <c r="AD1343" s="324" t="s">
        <v>55</v>
      </c>
      <c r="AE1343" s="324">
        <v>0</v>
      </c>
      <c r="AF1343" s="324" t="s">
        <v>572</v>
      </c>
      <c r="AG1343" s="324">
        <v>37500</v>
      </c>
      <c r="AH1343" s="324">
        <v>37500</v>
      </c>
      <c r="AI1343" s="324" t="s">
        <v>55</v>
      </c>
      <c r="AJ1343" s="324">
        <v>37500</v>
      </c>
      <c r="AK1343" s="324" t="s">
        <v>55</v>
      </c>
      <c r="AL1343" s="324" t="s">
        <v>55</v>
      </c>
      <c r="AM1343" s="324" t="s">
        <v>55</v>
      </c>
    </row>
    <row r="1344" spans="1:39" s="324" customFormat="1" ht="0.65" hidden="1" customHeight="1">
      <c r="A1344" s="324">
        <v>5200</v>
      </c>
      <c r="AA1344" s="324">
        <v>27</v>
      </c>
      <c r="AB1344" s="324" t="s">
        <v>645</v>
      </c>
      <c r="AC1344" s="324" t="s">
        <v>55</v>
      </c>
      <c r="AD1344" s="324" t="s">
        <v>55</v>
      </c>
      <c r="AE1344" s="324">
        <v>0</v>
      </c>
      <c r="AF1344" s="324" t="s">
        <v>575</v>
      </c>
      <c r="AG1344" s="324">
        <v>37500</v>
      </c>
      <c r="AH1344" s="324">
        <v>37500</v>
      </c>
      <c r="AI1344" s="324" t="s">
        <v>55</v>
      </c>
      <c r="AJ1344" s="324">
        <v>37500</v>
      </c>
      <c r="AK1344" s="324" t="s">
        <v>55</v>
      </c>
      <c r="AL1344" s="324" t="s">
        <v>55</v>
      </c>
      <c r="AM1344" s="324" t="s">
        <v>55</v>
      </c>
    </row>
    <row r="1345" spans="1:39" s="324" customFormat="1" ht="0.65" hidden="1" customHeight="1">
      <c r="A1345" s="324">
        <v>5201</v>
      </c>
      <c r="AA1345" s="324">
        <v>28</v>
      </c>
      <c r="AB1345" s="324" t="s">
        <v>645</v>
      </c>
      <c r="AC1345" s="324" t="s">
        <v>55</v>
      </c>
      <c r="AD1345" s="324" t="s">
        <v>55</v>
      </c>
      <c r="AE1345" s="324">
        <v>0</v>
      </c>
      <c r="AF1345" s="324" t="s">
        <v>577</v>
      </c>
      <c r="AG1345" s="324">
        <v>37500</v>
      </c>
      <c r="AH1345" s="324">
        <v>37500</v>
      </c>
      <c r="AI1345" s="324" t="s">
        <v>55</v>
      </c>
      <c r="AJ1345" s="324">
        <v>37500</v>
      </c>
      <c r="AK1345" s="324" t="s">
        <v>55</v>
      </c>
      <c r="AL1345" s="324" t="s">
        <v>55</v>
      </c>
      <c r="AM1345" s="324" t="s">
        <v>55</v>
      </c>
    </row>
    <row r="1346" spans="1:39" s="324" customFormat="1" ht="0.65" hidden="1" customHeight="1">
      <c r="A1346" s="324">
        <v>5202</v>
      </c>
      <c r="AA1346" s="324">
        <v>29</v>
      </c>
      <c r="AB1346" s="324" t="s">
        <v>645</v>
      </c>
      <c r="AC1346" s="324" t="s">
        <v>55</v>
      </c>
      <c r="AD1346" s="324" t="s">
        <v>55</v>
      </c>
      <c r="AE1346" s="324">
        <v>0</v>
      </c>
      <c r="AF1346" s="324" t="s">
        <v>579</v>
      </c>
      <c r="AG1346" s="324">
        <v>62500</v>
      </c>
      <c r="AH1346" s="324">
        <v>62500</v>
      </c>
      <c r="AI1346" s="324" t="s">
        <v>55</v>
      </c>
      <c r="AJ1346" s="324">
        <v>62500</v>
      </c>
      <c r="AK1346" s="324" t="s">
        <v>55</v>
      </c>
      <c r="AL1346" s="324" t="s">
        <v>55</v>
      </c>
      <c r="AM1346" s="324" t="s">
        <v>55</v>
      </c>
    </row>
    <row r="1347" spans="1:39" s="324" customFormat="1" ht="0.65" hidden="1" customHeight="1">
      <c r="A1347" s="324">
        <v>5203</v>
      </c>
      <c r="AA1347" s="324">
        <v>30</v>
      </c>
      <c r="AB1347" s="324" t="s">
        <v>645</v>
      </c>
      <c r="AC1347" s="324" t="s">
        <v>55</v>
      </c>
      <c r="AD1347" s="324" t="s">
        <v>55</v>
      </c>
      <c r="AE1347" s="324">
        <v>0</v>
      </c>
      <c r="AF1347" s="324" t="s">
        <v>582</v>
      </c>
      <c r="AG1347" s="324">
        <v>62500</v>
      </c>
      <c r="AH1347" s="324">
        <v>62500</v>
      </c>
      <c r="AI1347" s="324" t="s">
        <v>55</v>
      </c>
      <c r="AJ1347" s="324">
        <v>62500</v>
      </c>
      <c r="AK1347" s="324" t="s">
        <v>55</v>
      </c>
      <c r="AL1347" s="324" t="s">
        <v>55</v>
      </c>
      <c r="AM1347" s="324" t="s">
        <v>55</v>
      </c>
    </row>
    <row r="1348" spans="1:39" s="324" customFormat="1" ht="0.65" hidden="1" customHeight="1">
      <c r="A1348" s="324">
        <v>5204</v>
      </c>
      <c r="AA1348" s="324">
        <v>31</v>
      </c>
      <c r="AB1348" s="324" t="s">
        <v>645</v>
      </c>
      <c r="AC1348" s="324" t="s">
        <v>55</v>
      </c>
      <c r="AD1348" s="324" t="s">
        <v>55</v>
      </c>
      <c r="AE1348" s="324">
        <v>0</v>
      </c>
      <c r="AF1348" s="324" t="s">
        <v>584</v>
      </c>
      <c r="AG1348" s="324">
        <v>62500</v>
      </c>
      <c r="AH1348" s="324">
        <v>62500</v>
      </c>
      <c r="AI1348" s="324" t="s">
        <v>55</v>
      </c>
      <c r="AJ1348" s="324">
        <v>62500</v>
      </c>
      <c r="AK1348" s="324" t="s">
        <v>55</v>
      </c>
      <c r="AL1348" s="324" t="s">
        <v>55</v>
      </c>
      <c r="AM1348" s="324" t="s">
        <v>55</v>
      </c>
    </row>
    <row r="1349" spans="1:39" s="324" customFormat="1" ht="0.65" hidden="1" customHeight="1">
      <c r="A1349" s="324">
        <v>5205</v>
      </c>
      <c r="AA1349" s="324">
        <v>32</v>
      </c>
      <c r="AB1349" s="324" t="s">
        <v>645</v>
      </c>
      <c r="AC1349" s="324" t="s">
        <v>55</v>
      </c>
      <c r="AD1349" s="324" t="s">
        <v>55</v>
      </c>
      <c r="AE1349" s="324">
        <v>0</v>
      </c>
      <c r="AF1349" s="324" t="s">
        <v>586</v>
      </c>
      <c r="AG1349" s="324">
        <v>62500</v>
      </c>
      <c r="AH1349" s="324">
        <v>62500</v>
      </c>
      <c r="AI1349" s="324" t="s">
        <v>55</v>
      </c>
      <c r="AJ1349" s="324">
        <v>62500</v>
      </c>
      <c r="AK1349" s="324" t="s">
        <v>55</v>
      </c>
      <c r="AL1349" s="324" t="s">
        <v>55</v>
      </c>
      <c r="AM1349" s="324" t="s">
        <v>55</v>
      </c>
    </row>
    <row r="1350" spans="1:39" s="324" customFormat="1" ht="0.65" hidden="1" customHeight="1">
      <c r="A1350" s="324">
        <v>5206</v>
      </c>
      <c r="AA1350" s="324">
        <v>33</v>
      </c>
      <c r="AB1350" s="324" t="s">
        <v>645</v>
      </c>
      <c r="AC1350" s="324" t="s">
        <v>55</v>
      </c>
      <c r="AD1350" s="324" t="s">
        <v>55</v>
      </c>
      <c r="AE1350" s="324">
        <v>0</v>
      </c>
      <c r="AF1350" s="324" t="s">
        <v>589</v>
      </c>
      <c r="AG1350" s="324">
        <v>0</v>
      </c>
      <c r="AH1350" s="324">
        <v>0</v>
      </c>
      <c r="AI1350" s="324" t="s">
        <v>55</v>
      </c>
      <c r="AJ1350" s="324">
        <v>0</v>
      </c>
      <c r="AK1350" s="324" t="s">
        <v>55</v>
      </c>
      <c r="AL1350" s="324" t="s">
        <v>55</v>
      </c>
      <c r="AM1350" s="324" t="s">
        <v>55</v>
      </c>
    </row>
    <row r="1351" spans="1:39" s="324" customFormat="1" ht="0.65" hidden="1" customHeight="1">
      <c r="A1351" s="324">
        <v>5207</v>
      </c>
      <c r="AA1351" s="324">
        <v>34</v>
      </c>
      <c r="AB1351" s="324" t="s">
        <v>645</v>
      </c>
      <c r="AC1351" s="324" t="s">
        <v>55</v>
      </c>
      <c r="AD1351" s="324" t="s">
        <v>55</v>
      </c>
      <c r="AE1351" s="324">
        <v>0</v>
      </c>
      <c r="AF1351" s="324" t="s">
        <v>590</v>
      </c>
      <c r="AG1351" s="324">
        <v>0</v>
      </c>
      <c r="AH1351" s="324">
        <v>0</v>
      </c>
      <c r="AI1351" s="324" t="s">
        <v>55</v>
      </c>
      <c r="AJ1351" s="324">
        <v>0</v>
      </c>
      <c r="AK1351" s="324" t="s">
        <v>55</v>
      </c>
      <c r="AL1351" s="324" t="s">
        <v>55</v>
      </c>
      <c r="AM1351" s="324" t="s">
        <v>55</v>
      </c>
    </row>
    <row r="1352" spans="1:39" s="324" customFormat="1" ht="0.65" hidden="1" customHeight="1">
      <c r="A1352" s="324">
        <v>5208</v>
      </c>
      <c r="AA1352" s="324">
        <v>35</v>
      </c>
      <c r="AB1352" s="324" t="s">
        <v>645</v>
      </c>
      <c r="AC1352" s="324" t="s">
        <v>55</v>
      </c>
      <c r="AD1352" s="324" t="s">
        <v>55</v>
      </c>
      <c r="AE1352" s="324">
        <v>0</v>
      </c>
      <c r="AF1352" s="324" t="s">
        <v>592</v>
      </c>
      <c r="AG1352" s="324">
        <v>267500</v>
      </c>
      <c r="AH1352" s="324">
        <v>267500</v>
      </c>
      <c r="AI1352" s="324" t="s">
        <v>55</v>
      </c>
      <c r="AJ1352" s="324">
        <v>267500</v>
      </c>
      <c r="AK1352" s="324" t="s">
        <v>55</v>
      </c>
      <c r="AL1352" s="324" t="s">
        <v>55</v>
      </c>
      <c r="AM1352" s="324" t="s">
        <v>55</v>
      </c>
    </row>
    <row r="1353" spans="1:39" s="324" customFormat="1" ht="0.65" hidden="1" customHeight="1">
      <c r="A1353" s="324">
        <v>5209</v>
      </c>
      <c r="AA1353" s="324">
        <v>36</v>
      </c>
      <c r="AB1353" s="324" t="s">
        <v>645</v>
      </c>
      <c r="AC1353" s="324" t="s">
        <v>55</v>
      </c>
      <c r="AD1353" s="324" t="s">
        <v>55</v>
      </c>
      <c r="AE1353" s="324">
        <v>0</v>
      </c>
      <c r="AF1353" s="324" t="s">
        <v>595</v>
      </c>
      <c r="AG1353" s="324">
        <v>330000</v>
      </c>
      <c r="AH1353" s="324">
        <v>330000</v>
      </c>
      <c r="AI1353" s="324" t="s">
        <v>55</v>
      </c>
      <c r="AJ1353" s="324">
        <v>330000</v>
      </c>
      <c r="AK1353" s="324" t="s">
        <v>55</v>
      </c>
      <c r="AL1353" s="324" t="s">
        <v>55</v>
      </c>
      <c r="AM1353" s="324" t="s">
        <v>55</v>
      </c>
    </row>
    <row r="1354" spans="1:39" s="324" customFormat="1" ht="0.65" hidden="1" customHeight="1">
      <c r="A1354" s="324">
        <v>5210</v>
      </c>
      <c r="AA1354" s="324">
        <v>37</v>
      </c>
      <c r="AB1354" s="324" t="s">
        <v>645</v>
      </c>
      <c r="AC1354" s="324" t="s">
        <v>55</v>
      </c>
      <c r="AD1354" s="324" t="s">
        <v>55</v>
      </c>
      <c r="AE1354" s="324">
        <v>0</v>
      </c>
      <c r="AF1354" s="324" t="s">
        <v>598</v>
      </c>
      <c r="AG1354" s="324">
        <v>367500</v>
      </c>
      <c r="AH1354" s="324">
        <v>367500</v>
      </c>
      <c r="AI1354" s="324" t="s">
        <v>55</v>
      </c>
      <c r="AJ1354" s="324">
        <v>367500</v>
      </c>
      <c r="AK1354" s="324" t="s">
        <v>55</v>
      </c>
      <c r="AL1354" s="324" t="s">
        <v>55</v>
      </c>
      <c r="AM1354" s="324" t="s">
        <v>55</v>
      </c>
    </row>
    <row r="1355" spans="1:39" s="324" customFormat="1" ht="0.65" hidden="1" customHeight="1">
      <c r="A1355" s="324">
        <v>5211</v>
      </c>
      <c r="AA1355" s="324">
        <v>38</v>
      </c>
      <c r="AB1355" s="324" t="s">
        <v>645</v>
      </c>
      <c r="AC1355" s="324" t="s">
        <v>55</v>
      </c>
      <c r="AD1355" s="324" t="s">
        <v>55</v>
      </c>
      <c r="AE1355" s="324">
        <v>0</v>
      </c>
      <c r="AF1355" s="324" t="s">
        <v>491</v>
      </c>
      <c r="AG1355" s="324">
        <v>277500</v>
      </c>
      <c r="AH1355" s="324">
        <v>277500</v>
      </c>
      <c r="AI1355" s="324" t="s">
        <v>55</v>
      </c>
      <c r="AJ1355" s="324">
        <v>277500</v>
      </c>
      <c r="AK1355" s="324" t="s">
        <v>55</v>
      </c>
      <c r="AL1355" s="324" t="s">
        <v>55</v>
      </c>
      <c r="AM1355" s="324" t="s">
        <v>55</v>
      </c>
    </row>
    <row r="1356" spans="1:39" s="324" customFormat="1" ht="0.65" hidden="1" customHeight="1">
      <c r="A1356" s="324">
        <v>5212</v>
      </c>
      <c r="AA1356" s="324">
        <v>39</v>
      </c>
      <c r="AB1356" s="324" t="s">
        <v>645</v>
      </c>
      <c r="AC1356" s="324" t="s">
        <v>55</v>
      </c>
      <c r="AD1356" s="324" t="s">
        <v>55</v>
      </c>
      <c r="AE1356" s="324">
        <v>0</v>
      </c>
      <c r="AF1356" s="324" t="s">
        <v>493</v>
      </c>
      <c r="AG1356" s="324">
        <v>62500</v>
      </c>
      <c r="AH1356" s="324">
        <v>62500</v>
      </c>
      <c r="AI1356" s="324" t="s">
        <v>55</v>
      </c>
      <c r="AJ1356" s="324">
        <v>62500</v>
      </c>
      <c r="AK1356" s="324" t="s">
        <v>55</v>
      </c>
      <c r="AL1356" s="324" t="s">
        <v>55</v>
      </c>
      <c r="AM1356" s="324" t="s">
        <v>55</v>
      </c>
    </row>
    <row r="1357" spans="1:39" s="324" customFormat="1" ht="0.65" hidden="1" customHeight="1">
      <c r="A1357" s="324">
        <v>5213</v>
      </c>
      <c r="AA1357" s="324">
        <v>40</v>
      </c>
      <c r="AB1357" s="324" t="s">
        <v>645</v>
      </c>
      <c r="AC1357" s="324" t="s">
        <v>55</v>
      </c>
      <c r="AD1357" s="324" t="s">
        <v>55</v>
      </c>
      <c r="AE1357" s="324">
        <v>0</v>
      </c>
      <c r="AF1357" s="324" t="s">
        <v>494</v>
      </c>
      <c r="AG1357" s="324">
        <v>340000</v>
      </c>
      <c r="AH1357" s="324">
        <v>340000</v>
      </c>
      <c r="AI1357" s="324" t="s">
        <v>55</v>
      </c>
      <c r="AJ1357" s="324">
        <v>340000</v>
      </c>
      <c r="AK1357" s="324" t="s">
        <v>55</v>
      </c>
      <c r="AL1357" s="324" t="s">
        <v>55</v>
      </c>
      <c r="AM1357" s="324" t="s">
        <v>55</v>
      </c>
    </row>
    <row r="1358" spans="1:39" s="324" customFormat="1" ht="0.65" hidden="1" customHeight="1">
      <c r="A1358" s="324">
        <v>5214</v>
      </c>
      <c r="AA1358" s="324">
        <v>41</v>
      </c>
      <c r="AB1358" s="324" t="s">
        <v>645</v>
      </c>
      <c r="AC1358" s="324" t="s">
        <v>55</v>
      </c>
      <c r="AD1358" s="324" t="s">
        <v>55</v>
      </c>
      <c r="AE1358" s="324">
        <v>0</v>
      </c>
      <c r="AF1358" s="324" t="s">
        <v>607</v>
      </c>
      <c r="AG1358" s="324">
        <v>-967500</v>
      </c>
      <c r="AH1358" s="324">
        <v>-967500</v>
      </c>
      <c r="AI1358" s="324" t="s">
        <v>55</v>
      </c>
      <c r="AJ1358" s="324">
        <v>-967500</v>
      </c>
      <c r="AK1358" s="324" t="s">
        <v>55</v>
      </c>
      <c r="AL1358" s="324" t="s">
        <v>55</v>
      </c>
      <c r="AM1358" s="324" t="s">
        <v>55</v>
      </c>
    </row>
    <row r="1359" spans="1:39" s="324" customFormat="1" ht="0.65" hidden="1" customHeight="1">
      <c r="A1359" s="324">
        <v>5215</v>
      </c>
      <c r="AA1359" s="324">
        <v>42</v>
      </c>
      <c r="AB1359" s="324" t="s">
        <v>645</v>
      </c>
      <c r="AC1359" s="324" t="s">
        <v>55</v>
      </c>
      <c r="AD1359" s="324" t="s">
        <v>55</v>
      </c>
      <c r="AE1359" s="324">
        <v>0</v>
      </c>
      <c r="AF1359" s="324" t="s">
        <v>610</v>
      </c>
      <c r="AG1359" s="324">
        <v>267500</v>
      </c>
      <c r="AH1359" s="324">
        <v>267500</v>
      </c>
      <c r="AI1359" s="324" t="s">
        <v>55</v>
      </c>
      <c r="AJ1359" s="324">
        <v>267500</v>
      </c>
      <c r="AK1359" s="324" t="s">
        <v>55</v>
      </c>
      <c r="AL1359" s="324" t="s">
        <v>55</v>
      </c>
      <c r="AM1359" s="324" t="s">
        <v>55</v>
      </c>
    </row>
    <row r="1360" spans="1:39" s="324" customFormat="1" ht="0.65" hidden="1" customHeight="1">
      <c r="A1360" s="324">
        <v>5216</v>
      </c>
      <c r="AA1360" s="324">
        <v>43</v>
      </c>
      <c r="AB1360" s="324" t="s">
        <v>645</v>
      </c>
      <c r="AC1360" s="324" t="s">
        <v>55</v>
      </c>
      <c r="AD1360" s="324" t="s">
        <v>55</v>
      </c>
      <c r="AE1360" s="324">
        <v>0</v>
      </c>
      <c r="AF1360" s="324" t="s">
        <v>611</v>
      </c>
      <c r="AG1360" s="324">
        <v>330000</v>
      </c>
      <c r="AH1360" s="324">
        <v>330000</v>
      </c>
      <c r="AI1360" s="324" t="s">
        <v>55</v>
      </c>
      <c r="AJ1360" s="324">
        <v>330000</v>
      </c>
      <c r="AK1360" s="324" t="s">
        <v>55</v>
      </c>
      <c r="AL1360" s="324" t="s">
        <v>55</v>
      </c>
      <c r="AM1360" s="324" t="s">
        <v>55</v>
      </c>
    </row>
    <row r="1361" spans="1:39" s="324" customFormat="1" ht="0.65" hidden="1" customHeight="1">
      <c r="A1361" s="324">
        <v>5217</v>
      </c>
      <c r="AA1361" s="324">
        <v>44</v>
      </c>
      <c r="AB1361" s="324" t="s">
        <v>645</v>
      </c>
      <c r="AC1361" s="324" t="s">
        <v>55</v>
      </c>
      <c r="AD1361" s="324" t="s">
        <v>55</v>
      </c>
      <c r="AE1361" s="324">
        <v>0</v>
      </c>
      <c r="AF1361" s="324" t="s">
        <v>612</v>
      </c>
      <c r="AG1361" s="324">
        <v>707500</v>
      </c>
      <c r="AH1361" s="324">
        <v>707500</v>
      </c>
      <c r="AI1361" s="324" t="s">
        <v>55</v>
      </c>
      <c r="AJ1361" s="324">
        <v>707500</v>
      </c>
      <c r="AK1361" s="324" t="s">
        <v>55</v>
      </c>
      <c r="AL1361" s="324" t="s">
        <v>55</v>
      </c>
      <c r="AM1361" s="324" t="s">
        <v>55</v>
      </c>
    </row>
    <row r="1362" spans="1:39" s="324" customFormat="1" ht="0.65" hidden="1" customHeight="1">
      <c r="A1362" s="324">
        <v>5218</v>
      </c>
      <c r="AA1362" s="324">
        <v>45</v>
      </c>
      <c r="AB1362" s="324" t="s">
        <v>645</v>
      </c>
      <c r="AC1362" s="324" t="s">
        <v>55</v>
      </c>
      <c r="AD1362" s="324" t="s">
        <v>55</v>
      </c>
      <c r="AE1362" s="324">
        <v>0</v>
      </c>
      <c r="AF1362" s="324" t="s">
        <v>124</v>
      </c>
      <c r="AG1362" s="324">
        <v>4.4999999999999998E-2</v>
      </c>
      <c r="AH1362" s="324">
        <v>4.4999999999999998E-2</v>
      </c>
      <c r="AI1362" s="324" t="s">
        <v>55</v>
      </c>
      <c r="AJ1362" s="324">
        <v>4.4999999999999998E-2</v>
      </c>
      <c r="AK1362" s="324" t="s">
        <v>55</v>
      </c>
      <c r="AL1362" s="324" t="s">
        <v>55</v>
      </c>
      <c r="AM1362" s="324" t="s">
        <v>55</v>
      </c>
    </row>
    <row r="1363" spans="1:39" s="324" customFormat="1" ht="0.65" hidden="1" customHeight="1">
      <c r="A1363" s="324">
        <v>5219</v>
      </c>
      <c r="AA1363" s="324">
        <v>46</v>
      </c>
      <c r="AB1363" s="324" t="s">
        <v>645</v>
      </c>
      <c r="AC1363" s="324" t="s">
        <v>55</v>
      </c>
      <c r="AD1363" s="324" t="s">
        <v>55</v>
      </c>
      <c r="AE1363" s="324">
        <v>0</v>
      </c>
      <c r="AF1363" s="324" t="s">
        <v>125</v>
      </c>
      <c r="AG1363" s="324">
        <v>0.1</v>
      </c>
      <c r="AH1363" s="324">
        <v>0.1</v>
      </c>
      <c r="AI1363" s="324" t="s">
        <v>55</v>
      </c>
      <c r="AJ1363" s="324">
        <v>0.1</v>
      </c>
      <c r="AK1363" s="324" t="s">
        <v>55</v>
      </c>
      <c r="AL1363" s="324" t="s">
        <v>55</v>
      </c>
      <c r="AM1363" s="324" t="s">
        <v>55</v>
      </c>
    </row>
    <row r="1364" spans="1:39" s="324" customFormat="1" ht="0.65" hidden="1" customHeight="1">
      <c r="A1364" s="324">
        <v>5220</v>
      </c>
      <c r="AA1364" s="324">
        <v>47</v>
      </c>
      <c r="AB1364" s="324" t="s">
        <v>645</v>
      </c>
      <c r="AC1364" s="324" t="s">
        <v>55</v>
      </c>
      <c r="AD1364" s="324" t="s">
        <v>55</v>
      </c>
      <c r="AE1364" s="324">
        <v>0</v>
      </c>
      <c r="AF1364" s="324" t="s">
        <v>126</v>
      </c>
      <c r="AG1364" s="324">
        <v>8.8999999999999996E-2</v>
      </c>
      <c r="AH1364" s="324">
        <v>8.8999999999999996E-2</v>
      </c>
      <c r="AI1364" s="324" t="s">
        <v>55</v>
      </c>
      <c r="AJ1364" s="324">
        <v>8.8999999999999996E-2</v>
      </c>
      <c r="AK1364" s="324" t="s">
        <v>55</v>
      </c>
      <c r="AL1364" s="324" t="s">
        <v>55</v>
      </c>
      <c r="AM1364" s="324" t="s">
        <v>55</v>
      </c>
    </row>
    <row r="1365" spans="1:39" s="324" customFormat="1" ht="0.65" hidden="1" customHeight="1">
      <c r="A1365" s="324">
        <v>5221</v>
      </c>
      <c r="AA1365" s="324">
        <v>48</v>
      </c>
      <c r="AB1365" s="324" t="s">
        <v>645</v>
      </c>
      <c r="AC1365" s="324" t="s">
        <v>55</v>
      </c>
      <c r="AD1365" s="324" t="s">
        <v>55</v>
      </c>
      <c r="AE1365" s="324">
        <v>0</v>
      </c>
      <c r="AF1365" s="324" t="s">
        <v>13</v>
      </c>
      <c r="AG1365" s="324">
        <v>104229.1490951411</v>
      </c>
      <c r="AH1365" s="324">
        <v>104229.1490951411</v>
      </c>
      <c r="AI1365" s="324" t="s">
        <v>55</v>
      </c>
      <c r="AJ1365" s="324">
        <v>104229.1490951411</v>
      </c>
      <c r="AK1365" s="324" t="s">
        <v>55</v>
      </c>
      <c r="AL1365" s="324" t="s">
        <v>55</v>
      </c>
      <c r="AM1365" s="324" t="s">
        <v>55</v>
      </c>
    </row>
    <row r="1366" spans="1:39" s="324" customFormat="1" ht="0.65" hidden="1" customHeight="1">
      <c r="A1366" s="324">
        <v>5222</v>
      </c>
      <c r="AA1366" s="324">
        <v>49</v>
      </c>
      <c r="AB1366" s="324" t="s">
        <v>645</v>
      </c>
      <c r="AC1366" s="324" t="s">
        <v>55</v>
      </c>
      <c r="AD1366" s="324" t="s">
        <v>55</v>
      </c>
      <c r="AE1366" s="324">
        <v>0</v>
      </c>
      <c r="AF1366" s="324" t="s">
        <v>28</v>
      </c>
      <c r="AG1366" s="324">
        <v>0.13927532491339289</v>
      </c>
      <c r="AH1366" s="324">
        <v>0.13927532491339289</v>
      </c>
      <c r="AI1366" s="324" t="s">
        <v>55</v>
      </c>
      <c r="AJ1366" s="324">
        <v>0.13927532491339289</v>
      </c>
      <c r="AK1366" s="324" t="s">
        <v>55</v>
      </c>
      <c r="AL1366" s="324" t="s">
        <v>55</v>
      </c>
      <c r="AM1366" s="324" t="s">
        <v>55</v>
      </c>
    </row>
    <row r="1367" spans="1:39" s="324" customFormat="1" ht="0.65" hidden="1" customHeight="1">
      <c r="A1367" s="324">
        <v>5223</v>
      </c>
      <c r="AH1367" s="324" t="s">
        <v>207</v>
      </c>
      <c r="AI1367" s="324">
        <v>0</v>
      </c>
      <c r="AJ1367" s="324" t="s">
        <v>207</v>
      </c>
      <c r="AK1367" s="324">
        <v>0</v>
      </c>
    </row>
    <row r="1368" spans="1:39" s="324" customFormat="1" ht="0.65" hidden="1" customHeight="1"/>
    <row r="1369" spans="1:39" s="324" customFormat="1" ht="0.65" hidden="1" customHeight="1"/>
    <row r="1370" spans="1:39" s="324" customFormat="1" ht="0.65" hidden="1" customHeight="1"/>
    <row r="1371" spans="1:39" s="324" customFormat="1" ht="0.65" hidden="1" customHeight="1">
      <c r="B1371" s="324" t="s">
        <v>19</v>
      </c>
      <c r="D1371" s="324" t="s">
        <v>336</v>
      </c>
      <c r="E1371" s="324">
        <v>6</v>
      </c>
    </row>
    <row r="1372" spans="1:39" s="324" customFormat="1" ht="0.65" hidden="1" customHeight="1">
      <c r="B1372" s="324" t="s">
        <v>3951</v>
      </c>
      <c r="D1372" s="324" t="s">
        <v>336</v>
      </c>
      <c r="E1372" s="324" t="s">
        <v>486</v>
      </c>
      <c r="H1372" s="324" t="s">
        <v>55</v>
      </c>
      <c r="I1372" s="324" t="s">
        <v>55</v>
      </c>
      <c r="J1372" s="324" t="s">
        <v>55</v>
      </c>
      <c r="K1372" s="324" t="s">
        <v>55</v>
      </c>
      <c r="L1372" s="324" t="s">
        <v>55</v>
      </c>
      <c r="M1372" s="324" t="s">
        <v>55</v>
      </c>
      <c r="N1372" s="324" t="s">
        <v>55</v>
      </c>
      <c r="O1372" s="324" t="s">
        <v>55</v>
      </c>
      <c r="P1372" s="324" t="s">
        <v>55</v>
      </c>
    </row>
    <row r="1373" spans="1:39" s="324" customFormat="1" ht="0.65" hidden="1" customHeight="1">
      <c r="A1373" s="324">
        <v>6001</v>
      </c>
      <c r="C1373" s="324" t="s">
        <v>5</v>
      </c>
      <c r="D1373" s="324">
        <v>2022</v>
      </c>
      <c r="G1373" s="324" t="s">
        <v>0</v>
      </c>
      <c r="H1373" s="324" t="s">
        <v>69</v>
      </c>
      <c r="I1373" s="324" t="s">
        <v>70</v>
      </c>
      <c r="J1373" s="324" t="s">
        <v>71</v>
      </c>
      <c r="K1373" s="324" t="s">
        <v>72</v>
      </c>
      <c r="L1373" s="324" t="s">
        <v>73</v>
      </c>
      <c r="M1373" s="324" t="s">
        <v>74</v>
      </c>
      <c r="N1373" s="324" t="s">
        <v>75</v>
      </c>
      <c r="O1373" s="324" t="s">
        <v>80</v>
      </c>
      <c r="P1373" s="324" t="s">
        <v>1</v>
      </c>
      <c r="U1373" s="324" t="s">
        <v>151</v>
      </c>
      <c r="AD1373" s="324" t="s">
        <v>455</v>
      </c>
    </row>
    <row r="1374" spans="1:39" s="324" customFormat="1" ht="0.65" hidden="1" customHeight="1">
      <c r="A1374" s="324">
        <v>6002</v>
      </c>
      <c r="G1374" s="324">
        <v>2022</v>
      </c>
      <c r="H1374" s="324">
        <v>0</v>
      </c>
      <c r="I1374" s="324">
        <v>0</v>
      </c>
      <c r="J1374" s="324">
        <v>0</v>
      </c>
      <c r="K1374" s="324">
        <v>0</v>
      </c>
      <c r="L1374" s="324">
        <v>0</v>
      </c>
      <c r="M1374" s="324">
        <v>0</v>
      </c>
      <c r="N1374" s="324">
        <v>0</v>
      </c>
      <c r="O1374" s="324">
        <v>0</v>
      </c>
      <c r="P1374" s="324">
        <v>-534375</v>
      </c>
      <c r="AD1374" s="324" t="s">
        <v>487</v>
      </c>
    </row>
    <row r="1375" spans="1:39" s="324" customFormat="1" ht="0.65" hidden="1" customHeight="1">
      <c r="A1375" s="324">
        <v>6003</v>
      </c>
      <c r="C1375" s="324" t="s">
        <v>32</v>
      </c>
      <c r="G1375" s="324">
        <v>2023</v>
      </c>
      <c r="H1375" s="324">
        <v>250000</v>
      </c>
      <c r="I1375" s="324">
        <v>-25000</v>
      </c>
      <c r="J1375" s="324">
        <v>28125</v>
      </c>
      <c r="K1375" s="324">
        <v>246875</v>
      </c>
      <c r="L1375" s="324">
        <v>61718.75</v>
      </c>
      <c r="M1375" s="324">
        <v>185156.25</v>
      </c>
      <c r="N1375" s="324">
        <v>213281.25</v>
      </c>
      <c r="O1375" s="324">
        <v>144531.25</v>
      </c>
      <c r="P1375" s="324">
        <v>144531.25</v>
      </c>
      <c r="U1375" s="324" t="s">
        <v>152</v>
      </c>
      <c r="Z1375" s="324" t="s">
        <v>176</v>
      </c>
      <c r="AA1375" s="324">
        <v>87817.478696592501</v>
      </c>
      <c r="AF1375" s="324" t="s">
        <v>247</v>
      </c>
    </row>
    <row r="1376" spans="1:39" s="324" customFormat="1" ht="0.65" hidden="1" customHeight="1">
      <c r="A1376" s="324">
        <v>6004</v>
      </c>
      <c r="C1376" s="324" t="s">
        <v>488</v>
      </c>
      <c r="D1376" s="324">
        <v>750000</v>
      </c>
      <c r="E1376" s="324" t="s">
        <v>55</v>
      </c>
      <c r="G1376" s="324">
        <v>2024</v>
      </c>
      <c r="H1376" s="324">
        <v>250000</v>
      </c>
      <c r="I1376" s="324">
        <v>-25000</v>
      </c>
      <c r="J1376" s="324">
        <v>28125</v>
      </c>
      <c r="K1376" s="324">
        <v>246875</v>
      </c>
      <c r="L1376" s="324">
        <v>61718.75</v>
      </c>
      <c r="M1376" s="324">
        <v>185156.25</v>
      </c>
      <c r="N1376" s="324">
        <v>213281.25</v>
      </c>
      <c r="O1376" s="324">
        <v>213281.25</v>
      </c>
      <c r="P1376" s="324">
        <v>213281.25</v>
      </c>
      <c r="Y1376" s="324" t="s">
        <v>139</v>
      </c>
      <c r="Z1376" s="324" t="s">
        <v>174</v>
      </c>
      <c r="AF1376" s="324" t="s">
        <v>248</v>
      </c>
    </row>
    <row r="1377" spans="1:33" s="324" customFormat="1" ht="0.65" hidden="1" customHeight="1">
      <c r="A1377" s="324">
        <v>6005</v>
      </c>
      <c r="C1377" s="324" t="s">
        <v>6</v>
      </c>
      <c r="D1377" s="324">
        <v>10</v>
      </c>
      <c r="G1377" s="324">
        <v>2025</v>
      </c>
      <c r="H1377" s="324">
        <v>250000</v>
      </c>
      <c r="I1377" s="324">
        <v>-25000</v>
      </c>
      <c r="J1377" s="324">
        <v>28125</v>
      </c>
      <c r="K1377" s="324">
        <v>246875</v>
      </c>
      <c r="L1377" s="324">
        <v>61718.75</v>
      </c>
      <c r="M1377" s="324">
        <v>185156.25</v>
      </c>
      <c r="N1377" s="324">
        <v>213281.25</v>
      </c>
      <c r="O1377" s="324">
        <v>213281.25</v>
      </c>
      <c r="P1377" s="324">
        <v>424062.5</v>
      </c>
      <c r="T1377" s="324" t="s">
        <v>187</v>
      </c>
      <c r="V1377" s="324" t="s">
        <v>180</v>
      </c>
      <c r="X1377" s="324" t="s">
        <v>177</v>
      </c>
      <c r="Y1377" s="324" t="s">
        <v>173</v>
      </c>
      <c r="Z1377" s="324" t="s">
        <v>175</v>
      </c>
      <c r="AA1377" s="324" t="s">
        <v>172</v>
      </c>
      <c r="AD1377" s="324" t="s">
        <v>177</v>
      </c>
      <c r="AE1377" s="324" t="s">
        <v>246</v>
      </c>
      <c r="AF1377" s="324" t="s">
        <v>249</v>
      </c>
      <c r="AG1377" s="324" t="s">
        <v>462</v>
      </c>
    </row>
    <row r="1378" spans="1:33" s="324" customFormat="1" ht="0.65" hidden="1" customHeight="1">
      <c r="A1378" s="324">
        <v>6006</v>
      </c>
      <c r="C1378" s="324" t="s">
        <v>489</v>
      </c>
      <c r="D1378" s="324">
        <v>75000</v>
      </c>
      <c r="H1378" s="324" t="s">
        <v>55</v>
      </c>
      <c r="I1378" s="324" t="s">
        <v>55</v>
      </c>
      <c r="J1378" s="324" t="s">
        <v>55</v>
      </c>
      <c r="K1378" s="324" t="s">
        <v>55</v>
      </c>
      <c r="T1378" s="324">
        <v>1</v>
      </c>
      <c r="U1378" s="324" t="s">
        <v>153</v>
      </c>
      <c r="V1378" s="324" t="s">
        <v>178</v>
      </c>
      <c r="W1378" s="324" t="s">
        <v>55</v>
      </c>
      <c r="X1378" s="324" t="s">
        <v>6</v>
      </c>
      <c r="Y1378" s="324">
        <v>10</v>
      </c>
      <c r="Z1378" s="324">
        <v>15</v>
      </c>
      <c r="AA1378" s="324">
        <v>86327.537707922165</v>
      </c>
      <c r="AB1378" s="324" t="s">
        <v>55</v>
      </c>
      <c r="AC1378" s="324">
        <v>1</v>
      </c>
      <c r="AD1378" s="324" t="s">
        <v>55</v>
      </c>
      <c r="AE1378" s="324" t="s">
        <v>55</v>
      </c>
      <c r="AF1378" s="324" t="s">
        <v>55</v>
      </c>
      <c r="AG1378" s="324" t="s">
        <v>55</v>
      </c>
    </row>
    <row r="1379" spans="1:33" s="324" customFormat="1" ht="0.65" hidden="1" customHeight="1">
      <c r="A1379" s="324">
        <v>6007</v>
      </c>
      <c r="G1379" s="324" t="s">
        <v>0</v>
      </c>
      <c r="H1379" s="324" t="s">
        <v>76</v>
      </c>
      <c r="I1379" s="324" t="s">
        <v>77</v>
      </c>
      <c r="J1379" s="324" t="s">
        <v>78</v>
      </c>
      <c r="K1379" s="324" t="s">
        <v>79</v>
      </c>
      <c r="N1379" s="324" t="s">
        <v>55</v>
      </c>
      <c r="P1379" s="324" t="s">
        <v>55</v>
      </c>
      <c r="T1379" s="324">
        <v>2</v>
      </c>
      <c r="U1379" s="324" t="s">
        <v>154</v>
      </c>
      <c r="V1379" s="324" t="s">
        <v>178</v>
      </c>
      <c r="W1379" s="324" t="s">
        <v>55</v>
      </c>
      <c r="X1379" s="324" t="s">
        <v>488</v>
      </c>
      <c r="Y1379" s="324">
        <v>750000</v>
      </c>
      <c r="Z1379" s="324">
        <v>825000.00000000012</v>
      </c>
      <c r="AA1379" s="324">
        <v>27232.231499450398</v>
      </c>
      <c r="AB1379" s="324" t="s">
        <v>55</v>
      </c>
    </row>
    <row r="1380" spans="1:33" s="324" customFormat="1" ht="0.65" hidden="1" customHeight="1">
      <c r="A1380" s="324">
        <v>6008</v>
      </c>
      <c r="C1380" s="324" t="s">
        <v>34</v>
      </c>
      <c r="D1380" s="324">
        <v>250000</v>
      </c>
      <c r="G1380" s="324">
        <v>2022</v>
      </c>
      <c r="H1380" s="324">
        <v>0</v>
      </c>
      <c r="I1380" s="324">
        <v>0</v>
      </c>
      <c r="J1380" s="324">
        <v>0</v>
      </c>
      <c r="K1380" s="324">
        <v>0</v>
      </c>
      <c r="M1380" s="324" t="s">
        <v>490</v>
      </c>
      <c r="N1380" s="324">
        <v>534375</v>
      </c>
      <c r="O1380" s="324" t="s">
        <v>124</v>
      </c>
      <c r="P1380" s="324">
        <v>5.2500000000000012E-2</v>
      </c>
      <c r="T1380" s="324">
        <v>3</v>
      </c>
      <c r="U1380" s="324" t="s">
        <v>155</v>
      </c>
      <c r="V1380" s="324" t="s">
        <v>178</v>
      </c>
      <c r="W1380" s="324" t="s">
        <v>55</v>
      </c>
      <c r="X1380" s="324" t="s">
        <v>489</v>
      </c>
      <c r="Y1380" s="324">
        <v>75000</v>
      </c>
      <c r="Z1380" s="324">
        <v>67500</v>
      </c>
      <c r="AA1380" s="324">
        <v>83627.147544715437</v>
      </c>
      <c r="AB1380" s="324" t="s">
        <v>55</v>
      </c>
      <c r="AC1380" s="324">
        <v>2</v>
      </c>
      <c r="AD1380" s="324" t="s">
        <v>55</v>
      </c>
      <c r="AE1380" s="324" t="s">
        <v>55</v>
      </c>
      <c r="AF1380" s="324" t="s">
        <v>55</v>
      </c>
      <c r="AG1380" s="324" t="s">
        <v>55</v>
      </c>
    </row>
    <row r="1381" spans="1:33" s="324" customFormat="1" ht="0.65" hidden="1" customHeight="1">
      <c r="A1381" s="324">
        <v>6009</v>
      </c>
      <c r="C1381" s="324" t="s">
        <v>35</v>
      </c>
      <c r="D1381" s="324">
        <v>-25000</v>
      </c>
      <c r="G1381" s="324">
        <v>2023</v>
      </c>
      <c r="H1381" s="324">
        <v>62500</v>
      </c>
      <c r="I1381" s="324">
        <v>-6250</v>
      </c>
      <c r="J1381" s="324">
        <v>68750</v>
      </c>
      <c r="K1381" s="324">
        <v>68750</v>
      </c>
      <c r="M1381" s="324" t="s">
        <v>491</v>
      </c>
      <c r="N1381" s="324">
        <v>142031.25</v>
      </c>
      <c r="O1381" s="324" t="s">
        <v>125</v>
      </c>
      <c r="P1381" s="324">
        <v>0.12000000000000001</v>
      </c>
      <c r="T1381" s="324">
        <v>4</v>
      </c>
      <c r="U1381" s="324" t="s">
        <v>156</v>
      </c>
      <c r="V1381" s="324" t="s">
        <v>179</v>
      </c>
      <c r="W1381" s="324" t="s">
        <v>55</v>
      </c>
      <c r="X1381" s="324" t="s">
        <v>492</v>
      </c>
      <c r="Y1381" s="324">
        <v>225000</v>
      </c>
      <c r="Z1381" s="324">
        <v>247500.00000000003</v>
      </c>
      <c r="AA1381" s="324">
        <v>104692.47869659253</v>
      </c>
      <c r="AB1381" s="324" t="s">
        <v>55</v>
      </c>
    </row>
    <row r="1382" spans="1:33" s="324" customFormat="1" ht="0.65" hidden="1" customHeight="1">
      <c r="A1382" s="324">
        <v>6010</v>
      </c>
      <c r="G1382" s="324">
        <v>2024</v>
      </c>
      <c r="H1382" s="324">
        <v>62500</v>
      </c>
      <c r="I1382" s="324">
        <v>-6250</v>
      </c>
      <c r="J1382" s="324">
        <v>68750</v>
      </c>
      <c r="K1382" s="324">
        <v>0</v>
      </c>
      <c r="M1382" s="324" t="s">
        <v>493</v>
      </c>
      <c r="N1382" s="324">
        <v>68750</v>
      </c>
      <c r="O1382" s="324" t="s">
        <v>126</v>
      </c>
      <c r="P1382" s="324">
        <v>0.10312499999999999</v>
      </c>
      <c r="T1382" s="324">
        <v>5</v>
      </c>
      <c r="U1382" s="324" t="s">
        <v>157</v>
      </c>
      <c r="V1382" s="324" t="s">
        <v>178</v>
      </c>
      <c r="W1382" s="324" t="s">
        <v>55</v>
      </c>
      <c r="X1382" s="324" t="s">
        <v>6</v>
      </c>
      <c r="Y1382" s="324">
        <v>4</v>
      </c>
      <c r="Z1382" s="324">
        <v>3</v>
      </c>
      <c r="AA1382" s="324">
        <v>86886.265578673527</v>
      </c>
      <c r="AB1382" s="324" t="s">
        <v>55</v>
      </c>
      <c r="AC1382" s="324">
        <v>3</v>
      </c>
      <c r="AD1382" s="324" t="s">
        <v>55</v>
      </c>
      <c r="AE1382" s="324" t="s">
        <v>55</v>
      </c>
      <c r="AF1382" s="324" t="s">
        <v>55</v>
      </c>
      <c r="AG1382" s="324" t="s">
        <v>55</v>
      </c>
    </row>
    <row r="1383" spans="1:33" s="324" customFormat="1" ht="0.65" hidden="1" customHeight="1">
      <c r="A1383" s="324">
        <v>6011</v>
      </c>
      <c r="C1383" s="324" t="s">
        <v>7</v>
      </c>
      <c r="D1383" s="324">
        <v>90</v>
      </c>
      <c r="G1383" s="324">
        <v>2025</v>
      </c>
      <c r="H1383" s="324">
        <v>62500</v>
      </c>
      <c r="I1383" s="324">
        <v>-6250</v>
      </c>
      <c r="J1383" s="324">
        <v>68750</v>
      </c>
      <c r="K1383" s="324">
        <v>0</v>
      </c>
      <c r="M1383" s="324" t="s">
        <v>494</v>
      </c>
      <c r="N1383" s="324">
        <v>210781.25</v>
      </c>
      <c r="T1383" s="324">
        <v>6</v>
      </c>
      <c r="U1383" s="324" t="s">
        <v>158</v>
      </c>
      <c r="V1383" s="324" t="s">
        <v>179</v>
      </c>
      <c r="W1383" s="324" t="s">
        <v>55</v>
      </c>
      <c r="X1383" s="324" t="s">
        <v>495</v>
      </c>
      <c r="Y1383" s="324">
        <v>187500</v>
      </c>
      <c r="Z1383" s="324">
        <v>206250.00000000003</v>
      </c>
      <c r="AA1383" s="324">
        <v>88733.672134652588</v>
      </c>
      <c r="AB1383" s="324" t="s">
        <v>55</v>
      </c>
    </row>
    <row r="1384" spans="1:33" s="324" customFormat="1" ht="0.65" hidden="1" customHeight="1">
      <c r="A1384" s="324">
        <v>6012</v>
      </c>
      <c r="C1384" s="324" t="s">
        <v>8</v>
      </c>
      <c r="D1384" s="324">
        <v>90</v>
      </c>
      <c r="T1384" s="324">
        <v>7</v>
      </c>
      <c r="U1384" s="324" t="s">
        <v>159</v>
      </c>
      <c r="V1384" s="324" t="s">
        <v>178</v>
      </c>
      <c r="W1384" s="324" t="s">
        <v>55</v>
      </c>
      <c r="X1384" s="324" t="s">
        <v>492</v>
      </c>
      <c r="Y1384" s="324">
        <v>225000</v>
      </c>
      <c r="Z1384" s="324">
        <v>202500</v>
      </c>
      <c r="AA1384" s="324">
        <v>70942.478696592501</v>
      </c>
      <c r="AB1384" s="324" t="s">
        <v>55</v>
      </c>
      <c r="AC1384" s="324">
        <v>4</v>
      </c>
      <c r="AD1384" s="324" t="s">
        <v>55</v>
      </c>
      <c r="AE1384" s="324" t="s">
        <v>55</v>
      </c>
      <c r="AF1384" s="324" t="s">
        <v>55</v>
      </c>
      <c r="AG1384" s="324" t="s">
        <v>55</v>
      </c>
    </row>
    <row r="1385" spans="1:33" s="324" customFormat="1" ht="0.65" hidden="1" customHeight="1">
      <c r="A1385" s="324">
        <v>6013</v>
      </c>
      <c r="O1385" s="324" t="s">
        <v>13</v>
      </c>
      <c r="P1385" s="324">
        <v>87817.478696592501</v>
      </c>
      <c r="T1385" s="324">
        <v>8</v>
      </c>
      <c r="U1385" s="324" t="s">
        <v>160</v>
      </c>
      <c r="V1385" s="324" t="s">
        <v>178</v>
      </c>
      <c r="W1385" s="324" t="s">
        <v>55</v>
      </c>
      <c r="X1385" s="324" t="s">
        <v>489</v>
      </c>
      <c r="Y1385" s="324">
        <v>45000</v>
      </c>
      <c r="Z1385" s="324">
        <v>49500.000000000007</v>
      </c>
      <c r="AA1385" s="324">
        <v>85303.280005466251</v>
      </c>
      <c r="AB1385" s="324" t="s">
        <v>55</v>
      </c>
    </row>
    <row r="1386" spans="1:33" s="324" customFormat="1" ht="0.65" hidden="1" customHeight="1">
      <c r="A1386" s="324">
        <v>6014</v>
      </c>
      <c r="C1386" s="324" t="s">
        <v>33</v>
      </c>
      <c r="O1386" s="324" t="s">
        <v>28</v>
      </c>
      <c r="P1386" s="324">
        <v>0.17939434472028948</v>
      </c>
      <c r="T1386" s="324">
        <v>9</v>
      </c>
      <c r="U1386" s="324" t="s">
        <v>161</v>
      </c>
      <c r="V1386" s="324" t="s">
        <v>179</v>
      </c>
      <c r="W1386" s="324" t="s">
        <v>55</v>
      </c>
      <c r="X1386" s="324" t="s">
        <v>34</v>
      </c>
      <c r="Y1386" s="324">
        <v>250000</v>
      </c>
      <c r="Z1386" s="324">
        <v>275000</v>
      </c>
      <c r="AA1386" s="324">
        <v>133180.81430385646</v>
      </c>
      <c r="AB1386" s="324" t="s">
        <v>55</v>
      </c>
      <c r="AC1386" s="324">
        <v>5</v>
      </c>
      <c r="AD1386" s="324" t="s">
        <v>55</v>
      </c>
      <c r="AE1386" s="324" t="s">
        <v>55</v>
      </c>
      <c r="AF1386" s="324" t="s">
        <v>55</v>
      </c>
      <c r="AG1386" s="324" t="s">
        <v>55</v>
      </c>
    </row>
    <row r="1387" spans="1:33" s="324" customFormat="1" ht="0.65" hidden="1" customHeight="1">
      <c r="A1387" s="324">
        <v>6015</v>
      </c>
      <c r="C1387" s="324" t="s">
        <v>492</v>
      </c>
      <c r="D1387" s="324">
        <v>225000</v>
      </c>
      <c r="K1387" s="324" t="s">
        <v>127</v>
      </c>
      <c r="L1387" s="324" t="s">
        <v>36</v>
      </c>
      <c r="M1387" s="324" t="s">
        <v>55</v>
      </c>
      <c r="T1387" s="324">
        <v>10</v>
      </c>
      <c r="U1387" s="324" t="s">
        <v>162</v>
      </c>
      <c r="V1387" s="324" t="s">
        <v>178</v>
      </c>
      <c r="W1387" s="324" t="s">
        <v>55</v>
      </c>
      <c r="X1387" s="324" t="s">
        <v>7</v>
      </c>
      <c r="Y1387" s="324">
        <v>90</v>
      </c>
      <c r="Z1387" s="324">
        <v>120</v>
      </c>
      <c r="AA1387" s="324">
        <v>84451.482438199935</v>
      </c>
      <c r="AB1387" s="324" t="s">
        <v>55</v>
      </c>
    </row>
    <row r="1388" spans="1:33" s="324" customFormat="1" ht="0.65" hidden="1" customHeight="1">
      <c r="A1388" s="324">
        <v>6016</v>
      </c>
      <c r="C1388" s="324" t="s">
        <v>495</v>
      </c>
      <c r="D1388" s="324">
        <v>187500</v>
      </c>
      <c r="E1388" s="324" t="s">
        <v>55</v>
      </c>
      <c r="K1388" s="324" t="s">
        <v>496</v>
      </c>
      <c r="L1388" s="324" t="s">
        <v>424</v>
      </c>
      <c r="T1388" s="324">
        <v>11</v>
      </c>
      <c r="U1388" s="324" t="s">
        <v>163</v>
      </c>
      <c r="V1388" s="324" t="s">
        <v>179</v>
      </c>
      <c r="W1388" s="324" t="s">
        <v>55</v>
      </c>
      <c r="X1388" s="324" t="s">
        <v>35</v>
      </c>
      <c r="Y1388" s="324">
        <v>-25000</v>
      </c>
      <c r="Z1388" s="324">
        <v>-27500.000000000004</v>
      </c>
      <c r="AA1388" s="324">
        <v>92353.812257318903</v>
      </c>
      <c r="AB1388" s="324" t="s">
        <v>55</v>
      </c>
      <c r="AC1388" s="324">
        <v>6</v>
      </c>
      <c r="AD1388" s="324" t="s">
        <v>55</v>
      </c>
      <c r="AE1388" s="324" t="s">
        <v>55</v>
      </c>
      <c r="AF1388" s="324" t="s">
        <v>55</v>
      </c>
      <c r="AG1388" s="324" t="s">
        <v>55</v>
      </c>
    </row>
    <row r="1389" spans="1:33" s="324" customFormat="1" ht="0.65" hidden="1" customHeight="1">
      <c r="A1389" s="324">
        <v>6017</v>
      </c>
      <c r="C1389" s="324" t="s">
        <v>6</v>
      </c>
      <c r="D1389" s="324">
        <v>4</v>
      </c>
      <c r="K1389" s="324" t="s">
        <v>410</v>
      </c>
      <c r="L1389" s="324">
        <v>0</v>
      </c>
      <c r="M1389" s="324" t="s">
        <v>337</v>
      </c>
      <c r="T1389" s="324">
        <v>12</v>
      </c>
      <c r="U1389" s="324" t="s">
        <v>164</v>
      </c>
      <c r="V1389" s="324" t="s">
        <v>178</v>
      </c>
      <c r="W1389" s="324" t="s">
        <v>55</v>
      </c>
      <c r="X1389" s="324" t="s">
        <v>8</v>
      </c>
      <c r="Y1389" s="324">
        <v>90</v>
      </c>
      <c r="Z1389" s="324">
        <v>60</v>
      </c>
      <c r="AA1389" s="324">
        <v>88154.078322431757</v>
      </c>
      <c r="AB1389" s="324" t="s">
        <v>55</v>
      </c>
    </row>
    <row r="1390" spans="1:33" s="324" customFormat="1" ht="0.65" hidden="1" customHeight="1">
      <c r="A1390" s="324">
        <v>6018</v>
      </c>
      <c r="C1390" s="324" t="s">
        <v>489</v>
      </c>
      <c r="D1390" s="324">
        <v>45000</v>
      </c>
      <c r="N1390" s="324" t="s">
        <v>55</v>
      </c>
      <c r="T1390" s="324">
        <v>13</v>
      </c>
      <c r="U1390" s="324" t="s">
        <v>165</v>
      </c>
      <c r="V1390" s="324" t="s">
        <v>178</v>
      </c>
      <c r="W1390" s="324" t="s">
        <v>55</v>
      </c>
      <c r="X1390" s="324" t="s">
        <v>10</v>
      </c>
      <c r="Y1390" s="324">
        <v>420000.00000000006</v>
      </c>
      <c r="Z1390" s="324">
        <v>462000.00000000012</v>
      </c>
      <c r="AA1390" s="324">
        <v>86120.537699497974</v>
      </c>
      <c r="AB1390" s="324" t="s">
        <v>55</v>
      </c>
      <c r="AC1390" s="324">
        <v>7</v>
      </c>
      <c r="AD1390" s="324" t="s">
        <v>55</v>
      </c>
      <c r="AE1390" s="324" t="s">
        <v>55</v>
      </c>
      <c r="AF1390" s="324" t="s">
        <v>55</v>
      </c>
      <c r="AG1390" s="324" t="s">
        <v>55</v>
      </c>
    </row>
    <row r="1391" spans="1:33" s="324" customFormat="1" ht="0.65" hidden="1" customHeight="1">
      <c r="A1391" s="324">
        <v>6019</v>
      </c>
      <c r="K1391" s="324" t="s">
        <v>413</v>
      </c>
      <c r="L1391" s="324">
        <v>33</v>
      </c>
      <c r="M1391" s="324" t="s">
        <v>55</v>
      </c>
      <c r="T1391" s="324">
        <v>14</v>
      </c>
      <c r="U1391" s="324" t="s">
        <v>166</v>
      </c>
      <c r="V1391" s="324" t="s">
        <v>179</v>
      </c>
      <c r="W1391" s="324" t="s">
        <v>55</v>
      </c>
      <c r="X1391" s="324" t="s">
        <v>12</v>
      </c>
      <c r="Y1391" s="324">
        <v>0.02</v>
      </c>
      <c r="Z1391" s="324">
        <v>0.01</v>
      </c>
      <c r="AA1391" s="324">
        <v>97654.13544264494</v>
      </c>
      <c r="AB1391" s="324" t="s">
        <v>55</v>
      </c>
    </row>
    <row r="1392" spans="1:33" s="324" customFormat="1" ht="0.65" hidden="1" customHeight="1">
      <c r="A1392" s="324">
        <v>6020</v>
      </c>
      <c r="C1392" s="324" t="s">
        <v>4</v>
      </c>
      <c r="D1392" s="324">
        <v>0.25</v>
      </c>
      <c r="K1392" s="324" t="s">
        <v>479</v>
      </c>
      <c r="N1392" s="324" t="s">
        <v>466</v>
      </c>
      <c r="T1392" s="324">
        <v>15</v>
      </c>
      <c r="U1392" s="324" t="s">
        <v>167</v>
      </c>
      <c r="V1392" s="324" t="s">
        <v>178</v>
      </c>
      <c r="W1392" s="324" t="s">
        <v>55</v>
      </c>
      <c r="X1392" s="324" t="s">
        <v>11</v>
      </c>
      <c r="Y1392" s="324">
        <v>1800000</v>
      </c>
      <c r="Z1392" s="324">
        <v>1980000.0000000002</v>
      </c>
      <c r="AA1392" s="324">
        <v>78216.800022552852</v>
      </c>
      <c r="AB1392" s="324" t="s">
        <v>55</v>
      </c>
      <c r="AC1392" s="324">
        <v>8</v>
      </c>
      <c r="AD1392" s="324" t="s">
        <v>55</v>
      </c>
      <c r="AE1392" s="324" t="s">
        <v>55</v>
      </c>
      <c r="AF1392" s="324" t="s">
        <v>55</v>
      </c>
      <c r="AG1392" s="324" t="s">
        <v>55</v>
      </c>
    </row>
    <row r="1393" spans="1:33" s="324" customFormat="1" ht="0.65" hidden="1" customHeight="1">
      <c r="A1393" s="324">
        <v>6021</v>
      </c>
      <c r="D1393" s="324" t="s">
        <v>9</v>
      </c>
      <c r="K1393" s="324" t="s">
        <v>409</v>
      </c>
      <c r="L1393" s="324" t="s">
        <v>38</v>
      </c>
      <c r="M1393" s="324" t="s">
        <v>55</v>
      </c>
      <c r="N1393" s="324" t="s">
        <v>467</v>
      </c>
      <c r="O1393" s="324" t="s">
        <v>468</v>
      </c>
      <c r="T1393" s="324">
        <v>16</v>
      </c>
      <c r="U1393" s="324" t="s">
        <v>168</v>
      </c>
      <c r="V1393" s="324" t="s">
        <v>181</v>
      </c>
      <c r="W1393" s="324" t="s">
        <v>55</v>
      </c>
      <c r="X1393" s="324" t="s">
        <v>3</v>
      </c>
      <c r="Y1393" s="324">
        <v>18000000</v>
      </c>
      <c r="Z1393" s="324">
        <v>19800000</v>
      </c>
      <c r="AA1393" s="324">
        <v>95402.650565361386</v>
      </c>
      <c r="AB1393" s="324" t="s">
        <v>55</v>
      </c>
    </row>
    <row r="1394" spans="1:33" s="324" customFormat="1" ht="0.65" hidden="1" customHeight="1">
      <c r="A1394" s="324">
        <v>6022</v>
      </c>
      <c r="N1394" s="324" t="s">
        <v>469</v>
      </c>
      <c r="O1394" s="324" t="s">
        <v>470</v>
      </c>
      <c r="T1394" s="324">
        <v>17</v>
      </c>
      <c r="U1394" s="324" t="s">
        <v>169</v>
      </c>
      <c r="V1394" s="324" t="s">
        <v>178</v>
      </c>
      <c r="W1394" s="324" t="s">
        <v>55</v>
      </c>
      <c r="X1394" s="324" t="s">
        <v>2</v>
      </c>
      <c r="Y1394" s="324">
        <v>6000000</v>
      </c>
      <c r="Z1394" s="324">
        <v>3000000</v>
      </c>
      <c r="AA1394" s="324">
        <v>77032.936623531321</v>
      </c>
      <c r="AB1394" s="324" t="s">
        <v>55</v>
      </c>
      <c r="AC1394" s="324">
        <v>9</v>
      </c>
      <c r="AD1394" s="324" t="s">
        <v>55</v>
      </c>
      <c r="AE1394" s="324" t="s">
        <v>55</v>
      </c>
      <c r="AF1394" s="324" t="s">
        <v>55</v>
      </c>
      <c r="AG1394" s="324" t="s">
        <v>55</v>
      </c>
    </row>
    <row r="1395" spans="1:33" s="324" customFormat="1" ht="0.65" hidden="1" customHeight="1">
      <c r="A1395" s="324">
        <v>6023</v>
      </c>
      <c r="C1395" s="324" t="s">
        <v>10</v>
      </c>
      <c r="D1395" s="324">
        <v>420000.00000000006</v>
      </c>
      <c r="N1395" s="324" t="s">
        <v>471</v>
      </c>
      <c r="O1395" s="324" t="s">
        <v>472</v>
      </c>
      <c r="T1395" s="324">
        <v>18</v>
      </c>
      <c r="U1395" s="324" t="s">
        <v>170</v>
      </c>
      <c r="V1395" s="324" t="s">
        <v>181</v>
      </c>
      <c r="W1395" s="324" t="s">
        <v>55</v>
      </c>
      <c r="X1395" s="324" t="s">
        <v>4</v>
      </c>
      <c r="Y1395" s="324">
        <v>0.25</v>
      </c>
      <c r="Z1395" s="324">
        <v>0.3</v>
      </c>
      <c r="AA1395" s="324">
        <v>73233.162172578595</v>
      </c>
      <c r="AB1395" s="324" t="s">
        <v>55</v>
      </c>
    </row>
    <row r="1396" spans="1:33" s="324" customFormat="1" ht="0.65" hidden="1" customHeight="1">
      <c r="A1396" s="324">
        <v>6024</v>
      </c>
      <c r="C1396" s="324" t="s">
        <v>11</v>
      </c>
      <c r="D1396" s="324">
        <v>1800000</v>
      </c>
      <c r="I1396" s="324" t="s">
        <v>320</v>
      </c>
      <c r="K1396" s="324" t="s">
        <v>497</v>
      </c>
      <c r="L1396" s="324" t="s">
        <v>498</v>
      </c>
      <c r="M1396" s="324" t="s">
        <v>55</v>
      </c>
      <c r="T1396" s="324">
        <v>19</v>
      </c>
      <c r="U1396" s="324" t="s">
        <v>171</v>
      </c>
      <c r="V1396" s="324" t="s">
        <v>181</v>
      </c>
      <c r="W1396" s="324" t="s">
        <v>55</v>
      </c>
      <c r="X1396" s="324" t="s">
        <v>14</v>
      </c>
      <c r="Y1396" s="324" t="s">
        <v>16</v>
      </c>
      <c r="Z1396" s="324">
        <v>4</v>
      </c>
      <c r="AA1396" s="324">
        <v>212420.47733247242</v>
      </c>
      <c r="AB1396" s="324" t="s">
        <v>55</v>
      </c>
      <c r="AC1396" s="324">
        <v>10</v>
      </c>
      <c r="AD1396" s="324" t="s">
        <v>55</v>
      </c>
      <c r="AE1396" s="324" t="s">
        <v>55</v>
      </c>
      <c r="AF1396" s="324" t="s">
        <v>55</v>
      </c>
      <c r="AG1396" s="324" t="s">
        <v>55</v>
      </c>
    </row>
    <row r="1397" spans="1:33" s="324" customFormat="1" ht="0.65" hidden="1" customHeight="1">
      <c r="A1397" s="324">
        <v>6025</v>
      </c>
      <c r="C1397" s="324" t="s">
        <v>12</v>
      </c>
      <c r="D1397" s="324">
        <v>0.02</v>
      </c>
    </row>
    <row r="1398" spans="1:33" s="324" customFormat="1" ht="0.65" hidden="1" customHeight="1">
      <c r="A1398" s="324">
        <v>6026</v>
      </c>
      <c r="C1398" s="324" t="s">
        <v>2</v>
      </c>
      <c r="D1398" s="324">
        <v>6000000</v>
      </c>
      <c r="I1398" s="324" t="s">
        <v>318</v>
      </c>
      <c r="K1398" s="324" t="s">
        <v>497</v>
      </c>
      <c r="L1398" s="324" t="s">
        <v>498</v>
      </c>
      <c r="M1398" s="324" t="s">
        <v>1856</v>
      </c>
      <c r="AC1398" s="324">
        <v>11</v>
      </c>
      <c r="AD1398" s="324" t="s">
        <v>55</v>
      </c>
      <c r="AE1398" s="324" t="s">
        <v>55</v>
      </c>
      <c r="AF1398" s="324" t="s">
        <v>55</v>
      </c>
      <c r="AG1398" s="324" t="s">
        <v>55</v>
      </c>
    </row>
    <row r="1399" spans="1:33" s="324" customFormat="1" ht="0.65" hidden="1" customHeight="1">
      <c r="A1399" s="324">
        <v>6027</v>
      </c>
      <c r="C1399" s="324" t="s">
        <v>3</v>
      </c>
      <c r="D1399" s="324">
        <v>18000000</v>
      </c>
      <c r="U1399" s="324" t="s">
        <v>127</v>
      </c>
      <c r="V1399" s="324" t="s">
        <v>36</v>
      </c>
      <c r="W1399" s="324" t="s">
        <v>55</v>
      </c>
    </row>
    <row r="1400" spans="1:33" s="324" customFormat="1" ht="0.65" hidden="1" customHeight="1">
      <c r="A1400" s="324">
        <v>6028</v>
      </c>
      <c r="AC1400" s="324">
        <v>12</v>
      </c>
      <c r="AD1400" s="324" t="s">
        <v>55</v>
      </c>
      <c r="AE1400" s="324" t="s">
        <v>55</v>
      </c>
      <c r="AF1400" s="324" t="s">
        <v>55</v>
      </c>
      <c r="AG1400" s="324" t="s">
        <v>55</v>
      </c>
    </row>
    <row r="1401" spans="1:33" s="324" customFormat="1" ht="0.65" hidden="1" customHeight="1">
      <c r="A1401" s="324">
        <v>6029</v>
      </c>
      <c r="C1401" s="324" t="s">
        <v>14</v>
      </c>
      <c r="D1401" s="324" t="s">
        <v>16</v>
      </c>
      <c r="V1401" s="324">
        <v>0</v>
      </c>
    </row>
    <row r="1402" spans="1:33" s="324" customFormat="1" ht="0.65" hidden="1" customHeight="1">
      <c r="A1402" s="324">
        <v>6030</v>
      </c>
      <c r="G1402" s="324" t="s">
        <v>128</v>
      </c>
      <c r="M1402" s="324" t="s">
        <v>500</v>
      </c>
      <c r="AC1402" s="324">
        <v>13</v>
      </c>
      <c r="AD1402" s="324" t="s">
        <v>55</v>
      </c>
      <c r="AE1402" s="324" t="s">
        <v>55</v>
      </c>
      <c r="AF1402" s="324" t="s">
        <v>55</v>
      </c>
      <c r="AG1402" s="324" t="s">
        <v>55</v>
      </c>
    </row>
    <row r="1403" spans="1:33" s="324" customFormat="1" ht="0.65" hidden="1" customHeight="1">
      <c r="A1403" s="324">
        <v>6031</v>
      </c>
      <c r="B1403" s="324" t="s">
        <v>460</v>
      </c>
      <c r="F1403" s="324">
        <v>1</v>
      </c>
      <c r="I1403" s="324" t="s">
        <v>129</v>
      </c>
      <c r="J1403" s="324">
        <v>1</v>
      </c>
      <c r="K1403" s="324" t="s">
        <v>501</v>
      </c>
      <c r="U1403" s="324" t="s">
        <v>204</v>
      </c>
      <c r="V1403" s="324">
        <v>12</v>
      </c>
      <c r="W1403" s="324" t="s">
        <v>55</v>
      </c>
    </row>
    <row r="1404" spans="1:33" s="324" customFormat="1" ht="0.65" hidden="1" customHeight="1">
      <c r="A1404" s="324">
        <v>6032</v>
      </c>
      <c r="F1404" s="324">
        <v>1.5</v>
      </c>
      <c r="I1404" s="324" t="s">
        <v>138</v>
      </c>
      <c r="J1404" s="324">
        <v>1.5</v>
      </c>
      <c r="K1404" s="324" t="s">
        <v>502</v>
      </c>
      <c r="Z1404" s="324" t="s">
        <v>291</v>
      </c>
      <c r="AC1404" s="324">
        <v>14</v>
      </c>
      <c r="AD1404" s="324" t="s">
        <v>55</v>
      </c>
      <c r="AE1404" s="324" t="s">
        <v>55</v>
      </c>
      <c r="AF1404" s="324" t="s">
        <v>55</v>
      </c>
      <c r="AG1404" s="324" t="s">
        <v>55</v>
      </c>
    </row>
    <row r="1405" spans="1:33" s="324" customFormat="1" ht="0.65" hidden="1" customHeight="1">
      <c r="A1405" s="324">
        <v>6033</v>
      </c>
      <c r="F1405" s="324">
        <v>1.5</v>
      </c>
      <c r="I1405" s="324" t="s">
        <v>130</v>
      </c>
      <c r="J1405" s="324">
        <v>1.5</v>
      </c>
      <c r="K1405" s="324" t="s">
        <v>502</v>
      </c>
      <c r="W1405" s="324" t="s">
        <v>139</v>
      </c>
      <c r="X1405" s="324" t="s">
        <v>174</v>
      </c>
      <c r="Z1405" s="324" t="s">
        <v>1857</v>
      </c>
      <c r="AA1405" s="324">
        <v>336.59962583925653</v>
      </c>
      <c r="AB1405" s="324">
        <v>336.59962583925653</v>
      </c>
    </row>
    <row r="1406" spans="1:33" s="324" customFormat="1" ht="0.65" hidden="1" customHeight="1">
      <c r="A1406" s="324">
        <v>6034</v>
      </c>
      <c r="F1406" s="324">
        <v>1</v>
      </c>
      <c r="I1406" s="324" t="s">
        <v>131</v>
      </c>
      <c r="J1406" s="324">
        <v>1</v>
      </c>
      <c r="K1406" s="324" t="s">
        <v>501</v>
      </c>
      <c r="V1406" s="324" t="s">
        <v>177</v>
      </c>
      <c r="W1406" s="324" t="s">
        <v>173</v>
      </c>
      <c r="X1406" s="324" t="s">
        <v>175</v>
      </c>
      <c r="Z1406" s="324">
        <v>336.59962583925653</v>
      </c>
      <c r="AA1406" s="324">
        <v>336.59962583925653</v>
      </c>
      <c r="AB1406" s="324">
        <v>336.59962583925653</v>
      </c>
      <c r="AC1406" s="324">
        <v>15</v>
      </c>
      <c r="AD1406" s="324" t="s">
        <v>55</v>
      </c>
      <c r="AE1406" s="324" t="s">
        <v>55</v>
      </c>
      <c r="AF1406" s="324" t="s">
        <v>55</v>
      </c>
      <c r="AG1406" s="324" t="s">
        <v>55</v>
      </c>
    </row>
    <row r="1407" spans="1:33" s="324" customFormat="1" ht="0.65" hidden="1" customHeight="1">
      <c r="A1407" s="324">
        <v>6035</v>
      </c>
      <c r="F1407" s="324">
        <v>1</v>
      </c>
      <c r="I1407" s="324" t="s">
        <v>132</v>
      </c>
      <c r="J1407" s="324">
        <v>1</v>
      </c>
      <c r="K1407" s="324" t="s">
        <v>501</v>
      </c>
      <c r="T1407" s="324">
        <v>12</v>
      </c>
      <c r="U1407" s="324" t="s">
        <v>164</v>
      </c>
      <c r="V1407" s="324" t="s">
        <v>8</v>
      </c>
      <c r="W1407" s="324">
        <v>90</v>
      </c>
      <c r="X1407" s="324">
        <v>60</v>
      </c>
      <c r="Z1407" s="324">
        <v>336.59962583925653</v>
      </c>
      <c r="AA1407" s="324">
        <v>336.59962583925653</v>
      </c>
      <c r="AB1407" s="324">
        <v>336.59962583925653</v>
      </c>
    </row>
    <row r="1408" spans="1:33" s="324" customFormat="1" ht="0.65" hidden="1" customHeight="1">
      <c r="A1408" s="324">
        <v>6036</v>
      </c>
      <c r="F1408" s="324">
        <v>0.5</v>
      </c>
      <c r="I1408" s="324" t="s">
        <v>133</v>
      </c>
      <c r="J1408" s="324">
        <v>0.5</v>
      </c>
      <c r="K1408" s="324" t="s">
        <v>504</v>
      </c>
      <c r="V1408" s="324" t="s">
        <v>13</v>
      </c>
      <c r="W1408" s="324">
        <v>87817.478696592501</v>
      </c>
      <c r="X1408" s="324">
        <v>88154.078322431887</v>
      </c>
      <c r="Z1408" s="324">
        <v>336.59962583925653</v>
      </c>
      <c r="AA1408" s="324">
        <v>336.59962583925653</v>
      </c>
      <c r="AB1408" s="324">
        <v>336.59962583925653</v>
      </c>
      <c r="AC1408" s="324">
        <v>16</v>
      </c>
      <c r="AD1408" s="324" t="s">
        <v>55</v>
      </c>
      <c r="AE1408" s="324" t="s">
        <v>55</v>
      </c>
      <c r="AF1408" s="324" t="s">
        <v>55</v>
      </c>
      <c r="AG1408" s="324" t="s">
        <v>55</v>
      </c>
    </row>
    <row r="1409" spans="1:42" s="324" customFormat="1" ht="0.65" hidden="1" customHeight="1">
      <c r="A1409" s="324">
        <v>6037</v>
      </c>
      <c r="F1409" s="324">
        <v>0.5</v>
      </c>
      <c r="I1409" s="324" t="s">
        <v>134</v>
      </c>
      <c r="J1409" s="324">
        <v>0.5</v>
      </c>
      <c r="K1409" s="324" t="s">
        <v>504</v>
      </c>
      <c r="V1409" s="324" t="s">
        <v>505</v>
      </c>
      <c r="X1409" s="324">
        <v>336.59962583925653</v>
      </c>
      <c r="Z1409" s="324">
        <v>336.59962583925653</v>
      </c>
      <c r="AA1409" s="324">
        <v>336.59962583925653</v>
      </c>
      <c r="AB1409" s="324">
        <v>336.59962583925653</v>
      </c>
    </row>
    <row r="1410" spans="1:42" s="324" customFormat="1" ht="0.65" hidden="1" customHeight="1">
      <c r="A1410" s="324">
        <v>6038</v>
      </c>
      <c r="F1410" s="324">
        <v>1</v>
      </c>
      <c r="I1410" s="324" t="s">
        <v>135</v>
      </c>
      <c r="J1410" s="324">
        <v>1</v>
      </c>
      <c r="K1410" s="324" t="s">
        <v>501</v>
      </c>
      <c r="Z1410" s="324">
        <v>336.59962583925653</v>
      </c>
      <c r="AA1410" s="324">
        <v>336.59962583925653</v>
      </c>
      <c r="AB1410" s="324">
        <v>336.59962583925653</v>
      </c>
      <c r="AC1410" s="324">
        <v>17</v>
      </c>
      <c r="AD1410" s="324" t="s">
        <v>55</v>
      </c>
      <c r="AE1410" s="324" t="s">
        <v>55</v>
      </c>
      <c r="AF1410" s="324" t="s">
        <v>55</v>
      </c>
      <c r="AG1410" s="324" t="s">
        <v>55</v>
      </c>
    </row>
    <row r="1411" spans="1:42" s="324" customFormat="1" ht="0.65" hidden="1" customHeight="1">
      <c r="A1411" s="324">
        <v>6039</v>
      </c>
      <c r="F1411" s="324">
        <v>0.5</v>
      </c>
      <c r="I1411" s="324" t="s">
        <v>13</v>
      </c>
      <c r="J1411" s="324">
        <v>0.5</v>
      </c>
      <c r="K1411" s="324" t="s">
        <v>504</v>
      </c>
    </row>
    <row r="1412" spans="1:42" s="324" customFormat="1" ht="0.65" hidden="1" customHeight="1">
      <c r="A1412" s="324">
        <v>6040</v>
      </c>
      <c r="F1412" s="324">
        <v>0.5</v>
      </c>
      <c r="I1412" s="324" t="s">
        <v>28</v>
      </c>
      <c r="J1412" s="324">
        <v>0.5</v>
      </c>
      <c r="K1412" s="324" t="s">
        <v>504</v>
      </c>
      <c r="U1412" s="324" t="s">
        <v>196</v>
      </c>
      <c r="AC1412" s="324">
        <v>18</v>
      </c>
      <c r="AD1412" s="324" t="s">
        <v>55</v>
      </c>
      <c r="AE1412" s="324" t="s">
        <v>55</v>
      </c>
      <c r="AF1412" s="324" t="s">
        <v>55</v>
      </c>
      <c r="AG1412" s="324" t="s">
        <v>55</v>
      </c>
    </row>
    <row r="1413" spans="1:42" s="324" customFormat="1" ht="0.65" hidden="1" customHeight="1">
      <c r="A1413" s="324">
        <v>6041</v>
      </c>
      <c r="F1413" s="324">
        <v>1</v>
      </c>
      <c r="I1413" s="324" t="s">
        <v>136</v>
      </c>
      <c r="J1413" s="324">
        <v>1</v>
      </c>
      <c r="K1413" s="324" t="s">
        <v>501</v>
      </c>
    </row>
    <row r="1414" spans="1:42" s="324" customFormat="1" ht="0.65" hidden="1" customHeight="1">
      <c r="A1414" s="324">
        <v>6042</v>
      </c>
      <c r="F1414" s="324">
        <v>10</v>
      </c>
      <c r="I1414" s="324" t="s">
        <v>137</v>
      </c>
      <c r="J1414" s="324">
        <v>10</v>
      </c>
      <c r="K1414" s="324" t="s">
        <v>506</v>
      </c>
      <c r="AC1414" s="324">
        <v>19</v>
      </c>
      <c r="AD1414" s="324" t="s">
        <v>55</v>
      </c>
      <c r="AE1414" s="324" t="s">
        <v>55</v>
      </c>
      <c r="AF1414" s="324" t="s">
        <v>55</v>
      </c>
      <c r="AG1414" s="324" t="s">
        <v>55</v>
      </c>
    </row>
    <row r="1415" spans="1:42" s="324" customFormat="1" ht="0.65" hidden="1" customHeight="1">
      <c r="A1415" s="324">
        <v>6043</v>
      </c>
    </row>
    <row r="1416" spans="1:42" s="324" customFormat="1" ht="0.65" hidden="1" customHeight="1">
      <c r="A1416" s="324">
        <v>6044</v>
      </c>
      <c r="AC1416" s="324">
        <v>20</v>
      </c>
      <c r="AD1416" s="324" t="s">
        <v>55</v>
      </c>
      <c r="AE1416" s="324" t="s">
        <v>55</v>
      </c>
      <c r="AF1416" s="324" t="s">
        <v>55</v>
      </c>
      <c r="AG1416" s="324" t="s">
        <v>55</v>
      </c>
    </row>
    <row r="1417" spans="1:42" s="324" customFormat="1" ht="0.65" hidden="1" customHeight="1">
      <c r="A1417" s="324">
        <v>6045</v>
      </c>
    </row>
    <row r="1418" spans="1:42" s="324" customFormat="1" ht="0.65" hidden="1" customHeight="1">
      <c r="A1418" s="324">
        <v>6046</v>
      </c>
    </row>
    <row r="1419" spans="1:42" s="324" customFormat="1" ht="0.65" hidden="1" customHeight="1">
      <c r="A1419" s="324">
        <v>6047</v>
      </c>
      <c r="G1419" s="324">
        <v>1</v>
      </c>
      <c r="H1419" s="324">
        <v>2</v>
      </c>
      <c r="I1419" s="324">
        <v>3</v>
      </c>
      <c r="J1419" s="324">
        <v>4</v>
      </c>
      <c r="K1419" s="324">
        <v>5</v>
      </c>
      <c r="L1419" s="324">
        <v>6</v>
      </c>
      <c r="M1419" s="324">
        <v>7</v>
      </c>
      <c r="N1419" s="324">
        <v>8</v>
      </c>
      <c r="O1419" s="324">
        <v>9</v>
      </c>
      <c r="P1419" s="324">
        <v>10</v>
      </c>
    </row>
    <row r="1420" spans="1:42" s="324" customFormat="1" ht="0.65" hidden="1" customHeight="1">
      <c r="A1420" s="324">
        <v>6048</v>
      </c>
      <c r="G1420" s="324" t="s">
        <v>212</v>
      </c>
      <c r="H1420" s="324" t="s">
        <v>213</v>
      </c>
      <c r="I1420" s="324" t="s">
        <v>214</v>
      </c>
      <c r="J1420" s="324" t="s">
        <v>215</v>
      </c>
      <c r="K1420" s="324" t="s">
        <v>216</v>
      </c>
      <c r="L1420" s="324" t="s">
        <v>218</v>
      </c>
      <c r="M1420" s="324" t="s">
        <v>219</v>
      </c>
      <c r="N1420" s="324" t="s">
        <v>220</v>
      </c>
      <c r="O1420" s="324" t="s">
        <v>221</v>
      </c>
      <c r="P1420" s="324" t="s">
        <v>222</v>
      </c>
    </row>
    <row r="1421" spans="1:42" s="324" customFormat="1" ht="0.65" hidden="1" customHeight="1">
      <c r="A1421" s="324">
        <v>6049</v>
      </c>
      <c r="G1421" s="324">
        <v>68750</v>
      </c>
      <c r="H1421" s="324">
        <v>137500</v>
      </c>
      <c r="I1421" s="324" t="s">
        <v>55</v>
      </c>
      <c r="J1421" s="324" t="s">
        <v>55</v>
      </c>
      <c r="K1421" s="324" t="s">
        <v>55</v>
      </c>
      <c r="L1421" s="324" t="s">
        <v>55</v>
      </c>
      <c r="M1421" s="324" t="s">
        <v>55</v>
      </c>
      <c r="N1421" s="324" t="s">
        <v>55</v>
      </c>
      <c r="O1421" s="324" t="s">
        <v>1856</v>
      </c>
      <c r="P1421" s="324" t="s">
        <v>507</v>
      </c>
    </row>
    <row r="1422" spans="1:42" s="324" customFormat="1" ht="0.65" hidden="1" customHeight="1">
      <c r="A1422" s="324">
        <v>6050</v>
      </c>
      <c r="G1422" s="324" t="s">
        <v>267</v>
      </c>
      <c r="H1422" s="324" t="s">
        <v>268</v>
      </c>
      <c r="I1422" s="324" t="s">
        <v>55</v>
      </c>
      <c r="J1422" s="324" t="s">
        <v>55</v>
      </c>
      <c r="K1422" s="324" t="s">
        <v>55</v>
      </c>
      <c r="L1422" s="324" t="s">
        <v>55</v>
      </c>
      <c r="M1422" s="324" t="s">
        <v>55</v>
      </c>
      <c r="N1422" s="324" t="s">
        <v>55</v>
      </c>
      <c r="O1422" s="324" t="s">
        <v>55</v>
      </c>
      <c r="P1422" s="324" t="s">
        <v>55</v>
      </c>
    </row>
    <row r="1423" spans="1:42" s="324" customFormat="1" ht="0.65" hidden="1" customHeight="1">
      <c r="A1423" s="324">
        <v>6051</v>
      </c>
    </row>
    <row r="1424" spans="1:42" s="324" customFormat="1" ht="0.65" hidden="1" customHeight="1">
      <c r="A1424" s="324">
        <v>6052</v>
      </c>
      <c r="B1424" s="324">
        <v>2</v>
      </c>
      <c r="C1424" s="324">
        <v>3</v>
      </c>
      <c r="D1424" s="324">
        <v>4</v>
      </c>
      <c r="E1424" s="324">
        <v>5</v>
      </c>
      <c r="F1424" s="324">
        <v>6</v>
      </c>
      <c r="G1424" s="324">
        <v>7</v>
      </c>
      <c r="H1424" s="324">
        <v>8</v>
      </c>
      <c r="I1424" s="324">
        <v>9</v>
      </c>
      <c r="J1424" s="324">
        <v>10</v>
      </c>
      <c r="K1424" s="324">
        <v>11</v>
      </c>
      <c r="L1424" s="324">
        <v>12</v>
      </c>
      <c r="M1424" s="324">
        <v>13</v>
      </c>
      <c r="N1424" s="324">
        <v>14</v>
      </c>
      <c r="O1424" s="324">
        <v>15</v>
      </c>
      <c r="P1424" s="324">
        <v>16</v>
      </c>
      <c r="Q1424" s="324">
        <v>17</v>
      </c>
      <c r="R1424" s="324">
        <v>18</v>
      </c>
      <c r="S1424" s="324">
        <v>19</v>
      </c>
      <c r="T1424" s="324">
        <v>20</v>
      </c>
      <c r="U1424" s="324">
        <v>21</v>
      </c>
      <c r="V1424" s="324">
        <v>22</v>
      </c>
      <c r="W1424" s="324">
        <v>23</v>
      </c>
      <c r="X1424" s="324">
        <v>24</v>
      </c>
      <c r="Y1424" s="324">
        <v>25</v>
      </c>
      <c r="Z1424" s="324">
        <v>26</v>
      </c>
      <c r="AA1424" s="324">
        <v>27</v>
      </c>
      <c r="AB1424" s="324">
        <v>28</v>
      </c>
      <c r="AC1424" s="324">
        <v>29</v>
      </c>
      <c r="AD1424" s="324">
        <v>30</v>
      </c>
      <c r="AE1424" s="324">
        <v>31</v>
      </c>
      <c r="AF1424" s="324">
        <v>32</v>
      </c>
      <c r="AG1424" s="324">
        <v>33</v>
      </c>
      <c r="AH1424" s="324">
        <v>34</v>
      </c>
      <c r="AI1424" s="324">
        <v>35</v>
      </c>
      <c r="AJ1424" s="324">
        <v>36</v>
      </c>
      <c r="AK1424" s="324">
        <v>37</v>
      </c>
      <c r="AL1424" s="324">
        <v>38</v>
      </c>
      <c r="AM1424" s="324">
        <v>39</v>
      </c>
      <c r="AN1424" s="324">
        <v>40</v>
      </c>
      <c r="AO1424" s="324">
        <v>41</v>
      </c>
      <c r="AP1424" s="324">
        <v>42</v>
      </c>
    </row>
    <row r="1425" spans="1:16" s="324" customFormat="1" ht="0.65" hidden="1" customHeight="1">
      <c r="A1425" s="324">
        <v>6053</v>
      </c>
    </row>
    <row r="1426" spans="1:16" s="324" customFormat="1" ht="0.65" hidden="1" customHeight="1">
      <c r="A1426" s="324">
        <v>6054</v>
      </c>
      <c r="B1426" s="324">
        <v>750000</v>
      </c>
      <c r="C1426" s="324">
        <v>750000</v>
      </c>
      <c r="D1426" s="324">
        <v>1</v>
      </c>
      <c r="G1426" s="324" t="s">
        <v>0</v>
      </c>
      <c r="H1426" s="324" t="s">
        <v>69</v>
      </c>
      <c r="I1426" s="324" t="s">
        <v>70</v>
      </c>
      <c r="J1426" s="324" t="s">
        <v>71</v>
      </c>
      <c r="K1426" s="324" t="s">
        <v>72</v>
      </c>
      <c r="L1426" s="324" t="s">
        <v>73</v>
      </c>
      <c r="M1426" s="324" t="s">
        <v>74</v>
      </c>
      <c r="N1426" s="324" t="s">
        <v>75</v>
      </c>
      <c r="O1426" s="324" t="s">
        <v>80</v>
      </c>
      <c r="P1426" s="324" t="s">
        <v>1</v>
      </c>
    </row>
    <row r="1427" spans="1:16" s="324" customFormat="1" ht="0.65" hidden="1" customHeight="1">
      <c r="A1427" s="324">
        <v>6055</v>
      </c>
      <c r="B1427" s="324">
        <v>10</v>
      </c>
      <c r="C1427" s="324">
        <v>10</v>
      </c>
      <c r="D1427" s="324">
        <v>1</v>
      </c>
      <c r="G1427" s="324">
        <v>2022</v>
      </c>
      <c r="P1427" s="324">
        <v>41</v>
      </c>
    </row>
    <row r="1428" spans="1:16" s="324" customFormat="1" ht="0.65" hidden="1" customHeight="1">
      <c r="A1428" s="324">
        <v>6056</v>
      </c>
      <c r="B1428" s="324">
        <v>75000</v>
      </c>
      <c r="C1428" s="324">
        <v>75000</v>
      </c>
      <c r="D1428" s="324">
        <v>1</v>
      </c>
      <c r="G1428" s="324">
        <v>2023</v>
      </c>
      <c r="H1428" s="324">
        <v>2</v>
      </c>
      <c r="I1428" s="324">
        <v>5</v>
      </c>
      <c r="J1428" s="324">
        <v>8</v>
      </c>
      <c r="K1428" s="324">
        <v>11</v>
      </c>
      <c r="L1428" s="324">
        <v>14</v>
      </c>
      <c r="M1428" s="324">
        <v>17</v>
      </c>
      <c r="N1428" s="324">
        <v>20</v>
      </c>
      <c r="O1428" s="324">
        <v>35</v>
      </c>
      <c r="P1428" s="324">
        <v>42</v>
      </c>
    </row>
    <row r="1429" spans="1:16" s="324" customFormat="1" ht="0.65" hidden="1" customHeight="1">
      <c r="A1429" s="324">
        <v>6057</v>
      </c>
      <c r="G1429" s="324">
        <v>2024</v>
      </c>
      <c r="H1429" s="324">
        <v>3</v>
      </c>
      <c r="I1429" s="324">
        <v>6</v>
      </c>
      <c r="J1429" s="324">
        <v>9</v>
      </c>
      <c r="K1429" s="324">
        <v>12</v>
      </c>
      <c r="L1429" s="324">
        <v>15</v>
      </c>
      <c r="M1429" s="324">
        <v>18</v>
      </c>
      <c r="N1429" s="324">
        <v>21</v>
      </c>
      <c r="O1429" s="324">
        <v>36</v>
      </c>
      <c r="P1429" s="324">
        <v>43</v>
      </c>
    </row>
    <row r="1430" spans="1:16" s="324" customFormat="1" ht="0.65" hidden="1" customHeight="1">
      <c r="A1430" s="324">
        <v>6058</v>
      </c>
      <c r="B1430" s="324">
        <v>250000</v>
      </c>
      <c r="C1430" s="324">
        <v>250000</v>
      </c>
      <c r="D1430" s="324">
        <v>1</v>
      </c>
      <c r="G1430" s="324">
        <v>2025</v>
      </c>
      <c r="H1430" s="324">
        <v>4</v>
      </c>
      <c r="I1430" s="324">
        <v>7</v>
      </c>
      <c r="J1430" s="324">
        <v>10</v>
      </c>
      <c r="K1430" s="324">
        <v>13</v>
      </c>
      <c r="L1430" s="324">
        <v>16</v>
      </c>
      <c r="M1430" s="324">
        <v>19</v>
      </c>
      <c r="N1430" s="324">
        <v>22</v>
      </c>
      <c r="O1430" s="324">
        <v>37</v>
      </c>
      <c r="P1430" s="324">
        <v>44</v>
      </c>
    </row>
    <row r="1431" spans="1:16" s="324" customFormat="1" ht="0.65" hidden="1" customHeight="1">
      <c r="A1431" s="324">
        <v>6059</v>
      </c>
      <c r="B1431" s="324">
        <v>-25000</v>
      </c>
      <c r="C1431" s="324">
        <v>-25000</v>
      </c>
      <c r="D1431" s="324">
        <v>1</v>
      </c>
    </row>
    <row r="1432" spans="1:16" s="324" customFormat="1" ht="0.65" hidden="1" customHeight="1">
      <c r="A1432" s="324">
        <v>6060</v>
      </c>
      <c r="G1432" s="324" t="s">
        <v>0</v>
      </c>
      <c r="H1432" s="324" t="s">
        <v>76</v>
      </c>
      <c r="I1432" s="324" t="s">
        <v>77</v>
      </c>
      <c r="J1432" s="324" t="s">
        <v>78</v>
      </c>
      <c r="K1432" s="324" t="s">
        <v>79</v>
      </c>
    </row>
    <row r="1433" spans="1:16" s="324" customFormat="1" ht="0.65" hidden="1" customHeight="1">
      <c r="A1433" s="324">
        <v>6061</v>
      </c>
      <c r="B1433" s="324">
        <v>90</v>
      </c>
      <c r="C1433" s="324">
        <v>90</v>
      </c>
      <c r="D1433" s="324">
        <v>1</v>
      </c>
      <c r="G1433" s="324">
        <v>2022</v>
      </c>
      <c r="M1433" s="324" t="s">
        <v>490</v>
      </c>
      <c r="N1433" s="324">
        <v>1</v>
      </c>
      <c r="O1433" s="324" t="s">
        <v>124</v>
      </c>
      <c r="P1433" s="324">
        <v>45</v>
      </c>
    </row>
    <row r="1434" spans="1:16" s="324" customFormat="1" ht="0.65" hidden="1" customHeight="1">
      <c r="A1434" s="324">
        <v>6062</v>
      </c>
      <c r="B1434" s="324">
        <v>90</v>
      </c>
      <c r="C1434" s="324">
        <v>90</v>
      </c>
      <c r="D1434" s="324">
        <v>1</v>
      </c>
      <c r="G1434" s="324">
        <v>2023</v>
      </c>
      <c r="H1434" s="324">
        <v>23</v>
      </c>
      <c r="I1434" s="324">
        <v>26</v>
      </c>
      <c r="J1434" s="324">
        <v>29</v>
      </c>
      <c r="K1434" s="324">
        <v>32</v>
      </c>
      <c r="M1434" s="324" t="s">
        <v>491</v>
      </c>
      <c r="N1434" s="324">
        <v>38</v>
      </c>
      <c r="O1434" s="324" t="s">
        <v>125</v>
      </c>
      <c r="P1434" s="324">
        <v>46</v>
      </c>
    </row>
    <row r="1435" spans="1:16" s="324" customFormat="1" ht="0.65" hidden="1" customHeight="1">
      <c r="A1435" s="324">
        <v>6063</v>
      </c>
      <c r="G1435" s="324">
        <v>2024</v>
      </c>
      <c r="H1435" s="324">
        <v>24</v>
      </c>
      <c r="I1435" s="324">
        <v>27</v>
      </c>
      <c r="J1435" s="324">
        <v>30</v>
      </c>
      <c r="K1435" s="324">
        <v>33</v>
      </c>
      <c r="M1435" s="324" t="s">
        <v>493</v>
      </c>
      <c r="N1435" s="324">
        <v>39</v>
      </c>
      <c r="O1435" s="324" t="s">
        <v>126</v>
      </c>
      <c r="P1435" s="324">
        <v>47</v>
      </c>
    </row>
    <row r="1436" spans="1:16" s="324" customFormat="1" ht="0.65" hidden="1" customHeight="1">
      <c r="A1436" s="324">
        <v>6064</v>
      </c>
      <c r="G1436" s="324">
        <v>2025</v>
      </c>
      <c r="H1436" s="324">
        <v>25</v>
      </c>
      <c r="I1436" s="324">
        <v>28</v>
      </c>
      <c r="J1436" s="324">
        <v>31</v>
      </c>
      <c r="K1436" s="324">
        <v>34</v>
      </c>
      <c r="M1436" s="324" t="s">
        <v>494</v>
      </c>
      <c r="N1436" s="324">
        <v>40</v>
      </c>
    </row>
    <row r="1437" spans="1:16" s="324" customFormat="1" ht="0.65" hidden="1" customHeight="1">
      <c r="A1437" s="324">
        <v>6065</v>
      </c>
      <c r="B1437" s="324">
        <v>225000</v>
      </c>
      <c r="C1437" s="324">
        <v>225000</v>
      </c>
      <c r="D1437" s="324">
        <v>1</v>
      </c>
    </row>
    <row r="1438" spans="1:16" s="324" customFormat="1" ht="0.65" hidden="1" customHeight="1">
      <c r="A1438" s="324">
        <v>6066</v>
      </c>
      <c r="B1438" s="324">
        <v>187500</v>
      </c>
      <c r="C1438" s="324">
        <v>187500</v>
      </c>
      <c r="D1438" s="324">
        <v>1</v>
      </c>
      <c r="O1438" s="324" t="s">
        <v>13</v>
      </c>
      <c r="P1438" s="324">
        <v>48</v>
      </c>
    </row>
    <row r="1439" spans="1:16" s="324" customFormat="1" ht="0.65" hidden="1" customHeight="1">
      <c r="A1439" s="324">
        <v>6067</v>
      </c>
      <c r="B1439" s="324">
        <v>4</v>
      </c>
      <c r="C1439" s="324">
        <v>4</v>
      </c>
      <c r="D1439" s="324">
        <v>1</v>
      </c>
      <c r="O1439" s="324" t="s">
        <v>28</v>
      </c>
      <c r="P1439" s="324">
        <v>49</v>
      </c>
    </row>
    <row r="1440" spans="1:16" s="324" customFormat="1" ht="0.65" hidden="1" customHeight="1">
      <c r="A1440" s="324">
        <v>6068</v>
      </c>
      <c r="B1440" s="324">
        <v>45000</v>
      </c>
      <c r="C1440" s="324">
        <v>45000</v>
      </c>
      <c r="D1440" s="324">
        <v>1</v>
      </c>
      <c r="O1440" s="324" t="s">
        <v>29</v>
      </c>
      <c r="P1440" s="324">
        <v>50</v>
      </c>
    </row>
    <row r="1441" spans="1:31" s="324" customFormat="1" ht="0.65" hidden="1" customHeight="1">
      <c r="A1441" s="324">
        <v>6069</v>
      </c>
      <c r="O1441" s="324" t="s">
        <v>30</v>
      </c>
      <c r="P1441" s="324">
        <v>51</v>
      </c>
    </row>
    <row r="1442" spans="1:31" s="324" customFormat="1" ht="0.65" hidden="1" customHeight="1">
      <c r="A1442" s="324">
        <v>6070</v>
      </c>
      <c r="B1442" s="324">
        <v>0.25</v>
      </c>
      <c r="C1442" s="324">
        <v>0.25</v>
      </c>
      <c r="D1442" s="324">
        <v>1</v>
      </c>
    </row>
    <row r="1443" spans="1:31" s="324" customFormat="1" ht="0.65" hidden="1" customHeight="1">
      <c r="A1443" s="324">
        <v>6071</v>
      </c>
    </row>
    <row r="1444" spans="1:31" s="324" customFormat="1" ht="0.65" hidden="1" customHeight="1">
      <c r="A1444" s="324">
        <v>6072</v>
      </c>
    </row>
    <row r="1445" spans="1:31" s="324" customFormat="1" ht="0.65" hidden="1" customHeight="1">
      <c r="A1445" s="324">
        <v>6073</v>
      </c>
      <c r="B1445" s="324">
        <v>420000.00000000006</v>
      </c>
      <c r="C1445" s="324">
        <v>420000.00000000006</v>
      </c>
      <c r="D1445" s="324">
        <v>1</v>
      </c>
    </row>
    <row r="1446" spans="1:31" s="324" customFormat="1" ht="0.65" hidden="1" customHeight="1">
      <c r="A1446" s="324">
        <v>6074</v>
      </c>
      <c r="B1446" s="324">
        <v>1800000</v>
      </c>
      <c r="C1446" s="324">
        <v>1800000</v>
      </c>
      <c r="D1446" s="324">
        <v>1</v>
      </c>
      <c r="K1446" s="324" t="s">
        <v>475</v>
      </c>
      <c r="M1446" s="324" t="s">
        <v>212</v>
      </c>
      <c r="N1446" s="324" t="s">
        <v>213</v>
      </c>
      <c r="O1446" s="324" t="s">
        <v>214</v>
      </c>
      <c r="P1446" s="324" t="s">
        <v>215</v>
      </c>
      <c r="Q1446" s="324" t="s">
        <v>216</v>
      </c>
      <c r="R1446" s="324" t="s">
        <v>218</v>
      </c>
      <c r="S1446" s="324" t="s">
        <v>219</v>
      </c>
      <c r="T1446" s="324" t="s">
        <v>220</v>
      </c>
      <c r="U1446" s="324" t="s">
        <v>473</v>
      </c>
      <c r="V1446" s="324" t="s">
        <v>474</v>
      </c>
      <c r="X1446" s="324" t="s">
        <v>223</v>
      </c>
      <c r="Y1446" s="324" t="s">
        <v>224</v>
      </c>
      <c r="Z1446" s="324" t="s">
        <v>225</v>
      </c>
      <c r="AA1446" s="324" t="s">
        <v>226</v>
      </c>
      <c r="AB1446" s="324" t="s">
        <v>227</v>
      </c>
      <c r="AC1446" s="324" t="s">
        <v>228</v>
      </c>
      <c r="AD1446" s="324" t="s">
        <v>229</v>
      </c>
      <c r="AE1446" s="324" t="s">
        <v>230</v>
      </c>
    </row>
    <row r="1447" spans="1:31" s="324" customFormat="1" ht="0.65" hidden="1" customHeight="1">
      <c r="A1447" s="324">
        <v>6075</v>
      </c>
      <c r="B1447" s="324">
        <v>0.02</v>
      </c>
      <c r="C1447" s="324">
        <v>0.02</v>
      </c>
      <c r="D1447" s="324">
        <v>1</v>
      </c>
      <c r="F1447" s="324">
        <v>1</v>
      </c>
      <c r="G1447" s="324">
        <v>1</v>
      </c>
      <c r="H1447" s="324" t="s">
        <v>490</v>
      </c>
      <c r="I1447" s="324">
        <v>534375</v>
      </c>
      <c r="J1447" s="324">
        <v>534375</v>
      </c>
      <c r="K1447" s="324" t="s">
        <v>1858</v>
      </c>
      <c r="M1447" s="324">
        <v>750000</v>
      </c>
      <c r="N1447" s="324">
        <v>525000</v>
      </c>
      <c r="O1447" s="324">
        <v>515625</v>
      </c>
      <c r="P1447" s="324">
        <v>975000</v>
      </c>
      <c r="U1447" s="324" t="s">
        <v>1858</v>
      </c>
      <c r="V1447" s="324" t="s">
        <v>509</v>
      </c>
      <c r="X1447" s="324" t="s">
        <v>231</v>
      </c>
      <c r="Y1447" s="324" t="s">
        <v>250</v>
      </c>
      <c r="Z1447" s="324" t="s">
        <v>251</v>
      </c>
      <c r="AA1447" s="324" t="s">
        <v>232</v>
      </c>
    </row>
    <row r="1448" spans="1:31" s="324" customFormat="1" ht="0.65" hidden="1" customHeight="1">
      <c r="A1448" s="324">
        <v>6076</v>
      </c>
      <c r="B1448" s="324">
        <v>6000000</v>
      </c>
      <c r="C1448" s="324">
        <v>6000000</v>
      </c>
      <c r="D1448" s="324">
        <v>1</v>
      </c>
      <c r="F1448" s="324">
        <v>1</v>
      </c>
      <c r="G1448" s="324">
        <v>2</v>
      </c>
      <c r="H1448" s="324" t="s">
        <v>510</v>
      </c>
      <c r="I1448" s="324">
        <v>250000</v>
      </c>
      <c r="J1448" s="324">
        <v>250000</v>
      </c>
      <c r="K1448" s="324" t="s">
        <v>1859</v>
      </c>
      <c r="M1448" s="324">
        <v>187500</v>
      </c>
      <c r="N1448" s="324">
        <v>62500</v>
      </c>
      <c r="U1448" s="324" t="s">
        <v>1859</v>
      </c>
      <c r="V1448" s="324" t="s">
        <v>512</v>
      </c>
      <c r="X1448" s="324" t="s">
        <v>233</v>
      </c>
    </row>
    <row r="1449" spans="1:31" s="324" customFormat="1" ht="0.65" hidden="1" customHeight="1">
      <c r="A1449" s="324">
        <v>6077</v>
      </c>
      <c r="B1449" s="324">
        <v>18000000</v>
      </c>
      <c r="C1449" s="324">
        <v>18000000</v>
      </c>
      <c r="D1449" s="324">
        <v>1</v>
      </c>
      <c r="F1449" s="324">
        <v>1</v>
      </c>
      <c r="G1449" s="324">
        <v>3</v>
      </c>
      <c r="H1449" s="324" t="s">
        <v>513</v>
      </c>
      <c r="I1449" s="324">
        <v>250000</v>
      </c>
      <c r="J1449" s="324">
        <v>250000</v>
      </c>
      <c r="K1449" s="324" t="s">
        <v>1859</v>
      </c>
      <c r="M1449" s="324">
        <v>187500</v>
      </c>
      <c r="N1449" s="324">
        <v>62500</v>
      </c>
      <c r="O1449" s="324">
        <v>500000</v>
      </c>
      <c r="U1449" s="324" t="s">
        <v>1859</v>
      </c>
      <c r="V1449" s="324" t="s">
        <v>514</v>
      </c>
      <c r="X1449" s="324" t="s">
        <v>233</v>
      </c>
      <c r="Y1449" s="324" t="s">
        <v>252</v>
      </c>
      <c r="Z1449" s="324" t="s">
        <v>234</v>
      </c>
    </row>
    <row r="1450" spans="1:31" s="324" customFormat="1" ht="0.65" hidden="1" customHeight="1">
      <c r="A1450" s="324">
        <v>6078</v>
      </c>
      <c r="F1450" s="324">
        <v>1</v>
      </c>
      <c r="G1450" s="324">
        <v>4</v>
      </c>
      <c r="H1450" s="324" t="s">
        <v>515</v>
      </c>
      <c r="I1450" s="324">
        <v>250000</v>
      </c>
      <c r="J1450" s="324">
        <v>250000</v>
      </c>
      <c r="K1450" s="324" t="s">
        <v>1859</v>
      </c>
      <c r="M1450" s="324">
        <v>187500</v>
      </c>
      <c r="N1450" s="324">
        <v>62500</v>
      </c>
      <c r="O1450" s="324">
        <v>750000</v>
      </c>
      <c r="U1450" s="324" t="s">
        <v>1859</v>
      </c>
      <c r="V1450" s="324" t="s">
        <v>516</v>
      </c>
      <c r="X1450" s="324" t="s">
        <v>233</v>
      </c>
      <c r="Y1450" s="324" t="s">
        <v>252</v>
      </c>
      <c r="Z1450" s="324" t="s">
        <v>235</v>
      </c>
    </row>
    <row r="1451" spans="1:31" s="324" customFormat="1" ht="0.65" hidden="1" customHeight="1">
      <c r="A1451" s="324">
        <v>6079</v>
      </c>
      <c r="C1451" s="324" t="s">
        <v>422</v>
      </c>
      <c r="D1451" s="324">
        <v>28</v>
      </c>
      <c r="F1451" s="324">
        <v>1</v>
      </c>
      <c r="G1451" s="324">
        <v>5</v>
      </c>
      <c r="H1451" s="324" t="s">
        <v>517</v>
      </c>
      <c r="I1451" s="324">
        <v>-25000</v>
      </c>
      <c r="J1451" s="324">
        <v>-25000</v>
      </c>
      <c r="K1451" s="324" t="s">
        <v>1860</v>
      </c>
      <c r="M1451" s="324">
        <v>-18750</v>
      </c>
      <c r="N1451" s="324">
        <v>-6250</v>
      </c>
      <c r="U1451" s="324" t="s">
        <v>1860</v>
      </c>
      <c r="V1451" s="324" t="s">
        <v>519</v>
      </c>
      <c r="X1451" s="324" t="s">
        <v>236</v>
      </c>
      <c r="Y1451" s="324" t="s">
        <v>253</v>
      </c>
    </row>
    <row r="1452" spans="1:31" s="324" customFormat="1" ht="0.65" hidden="1" customHeight="1">
      <c r="A1452" s="324">
        <v>6080</v>
      </c>
      <c r="C1452" s="324" t="s">
        <v>423</v>
      </c>
      <c r="D1452" s="324" t="s">
        <v>520</v>
      </c>
      <c r="F1452" s="324">
        <v>1</v>
      </c>
      <c r="G1452" s="324">
        <v>6</v>
      </c>
      <c r="H1452" s="324" t="s">
        <v>521</v>
      </c>
      <c r="I1452" s="324">
        <v>-25000</v>
      </c>
      <c r="J1452" s="324">
        <v>-25000</v>
      </c>
      <c r="K1452" s="324" t="s">
        <v>1860</v>
      </c>
      <c r="M1452" s="324">
        <v>-18750</v>
      </c>
      <c r="N1452" s="324">
        <v>-6250</v>
      </c>
      <c r="O1452" s="324">
        <v>-50000</v>
      </c>
      <c r="U1452" s="324" t="s">
        <v>1860</v>
      </c>
      <c r="V1452" s="324" t="s">
        <v>522</v>
      </c>
      <c r="X1452" s="324" t="s">
        <v>236</v>
      </c>
      <c r="Y1452" s="324" t="s">
        <v>253</v>
      </c>
      <c r="Z1452" s="324" t="s">
        <v>237</v>
      </c>
    </row>
    <row r="1453" spans="1:31" s="324" customFormat="1" ht="0.65" hidden="1" customHeight="1">
      <c r="A1453" s="324">
        <v>6081</v>
      </c>
      <c r="F1453" s="324">
        <v>1</v>
      </c>
      <c r="G1453" s="324">
        <v>7</v>
      </c>
      <c r="H1453" s="324" t="s">
        <v>523</v>
      </c>
      <c r="I1453" s="324">
        <v>-25000</v>
      </c>
      <c r="J1453" s="324">
        <v>-25000</v>
      </c>
      <c r="K1453" s="324" t="s">
        <v>1860</v>
      </c>
      <c r="M1453" s="324">
        <v>-18750</v>
      </c>
      <c r="N1453" s="324">
        <v>-6250</v>
      </c>
      <c r="O1453" s="324">
        <v>-75000</v>
      </c>
      <c r="U1453" s="324" t="s">
        <v>1860</v>
      </c>
      <c r="V1453" s="324" t="s">
        <v>524</v>
      </c>
      <c r="X1453" s="324" t="s">
        <v>236</v>
      </c>
      <c r="Y1453" s="324" t="s">
        <v>253</v>
      </c>
      <c r="Z1453" s="324" t="s">
        <v>238</v>
      </c>
    </row>
    <row r="1454" spans="1:31" s="324" customFormat="1" ht="0.65" hidden="1" customHeight="1">
      <c r="A1454" s="324">
        <v>6082</v>
      </c>
      <c r="B1454" s="324">
        <v>2022</v>
      </c>
      <c r="C1454" s="324">
        <v>2022</v>
      </c>
      <c r="D1454" s="324">
        <v>1</v>
      </c>
      <c r="F1454" s="324">
        <v>1</v>
      </c>
      <c r="G1454" s="324">
        <v>8</v>
      </c>
      <c r="H1454" s="324" t="s">
        <v>525</v>
      </c>
      <c r="I1454" s="324">
        <v>28125</v>
      </c>
      <c r="J1454" s="324">
        <v>28125</v>
      </c>
      <c r="K1454" s="324" t="s">
        <v>1861</v>
      </c>
      <c r="M1454" s="324">
        <v>75000</v>
      </c>
      <c r="N1454" s="324">
        <v>121875</v>
      </c>
      <c r="O1454" s="324">
        <v>18750</v>
      </c>
      <c r="P1454" s="324">
        <v>-28125</v>
      </c>
      <c r="U1454" s="324" t="s">
        <v>1861</v>
      </c>
      <c r="V1454" s="324" t="s">
        <v>527</v>
      </c>
      <c r="X1454" s="324" t="s">
        <v>239</v>
      </c>
      <c r="Y1454" s="324" t="s">
        <v>240</v>
      </c>
      <c r="Z1454" s="324" t="s">
        <v>241</v>
      </c>
      <c r="AA1454" s="324" t="s">
        <v>242</v>
      </c>
    </row>
    <row r="1455" spans="1:31" s="324" customFormat="1" ht="0.65" hidden="1" customHeight="1">
      <c r="A1455" s="324">
        <v>6083</v>
      </c>
      <c r="B1455" s="324">
        <v>2023</v>
      </c>
      <c r="C1455" s="324">
        <v>2023</v>
      </c>
      <c r="D1455" s="324">
        <v>1</v>
      </c>
      <c r="F1455" s="324">
        <v>1</v>
      </c>
      <c r="G1455" s="324">
        <v>9</v>
      </c>
      <c r="H1455" s="324" t="s">
        <v>528</v>
      </c>
      <c r="I1455" s="324">
        <v>28125</v>
      </c>
      <c r="J1455" s="324">
        <v>28125</v>
      </c>
      <c r="K1455" s="324" t="s">
        <v>1861</v>
      </c>
      <c r="M1455" s="324">
        <v>75000</v>
      </c>
      <c r="N1455" s="324">
        <v>121875</v>
      </c>
      <c r="O1455" s="324">
        <v>18750</v>
      </c>
      <c r="P1455" s="324">
        <v>-28125</v>
      </c>
      <c r="U1455" s="324" t="s">
        <v>1861</v>
      </c>
      <c r="V1455" s="324" t="s">
        <v>529</v>
      </c>
      <c r="X1455" s="324" t="s">
        <v>239</v>
      </c>
      <c r="Y1455" s="324" t="s">
        <v>240</v>
      </c>
      <c r="Z1455" s="324" t="s">
        <v>241</v>
      </c>
      <c r="AA1455" s="324" t="s">
        <v>242</v>
      </c>
    </row>
    <row r="1456" spans="1:31" s="324" customFormat="1" ht="0.65" hidden="1" customHeight="1">
      <c r="A1456" s="324">
        <v>6084</v>
      </c>
      <c r="B1456" s="324">
        <v>2024</v>
      </c>
      <c r="C1456" s="324">
        <v>2024</v>
      </c>
      <c r="D1456" s="324">
        <v>1</v>
      </c>
      <c r="F1456" s="324">
        <v>1</v>
      </c>
      <c r="G1456" s="324">
        <v>10</v>
      </c>
      <c r="H1456" s="324" t="s">
        <v>530</v>
      </c>
      <c r="I1456" s="324">
        <v>28125</v>
      </c>
      <c r="J1456" s="324">
        <v>28125</v>
      </c>
      <c r="K1456" s="324" t="s">
        <v>1861</v>
      </c>
      <c r="M1456" s="324">
        <v>75000</v>
      </c>
      <c r="N1456" s="324">
        <v>121875</v>
      </c>
      <c r="O1456" s="324">
        <v>18750</v>
      </c>
      <c r="P1456" s="324">
        <v>-28125</v>
      </c>
      <c r="Q1456" s="324">
        <v>28125</v>
      </c>
      <c r="U1456" s="324" t="s">
        <v>1861</v>
      </c>
      <c r="V1456" s="324" t="s">
        <v>532</v>
      </c>
      <c r="X1456" s="324" t="s">
        <v>239</v>
      </c>
      <c r="Y1456" s="324" t="s">
        <v>240</v>
      </c>
      <c r="Z1456" s="324" t="s">
        <v>241</v>
      </c>
      <c r="AA1456" s="324" t="s">
        <v>242</v>
      </c>
      <c r="AB1456" s="324" t="s">
        <v>254</v>
      </c>
    </row>
    <row r="1457" spans="1:26" s="324" customFormat="1" ht="0.65" hidden="1" customHeight="1">
      <c r="A1457" s="324">
        <v>6085</v>
      </c>
      <c r="B1457" s="324">
        <v>2025</v>
      </c>
      <c r="C1457" s="324">
        <v>2025</v>
      </c>
      <c r="D1457" s="324">
        <v>1</v>
      </c>
      <c r="F1457" s="324">
        <v>1</v>
      </c>
      <c r="G1457" s="324">
        <v>11</v>
      </c>
      <c r="H1457" s="324" t="s">
        <v>533</v>
      </c>
      <c r="I1457" s="324">
        <v>246875</v>
      </c>
      <c r="J1457" s="324">
        <v>246875</v>
      </c>
      <c r="K1457" s="324" t="s">
        <v>1862</v>
      </c>
      <c r="M1457" s="324">
        <v>303125</v>
      </c>
      <c r="N1457" s="324">
        <v>275000</v>
      </c>
      <c r="O1457" s="324">
        <v>196875</v>
      </c>
      <c r="U1457" s="324" t="s">
        <v>1862</v>
      </c>
      <c r="V1457" s="324" t="s">
        <v>535</v>
      </c>
      <c r="X1457" s="324" t="s">
        <v>243</v>
      </c>
      <c r="Y1457" s="324" t="s">
        <v>255</v>
      </c>
      <c r="Z1457" s="324" t="s">
        <v>341</v>
      </c>
    </row>
    <row r="1458" spans="1:26" s="324" customFormat="1" ht="0.65" hidden="1" customHeight="1">
      <c r="A1458" s="324">
        <v>6086</v>
      </c>
      <c r="F1458" s="324">
        <v>1</v>
      </c>
      <c r="G1458" s="324">
        <v>12</v>
      </c>
      <c r="H1458" s="324" t="s">
        <v>536</v>
      </c>
      <c r="I1458" s="324">
        <v>246875</v>
      </c>
      <c r="J1458" s="324">
        <v>246875</v>
      </c>
      <c r="K1458" s="324" t="s">
        <v>1862</v>
      </c>
      <c r="M1458" s="324">
        <v>303125</v>
      </c>
      <c r="N1458" s="324">
        <v>275000</v>
      </c>
      <c r="O1458" s="324">
        <v>196875</v>
      </c>
      <c r="U1458" s="324" t="s">
        <v>1862</v>
      </c>
      <c r="V1458" s="324" t="s">
        <v>537</v>
      </c>
      <c r="X1458" s="324" t="s">
        <v>243</v>
      </c>
      <c r="Y1458" s="324" t="s">
        <v>255</v>
      </c>
      <c r="Z1458" s="324" t="s">
        <v>341</v>
      </c>
    </row>
    <row r="1459" spans="1:26" s="324" customFormat="1" ht="0.65" hidden="1" customHeight="1">
      <c r="A1459" s="324">
        <v>6087</v>
      </c>
      <c r="F1459" s="324">
        <v>1</v>
      </c>
      <c r="G1459" s="324">
        <v>13</v>
      </c>
      <c r="H1459" s="324" t="s">
        <v>538</v>
      </c>
      <c r="I1459" s="324">
        <v>246875</v>
      </c>
      <c r="J1459" s="324">
        <v>246875</v>
      </c>
      <c r="K1459" s="324" t="s">
        <v>1862</v>
      </c>
      <c r="M1459" s="324">
        <v>303125</v>
      </c>
      <c r="N1459" s="324">
        <v>275000</v>
      </c>
      <c r="O1459" s="324">
        <v>150000</v>
      </c>
      <c r="U1459" s="324" t="s">
        <v>1862</v>
      </c>
      <c r="V1459" s="324" t="s">
        <v>540</v>
      </c>
      <c r="X1459" s="324" t="s">
        <v>243</v>
      </c>
      <c r="Y1459" s="324" t="s">
        <v>255</v>
      </c>
      <c r="Z1459" s="324" t="s">
        <v>341</v>
      </c>
    </row>
    <row r="1460" spans="1:26" s="324" customFormat="1" ht="0.65" hidden="1" customHeight="1">
      <c r="A1460" s="324">
        <v>6088</v>
      </c>
      <c r="B1460" s="324">
        <v>2022</v>
      </c>
      <c r="C1460" s="324">
        <v>2022</v>
      </c>
      <c r="D1460" s="324">
        <v>1</v>
      </c>
      <c r="F1460" s="324">
        <v>1</v>
      </c>
      <c r="G1460" s="324">
        <v>14</v>
      </c>
      <c r="H1460" s="324" t="s">
        <v>541</v>
      </c>
      <c r="I1460" s="324">
        <v>61718.75</v>
      </c>
      <c r="J1460" s="324">
        <v>61718.75</v>
      </c>
      <c r="K1460" s="324" t="s">
        <v>1863</v>
      </c>
      <c r="M1460" s="324">
        <v>0</v>
      </c>
      <c r="N1460" s="324">
        <v>74062.5</v>
      </c>
      <c r="O1460" s="324">
        <v>185156.25</v>
      </c>
      <c r="U1460" s="324" t="s">
        <v>1863</v>
      </c>
      <c r="V1460" s="324" t="s">
        <v>543</v>
      </c>
      <c r="X1460" s="324" t="s">
        <v>279</v>
      </c>
      <c r="Y1460" s="324" t="s">
        <v>280</v>
      </c>
      <c r="Z1460" s="324" t="s">
        <v>342</v>
      </c>
    </row>
    <row r="1461" spans="1:26" s="324" customFormat="1" ht="0.65" hidden="1" customHeight="1">
      <c r="A1461" s="324">
        <v>6089</v>
      </c>
      <c r="B1461" s="324">
        <v>2023</v>
      </c>
      <c r="C1461" s="324">
        <v>2023</v>
      </c>
      <c r="D1461" s="324">
        <v>1</v>
      </c>
      <c r="F1461" s="324">
        <v>1</v>
      </c>
      <c r="G1461" s="324">
        <v>15</v>
      </c>
      <c r="H1461" s="324" t="s">
        <v>544</v>
      </c>
      <c r="I1461" s="324">
        <v>61718.75</v>
      </c>
      <c r="J1461" s="324">
        <v>61718.75</v>
      </c>
      <c r="K1461" s="324" t="s">
        <v>1863</v>
      </c>
      <c r="M1461" s="324">
        <v>0</v>
      </c>
      <c r="N1461" s="324">
        <v>74062.5</v>
      </c>
      <c r="O1461" s="324">
        <v>185156.25</v>
      </c>
      <c r="U1461" s="324" t="s">
        <v>1863</v>
      </c>
      <c r="V1461" s="324" t="s">
        <v>545</v>
      </c>
      <c r="X1461" s="324" t="s">
        <v>279</v>
      </c>
      <c r="Y1461" s="324" t="s">
        <v>280</v>
      </c>
      <c r="Z1461" s="324" t="s">
        <v>342</v>
      </c>
    </row>
    <row r="1462" spans="1:26" s="324" customFormat="1" ht="0.65" hidden="1" customHeight="1">
      <c r="A1462" s="324">
        <v>6090</v>
      </c>
      <c r="B1462" s="324">
        <v>2024</v>
      </c>
      <c r="C1462" s="324">
        <v>2024</v>
      </c>
      <c r="D1462" s="324">
        <v>1</v>
      </c>
      <c r="F1462" s="324">
        <v>1</v>
      </c>
      <c r="G1462" s="324">
        <v>16</v>
      </c>
      <c r="H1462" s="324" t="s">
        <v>546</v>
      </c>
      <c r="I1462" s="324">
        <v>61718.75</v>
      </c>
      <c r="J1462" s="324">
        <v>61718.75</v>
      </c>
      <c r="K1462" s="324" t="s">
        <v>1863</v>
      </c>
      <c r="M1462" s="324">
        <v>0</v>
      </c>
      <c r="N1462" s="324">
        <v>74062.5</v>
      </c>
      <c r="O1462" s="324">
        <v>150000</v>
      </c>
      <c r="U1462" s="324" t="s">
        <v>1863</v>
      </c>
      <c r="V1462" s="324" t="s">
        <v>548</v>
      </c>
      <c r="X1462" s="324" t="s">
        <v>279</v>
      </c>
      <c r="Y1462" s="324" t="s">
        <v>280</v>
      </c>
      <c r="Z1462" s="324" t="s">
        <v>342</v>
      </c>
    </row>
    <row r="1463" spans="1:26" s="324" customFormat="1" ht="0.65" hidden="1" customHeight="1">
      <c r="A1463" s="324">
        <v>6091</v>
      </c>
      <c r="B1463" s="324">
        <v>2025</v>
      </c>
      <c r="C1463" s="324">
        <v>2025</v>
      </c>
      <c r="D1463" s="324">
        <v>1</v>
      </c>
      <c r="F1463" s="324">
        <v>1</v>
      </c>
      <c r="G1463" s="324">
        <v>17</v>
      </c>
      <c r="H1463" s="324" t="s">
        <v>549</v>
      </c>
      <c r="I1463" s="324">
        <v>185156.25</v>
      </c>
      <c r="J1463" s="324">
        <v>185156.25</v>
      </c>
      <c r="K1463" s="324" t="s">
        <v>1864</v>
      </c>
      <c r="M1463" s="324">
        <v>308593.75</v>
      </c>
      <c r="U1463" s="324" t="s">
        <v>1864</v>
      </c>
      <c r="V1463" s="324" t="s">
        <v>551</v>
      </c>
      <c r="X1463" s="324" t="s">
        <v>256</v>
      </c>
    </row>
    <row r="1464" spans="1:26" s="324" customFormat="1" ht="0.65" hidden="1" customHeight="1">
      <c r="A1464" s="324">
        <v>6092</v>
      </c>
      <c r="F1464" s="324">
        <v>1</v>
      </c>
      <c r="G1464" s="324">
        <v>18</v>
      </c>
      <c r="H1464" s="324" t="s">
        <v>552</v>
      </c>
      <c r="I1464" s="324">
        <v>185156.25</v>
      </c>
      <c r="J1464" s="324">
        <v>185156.25</v>
      </c>
      <c r="K1464" s="324" t="s">
        <v>1864</v>
      </c>
      <c r="M1464" s="324">
        <v>308593.75</v>
      </c>
      <c r="U1464" s="324" t="s">
        <v>1864</v>
      </c>
      <c r="V1464" s="324" t="s">
        <v>553</v>
      </c>
      <c r="X1464" s="324" t="s">
        <v>256</v>
      </c>
    </row>
    <row r="1465" spans="1:26" s="324" customFormat="1" ht="0.65" hidden="1" customHeight="1">
      <c r="A1465" s="324">
        <v>6093</v>
      </c>
      <c r="B1465" s="324">
        <v>0</v>
      </c>
      <c r="C1465" s="324">
        <v>0</v>
      </c>
      <c r="D1465" s="324">
        <v>1</v>
      </c>
      <c r="F1465" s="324">
        <v>1</v>
      </c>
      <c r="G1465" s="324">
        <v>19</v>
      </c>
      <c r="H1465" s="324" t="s">
        <v>554</v>
      </c>
      <c r="I1465" s="324">
        <v>185156.25</v>
      </c>
      <c r="J1465" s="324">
        <v>185156.25</v>
      </c>
      <c r="K1465" s="324" t="s">
        <v>1864</v>
      </c>
      <c r="M1465" s="324">
        <v>308593.75</v>
      </c>
      <c r="U1465" s="324" t="s">
        <v>1864</v>
      </c>
      <c r="V1465" s="324" t="s">
        <v>556</v>
      </c>
      <c r="X1465" s="324" t="s">
        <v>256</v>
      </c>
    </row>
    <row r="1466" spans="1:26" s="324" customFormat="1" ht="0.65" hidden="1" customHeight="1">
      <c r="A1466" s="324">
        <v>6094</v>
      </c>
      <c r="B1466" s="324">
        <v>0</v>
      </c>
      <c r="C1466" s="324">
        <v>0</v>
      </c>
      <c r="D1466" s="324">
        <v>1</v>
      </c>
      <c r="F1466" s="324">
        <v>1</v>
      </c>
      <c r="G1466" s="324">
        <v>20</v>
      </c>
      <c r="H1466" s="324" t="s">
        <v>557</v>
      </c>
      <c r="I1466" s="324">
        <v>213281.25</v>
      </c>
      <c r="J1466" s="324">
        <v>213281.25</v>
      </c>
      <c r="K1466" s="324" t="s">
        <v>1865</v>
      </c>
      <c r="M1466" s="324">
        <v>185156.25</v>
      </c>
      <c r="N1466" s="324">
        <v>157031.25</v>
      </c>
      <c r="U1466" s="324" t="s">
        <v>1865</v>
      </c>
      <c r="V1466" s="324" t="s">
        <v>559</v>
      </c>
      <c r="X1466" s="324" t="s">
        <v>257</v>
      </c>
      <c r="Y1466" s="324" t="s">
        <v>258</v>
      </c>
    </row>
    <row r="1467" spans="1:26" s="324" customFormat="1" ht="0.65" hidden="1" customHeight="1">
      <c r="A1467" s="324">
        <v>6095</v>
      </c>
      <c r="B1467" s="324">
        <v>0</v>
      </c>
      <c r="C1467" s="324">
        <v>0</v>
      </c>
      <c r="D1467" s="324">
        <v>1</v>
      </c>
      <c r="F1467" s="324">
        <v>1</v>
      </c>
      <c r="G1467" s="324">
        <v>21</v>
      </c>
      <c r="H1467" s="324" t="s">
        <v>560</v>
      </c>
      <c r="I1467" s="324">
        <v>213281.25</v>
      </c>
      <c r="J1467" s="324">
        <v>213281.25</v>
      </c>
      <c r="K1467" s="324" t="s">
        <v>1865</v>
      </c>
      <c r="M1467" s="324">
        <v>185156.25</v>
      </c>
      <c r="N1467" s="324">
        <v>157031.25</v>
      </c>
      <c r="U1467" s="324" t="s">
        <v>1865</v>
      </c>
      <c r="V1467" s="324" t="s">
        <v>561</v>
      </c>
      <c r="X1467" s="324" t="s">
        <v>257</v>
      </c>
      <c r="Y1467" s="324" t="s">
        <v>258</v>
      </c>
    </row>
    <row r="1468" spans="1:26" s="324" customFormat="1" ht="0.65" hidden="1" customHeight="1">
      <c r="A1468" s="324">
        <v>6096</v>
      </c>
      <c r="F1468" s="324">
        <v>1</v>
      </c>
      <c r="G1468" s="324">
        <v>22</v>
      </c>
      <c r="H1468" s="324" t="s">
        <v>562</v>
      </c>
      <c r="I1468" s="324">
        <v>213281.25</v>
      </c>
      <c r="J1468" s="324">
        <v>213281.25</v>
      </c>
      <c r="K1468" s="324" t="s">
        <v>1865</v>
      </c>
      <c r="M1468" s="324">
        <v>185156.25</v>
      </c>
      <c r="N1468" s="324">
        <v>157031.25</v>
      </c>
      <c r="U1468" s="324" t="s">
        <v>1865</v>
      </c>
      <c r="V1468" s="324" t="s">
        <v>564</v>
      </c>
      <c r="X1468" s="324" t="s">
        <v>257</v>
      </c>
      <c r="Y1468" s="324" t="s">
        <v>258</v>
      </c>
    </row>
    <row r="1469" spans="1:26" s="324" customFormat="1" ht="0.65" hidden="1" customHeight="1">
      <c r="A1469" s="324">
        <v>6097</v>
      </c>
      <c r="F1469" s="324">
        <v>1</v>
      </c>
      <c r="G1469" s="324">
        <v>23</v>
      </c>
      <c r="H1469" s="324" t="s">
        <v>565</v>
      </c>
      <c r="I1469" s="324">
        <v>62500</v>
      </c>
      <c r="J1469" s="324">
        <v>62500</v>
      </c>
      <c r="K1469" s="324" t="s">
        <v>1866</v>
      </c>
      <c r="M1469" s="324">
        <v>187500</v>
      </c>
      <c r="N1469" s="324">
        <v>62500</v>
      </c>
      <c r="O1469" s="324">
        <v>250000</v>
      </c>
      <c r="U1469" s="324" t="s">
        <v>1866</v>
      </c>
      <c r="V1469" s="324" t="s">
        <v>567</v>
      </c>
      <c r="X1469" s="324" t="s">
        <v>259</v>
      </c>
      <c r="Y1469" s="324" t="s">
        <v>260</v>
      </c>
      <c r="Z1469" s="324" t="s">
        <v>343</v>
      </c>
    </row>
    <row r="1470" spans="1:26" s="324" customFormat="1" ht="0.65" hidden="1" customHeight="1">
      <c r="A1470" s="324">
        <v>6098</v>
      </c>
      <c r="F1470" s="324">
        <v>1</v>
      </c>
      <c r="G1470" s="324">
        <v>24</v>
      </c>
      <c r="H1470" s="324" t="s">
        <v>568</v>
      </c>
      <c r="I1470" s="324">
        <v>62500</v>
      </c>
      <c r="J1470" s="324">
        <v>62500</v>
      </c>
      <c r="K1470" s="324" t="s">
        <v>1866</v>
      </c>
      <c r="M1470" s="324">
        <v>187500</v>
      </c>
      <c r="N1470" s="324">
        <v>62500</v>
      </c>
      <c r="O1470" s="324">
        <v>125000</v>
      </c>
      <c r="U1470" s="324" t="s">
        <v>1866</v>
      </c>
      <c r="V1470" s="324" t="s">
        <v>569</v>
      </c>
      <c r="X1470" s="324" t="s">
        <v>259</v>
      </c>
      <c r="Y1470" s="324" t="s">
        <v>260</v>
      </c>
      <c r="Z1470" s="324" t="s">
        <v>261</v>
      </c>
    </row>
    <row r="1471" spans="1:26" s="324" customFormat="1" ht="0.65" hidden="1" customHeight="1">
      <c r="A1471" s="324">
        <v>6099</v>
      </c>
      <c r="F1471" s="324">
        <v>1</v>
      </c>
      <c r="G1471" s="324">
        <v>25</v>
      </c>
      <c r="H1471" s="324" t="s">
        <v>570</v>
      </c>
      <c r="I1471" s="324">
        <v>62500</v>
      </c>
      <c r="J1471" s="324">
        <v>62500</v>
      </c>
      <c r="K1471" s="324" t="s">
        <v>1866</v>
      </c>
      <c r="M1471" s="324">
        <v>187500</v>
      </c>
      <c r="N1471" s="324">
        <v>62500</v>
      </c>
      <c r="O1471" s="324">
        <v>187500</v>
      </c>
      <c r="U1471" s="324" t="s">
        <v>1866</v>
      </c>
      <c r="V1471" s="324" t="s">
        <v>571</v>
      </c>
      <c r="X1471" s="324" t="s">
        <v>259</v>
      </c>
      <c r="Y1471" s="324" t="s">
        <v>260</v>
      </c>
      <c r="Z1471" s="324" t="s">
        <v>261</v>
      </c>
    </row>
    <row r="1472" spans="1:26" s="324" customFormat="1" ht="0.65" hidden="1" customHeight="1">
      <c r="A1472" s="324">
        <v>6100</v>
      </c>
      <c r="F1472" s="324">
        <v>1</v>
      </c>
      <c r="G1472" s="324">
        <v>26</v>
      </c>
      <c r="H1472" s="324" t="s">
        <v>572</v>
      </c>
      <c r="I1472" s="324">
        <v>-6250</v>
      </c>
      <c r="J1472" s="324">
        <v>-6250</v>
      </c>
      <c r="K1472" s="324" t="s">
        <v>1867</v>
      </c>
      <c r="M1472" s="324">
        <v>-18750</v>
      </c>
      <c r="N1472" s="324">
        <v>-6250</v>
      </c>
      <c r="O1472" s="324">
        <v>-25000</v>
      </c>
      <c r="U1472" s="324" t="s">
        <v>1867</v>
      </c>
      <c r="V1472" s="324" t="s">
        <v>574</v>
      </c>
      <c r="X1472" s="324" t="s">
        <v>262</v>
      </c>
      <c r="Y1472" s="324" t="s">
        <v>263</v>
      </c>
      <c r="Z1472" s="324" t="s">
        <v>344</v>
      </c>
    </row>
    <row r="1473" spans="1:28" s="324" customFormat="1" ht="0.65" hidden="1" customHeight="1">
      <c r="A1473" s="324">
        <v>6101</v>
      </c>
      <c r="F1473" s="324">
        <v>1</v>
      </c>
      <c r="G1473" s="324">
        <v>27</v>
      </c>
      <c r="H1473" s="324" t="s">
        <v>575</v>
      </c>
      <c r="I1473" s="324">
        <v>-6250</v>
      </c>
      <c r="J1473" s="324">
        <v>-6250</v>
      </c>
      <c r="K1473" s="324" t="s">
        <v>1867</v>
      </c>
      <c r="M1473" s="324">
        <v>-18750</v>
      </c>
      <c r="N1473" s="324">
        <v>-6250</v>
      </c>
      <c r="O1473" s="324">
        <v>-12500</v>
      </c>
      <c r="U1473" s="324" t="s">
        <v>1867</v>
      </c>
      <c r="V1473" s="324" t="s">
        <v>576</v>
      </c>
      <c r="X1473" s="324" t="s">
        <v>262</v>
      </c>
      <c r="Y1473" s="324" t="s">
        <v>263</v>
      </c>
      <c r="Z1473" s="324" t="s">
        <v>264</v>
      </c>
    </row>
    <row r="1474" spans="1:28" s="324" customFormat="1" ht="0.65" hidden="1" customHeight="1">
      <c r="A1474" s="324">
        <v>6102</v>
      </c>
      <c r="F1474" s="324">
        <v>1</v>
      </c>
      <c r="G1474" s="324">
        <v>28</v>
      </c>
      <c r="H1474" s="324" t="s">
        <v>577</v>
      </c>
      <c r="I1474" s="324">
        <v>-6250</v>
      </c>
      <c r="J1474" s="324">
        <v>-6250</v>
      </c>
      <c r="K1474" s="324" t="s">
        <v>1867</v>
      </c>
      <c r="M1474" s="324">
        <v>-18750</v>
      </c>
      <c r="N1474" s="324">
        <v>-6250</v>
      </c>
      <c r="O1474" s="324">
        <v>-18750</v>
      </c>
      <c r="U1474" s="324" t="s">
        <v>1867</v>
      </c>
      <c r="V1474" s="324" t="s">
        <v>578</v>
      </c>
      <c r="X1474" s="324" t="s">
        <v>262</v>
      </c>
      <c r="Y1474" s="324" t="s">
        <v>263</v>
      </c>
      <c r="Z1474" s="324" t="s">
        <v>264</v>
      </c>
    </row>
    <row r="1475" spans="1:28" s="324" customFormat="1" ht="0.65" hidden="1" customHeight="1">
      <c r="A1475" s="324">
        <v>6103</v>
      </c>
      <c r="F1475" s="324">
        <v>1</v>
      </c>
      <c r="G1475" s="324">
        <v>29</v>
      </c>
      <c r="H1475" s="324" t="s">
        <v>579</v>
      </c>
      <c r="I1475" s="324">
        <v>68750</v>
      </c>
      <c r="J1475" s="324">
        <v>68750</v>
      </c>
      <c r="K1475" s="324" t="s">
        <v>1868</v>
      </c>
      <c r="M1475" s="324">
        <v>56250</v>
      </c>
      <c r="N1475" s="324">
        <v>0</v>
      </c>
      <c r="O1475" s="324">
        <v>62500</v>
      </c>
      <c r="U1475" s="324" t="s">
        <v>1868</v>
      </c>
      <c r="V1475" s="324" t="s">
        <v>581</v>
      </c>
      <c r="X1475" s="324" t="s">
        <v>265</v>
      </c>
      <c r="Y1475" s="324" t="s">
        <v>266</v>
      </c>
      <c r="Z1475" s="324" t="s">
        <v>281</v>
      </c>
    </row>
    <row r="1476" spans="1:28" s="324" customFormat="1" ht="0.65" hidden="1" customHeight="1">
      <c r="A1476" s="324">
        <v>6104</v>
      </c>
      <c r="F1476" s="324">
        <v>1</v>
      </c>
      <c r="G1476" s="324">
        <v>30</v>
      </c>
      <c r="H1476" s="324" t="s">
        <v>582</v>
      </c>
      <c r="I1476" s="324">
        <v>68750</v>
      </c>
      <c r="J1476" s="324">
        <v>68750</v>
      </c>
      <c r="K1476" s="324" t="s">
        <v>1868</v>
      </c>
      <c r="M1476" s="324">
        <v>56250</v>
      </c>
      <c r="N1476" s="324">
        <v>0</v>
      </c>
      <c r="O1476" s="324">
        <v>62500</v>
      </c>
      <c r="U1476" s="324" t="s">
        <v>1868</v>
      </c>
      <c r="V1476" s="324" t="s">
        <v>583</v>
      </c>
      <c r="X1476" s="324" t="s">
        <v>265</v>
      </c>
      <c r="Y1476" s="324" t="s">
        <v>266</v>
      </c>
      <c r="Z1476" s="324" t="s">
        <v>281</v>
      </c>
    </row>
    <row r="1477" spans="1:28" s="324" customFormat="1" ht="0.65" hidden="1" customHeight="1">
      <c r="A1477" s="324">
        <v>6105</v>
      </c>
      <c r="F1477" s="324">
        <v>1</v>
      </c>
      <c r="G1477" s="324">
        <v>31</v>
      </c>
      <c r="H1477" s="324" t="s">
        <v>584</v>
      </c>
      <c r="I1477" s="324">
        <v>68750</v>
      </c>
      <c r="J1477" s="324">
        <v>68750</v>
      </c>
      <c r="K1477" s="324" t="s">
        <v>1868</v>
      </c>
      <c r="M1477" s="324">
        <v>56250</v>
      </c>
      <c r="N1477" s="324">
        <v>0</v>
      </c>
      <c r="O1477" s="324">
        <v>62500</v>
      </c>
      <c r="U1477" s="324" t="s">
        <v>1868</v>
      </c>
      <c r="V1477" s="324" t="s">
        <v>585</v>
      </c>
      <c r="X1477" s="324" t="s">
        <v>265</v>
      </c>
      <c r="Y1477" s="324" t="s">
        <v>266</v>
      </c>
      <c r="Z1477" s="324" t="s">
        <v>281</v>
      </c>
    </row>
    <row r="1478" spans="1:28" s="324" customFormat="1" ht="0.65" hidden="1" customHeight="1">
      <c r="A1478" s="324">
        <v>6106</v>
      </c>
      <c r="F1478" s="324">
        <v>1</v>
      </c>
      <c r="G1478" s="324">
        <v>32</v>
      </c>
      <c r="H1478" s="324" t="s">
        <v>586</v>
      </c>
      <c r="I1478" s="324">
        <v>68750</v>
      </c>
      <c r="J1478" s="324">
        <v>68750</v>
      </c>
      <c r="K1478" s="324" t="s">
        <v>1869</v>
      </c>
      <c r="U1478" s="324" t="s">
        <v>1869</v>
      </c>
      <c r="V1478" s="324" t="s">
        <v>588</v>
      </c>
    </row>
    <row r="1479" spans="1:28" s="324" customFormat="1" ht="0.65" hidden="1" customHeight="1">
      <c r="A1479" s="324">
        <v>6107</v>
      </c>
      <c r="F1479" s="324">
        <v>1</v>
      </c>
      <c r="G1479" s="324">
        <v>33</v>
      </c>
      <c r="H1479" s="324" t="s">
        <v>589</v>
      </c>
      <c r="I1479" s="324">
        <v>0</v>
      </c>
      <c r="J1479" s="324">
        <v>0</v>
      </c>
      <c r="K1479" s="324" t="s">
        <v>1856</v>
      </c>
      <c r="M1479" s="324">
        <v>68750</v>
      </c>
      <c r="N1479" s="324">
        <v>137500</v>
      </c>
      <c r="U1479" s="324" t="s">
        <v>1856</v>
      </c>
      <c r="V1479" s="324" t="s">
        <v>507</v>
      </c>
      <c r="X1479" s="324" t="s">
        <v>267</v>
      </c>
      <c r="Y1479" s="324" t="s">
        <v>268</v>
      </c>
    </row>
    <row r="1480" spans="1:28" s="324" customFormat="1" ht="0.65" hidden="1" customHeight="1">
      <c r="A1480" s="324">
        <v>6108</v>
      </c>
      <c r="F1480" s="324">
        <v>1</v>
      </c>
      <c r="G1480" s="324">
        <v>34</v>
      </c>
      <c r="H1480" s="324" t="s">
        <v>590</v>
      </c>
      <c r="I1480" s="324">
        <v>0</v>
      </c>
      <c r="J1480" s="324">
        <v>0</v>
      </c>
      <c r="K1480" s="324" t="s">
        <v>1856</v>
      </c>
      <c r="M1480" s="324">
        <v>68750</v>
      </c>
      <c r="N1480" s="324">
        <v>137500</v>
      </c>
      <c r="U1480" s="324" t="s">
        <v>1856</v>
      </c>
      <c r="V1480" s="324" t="s">
        <v>591</v>
      </c>
      <c r="X1480" s="324" t="s">
        <v>267</v>
      </c>
      <c r="Y1480" s="324" t="s">
        <v>268</v>
      </c>
    </row>
    <row r="1481" spans="1:28" s="324" customFormat="1" ht="0.65" hidden="1" customHeight="1">
      <c r="A1481" s="324">
        <v>6109</v>
      </c>
      <c r="F1481" s="324">
        <v>1</v>
      </c>
      <c r="G1481" s="324">
        <v>35</v>
      </c>
      <c r="H1481" s="324" t="s">
        <v>592</v>
      </c>
      <c r="I1481" s="324">
        <v>144531.25</v>
      </c>
      <c r="J1481" s="324">
        <v>144531.25</v>
      </c>
      <c r="K1481" s="324" t="s">
        <v>1870</v>
      </c>
      <c r="M1481" s="324">
        <v>282031.25</v>
      </c>
      <c r="N1481" s="324">
        <v>213281.25</v>
      </c>
      <c r="U1481" s="324" t="s">
        <v>1870</v>
      </c>
      <c r="V1481" s="324" t="s">
        <v>594</v>
      </c>
      <c r="X1481" s="324" t="s">
        <v>269</v>
      </c>
      <c r="Y1481" s="324" t="s">
        <v>282</v>
      </c>
    </row>
    <row r="1482" spans="1:28" s="324" customFormat="1" ht="0.65" hidden="1" customHeight="1">
      <c r="A1482" s="324">
        <v>6110</v>
      </c>
      <c r="F1482" s="324">
        <v>1</v>
      </c>
      <c r="G1482" s="324">
        <v>36</v>
      </c>
      <c r="H1482" s="324" t="s">
        <v>595</v>
      </c>
      <c r="I1482" s="324">
        <v>213281.25</v>
      </c>
      <c r="J1482" s="324">
        <v>213281.25</v>
      </c>
      <c r="K1482" s="324" t="s">
        <v>1871</v>
      </c>
      <c r="M1482" s="324">
        <v>144531.25</v>
      </c>
      <c r="U1482" s="324" t="s">
        <v>1871</v>
      </c>
      <c r="V1482" s="324" t="s">
        <v>597</v>
      </c>
      <c r="X1482" s="324" t="s">
        <v>270</v>
      </c>
    </row>
    <row r="1483" spans="1:28" s="324" customFormat="1" ht="0.65" hidden="1" customHeight="1">
      <c r="A1483" s="324">
        <v>6111</v>
      </c>
      <c r="F1483" s="324">
        <v>1</v>
      </c>
      <c r="G1483" s="324">
        <v>37</v>
      </c>
      <c r="H1483" s="324" t="s">
        <v>598</v>
      </c>
      <c r="I1483" s="324">
        <v>213281.25</v>
      </c>
      <c r="J1483" s="324">
        <v>213281.25</v>
      </c>
      <c r="K1483" s="324" t="s">
        <v>1871</v>
      </c>
      <c r="M1483" s="324">
        <v>144531.25</v>
      </c>
      <c r="U1483" s="324" t="s">
        <v>1871</v>
      </c>
      <c r="V1483" s="324" t="s">
        <v>600</v>
      </c>
      <c r="X1483" s="324" t="s">
        <v>270</v>
      </c>
    </row>
    <row r="1484" spans="1:28" s="324" customFormat="1" ht="0.65" hidden="1" customHeight="1">
      <c r="A1484" s="324">
        <v>6112</v>
      </c>
      <c r="F1484" s="324">
        <v>1</v>
      </c>
      <c r="G1484" s="324">
        <v>38</v>
      </c>
      <c r="H1484" s="324" t="s">
        <v>491</v>
      </c>
      <c r="I1484" s="324">
        <v>142031.25</v>
      </c>
      <c r="J1484" s="324">
        <v>142031.25</v>
      </c>
      <c r="K1484" s="324" t="s">
        <v>1872</v>
      </c>
      <c r="M1484" s="324">
        <v>30000</v>
      </c>
      <c r="N1484" s="324">
        <v>22500</v>
      </c>
      <c r="O1484" s="324">
        <v>210781.25</v>
      </c>
      <c r="P1484" s="324">
        <v>187500</v>
      </c>
      <c r="Q1484" s="324">
        <v>18750</v>
      </c>
      <c r="U1484" s="324" t="s">
        <v>1872</v>
      </c>
      <c r="V1484" s="324" t="s">
        <v>602</v>
      </c>
      <c r="X1484" s="324" t="s">
        <v>271</v>
      </c>
      <c r="Y1484" s="324" t="s">
        <v>272</v>
      </c>
      <c r="Z1484" s="324" t="s">
        <v>273</v>
      </c>
      <c r="AA1484" s="324" t="s">
        <v>283</v>
      </c>
      <c r="AB1484" s="324" t="s">
        <v>345</v>
      </c>
    </row>
    <row r="1485" spans="1:28" s="324" customFormat="1" ht="0.65" hidden="1" customHeight="1">
      <c r="A1485" s="324">
        <v>6113</v>
      </c>
      <c r="F1485" s="324">
        <v>1</v>
      </c>
      <c r="G1485" s="324">
        <v>39</v>
      </c>
      <c r="H1485" s="324" t="s">
        <v>493</v>
      </c>
      <c r="I1485" s="324">
        <v>68750</v>
      </c>
      <c r="J1485" s="324">
        <v>68750</v>
      </c>
      <c r="K1485" s="324" t="s">
        <v>1873</v>
      </c>
      <c r="M1485" s="324">
        <v>0</v>
      </c>
      <c r="U1485" s="324" t="s">
        <v>1873</v>
      </c>
      <c r="V1485" s="324" t="s">
        <v>604</v>
      </c>
      <c r="X1485" s="324" t="s">
        <v>289</v>
      </c>
    </row>
    <row r="1486" spans="1:28" s="324" customFormat="1" ht="0.65" hidden="1" customHeight="1">
      <c r="A1486" s="324">
        <v>6114</v>
      </c>
      <c r="F1486" s="324">
        <v>1</v>
      </c>
      <c r="G1486" s="324">
        <v>40</v>
      </c>
      <c r="H1486" s="324" t="s">
        <v>494</v>
      </c>
      <c r="I1486" s="324">
        <v>210781.25</v>
      </c>
      <c r="J1486" s="324">
        <v>210781.25</v>
      </c>
      <c r="K1486" s="324" t="s">
        <v>1874</v>
      </c>
      <c r="M1486" s="324">
        <v>73281.25</v>
      </c>
      <c r="N1486" s="324">
        <v>142031.25</v>
      </c>
      <c r="O1486" s="324">
        <v>68750</v>
      </c>
      <c r="U1486" s="324" t="s">
        <v>1874</v>
      </c>
      <c r="V1486" s="324" t="s">
        <v>606</v>
      </c>
      <c r="X1486" s="324" t="s">
        <v>274</v>
      </c>
      <c r="Y1486" s="324" t="s">
        <v>284</v>
      </c>
      <c r="Z1486" s="324" t="s">
        <v>285</v>
      </c>
    </row>
    <row r="1487" spans="1:28" s="324" customFormat="1" ht="0.65" hidden="1" customHeight="1">
      <c r="A1487" s="324">
        <v>6115</v>
      </c>
      <c r="F1487" s="324">
        <v>1</v>
      </c>
      <c r="G1487" s="324">
        <v>41</v>
      </c>
      <c r="H1487" s="324" t="s">
        <v>607</v>
      </c>
      <c r="I1487" s="324">
        <v>-534375</v>
      </c>
      <c r="J1487" s="324">
        <v>-534375</v>
      </c>
      <c r="K1487" s="324" t="s">
        <v>1875</v>
      </c>
      <c r="M1487" s="324">
        <v>534375</v>
      </c>
      <c r="U1487" s="324" t="s">
        <v>1875</v>
      </c>
      <c r="V1487" s="324" t="s">
        <v>609</v>
      </c>
      <c r="X1487" s="324" t="s">
        <v>275</v>
      </c>
    </row>
    <row r="1488" spans="1:28" s="324" customFormat="1" ht="0.65" hidden="1" customHeight="1">
      <c r="A1488" s="324">
        <v>6116</v>
      </c>
      <c r="F1488" s="324">
        <v>1</v>
      </c>
      <c r="G1488" s="324">
        <v>42</v>
      </c>
      <c r="H1488" s="324" t="s">
        <v>610</v>
      </c>
      <c r="I1488" s="324">
        <v>144531.25</v>
      </c>
      <c r="J1488" s="324">
        <v>144531.25</v>
      </c>
      <c r="K1488" s="324" t="s">
        <v>1870</v>
      </c>
      <c r="U1488" s="324" t="s">
        <v>1870</v>
      </c>
      <c r="V1488" s="324" t="s">
        <v>594</v>
      </c>
    </row>
    <row r="1489" spans="1:28" s="324" customFormat="1" ht="0.65" hidden="1" customHeight="1">
      <c r="A1489" s="324">
        <v>6117</v>
      </c>
      <c r="F1489" s="324">
        <v>1</v>
      </c>
      <c r="G1489" s="324">
        <v>43</v>
      </c>
      <c r="H1489" s="324" t="s">
        <v>611</v>
      </c>
      <c r="I1489" s="324">
        <v>213281.25</v>
      </c>
      <c r="J1489" s="324">
        <v>213281.25</v>
      </c>
      <c r="K1489" s="324" t="s">
        <v>1871</v>
      </c>
      <c r="U1489" s="324" t="s">
        <v>1871</v>
      </c>
      <c r="V1489" s="324" t="s">
        <v>597</v>
      </c>
    </row>
    <row r="1490" spans="1:28" s="324" customFormat="1" ht="0.65" hidden="1" customHeight="1">
      <c r="A1490" s="324">
        <v>6118</v>
      </c>
      <c r="F1490" s="324">
        <v>1</v>
      </c>
      <c r="G1490" s="324">
        <v>44</v>
      </c>
      <c r="H1490" s="324" t="s">
        <v>612</v>
      </c>
      <c r="I1490" s="324">
        <v>424062.5</v>
      </c>
      <c r="J1490" s="324">
        <v>424062.5</v>
      </c>
      <c r="K1490" s="324" t="s">
        <v>1876</v>
      </c>
      <c r="M1490" s="324">
        <v>213281.25</v>
      </c>
      <c r="N1490" s="324">
        <v>2500</v>
      </c>
      <c r="U1490" s="324" t="s">
        <v>1876</v>
      </c>
      <c r="V1490" s="324" t="s">
        <v>614</v>
      </c>
      <c r="X1490" s="324" t="s">
        <v>276</v>
      </c>
      <c r="Y1490" s="324" t="s">
        <v>346</v>
      </c>
    </row>
    <row r="1491" spans="1:28" s="324" customFormat="1" ht="0.65" hidden="1" customHeight="1">
      <c r="A1491" s="324">
        <v>6119</v>
      </c>
      <c r="F1491" s="324">
        <v>1</v>
      </c>
      <c r="G1491" s="324">
        <v>45</v>
      </c>
      <c r="H1491" s="324" t="s">
        <v>414</v>
      </c>
      <c r="I1491" s="324">
        <v>5.2500000000000012E-2</v>
      </c>
      <c r="J1491" s="324">
        <v>5.2500000000000012E-2</v>
      </c>
      <c r="K1491" s="324" t="s">
        <v>1877</v>
      </c>
      <c r="M1491" s="324">
        <v>7.0000000000000007E-2</v>
      </c>
      <c r="N1491" s="324">
        <v>420000.00000000006</v>
      </c>
      <c r="O1491" s="324">
        <v>1.7500000000000002E-2</v>
      </c>
      <c r="P1491" s="324">
        <v>8.7500000000000008E-2</v>
      </c>
      <c r="U1491" s="324" t="s">
        <v>1877</v>
      </c>
      <c r="V1491" s="324" t="s">
        <v>616</v>
      </c>
      <c r="X1491" s="324" t="s">
        <v>277</v>
      </c>
      <c r="Y1491" s="324" t="s">
        <v>347</v>
      </c>
      <c r="Z1491" s="324" t="s">
        <v>348</v>
      </c>
      <c r="AA1491" s="324" t="s">
        <v>349</v>
      </c>
    </row>
    <row r="1492" spans="1:28" s="324" customFormat="1" ht="0.65" hidden="1" customHeight="1">
      <c r="A1492" s="324">
        <v>6120</v>
      </c>
      <c r="F1492" s="324">
        <v>1</v>
      </c>
      <c r="G1492" s="324">
        <v>46</v>
      </c>
      <c r="H1492" s="324" t="s">
        <v>415</v>
      </c>
      <c r="I1492" s="324">
        <v>0.12000000000000001</v>
      </c>
      <c r="J1492" s="324">
        <v>0.12000000000000001</v>
      </c>
      <c r="K1492" s="324" t="s">
        <v>1878</v>
      </c>
      <c r="M1492" s="324">
        <v>0.1</v>
      </c>
      <c r="N1492" s="324">
        <v>1800000</v>
      </c>
      <c r="O1492" s="324">
        <v>0.08</v>
      </c>
      <c r="U1492" s="324" t="s">
        <v>1878</v>
      </c>
      <c r="V1492" s="324" t="s">
        <v>618</v>
      </c>
      <c r="X1492" s="324" t="s">
        <v>278</v>
      </c>
      <c r="Y1492" s="324" t="s">
        <v>350</v>
      </c>
      <c r="Z1492" s="324" t="s">
        <v>351</v>
      </c>
    </row>
    <row r="1493" spans="1:28" s="324" customFormat="1" ht="0.65" hidden="1" customHeight="1">
      <c r="A1493" s="324">
        <v>6121</v>
      </c>
      <c r="F1493" s="324">
        <v>1</v>
      </c>
      <c r="G1493" s="324">
        <v>47</v>
      </c>
      <c r="H1493" s="324" t="s">
        <v>416</v>
      </c>
      <c r="I1493" s="324">
        <v>0.10312499999999999</v>
      </c>
      <c r="J1493" s="324">
        <v>0.10312499999999999</v>
      </c>
      <c r="K1493" s="324" t="s">
        <v>1879</v>
      </c>
      <c r="U1493" s="324" t="s">
        <v>1879</v>
      </c>
      <c r="V1493" s="324" t="s">
        <v>620</v>
      </c>
    </row>
    <row r="1494" spans="1:28" s="324" customFormat="1" ht="0.65" hidden="1" customHeight="1">
      <c r="A1494" s="324">
        <v>6122</v>
      </c>
      <c r="F1494" s="324">
        <v>1</v>
      </c>
      <c r="G1494" s="324">
        <v>48</v>
      </c>
      <c r="H1494" s="324" t="s">
        <v>13</v>
      </c>
      <c r="I1494" s="324">
        <v>87817.478696592501</v>
      </c>
      <c r="J1494" s="324">
        <v>87817.478696592501</v>
      </c>
      <c r="K1494" s="324" t="s">
        <v>1880</v>
      </c>
      <c r="M1494" s="324">
        <v>159198.27421293233</v>
      </c>
      <c r="N1494" s="324">
        <v>66536.576963374508</v>
      </c>
      <c r="O1494" s="324">
        <v>79607.912699460707</v>
      </c>
      <c r="P1494" s="324">
        <v>622192.4786965925</v>
      </c>
      <c r="Q1494" s="324">
        <v>1156567.4786965926</v>
      </c>
      <c r="U1494" s="324" t="s">
        <v>1880</v>
      </c>
      <c r="V1494" s="324" t="s">
        <v>622</v>
      </c>
      <c r="X1494" s="324" t="s">
        <v>286</v>
      </c>
      <c r="Y1494" s="324" t="s">
        <v>287</v>
      </c>
      <c r="Z1494" s="324" t="s">
        <v>288</v>
      </c>
      <c r="AA1494" s="324" t="s">
        <v>352</v>
      </c>
      <c r="AB1494" s="324" t="s">
        <v>353</v>
      </c>
    </row>
    <row r="1495" spans="1:28" s="324" customFormat="1" ht="0.65" hidden="1" customHeight="1">
      <c r="A1495" s="324">
        <v>6123</v>
      </c>
      <c r="F1495" s="324">
        <v>1</v>
      </c>
      <c r="G1495" s="324">
        <v>49</v>
      </c>
      <c r="H1495" s="324" t="s">
        <v>28</v>
      </c>
      <c r="I1495" s="324">
        <v>0.17939434472028948</v>
      </c>
      <c r="J1495" s="324">
        <v>0.17939434472028948</v>
      </c>
      <c r="K1495" s="324" t="s">
        <v>1881</v>
      </c>
      <c r="U1495" s="324" t="s">
        <v>1881</v>
      </c>
      <c r="V1495" s="324" t="s">
        <v>624</v>
      </c>
    </row>
    <row r="1496" spans="1:28" s="324" customFormat="1" ht="0.65" hidden="1" customHeight="1">
      <c r="A1496" s="324">
        <v>6124</v>
      </c>
      <c r="M1496" s="324">
        <v>1</v>
      </c>
      <c r="N1496" s="324">
        <v>2</v>
      </c>
      <c r="O1496" s="324">
        <v>3</v>
      </c>
      <c r="P1496" s="324">
        <v>4</v>
      </c>
      <c r="Q1496" s="324">
        <v>5</v>
      </c>
      <c r="R1496" s="324">
        <v>6</v>
      </c>
      <c r="S1496" s="324">
        <v>7</v>
      </c>
      <c r="T1496" s="324">
        <v>8</v>
      </c>
      <c r="U1496" s="324">
        <v>9</v>
      </c>
      <c r="V1496" s="324">
        <v>10</v>
      </c>
    </row>
    <row r="1497" spans="1:28" s="324" customFormat="1" ht="0.65" hidden="1" customHeight="1">
      <c r="A1497" s="324">
        <v>6125</v>
      </c>
    </row>
    <row r="1498" spans="1:28" s="324" customFormat="1" ht="0.65" hidden="1" customHeight="1">
      <c r="A1498" s="324">
        <v>6126</v>
      </c>
    </row>
    <row r="1499" spans="1:28" s="324" customFormat="1" ht="0.65" hidden="1" customHeight="1">
      <c r="A1499" s="324">
        <v>6127</v>
      </c>
      <c r="K1499" s="324" t="s">
        <v>211</v>
      </c>
    </row>
    <row r="1500" spans="1:28" s="324" customFormat="1" ht="0.65" hidden="1" customHeight="1">
      <c r="A1500" s="324">
        <v>6128</v>
      </c>
    </row>
    <row r="1501" spans="1:28" s="324" customFormat="1" ht="0.65" hidden="1" customHeight="1">
      <c r="A1501" s="324">
        <v>6129</v>
      </c>
    </row>
    <row r="1502" spans="1:28" s="324" customFormat="1" ht="0.65" hidden="1" customHeight="1">
      <c r="A1502" s="324">
        <v>6130</v>
      </c>
    </row>
    <row r="1503" spans="1:28" s="324" customFormat="1" ht="0.65" hidden="1" customHeight="1">
      <c r="A1503" s="324">
        <v>6131</v>
      </c>
    </row>
    <row r="1504" spans="1:28" s="324" customFormat="1" ht="0.65" hidden="1" customHeight="1">
      <c r="A1504" s="324">
        <v>6132</v>
      </c>
    </row>
    <row r="1505" spans="1:32" s="324" customFormat="1" ht="0.65" hidden="1" customHeight="1">
      <c r="A1505" s="324">
        <v>6133</v>
      </c>
    </row>
    <row r="1506" spans="1:32" s="324" customFormat="1" ht="0.65" hidden="1" customHeight="1">
      <c r="A1506" s="324">
        <v>6134</v>
      </c>
    </row>
    <row r="1507" spans="1:32" s="324" customFormat="1" ht="0.65" hidden="1" customHeight="1">
      <c r="A1507" s="324">
        <v>6135</v>
      </c>
    </row>
    <row r="1508" spans="1:32" s="324" customFormat="1" ht="0.65" hidden="1" customHeight="1">
      <c r="A1508" s="324">
        <v>6136</v>
      </c>
    </row>
    <row r="1509" spans="1:32" s="324" customFormat="1" ht="0.65" hidden="1" customHeight="1">
      <c r="A1509" s="324">
        <v>6137</v>
      </c>
    </row>
    <row r="1510" spans="1:32" s="324" customFormat="1" ht="0.65" hidden="1" customHeight="1">
      <c r="A1510" s="324">
        <v>6138</v>
      </c>
    </row>
    <row r="1511" spans="1:32" s="324" customFormat="1" ht="0.65" hidden="1" customHeight="1">
      <c r="A1511" s="324">
        <v>6139</v>
      </c>
    </row>
    <row r="1512" spans="1:32" s="324" customFormat="1" ht="0.65" hidden="1" customHeight="1">
      <c r="A1512" s="324">
        <v>6140</v>
      </c>
    </row>
    <row r="1513" spans="1:32" s="324" customFormat="1" ht="0.65" hidden="1" customHeight="1">
      <c r="A1513" s="324">
        <v>6141</v>
      </c>
    </row>
    <row r="1514" spans="1:32" s="324" customFormat="1" ht="0.65" hidden="1" customHeight="1">
      <c r="A1514" s="324">
        <v>6142</v>
      </c>
    </row>
    <row r="1515" spans="1:32" s="324" customFormat="1" ht="0.65" hidden="1" customHeight="1">
      <c r="A1515" s="324">
        <v>6143</v>
      </c>
    </row>
    <row r="1516" spans="1:32" s="324" customFormat="1" ht="0.65" hidden="1" customHeight="1">
      <c r="A1516" s="324">
        <v>6144</v>
      </c>
      <c r="U1516" s="324" t="s">
        <v>1882</v>
      </c>
    </row>
    <row r="1517" spans="1:32" s="324" customFormat="1" ht="0.65" hidden="1" customHeight="1">
      <c r="A1517" s="324">
        <v>6145</v>
      </c>
      <c r="G1517" s="324" t="s">
        <v>0</v>
      </c>
      <c r="H1517" s="324" t="s">
        <v>69</v>
      </c>
      <c r="I1517" s="324" t="s">
        <v>70</v>
      </c>
      <c r="J1517" s="324" t="s">
        <v>71</v>
      </c>
      <c r="K1517" s="324" t="s">
        <v>72</v>
      </c>
      <c r="L1517" s="324" t="s">
        <v>73</v>
      </c>
      <c r="M1517" s="324" t="s">
        <v>74</v>
      </c>
      <c r="N1517" s="324" t="s">
        <v>75</v>
      </c>
      <c r="O1517" s="324" t="s">
        <v>80</v>
      </c>
      <c r="P1517" s="324" t="s">
        <v>1</v>
      </c>
      <c r="V1517" s="324" t="s">
        <v>182</v>
      </c>
      <c r="W1517" s="324" t="s">
        <v>183</v>
      </c>
      <c r="X1517" s="324" t="s">
        <v>184</v>
      </c>
      <c r="Y1517" s="324" t="s">
        <v>185</v>
      </c>
    </row>
    <row r="1518" spans="1:32" s="324" customFormat="1" ht="0.65" hidden="1" customHeight="1">
      <c r="A1518" s="324">
        <v>6146</v>
      </c>
      <c r="G1518" s="324">
        <v>2022</v>
      </c>
      <c r="H1518" s="324">
        <v>0</v>
      </c>
      <c r="I1518" s="324">
        <v>0</v>
      </c>
      <c r="J1518" s="324">
        <v>0</v>
      </c>
      <c r="K1518" s="324">
        <v>0</v>
      </c>
      <c r="L1518" s="324">
        <v>0</v>
      </c>
      <c r="M1518" s="324">
        <v>0</v>
      </c>
      <c r="N1518" s="324">
        <v>0</v>
      </c>
      <c r="O1518" s="324">
        <v>0</v>
      </c>
      <c r="P1518" s="324">
        <v>-534375</v>
      </c>
      <c r="T1518" s="324">
        <v>1</v>
      </c>
      <c r="U1518" s="324" t="s">
        <v>153</v>
      </c>
      <c r="V1518" s="324" t="s">
        <v>178</v>
      </c>
      <c r="W1518" s="324">
        <v>86327.537707922282</v>
      </c>
      <c r="X1518" s="324">
        <v>-1489.9409886702197</v>
      </c>
      <c r="Y1518" s="324">
        <v>-1489.9409886703488</v>
      </c>
      <c r="AA1518" s="324" t="s">
        <v>188</v>
      </c>
      <c r="AB1518" s="324" t="s">
        <v>1883</v>
      </c>
      <c r="AD1518" s="324">
        <v>-534375</v>
      </c>
      <c r="AE1518" s="324">
        <v>87817.478696592501</v>
      </c>
      <c r="AF1518" s="324">
        <v>-534375</v>
      </c>
    </row>
    <row r="1519" spans="1:32" s="324" customFormat="1" ht="0.65" hidden="1" customHeight="1">
      <c r="A1519" s="324">
        <v>6147</v>
      </c>
      <c r="G1519" s="324">
        <v>2023</v>
      </c>
      <c r="H1519" s="324">
        <v>250000</v>
      </c>
      <c r="I1519" s="324">
        <v>-25000</v>
      </c>
      <c r="J1519" s="324">
        <v>28125</v>
      </c>
      <c r="K1519" s="324">
        <v>246875</v>
      </c>
      <c r="L1519" s="324">
        <v>61718.75</v>
      </c>
      <c r="M1519" s="324">
        <v>185156.25</v>
      </c>
      <c r="N1519" s="324">
        <v>213281.25</v>
      </c>
      <c r="O1519" s="324">
        <v>144531.25</v>
      </c>
      <c r="P1519" s="324">
        <v>144531.25</v>
      </c>
      <c r="T1519" s="324">
        <v>2</v>
      </c>
      <c r="U1519" s="324" t="s">
        <v>154</v>
      </c>
      <c r="V1519" s="324" t="s">
        <v>178</v>
      </c>
      <c r="W1519" s="324">
        <v>27232.231499450398</v>
      </c>
      <c r="X1519" s="324">
        <v>-60585.247197142104</v>
      </c>
      <c r="Y1519" s="324">
        <v>-60585.247197142104</v>
      </c>
      <c r="AA1519" s="324" t="s">
        <v>197</v>
      </c>
      <c r="AB1519" s="324" t="s">
        <v>1884</v>
      </c>
      <c r="AD1519" s="324">
        <v>144531.25</v>
      </c>
      <c r="AF1519" s="324">
        <v>144531.25</v>
      </c>
    </row>
    <row r="1520" spans="1:32" s="324" customFormat="1" ht="0.65" hidden="1" customHeight="1">
      <c r="A1520" s="324">
        <v>6148</v>
      </c>
      <c r="G1520" s="324">
        <v>2024</v>
      </c>
      <c r="H1520" s="324">
        <v>250000</v>
      </c>
      <c r="I1520" s="324">
        <v>-25000</v>
      </c>
      <c r="J1520" s="324">
        <v>28125</v>
      </c>
      <c r="K1520" s="324">
        <v>246875</v>
      </c>
      <c r="L1520" s="324">
        <v>61718.75</v>
      </c>
      <c r="M1520" s="324">
        <v>185156.25</v>
      </c>
      <c r="N1520" s="324">
        <v>213281.25</v>
      </c>
      <c r="O1520" s="324">
        <v>213281.25</v>
      </c>
      <c r="P1520" s="324">
        <v>213281.25</v>
      </c>
      <c r="T1520" s="324">
        <v>3</v>
      </c>
      <c r="U1520" s="324" t="s">
        <v>155</v>
      </c>
      <c r="V1520" s="324" t="s">
        <v>178</v>
      </c>
      <c r="W1520" s="324">
        <v>83627.147544715437</v>
      </c>
      <c r="X1520" s="324">
        <v>-4190.3311518770643</v>
      </c>
      <c r="Y1520" s="324">
        <v>-4190.331151877067</v>
      </c>
      <c r="AA1520" s="324" t="s">
        <v>191</v>
      </c>
      <c r="AB1520" s="324" t="s">
        <v>1885</v>
      </c>
      <c r="AD1520" s="324">
        <v>213281.25</v>
      </c>
      <c r="AF1520" s="324">
        <v>213281.25</v>
      </c>
    </row>
    <row r="1521" spans="1:32" s="324" customFormat="1" ht="0.65" hidden="1" customHeight="1">
      <c r="A1521" s="324">
        <v>6149</v>
      </c>
      <c r="G1521" s="324">
        <v>2025</v>
      </c>
      <c r="H1521" s="324">
        <v>250000</v>
      </c>
      <c r="I1521" s="324">
        <v>-25000</v>
      </c>
      <c r="J1521" s="324">
        <v>28125</v>
      </c>
      <c r="K1521" s="324">
        <v>246875</v>
      </c>
      <c r="L1521" s="324">
        <v>61718.75</v>
      </c>
      <c r="M1521" s="324">
        <v>185156.25</v>
      </c>
      <c r="N1521" s="324">
        <v>213281.25</v>
      </c>
      <c r="O1521" s="324">
        <v>213281.25</v>
      </c>
      <c r="P1521" s="324">
        <v>424062.5</v>
      </c>
      <c r="T1521" s="324">
        <v>4</v>
      </c>
      <c r="U1521" s="324" t="s">
        <v>156</v>
      </c>
      <c r="V1521" s="324" t="s">
        <v>179</v>
      </c>
      <c r="W1521" s="324">
        <v>104692.4786965925</v>
      </c>
      <c r="X1521" s="324">
        <v>16875</v>
      </c>
      <c r="Y1521" s="324">
        <v>16875.000000000022</v>
      </c>
      <c r="AA1521" s="324" t="s">
        <v>198</v>
      </c>
      <c r="AB1521" s="324" t="s">
        <v>1886</v>
      </c>
      <c r="AD1521" s="324">
        <v>424062.5</v>
      </c>
      <c r="AF1521" s="324">
        <v>424062.5</v>
      </c>
    </row>
    <row r="1522" spans="1:32" s="324" customFormat="1" ht="0.65" hidden="1" customHeight="1">
      <c r="A1522" s="324">
        <v>6150</v>
      </c>
      <c r="T1522" s="324">
        <v>5</v>
      </c>
      <c r="U1522" s="324" t="s">
        <v>157</v>
      </c>
      <c r="V1522" s="324" t="s">
        <v>178</v>
      </c>
      <c r="W1522" s="324">
        <v>86886.26557867357</v>
      </c>
      <c r="X1522" s="324">
        <v>-931.21311791893095</v>
      </c>
      <c r="Y1522" s="324">
        <v>-931.21311791897278</v>
      </c>
      <c r="AA1522" s="324" t="s">
        <v>192</v>
      </c>
      <c r="AB1522" s="324" t="s">
        <v>1887</v>
      </c>
      <c r="AD1522" s="324">
        <v>0.10312499999999999</v>
      </c>
      <c r="AF1522" s="324">
        <v>0.10312499999999999</v>
      </c>
    </row>
    <row r="1523" spans="1:32" s="324" customFormat="1" ht="0.65" hidden="1" customHeight="1">
      <c r="A1523" s="324">
        <v>6151</v>
      </c>
      <c r="G1523" s="324" t="s">
        <v>0</v>
      </c>
      <c r="H1523" s="324" t="s">
        <v>76</v>
      </c>
      <c r="I1523" s="324" t="s">
        <v>77</v>
      </c>
      <c r="J1523" s="324" t="s">
        <v>78</v>
      </c>
      <c r="K1523" s="324" t="s">
        <v>79</v>
      </c>
      <c r="T1523" s="324">
        <v>6</v>
      </c>
      <c r="U1523" s="324" t="s">
        <v>158</v>
      </c>
      <c r="V1523" s="324" t="s">
        <v>179</v>
      </c>
      <c r="W1523" s="324">
        <v>88733.672134652734</v>
      </c>
      <c r="X1523" s="324">
        <v>916.19343806023244</v>
      </c>
      <c r="Y1523" s="324">
        <v>916.19343806008794</v>
      </c>
      <c r="AA1523" s="324" t="s">
        <v>193</v>
      </c>
      <c r="AB1523" s="324" t="s">
        <v>1888</v>
      </c>
      <c r="AD1523" s="324">
        <v>87817.478696592501</v>
      </c>
      <c r="AF1523" s="324">
        <v>87817.478696592501</v>
      </c>
    </row>
    <row r="1524" spans="1:32" s="324" customFormat="1" ht="0.65" hidden="1" customHeight="1">
      <c r="A1524" s="324">
        <v>6152</v>
      </c>
      <c r="G1524" s="324">
        <v>2022</v>
      </c>
      <c r="H1524" s="324">
        <v>0</v>
      </c>
      <c r="I1524" s="324">
        <v>0</v>
      </c>
      <c r="J1524" s="324">
        <v>0</v>
      </c>
      <c r="K1524" s="324">
        <v>0</v>
      </c>
      <c r="M1524" s="324" t="s">
        <v>490</v>
      </c>
      <c r="N1524" s="324">
        <v>534375</v>
      </c>
      <c r="O1524" s="324" t="s">
        <v>124</v>
      </c>
      <c r="P1524" s="324">
        <v>5.2500000000000012E-2</v>
      </c>
      <c r="T1524" s="324">
        <v>7</v>
      </c>
      <c r="U1524" s="324" t="s">
        <v>159</v>
      </c>
      <c r="V1524" s="324" t="s">
        <v>178</v>
      </c>
      <c r="W1524" s="324">
        <v>70942.478696592501</v>
      </c>
      <c r="X1524" s="324">
        <v>-16875</v>
      </c>
      <c r="Y1524" s="324">
        <v>-16875</v>
      </c>
      <c r="AA1524" s="324" t="s">
        <v>194</v>
      </c>
      <c r="AB1524" s="324" t="s">
        <v>1889</v>
      </c>
      <c r="AF1524" s="324">
        <v>87817.478696592501</v>
      </c>
    </row>
    <row r="1525" spans="1:32" s="324" customFormat="1" ht="0.65" hidden="1" customHeight="1">
      <c r="A1525" s="324">
        <v>6153</v>
      </c>
      <c r="G1525" s="324">
        <v>2023</v>
      </c>
      <c r="H1525" s="324">
        <v>62500</v>
      </c>
      <c r="I1525" s="324">
        <v>-6250</v>
      </c>
      <c r="J1525" s="324">
        <v>68750</v>
      </c>
      <c r="K1525" s="324">
        <v>68750</v>
      </c>
      <c r="M1525" s="324" t="s">
        <v>491</v>
      </c>
      <c r="N1525" s="324">
        <v>142031.25</v>
      </c>
      <c r="O1525" s="324" t="s">
        <v>125</v>
      </c>
      <c r="P1525" s="324">
        <v>0.12000000000000001</v>
      </c>
      <c r="T1525" s="324">
        <v>8</v>
      </c>
      <c r="U1525" s="324" t="s">
        <v>160</v>
      </c>
      <c r="V1525" s="324" t="s">
        <v>178</v>
      </c>
      <c r="W1525" s="324">
        <v>85303.280005466309</v>
      </c>
      <c r="X1525" s="324">
        <v>-2514.198691126192</v>
      </c>
      <c r="Y1525" s="324">
        <v>-2514.1986911262443</v>
      </c>
      <c r="AA1525" s="324" t="s">
        <v>195</v>
      </c>
      <c r="AB1525" s="324" t="s">
        <v>1890</v>
      </c>
    </row>
    <row r="1526" spans="1:32" s="324" customFormat="1" ht="0.65" hidden="1" customHeight="1">
      <c r="A1526" s="324">
        <v>6154</v>
      </c>
      <c r="G1526" s="324">
        <v>2024</v>
      </c>
      <c r="H1526" s="324">
        <v>62500</v>
      </c>
      <c r="I1526" s="324">
        <v>-6250</v>
      </c>
      <c r="J1526" s="324">
        <v>68750</v>
      </c>
      <c r="K1526" s="324">
        <v>0</v>
      </c>
      <c r="M1526" s="324" t="s">
        <v>493</v>
      </c>
      <c r="N1526" s="324">
        <v>68750</v>
      </c>
      <c r="O1526" s="324" t="s">
        <v>126</v>
      </c>
      <c r="P1526" s="324">
        <v>0.10312499999999999</v>
      </c>
      <c r="T1526" s="324">
        <v>9</v>
      </c>
      <c r="U1526" s="324" t="s">
        <v>161</v>
      </c>
      <c r="V1526" s="324" t="s">
        <v>179</v>
      </c>
      <c r="W1526" s="324">
        <v>133180.81430385646</v>
      </c>
      <c r="X1526" s="324">
        <v>45363.335607263958</v>
      </c>
      <c r="Y1526" s="324">
        <v>45363.335607263951</v>
      </c>
      <c r="AA1526" s="324" t="s">
        <v>199</v>
      </c>
      <c r="AB1526" s="324" t="s">
        <v>1891</v>
      </c>
      <c r="AD1526" s="324">
        <v>-534375</v>
      </c>
    </row>
    <row r="1527" spans="1:32" s="324" customFormat="1" ht="0.65" hidden="1" customHeight="1">
      <c r="A1527" s="324">
        <v>6155</v>
      </c>
      <c r="G1527" s="324">
        <v>2025</v>
      </c>
      <c r="H1527" s="324">
        <v>62500</v>
      </c>
      <c r="I1527" s="324">
        <v>-6250</v>
      </c>
      <c r="J1527" s="324">
        <v>68750</v>
      </c>
      <c r="K1527" s="324">
        <v>0</v>
      </c>
      <c r="M1527" s="324" t="s">
        <v>494</v>
      </c>
      <c r="N1527" s="324">
        <v>210781.25</v>
      </c>
      <c r="T1527" s="324">
        <v>10</v>
      </c>
      <c r="U1527" s="324" t="s">
        <v>162</v>
      </c>
      <c r="V1527" s="324" t="s">
        <v>178</v>
      </c>
      <c r="W1527" s="324">
        <v>84451.482438200037</v>
      </c>
      <c r="X1527" s="324">
        <v>-3365.9962583924644</v>
      </c>
      <c r="Y1527" s="324">
        <v>-3365.9962583925662</v>
      </c>
      <c r="AA1527" s="324" t="s">
        <v>200</v>
      </c>
      <c r="AB1527" s="324" t="s">
        <v>1892</v>
      </c>
      <c r="AD1527" s="324">
        <v>144531.25</v>
      </c>
    </row>
    <row r="1528" spans="1:32" s="324" customFormat="1" ht="0.65" hidden="1" customHeight="1">
      <c r="A1528" s="324">
        <v>6156</v>
      </c>
      <c r="T1528" s="324">
        <v>11</v>
      </c>
      <c r="U1528" s="324" t="s">
        <v>163</v>
      </c>
      <c r="V1528" s="324" t="s">
        <v>179</v>
      </c>
      <c r="W1528" s="324">
        <v>92353.81225731899</v>
      </c>
      <c r="X1528" s="324">
        <v>4536.3335607264889</v>
      </c>
      <c r="Y1528" s="324">
        <v>4536.3335607264016</v>
      </c>
      <c r="AA1528" s="324" t="s">
        <v>201</v>
      </c>
      <c r="AB1528" s="324" t="s">
        <v>1893</v>
      </c>
      <c r="AD1528" s="324">
        <v>213281.25</v>
      </c>
    </row>
    <row r="1529" spans="1:32" s="324" customFormat="1" ht="0.65" hidden="1" customHeight="1">
      <c r="A1529" s="324">
        <v>6157</v>
      </c>
      <c r="O1529" s="324" t="s">
        <v>13</v>
      </c>
      <c r="P1529" s="324">
        <v>87817.478696592501</v>
      </c>
      <c r="T1529" s="324">
        <v>12</v>
      </c>
      <c r="U1529" s="324" t="s">
        <v>164</v>
      </c>
      <c r="V1529" s="324" t="s">
        <v>178</v>
      </c>
      <c r="W1529" s="324">
        <v>88154.078322431887</v>
      </c>
      <c r="X1529" s="324">
        <v>336.59962583938614</v>
      </c>
      <c r="Y1529" s="324">
        <v>336.59962583925653</v>
      </c>
      <c r="AA1529" s="324" t="s">
        <v>196</v>
      </c>
      <c r="AB1529" s="324" t="s">
        <v>1857</v>
      </c>
      <c r="AD1529" s="324">
        <v>213281.25</v>
      </c>
    </row>
    <row r="1530" spans="1:32" s="324" customFormat="1" ht="0.65" hidden="1" customHeight="1">
      <c r="A1530" s="324">
        <v>6158</v>
      </c>
      <c r="O1530" s="324" t="s">
        <v>28</v>
      </c>
      <c r="P1530" s="324">
        <v>0.17939434472028948</v>
      </c>
      <c r="T1530" s="324">
        <v>13</v>
      </c>
      <c r="U1530" s="324" t="s">
        <v>165</v>
      </c>
      <c r="V1530" s="324" t="s">
        <v>178</v>
      </c>
      <c r="W1530" s="324">
        <v>86120.537699498003</v>
      </c>
      <c r="X1530" s="324">
        <v>-1696.940997094498</v>
      </c>
      <c r="Y1530" s="324">
        <v>-1696.940997094528</v>
      </c>
      <c r="Z1530" s="324">
        <v>0.1044375</v>
      </c>
      <c r="AA1530" s="324" t="s">
        <v>202</v>
      </c>
      <c r="AB1530" s="324" t="s">
        <v>1894</v>
      </c>
      <c r="AD1530" s="324">
        <v>417031.25</v>
      </c>
    </row>
    <row r="1531" spans="1:32" s="324" customFormat="1" ht="0.65" hidden="1" customHeight="1">
      <c r="A1531" s="324">
        <v>6159</v>
      </c>
      <c r="O1531" s="324" t="s">
        <v>29</v>
      </c>
      <c r="P1531" s="324">
        <v>0.16433680223923744</v>
      </c>
      <c r="T1531" s="324">
        <v>14</v>
      </c>
      <c r="U1531" s="324" t="s">
        <v>166</v>
      </c>
      <c r="V1531" s="324" t="s">
        <v>179</v>
      </c>
      <c r="W1531" s="324">
        <v>97654.13544264494</v>
      </c>
      <c r="X1531" s="324">
        <v>9836.6567460524384</v>
      </c>
      <c r="Y1531" s="324">
        <v>9836.6567460524457</v>
      </c>
      <c r="Z1531" s="324">
        <v>9.5625000000000002E-2</v>
      </c>
      <c r="AA1531" s="324" t="s">
        <v>189</v>
      </c>
      <c r="AB1531" s="324" t="s">
        <v>1895</v>
      </c>
      <c r="AD1531" s="324">
        <v>0.10312499999999999</v>
      </c>
    </row>
    <row r="1532" spans="1:32" s="324" customFormat="1" ht="0.65" hidden="1" customHeight="1">
      <c r="A1532" s="324">
        <v>6160</v>
      </c>
      <c r="O1532" s="324" t="s">
        <v>30</v>
      </c>
      <c r="P1532" s="324">
        <v>3</v>
      </c>
      <c r="T1532" s="324">
        <v>15</v>
      </c>
      <c r="U1532" s="324" t="s">
        <v>167</v>
      </c>
      <c r="V1532" s="324" t="s">
        <v>178</v>
      </c>
      <c r="W1532" s="324">
        <v>78216.800022552954</v>
      </c>
      <c r="X1532" s="324">
        <v>-9600.6786740395473</v>
      </c>
      <c r="Y1532" s="324">
        <v>-9600.6786740396474</v>
      </c>
      <c r="Z1532" s="324">
        <v>0.110625</v>
      </c>
      <c r="AA1532" s="324" t="s">
        <v>190</v>
      </c>
      <c r="AB1532" s="324" t="s">
        <v>1896</v>
      </c>
      <c r="AD1532" s="324">
        <v>212420.47733247245</v>
      </c>
    </row>
    <row r="1533" spans="1:32" s="324" customFormat="1" ht="0.65" hidden="1" customHeight="1">
      <c r="A1533" s="324">
        <v>6161</v>
      </c>
      <c r="T1533" s="324">
        <v>16</v>
      </c>
      <c r="U1533" s="324" t="s">
        <v>168</v>
      </c>
      <c r="V1533" s="324" t="s">
        <v>181</v>
      </c>
      <c r="W1533" s="324">
        <v>95402.650565361488</v>
      </c>
      <c r="X1533" s="324">
        <v>7585.1718687689863</v>
      </c>
      <c r="Y1533" s="324">
        <v>7585.1718687688899</v>
      </c>
      <c r="Z1533" s="324">
        <v>9.7325581395348831E-2</v>
      </c>
      <c r="AA1533" s="324" t="s">
        <v>427</v>
      </c>
      <c r="AB1533" s="324" t="s">
        <v>1897</v>
      </c>
      <c r="AD1533" s="324">
        <v>212420.47733247245</v>
      </c>
    </row>
    <row r="1534" spans="1:32" s="324" customFormat="1" ht="0.65" hidden="1" customHeight="1">
      <c r="A1534" s="324">
        <v>6162</v>
      </c>
      <c r="P1534" s="324">
        <v>1</v>
      </c>
      <c r="T1534" s="324">
        <v>17</v>
      </c>
      <c r="U1534" s="324" t="s">
        <v>169</v>
      </c>
      <c r="V1534" s="324" t="s">
        <v>178</v>
      </c>
      <c r="W1534" s="324">
        <v>77032.936623531394</v>
      </c>
      <c r="X1534" s="324">
        <v>-10784.542073061108</v>
      </c>
      <c r="Y1534" s="324">
        <v>-10784.542073061195</v>
      </c>
      <c r="Z1534" s="324">
        <v>0.1115625</v>
      </c>
      <c r="AA1534" s="324" t="s">
        <v>425</v>
      </c>
      <c r="AB1534" s="324" t="s">
        <v>1898</v>
      </c>
    </row>
    <row r="1535" spans="1:32" s="324" customFormat="1" ht="0.65" hidden="1" customHeight="1">
      <c r="A1535" s="324">
        <v>6163</v>
      </c>
      <c r="H1535" s="324">
        <v>1</v>
      </c>
      <c r="I1535" s="324">
        <v>1</v>
      </c>
      <c r="J1535" s="324">
        <v>1</v>
      </c>
      <c r="K1535" s="324">
        <v>1</v>
      </c>
      <c r="L1535" s="324">
        <v>1</v>
      </c>
      <c r="M1535" s="324">
        <v>1</v>
      </c>
      <c r="N1535" s="324">
        <v>1</v>
      </c>
      <c r="O1535" s="324">
        <v>1</v>
      </c>
      <c r="P1535" s="324">
        <v>1</v>
      </c>
      <c r="T1535" s="324">
        <v>18</v>
      </c>
      <c r="U1535" s="324" t="s">
        <v>170</v>
      </c>
      <c r="V1535" s="324" t="s">
        <v>181</v>
      </c>
      <c r="W1535" s="324">
        <v>73233.162172578741</v>
      </c>
      <c r="X1535" s="324">
        <v>-14584.31652401376</v>
      </c>
      <c r="Y1535" s="324">
        <v>-14584.316524013946</v>
      </c>
      <c r="Z1535" s="324">
        <v>0.10224999999999999</v>
      </c>
      <c r="AA1535" s="324" t="s">
        <v>203</v>
      </c>
      <c r="AB1535" s="324" t="s">
        <v>1899</v>
      </c>
    </row>
    <row r="1536" spans="1:32" s="324" customFormat="1" ht="0.65" hidden="1" customHeight="1">
      <c r="A1536" s="324">
        <v>6164</v>
      </c>
      <c r="H1536" s="324">
        <v>1</v>
      </c>
      <c r="I1536" s="324">
        <v>1</v>
      </c>
      <c r="J1536" s="324">
        <v>1</v>
      </c>
      <c r="K1536" s="324">
        <v>1</v>
      </c>
      <c r="L1536" s="324">
        <v>1</v>
      </c>
      <c r="M1536" s="324">
        <v>1</v>
      </c>
      <c r="N1536" s="324">
        <v>1</v>
      </c>
      <c r="O1536" s="324">
        <v>1</v>
      </c>
      <c r="P1536" s="324">
        <v>1</v>
      </c>
      <c r="T1536" s="324">
        <v>19</v>
      </c>
      <c r="U1536" s="324" t="s">
        <v>171</v>
      </c>
      <c r="V1536" s="324" t="s">
        <v>181</v>
      </c>
      <c r="W1536" s="324">
        <v>212420.47733247245</v>
      </c>
      <c r="X1536" s="324">
        <v>124602.99863587995</v>
      </c>
      <c r="Y1536" s="324">
        <v>124602.99863587992</v>
      </c>
      <c r="AA1536" s="324" t="s">
        <v>426</v>
      </c>
      <c r="AB1536" s="324" t="s">
        <v>1900</v>
      </c>
    </row>
    <row r="1537" spans="1:39" s="324" customFormat="1" ht="0.65" hidden="1" customHeight="1">
      <c r="A1537" s="324">
        <v>6165</v>
      </c>
      <c r="H1537" s="324">
        <v>1</v>
      </c>
      <c r="I1537" s="324">
        <v>1</v>
      </c>
      <c r="J1537" s="324">
        <v>1</v>
      </c>
      <c r="K1537" s="324">
        <v>1</v>
      </c>
      <c r="L1537" s="324">
        <v>1</v>
      </c>
      <c r="M1537" s="324">
        <v>1</v>
      </c>
      <c r="N1537" s="324">
        <v>1</v>
      </c>
      <c r="O1537" s="324">
        <v>1</v>
      </c>
      <c r="P1537" s="324">
        <v>1</v>
      </c>
    </row>
    <row r="1538" spans="1:39" s="324" customFormat="1" ht="0.65" hidden="1" customHeight="1">
      <c r="A1538" s="324">
        <v>6166</v>
      </c>
    </row>
    <row r="1539" spans="1:39" s="324" customFormat="1" ht="0.65" hidden="1" customHeight="1">
      <c r="A1539" s="324">
        <v>6167</v>
      </c>
      <c r="X1539" s="324" t="s">
        <v>186</v>
      </c>
      <c r="Y1539" s="324">
        <v>1.1932570487260818E-9</v>
      </c>
    </row>
    <row r="1540" spans="1:39" s="324" customFormat="1" ht="0.65" hidden="1" customHeight="1">
      <c r="A1540" s="324">
        <v>6168</v>
      </c>
      <c r="N1540" s="324">
        <v>1</v>
      </c>
      <c r="P1540" s="324">
        <v>1</v>
      </c>
    </row>
    <row r="1541" spans="1:39" s="324" customFormat="1" ht="0.65" hidden="1" customHeight="1">
      <c r="A1541" s="324">
        <v>6169</v>
      </c>
      <c r="H1541" s="324">
        <v>1</v>
      </c>
      <c r="I1541" s="324">
        <v>1</v>
      </c>
      <c r="J1541" s="324">
        <v>1</v>
      </c>
      <c r="K1541" s="324">
        <v>1</v>
      </c>
      <c r="N1541" s="324">
        <v>1</v>
      </c>
      <c r="P1541" s="324">
        <v>1</v>
      </c>
    </row>
    <row r="1542" spans="1:39" s="324" customFormat="1" ht="0.65" hidden="1" customHeight="1">
      <c r="A1542" s="324">
        <v>6170</v>
      </c>
      <c r="H1542" s="324">
        <v>1</v>
      </c>
      <c r="I1542" s="324">
        <v>1</v>
      </c>
      <c r="J1542" s="324">
        <v>1</v>
      </c>
      <c r="K1542" s="324">
        <v>1</v>
      </c>
      <c r="N1542" s="324">
        <v>1</v>
      </c>
      <c r="P1542" s="324">
        <v>1</v>
      </c>
    </row>
    <row r="1543" spans="1:39" s="324" customFormat="1" ht="0.65" hidden="1" customHeight="1">
      <c r="A1543" s="324">
        <v>6171</v>
      </c>
      <c r="H1543" s="324">
        <v>1</v>
      </c>
      <c r="I1543" s="324">
        <v>1</v>
      </c>
      <c r="J1543" s="324">
        <v>1</v>
      </c>
      <c r="K1543" s="324">
        <v>1</v>
      </c>
      <c r="N1543" s="324">
        <v>1</v>
      </c>
    </row>
    <row r="1544" spans="1:39" s="324" customFormat="1" ht="0.65" hidden="1" customHeight="1">
      <c r="A1544" s="324">
        <v>6172</v>
      </c>
      <c r="AI1544" s="324">
        <v>1E-4</v>
      </c>
      <c r="AJ1544" s="324" t="s">
        <v>244</v>
      </c>
    </row>
    <row r="1545" spans="1:39" s="324" customFormat="1" ht="0.65" hidden="1" customHeight="1">
      <c r="A1545" s="324">
        <v>6173</v>
      </c>
      <c r="P1545" s="324">
        <v>1</v>
      </c>
      <c r="AC1545" s="324" t="s">
        <v>463</v>
      </c>
      <c r="AD1545" s="324" t="s">
        <v>208</v>
      </c>
      <c r="AG1545" s="324" t="s">
        <v>210</v>
      </c>
      <c r="AH1545" s="324" t="s">
        <v>209</v>
      </c>
      <c r="AI1545" s="324" t="s">
        <v>206</v>
      </c>
      <c r="AJ1545" s="324" t="s">
        <v>245</v>
      </c>
      <c r="AK1545" s="324" t="s">
        <v>206</v>
      </c>
      <c r="AL1545" s="324" t="s">
        <v>205</v>
      </c>
    </row>
    <row r="1546" spans="1:39" s="324" customFormat="1" ht="0.65" hidden="1" customHeight="1">
      <c r="A1546" s="324">
        <v>6174</v>
      </c>
      <c r="P1546" s="324">
        <v>1</v>
      </c>
      <c r="AA1546" s="324">
        <v>1</v>
      </c>
      <c r="AB1546" s="324" t="s">
        <v>645</v>
      </c>
      <c r="AC1546" s="324" t="s">
        <v>55</v>
      </c>
      <c r="AD1546" s="324" t="s">
        <v>55</v>
      </c>
      <c r="AE1546" s="324">
        <v>0</v>
      </c>
      <c r="AF1546" s="324" t="s">
        <v>490</v>
      </c>
      <c r="AG1546" s="324">
        <v>534375</v>
      </c>
      <c r="AH1546" s="324">
        <v>534375</v>
      </c>
      <c r="AI1546" s="324" t="s">
        <v>55</v>
      </c>
      <c r="AJ1546" s="324">
        <v>534375</v>
      </c>
      <c r="AK1546" s="324" t="s">
        <v>55</v>
      </c>
      <c r="AL1546" s="324" t="s">
        <v>55</v>
      </c>
      <c r="AM1546" s="324" t="s">
        <v>55</v>
      </c>
    </row>
    <row r="1547" spans="1:39" s="324" customFormat="1" ht="0.65" hidden="1" customHeight="1">
      <c r="A1547" s="324">
        <v>6175</v>
      </c>
      <c r="AA1547" s="324">
        <v>2</v>
      </c>
      <c r="AB1547" s="324" t="s">
        <v>645</v>
      </c>
      <c r="AC1547" s="324" t="s">
        <v>55</v>
      </c>
      <c r="AD1547" s="324" t="s">
        <v>55</v>
      </c>
      <c r="AE1547" s="324">
        <v>0</v>
      </c>
      <c r="AF1547" s="324" t="s">
        <v>510</v>
      </c>
      <c r="AG1547" s="324">
        <v>250000</v>
      </c>
      <c r="AH1547" s="324">
        <v>250000</v>
      </c>
      <c r="AI1547" s="324" t="s">
        <v>55</v>
      </c>
      <c r="AJ1547" s="324">
        <v>250000</v>
      </c>
      <c r="AK1547" s="324" t="s">
        <v>55</v>
      </c>
      <c r="AL1547" s="324" t="s">
        <v>55</v>
      </c>
      <c r="AM1547" s="324" t="s">
        <v>55</v>
      </c>
    </row>
    <row r="1548" spans="1:39" s="324" customFormat="1" ht="0.65" hidden="1" customHeight="1">
      <c r="A1548" s="324">
        <v>6176</v>
      </c>
      <c r="G1548" s="324" t="s">
        <v>411</v>
      </c>
      <c r="H1548" s="324">
        <v>49</v>
      </c>
      <c r="AA1548" s="324">
        <v>3</v>
      </c>
      <c r="AB1548" s="324" t="s">
        <v>645</v>
      </c>
      <c r="AC1548" s="324" t="s">
        <v>55</v>
      </c>
      <c r="AD1548" s="324" t="s">
        <v>55</v>
      </c>
      <c r="AE1548" s="324">
        <v>0</v>
      </c>
      <c r="AF1548" s="324" t="s">
        <v>513</v>
      </c>
      <c r="AG1548" s="324">
        <v>250000</v>
      </c>
      <c r="AH1548" s="324">
        <v>250000</v>
      </c>
      <c r="AI1548" s="324" t="s">
        <v>55</v>
      </c>
      <c r="AJ1548" s="324">
        <v>250000</v>
      </c>
      <c r="AK1548" s="324" t="s">
        <v>55</v>
      </c>
      <c r="AL1548" s="324" t="s">
        <v>55</v>
      </c>
      <c r="AM1548" s="324" t="s">
        <v>55</v>
      </c>
    </row>
    <row r="1549" spans="1:39" s="324" customFormat="1" ht="0.65" hidden="1" customHeight="1">
      <c r="A1549" s="324">
        <v>6177</v>
      </c>
      <c r="G1549" s="324" t="s">
        <v>412</v>
      </c>
      <c r="AA1549" s="324">
        <v>4</v>
      </c>
      <c r="AB1549" s="324" t="s">
        <v>645</v>
      </c>
      <c r="AC1549" s="324" t="s">
        <v>55</v>
      </c>
      <c r="AD1549" s="324" t="s">
        <v>55</v>
      </c>
      <c r="AE1549" s="324">
        <v>0</v>
      </c>
      <c r="AF1549" s="324" t="s">
        <v>515</v>
      </c>
      <c r="AG1549" s="324">
        <v>250000</v>
      </c>
      <c r="AH1549" s="324">
        <v>250000</v>
      </c>
      <c r="AI1549" s="324" t="s">
        <v>55</v>
      </c>
      <c r="AJ1549" s="324">
        <v>250000</v>
      </c>
      <c r="AK1549" s="324" t="s">
        <v>55</v>
      </c>
      <c r="AL1549" s="324" t="s">
        <v>55</v>
      </c>
      <c r="AM1549" s="324" t="s">
        <v>55</v>
      </c>
    </row>
    <row r="1550" spans="1:39" s="324" customFormat="1" ht="0.65" hidden="1" customHeight="1">
      <c r="A1550" s="324">
        <v>6178</v>
      </c>
      <c r="AA1550" s="324">
        <v>5</v>
      </c>
      <c r="AB1550" s="324" t="s">
        <v>645</v>
      </c>
      <c r="AC1550" s="324" t="s">
        <v>55</v>
      </c>
      <c r="AD1550" s="324" t="s">
        <v>55</v>
      </c>
      <c r="AE1550" s="324">
        <v>0</v>
      </c>
      <c r="AF1550" s="324" t="s">
        <v>517</v>
      </c>
      <c r="AG1550" s="324">
        <v>-25000</v>
      </c>
      <c r="AH1550" s="324">
        <v>-25000</v>
      </c>
      <c r="AI1550" s="324" t="s">
        <v>55</v>
      </c>
      <c r="AJ1550" s="324">
        <v>-25000</v>
      </c>
      <c r="AK1550" s="324" t="s">
        <v>55</v>
      </c>
      <c r="AL1550" s="324" t="s">
        <v>55</v>
      </c>
      <c r="AM1550" s="324" t="s">
        <v>55</v>
      </c>
    </row>
    <row r="1551" spans="1:39" s="324" customFormat="1" ht="0.65" hidden="1" customHeight="1">
      <c r="A1551" s="324">
        <v>6179</v>
      </c>
      <c r="AA1551" s="324">
        <v>6</v>
      </c>
      <c r="AB1551" s="324" t="s">
        <v>645</v>
      </c>
      <c r="AC1551" s="324" t="s">
        <v>55</v>
      </c>
      <c r="AD1551" s="324" t="s">
        <v>55</v>
      </c>
      <c r="AE1551" s="324">
        <v>0</v>
      </c>
      <c r="AF1551" s="324" t="s">
        <v>521</v>
      </c>
      <c r="AG1551" s="324">
        <v>-25000</v>
      </c>
      <c r="AH1551" s="324">
        <v>-25000</v>
      </c>
      <c r="AI1551" s="324" t="s">
        <v>55</v>
      </c>
      <c r="AJ1551" s="324">
        <v>-25000</v>
      </c>
      <c r="AK1551" s="324" t="s">
        <v>55</v>
      </c>
      <c r="AL1551" s="324" t="s">
        <v>55</v>
      </c>
      <c r="AM1551" s="324" t="s">
        <v>55</v>
      </c>
    </row>
    <row r="1552" spans="1:39" s="324" customFormat="1" ht="0.65" hidden="1" customHeight="1">
      <c r="A1552" s="324">
        <v>6180</v>
      </c>
      <c r="AA1552" s="324">
        <v>7</v>
      </c>
      <c r="AB1552" s="324" t="s">
        <v>645</v>
      </c>
      <c r="AC1552" s="324" t="s">
        <v>55</v>
      </c>
      <c r="AD1552" s="324" t="s">
        <v>55</v>
      </c>
      <c r="AE1552" s="324">
        <v>0</v>
      </c>
      <c r="AF1552" s="324" t="s">
        <v>523</v>
      </c>
      <c r="AG1552" s="324">
        <v>-25000</v>
      </c>
      <c r="AH1552" s="324">
        <v>-25000</v>
      </c>
      <c r="AI1552" s="324" t="s">
        <v>55</v>
      </c>
      <c r="AJ1552" s="324">
        <v>-25000</v>
      </c>
      <c r="AK1552" s="324" t="s">
        <v>55</v>
      </c>
      <c r="AL1552" s="324" t="s">
        <v>55</v>
      </c>
      <c r="AM1552" s="324" t="s">
        <v>55</v>
      </c>
    </row>
    <row r="1553" spans="1:39" s="324" customFormat="1" ht="0.65" hidden="1" customHeight="1">
      <c r="A1553" s="324">
        <v>6181</v>
      </c>
      <c r="G1553" s="324" t="s">
        <v>0</v>
      </c>
      <c r="H1553" s="324" t="s">
        <v>69</v>
      </c>
      <c r="I1553" s="324" t="s">
        <v>70</v>
      </c>
      <c r="J1553" s="324" t="s">
        <v>71</v>
      </c>
      <c r="K1553" s="324" t="s">
        <v>72</v>
      </c>
      <c r="L1553" s="324" t="s">
        <v>73</v>
      </c>
      <c r="M1553" s="324" t="s">
        <v>74</v>
      </c>
      <c r="N1553" s="324" t="s">
        <v>75</v>
      </c>
      <c r="O1553" s="324" t="s">
        <v>80</v>
      </c>
      <c r="P1553" s="324" t="s">
        <v>1</v>
      </c>
      <c r="AA1553" s="324">
        <v>8</v>
      </c>
      <c r="AB1553" s="324" t="s">
        <v>645</v>
      </c>
      <c r="AC1553" s="324" t="s">
        <v>55</v>
      </c>
      <c r="AD1553" s="324" t="s">
        <v>55</v>
      </c>
      <c r="AE1553" s="324">
        <v>0</v>
      </c>
      <c r="AF1553" s="324" t="s">
        <v>525</v>
      </c>
      <c r="AG1553" s="324">
        <v>28125</v>
      </c>
      <c r="AH1553" s="324">
        <v>28125</v>
      </c>
      <c r="AI1553" s="324" t="s">
        <v>55</v>
      </c>
      <c r="AJ1553" s="324">
        <v>28125</v>
      </c>
      <c r="AK1553" s="324" t="s">
        <v>55</v>
      </c>
      <c r="AL1553" s="324" t="s">
        <v>55</v>
      </c>
      <c r="AM1553" s="324" t="s">
        <v>55</v>
      </c>
    </row>
    <row r="1554" spans="1:39" s="324" customFormat="1" ht="0.65" hidden="1" customHeight="1">
      <c r="A1554" s="324">
        <v>6182</v>
      </c>
      <c r="G1554" s="324">
        <v>2021</v>
      </c>
      <c r="P1554" s="324" t="s">
        <v>645</v>
      </c>
      <c r="AA1554" s="324">
        <v>9</v>
      </c>
      <c r="AB1554" s="324" t="s">
        <v>645</v>
      </c>
      <c r="AC1554" s="324" t="s">
        <v>55</v>
      </c>
      <c r="AD1554" s="324" t="s">
        <v>55</v>
      </c>
      <c r="AE1554" s="324">
        <v>0</v>
      </c>
      <c r="AF1554" s="324" t="s">
        <v>528</v>
      </c>
      <c r="AG1554" s="324">
        <v>28125</v>
      </c>
      <c r="AH1554" s="324">
        <v>28125</v>
      </c>
      <c r="AI1554" s="324" t="s">
        <v>55</v>
      </c>
      <c r="AJ1554" s="324">
        <v>28125</v>
      </c>
      <c r="AK1554" s="324" t="s">
        <v>55</v>
      </c>
      <c r="AL1554" s="324" t="s">
        <v>55</v>
      </c>
      <c r="AM1554" s="324" t="s">
        <v>55</v>
      </c>
    </row>
    <row r="1555" spans="1:39" s="324" customFormat="1" ht="0.65" hidden="1" customHeight="1">
      <c r="A1555" s="324">
        <v>6183</v>
      </c>
      <c r="G1555" s="324">
        <v>2022</v>
      </c>
      <c r="H1555" s="324" t="s">
        <v>645</v>
      </c>
      <c r="I1555" s="324" t="s">
        <v>645</v>
      </c>
      <c r="J1555" s="324" t="s">
        <v>645</v>
      </c>
      <c r="K1555" s="324" t="s">
        <v>645</v>
      </c>
      <c r="L1555" s="324" t="s">
        <v>645</v>
      </c>
      <c r="M1555" s="324" t="s">
        <v>645</v>
      </c>
      <c r="N1555" s="324" t="s">
        <v>645</v>
      </c>
      <c r="O1555" s="324" t="s">
        <v>645</v>
      </c>
      <c r="P1555" s="324" t="s">
        <v>645</v>
      </c>
      <c r="AA1555" s="324">
        <v>10</v>
      </c>
      <c r="AB1555" s="324" t="s">
        <v>645</v>
      </c>
      <c r="AC1555" s="324" t="s">
        <v>55</v>
      </c>
      <c r="AD1555" s="324" t="s">
        <v>55</v>
      </c>
      <c r="AE1555" s="324">
        <v>0</v>
      </c>
      <c r="AF1555" s="324" t="s">
        <v>530</v>
      </c>
      <c r="AG1555" s="324">
        <v>28125</v>
      </c>
      <c r="AH1555" s="324">
        <v>28125</v>
      </c>
      <c r="AI1555" s="324" t="s">
        <v>55</v>
      </c>
      <c r="AJ1555" s="324">
        <v>28125</v>
      </c>
      <c r="AK1555" s="324" t="s">
        <v>55</v>
      </c>
      <c r="AL1555" s="324" t="s">
        <v>55</v>
      </c>
      <c r="AM1555" s="324" t="s">
        <v>55</v>
      </c>
    </row>
    <row r="1556" spans="1:39" s="324" customFormat="1" ht="0.65" hidden="1" customHeight="1">
      <c r="A1556" s="324">
        <v>6184</v>
      </c>
      <c r="G1556" s="324">
        <v>2023</v>
      </c>
      <c r="H1556" s="324" t="s">
        <v>645</v>
      </c>
      <c r="I1556" s="324" t="s">
        <v>645</v>
      </c>
      <c r="J1556" s="324" t="s">
        <v>645</v>
      </c>
      <c r="K1556" s="324" t="s">
        <v>645</v>
      </c>
      <c r="L1556" s="324" t="s">
        <v>645</v>
      </c>
      <c r="M1556" s="324" t="s">
        <v>645</v>
      </c>
      <c r="N1556" s="324" t="s">
        <v>645</v>
      </c>
      <c r="O1556" s="324" t="s">
        <v>645</v>
      </c>
      <c r="P1556" s="324" t="s">
        <v>645</v>
      </c>
      <c r="AA1556" s="324">
        <v>11</v>
      </c>
      <c r="AB1556" s="324" t="s">
        <v>645</v>
      </c>
      <c r="AC1556" s="324" t="s">
        <v>55</v>
      </c>
      <c r="AD1556" s="324" t="s">
        <v>55</v>
      </c>
      <c r="AE1556" s="324">
        <v>0</v>
      </c>
      <c r="AF1556" s="324" t="s">
        <v>533</v>
      </c>
      <c r="AG1556" s="324">
        <v>246875</v>
      </c>
      <c r="AH1556" s="324">
        <v>246875</v>
      </c>
      <c r="AI1556" s="324" t="s">
        <v>55</v>
      </c>
      <c r="AJ1556" s="324">
        <v>246875</v>
      </c>
      <c r="AK1556" s="324" t="s">
        <v>55</v>
      </c>
      <c r="AL1556" s="324" t="s">
        <v>55</v>
      </c>
      <c r="AM1556" s="324" t="s">
        <v>55</v>
      </c>
    </row>
    <row r="1557" spans="1:39" s="324" customFormat="1" ht="0.65" hidden="1" customHeight="1">
      <c r="A1557" s="324">
        <v>6185</v>
      </c>
      <c r="G1557" s="324">
        <v>2024</v>
      </c>
      <c r="H1557" s="324" t="s">
        <v>645</v>
      </c>
      <c r="I1557" s="324" t="s">
        <v>645</v>
      </c>
      <c r="J1557" s="324" t="s">
        <v>645</v>
      </c>
      <c r="K1557" s="324" t="s">
        <v>645</v>
      </c>
      <c r="L1557" s="324" t="s">
        <v>645</v>
      </c>
      <c r="M1557" s="324" t="s">
        <v>645</v>
      </c>
      <c r="N1557" s="324" t="s">
        <v>645</v>
      </c>
      <c r="O1557" s="324" t="s">
        <v>645</v>
      </c>
      <c r="P1557" s="324" t="s">
        <v>645</v>
      </c>
      <c r="AA1557" s="324">
        <v>12</v>
      </c>
      <c r="AB1557" s="324" t="s">
        <v>645</v>
      </c>
      <c r="AC1557" s="324" t="s">
        <v>55</v>
      </c>
      <c r="AD1557" s="324" t="s">
        <v>55</v>
      </c>
      <c r="AE1557" s="324">
        <v>0</v>
      </c>
      <c r="AF1557" s="324" t="s">
        <v>536</v>
      </c>
      <c r="AG1557" s="324">
        <v>246875</v>
      </c>
      <c r="AH1557" s="324">
        <v>246875</v>
      </c>
      <c r="AI1557" s="324" t="s">
        <v>55</v>
      </c>
      <c r="AJ1557" s="324">
        <v>246875</v>
      </c>
      <c r="AK1557" s="324" t="s">
        <v>55</v>
      </c>
      <c r="AL1557" s="324" t="s">
        <v>55</v>
      </c>
      <c r="AM1557" s="324" t="s">
        <v>55</v>
      </c>
    </row>
    <row r="1558" spans="1:39" s="324" customFormat="1" ht="0.65" hidden="1" customHeight="1">
      <c r="A1558" s="324">
        <v>6186</v>
      </c>
      <c r="AA1558" s="324">
        <v>13</v>
      </c>
      <c r="AB1558" s="324" t="s">
        <v>645</v>
      </c>
      <c r="AC1558" s="324" t="s">
        <v>55</v>
      </c>
      <c r="AD1558" s="324" t="s">
        <v>55</v>
      </c>
      <c r="AE1558" s="324">
        <v>0</v>
      </c>
      <c r="AF1558" s="324" t="s">
        <v>538</v>
      </c>
      <c r="AG1558" s="324">
        <v>246875</v>
      </c>
      <c r="AH1558" s="324">
        <v>246875</v>
      </c>
      <c r="AI1558" s="324" t="s">
        <v>55</v>
      </c>
      <c r="AJ1558" s="324">
        <v>246875</v>
      </c>
      <c r="AK1558" s="324" t="s">
        <v>55</v>
      </c>
      <c r="AL1558" s="324" t="s">
        <v>55</v>
      </c>
      <c r="AM1558" s="324" t="s">
        <v>55</v>
      </c>
    </row>
    <row r="1559" spans="1:39" s="324" customFormat="1" ht="0.65" hidden="1" customHeight="1">
      <c r="A1559" s="324">
        <v>6187</v>
      </c>
      <c r="G1559" s="324" t="s">
        <v>0</v>
      </c>
      <c r="H1559" s="324" t="s">
        <v>76</v>
      </c>
      <c r="I1559" s="324" t="s">
        <v>77</v>
      </c>
      <c r="J1559" s="324" t="s">
        <v>78</v>
      </c>
      <c r="K1559" s="324" t="s">
        <v>79</v>
      </c>
      <c r="AA1559" s="324">
        <v>14</v>
      </c>
      <c r="AB1559" s="324" t="s">
        <v>645</v>
      </c>
      <c r="AC1559" s="324" t="s">
        <v>55</v>
      </c>
      <c r="AD1559" s="324" t="s">
        <v>55</v>
      </c>
      <c r="AE1559" s="324">
        <v>0</v>
      </c>
      <c r="AF1559" s="324" t="s">
        <v>541</v>
      </c>
      <c r="AG1559" s="324">
        <v>61718.75</v>
      </c>
      <c r="AH1559" s="324">
        <v>61718.75</v>
      </c>
      <c r="AI1559" s="324" t="s">
        <v>55</v>
      </c>
      <c r="AJ1559" s="324">
        <v>61718.75</v>
      </c>
      <c r="AK1559" s="324" t="s">
        <v>55</v>
      </c>
      <c r="AL1559" s="324" t="s">
        <v>55</v>
      </c>
      <c r="AM1559" s="324" t="s">
        <v>55</v>
      </c>
    </row>
    <row r="1560" spans="1:39" s="324" customFormat="1" ht="0.65" hidden="1" customHeight="1">
      <c r="A1560" s="324">
        <v>6188</v>
      </c>
      <c r="G1560" s="324">
        <v>2021</v>
      </c>
      <c r="M1560" s="324" t="s">
        <v>456</v>
      </c>
      <c r="N1560" s="324" t="s">
        <v>645</v>
      </c>
      <c r="O1560" s="324" t="s">
        <v>124</v>
      </c>
      <c r="P1560" s="324" t="s">
        <v>645</v>
      </c>
      <c r="AA1560" s="324">
        <v>15</v>
      </c>
      <c r="AB1560" s="324" t="s">
        <v>645</v>
      </c>
      <c r="AC1560" s="324" t="s">
        <v>55</v>
      </c>
      <c r="AD1560" s="324" t="s">
        <v>55</v>
      </c>
      <c r="AE1560" s="324">
        <v>0</v>
      </c>
      <c r="AF1560" s="324" t="s">
        <v>544</v>
      </c>
      <c r="AG1560" s="324">
        <v>61718.75</v>
      </c>
      <c r="AH1560" s="324">
        <v>61718.75</v>
      </c>
      <c r="AI1560" s="324" t="s">
        <v>55</v>
      </c>
      <c r="AJ1560" s="324">
        <v>61718.75</v>
      </c>
      <c r="AK1560" s="324" t="s">
        <v>55</v>
      </c>
      <c r="AL1560" s="324" t="s">
        <v>55</v>
      </c>
      <c r="AM1560" s="324" t="s">
        <v>55</v>
      </c>
    </row>
    <row r="1561" spans="1:39" s="324" customFormat="1" ht="0.65" hidden="1" customHeight="1">
      <c r="A1561" s="324">
        <v>6189</v>
      </c>
      <c r="G1561" s="324">
        <v>2022</v>
      </c>
      <c r="H1561" s="324" t="s">
        <v>645</v>
      </c>
      <c r="I1561" s="324" t="s">
        <v>645</v>
      </c>
      <c r="J1561" s="324" t="s">
        <v>645</v>
      </c>
      <c r="K1561" s="324" t="s">
        <v>645</v>
      </c>
      <c r="M1561" s="324" t="s">
        <v>457</v>
      </c>
      <c r="N1561" s="324" t="s">
        <v>645</v>
      </c>
      <c r="O1561" s="324" t="s">
        <v>125</v>
      </c>
      <c r="P1561" s="324" t="s">
        <v>645</v>
      </c>
      <c r="AA1561" s="324">
        <v>16</v>
      </c>
      <c r="AB1561" s="324" t="s">
        <v>645</v>
      </c>
      <c r="AC1561" s="324" t="s">
        <v>55</v>
      </c>
      <c r="AD1561" s="324" t="s">
        <v>55</v>
      </c>
      <c r="AE1561" s="324">
        <v>0</v>
      </c>
      <c r="AF1561" s="324" t="s">
        <v>546</v>
      </c>
      <c r="AG1561" s="324">
        <v>61718.75</v>
      </c>
      <c r="AH1561" s="324">
        <v>61718.75</v>
      </c>
      <c r="AI1561" s="324" t="s">
        <v>55</v>
      </c>
      <c r="AJ1561" s="324">
        <v>61718.75</v>
      </c>
      <c r="AK1561" s="324" t="s">
        <v>55</v>
      </c>
      <c r="AL1561" s="324" t="s">
        <v>55</v>
      </c>
      <c r="AM1561" s="324" t="s">
        <v>55</v>
      </c>
    </row>
    <row r="1562" spans="1:39" s="324" customFormat="1" ht="0.65" hidden="1" customHeight="1">
      <c r="A1562" s="324">
        <v>6190</v>
      </c>
      <c r="G1562" s="324">
        <v>2023</v>
      </c>
      <c r="H1562" s="324" t="s">
        <v>645</v>
      </c>
      <c r="I1562" s="324" t="s">
        <v>645</v>
      </c>
      <c r="J1562" s="324" t="s">
        <v>645</v>
      </c>
      <c r="K1562" s="324" t="s">
        <v>645</v>
      </c>
      <c r="M1562" s="324" t="s">
        <v>458</v>
      </c>
      <c r="N1562" s="324" t="s">
        <v>645</v>
      </c>
      <c r="O1562" s="324" t="s">
        <v>126</v>
      </c>
      <c r="P1562" s="324" t="s">
        <v>645</v>
      </c>
      <c r="AA1562" s="324">
        <v>17</v>
      </c>
      <c r="AB1562" s="324" t="s">
        <v>645</v>
      </c>
      <c r="AC1562" s="324" t="s">
        <v>55</v>
      </c>
      <c r="AD1562" s="324" t="s">
        <v>55</v>
      </c>
      <c r="AE1562" s="324">
        <v>0</v>
      </c>
      <c r="AF1562" s="324" t="s">
        <v>549</v>
      </c>
      <c r="AG1562" s="324">
        <v>185156.25</v>
      </c>
      <c r="AH1562" s="324">
        <v>185156.25</v>
      </c>
      <c r="AI1562" s="324" t="s">
        <v>55</v>
      </c>
      <c r="AJ1562" s="324">
        <v>185156.25</v>
      </c>
      <c r="AK1562" s="324" t="s">
        <v>55</v>
      </c>
      <c r="AL1562" s="324" t="s">
        <v>55</v>
      </c>
      <c r="AM1562" s="324" t="s">
        <v>55</v>
      </c>
    </row>
    <row r="1563" spans="1:39" s="324" customFormat="1" ht="0.65" hidden="1" customHeight="1">
      <c r="A1563" s="324">
        <v>6191</v>
      </c>
      <c r="G1563" s="324">
        <v>2024</v>
      </c>
      <c r="H1563" s="324" t="s">
        <v>645</v>
      </c>
      <c r="I1563" s="324" t="s">
        <v>645</v>
      </c>
      <c r="J1563" s="324" t="s">
        <v>645</v>
      </c>
      <c r="K1563" s="324" t="s">
        <v>645</v>
      </c>
      <c r="M1563" s="324" t="s">
        <v>459</v>
      </c>
      <c r="N1563" s="324" t="s">
        <v>645</v>
      </c>
      <c r="AA1563" s="324">
        <v>18</v>
      </c>
      <c r="AB1563" s="324" t="s">
        <v>645</v>
      </c>
      <c r="AC1563" s="324" t="s">
        <v>55</v>
      </c>
      <c r="AD1563" s="324" t="s">
        <v>55</v>
      </c>
      <c r="AE1563" s="324">
        <v>0</v>
      </c>
      <c r="AF1563" s="324" t="s">
        <v>552</v>
      </c>
      <c r="AG1563" s="324">
        <v>185156.25</v>
      </c>
      <c r="AH1563" s="324">
        <v>185156.25</v>
      </c>
      <c r="AI1563" s="324" t="s">
        <v>55</v>
      </c>
      <c r="AJ1563" s="324">
        <v>185156.25</v>
      </c>
      <c r="AK1563" s="324" t="s">
        <v>55</v>
      </c>
      <c r="AL1563" s="324" t="s">
        <v>55</v>
      </c>
      <c r="AM1563" s="324" t="s">
        <v>55</v>
      </c>
    </row>
    <row r="1564" spans="1:39" s="324" customFormat="1" ht="0.65" hidden="1" customHeight="1">
      <c r="A1564" s="324">
        <v>6192</v>
      </c>
      <c r="AA1564" s="324">
        <v>19</v>
      </c>
      <c r="AB1564" s="324" t="s">
        <v>645</v>
      </c>
      <c r="AC1564" s="324" t="s">
        <v>55</v>
      </c>
      <c r="AD1564" s="324" t="s">
        <v>55</v>
      </c>
      <c r="AE1564" s="324">
        <v>0</v>
      </c>
      <c r="AF1564" s="324" t="s">
        <v>554</v>
      </c>
      <c r="AG1564" s="324">
        <v>185156.25</v>
      </c>
      <c r="AH1564" s="324">
        <v>185156.25</v>
      </c>
      <c r="AI1564" s="324" t="s">
        <v>55</v>
      </c>
      <c r="AJ1564" s="324">
        <v>185156.25</v>
      </c>
      <c r="AK1564" s="324" t="s">
        <v>55</v>
      </c>
      <c r="AL1564" s="324" t="s">
        <v>55</v>
      </c>
      <c r="AM1564" s="324" t="s">
        <v>55</v>
      </c>
    </row>
    <row r="1565" spans="1:39" s="324" customFormat="1" ht="0.65" hidden="1" customHeight="1">
      <c r="A1565" s="324">
        <v>6193</v>
      </c>
      <c r="O1565" s="324" t="s">
        <v>13</v>
      </c>
      <c r="P1565" s="324" t="s">
        <v>645</v>
      </c>
      <c r="AA1565" s="324">
        <v>20</v>
      </c>
      <c r="AB1565" s="324" t="s">
        <v>645</v>
      </c>
      <c r="AC1565" s="324" t="s">
        <v>55</v>
      </c>
      <c r="AD1565" s="324" t="s">
        <v>55</v>
      </c>
      <c r="AE1565" s="324">
        <v>0</v>
      </c>
      <c r="AF1565" s="324" t="s">
        <v>557</v>
      </c>
      <c r="AG1565" s="324">
        <v>213281.25</v>
      </c>
      <c r="AH1565" s="324">
        <v>213281.25</v>
      </c>
      <c r="AI1565" s="324" t="s">
        <v>55</v>
      </c>
      <c r="AJ1565" s="324">
        <v>213281.25</v>
      </c>
      <c r="AK1565" s="324" t="s">
        <v>55</v>
      </c>
      <c r="AL1565" s="324" t="s">
        <v>55</v>
      </c>
      <c r="AM1565" s="324" t="s">
        <v>55</v>
      </c>
    </row>
    <row r="1566" spans="1:39" s="324" customFormat="1" ht="0.65" hidden="1" customHeight="1">
      <c r="A1566" s="324">
        <v>6194</v>
      </c>
      <c r="O1566" s="324" t="s">
        <v>28</v>
      </c>
      <c r="P1566" s="324" t="s">
        <v>645</v>
      </c>
      <c r="AA1566" s="324">
        <v>21</v>
      </c>
      <c r="AB1566" s="324" t="s">
        <v>645</v>
      </c>
      <c r="AC1566" s="324" t="s">
        <v>55</v>
      </c>
      <c r="AD1566" s="324" t="s">
        <v>55</v>
      </c>
      <c r="AE1566" s="324">
        <v>0</v>
      </c>
      <c r="AF1566" s="324" t="s">
        <v>560</v>
      </c>
      <c r="AG1566" s="324">
        <v>213281.25</v>
      </c>
      <c r="AH1566" s="324">
        <v>213281.25</v>
      </c>
      <c r="AI1566" s="324" t="s">
        <v>55</v>
      </c>
      <c r="AJ1566" s="324">
        <v>213281.25</v>
      </c>
      <c r="AK1566" s="324" t="s">
        <v>55</v>
      </c>
      <c r="AL1566" s="324" t="s">
        <v>55</v>
      </c>
      <c r="AM1566" s="324" t="s">
        <v>55</v>
      </c>
    </row>
    <row r="1567" spans="1:39" s="324" customFormat="1" ht="0.65" hidden="1" customHeight="1">
      <c r="A1567" s="324">
        <v>6195</v>
      </c>
      <c r="O1567" s="324" t="s">
        <v>29</v>
      </c>
      <c r="AA1567" s="324">
        <v>22</v>
      </c>
      <c r="AB1567" s="324" t="s">
        <v>645</v>
      </c>
      <c r="AC1567" s="324" t="s">
        <v>55</v>
      </c>
      <c r="AD1567" s="324" t="s">
        <v>55</v>
      </c>
      <c r="AE1567" s="324">
        <v>0</v>
      </c>
      <c r="AF1567" s="324" t="s">
        <v>562</v>
      </c>
      <c r="AG1567" s="324">
        <v>213281.25</v>
      </c>
      <c r="AH1567" s="324">
        <v>213281.25</v>
      </c>
      <c r="AI1567" s="324" t="s">
        <v>55</v>
      </c>
      <c r="AJ1567" s="324">
        <v>213281.25</v>
      </c>
      <c r="AK1567" s="324" t="s">
        <v>55</v>
      </c>
      <c r="AL1567" s="324" t="s">
        <v>55</v>
      </c>
      <c r="AM1567" s="324" t="s">
        <v>55</v>
      </c>
    </row>
    <row r="1568" spans="1:39" s="324" customFormat="1" ht="0.65" hidden="1" customHeight="1">
      <c r="A1568" s="324">
        <v>6196</v>
      </c>
      <c r="O1568" s="324" t="s">
        <v>30</v>
      </c>
      <c r="AA1568" s="324">
        <v>23</v>
      </c>
      <c r="AB1568" s="324" t="s">
        <v>645</v>
      </c>
      <c r="AC1568" s="324" t="s">
        <v>55</v>
      </c>
      <c r="AD1568" s="324" t="s">
        <v>55</v>
      </c>
      <c r="AE1568" s="324">
        <v>0</v>
      </c>
      <c r="AF1568" s="324" t="s">
        <v>565</v>
      </c>
      <c r="AG1568" s="324">
        <v>62500</v>
      </c>
      <c r="AH1568" s="324">
        <v>62500</v>
      </c>
      <c r="AI1568" s="324" t="s">
        <v>55</v>
      </c>
      <c r="AJ1568" s="324">
        <v>62500</v>
      </c>
      <c r="AK1568" s="324" t="s">
        <v>55</v>
      </c>
      <c r="AL1568" s="324" t="s">
        <v>55</v>
      </c>
      <c r="AM1568" s="324" t="s">
        <v>55</v>
      </c>
    </row>
    <row r="1569" spans="1:39" s="324" customFormat="1" ht="0.65" hidden="1" customHeight="1">
      <c r="A1569" s="324">
        <v>6197</v>
      </c>
      <c r="AA1569" s="324">
        <v>24</v>
      </c>
      <c r="AB1569" s="324" t="s">
        <v>645</v>
      </c>
      <c r="AC1569" s="324" t="s">
        <v>55</v>
      </c>
      <c r="AD1569" s="324" t="s">
        <v>55</v>
      </c>
      <c r="AE1569" s="324">
        <v>0</v>
      </c>
      <c r="AF1569" s="324" t="s">
        <v>568</v>
      </c>
      <c r="AG1569" s="324">
        <v>62500</v>
      </c>
      <c r="AH1569" s="324">
        <v>62500</v>
      </c>
      <c r="AI1569" s="324" t="s">
        <v>55</v>
      </c>
      <c r="AJ1569" s="324">
        <v>62500</v>
      </c>
      <c r="AK1569" s="324" t="s">
        <v>55</v>
      </c>
      <c r="AL1569" s="324" t="s">
        <v>55</v>
      </c>
      <c r="AM1569" s="324" t="s">
        <v>55</v>
      </c>
    </row>
    <row r="1570" spans="1:39" s="324" customFormat="1" ht="0.65" hidden="1" customHeight="1">
      <c r="A1570" s="324">
        <v>6198</v>
      </c>
      <c r="AA1570" s="324">
        <v>25</v>
      </c>
      <c r="AB1570" s="324" t="s">
        <v>645</v>
      </c>
      <c r="AC1570" s="324" t="s">
        <v>55</v>
      </c>
      <c r="AD1570" s="324" t="s">
        <v>55</v>
      </c>
      <c r="AE1570" s="324">
        <v>0</v>
      </c>
      <c r="AF1570" s="324" t="s">
        <v>570</v>
      </c>
      <c r="AG1570" s="324">
        <v>62500</v>
      </c>
      <c r="AH1570" s="324">
        <v>62500</v>
      </c>
      <c r="AI1570" s="324" t="s">
        <v>55</v>
      </c>
      <c r="AJ1570" s="324">
        <v>62500</v>
      </c>
      <c r="AK1570" s="324" t="s">
        <v>55</v>
      </c>
      <c r="AL1570" s="324" t="s">
        <v>55</v>
      </c>
      <c r="AM1570" s="324" t="s">
        <v>55</v>
      </c>
    </row>
    <row r="1571" spans="1:39" s="324" customFormat="1" ht="0.65" hidden="1" customHeight="1">
      <c r="A1571" s="324">
        <v>6199</v>
      </c>
      <c r="AA1571" s="324">
        <v>26</v>
      </c>
      <c r="AB1571" s="324" t="s">
        <v>645</v>
      </c>
      <c r="AC1571" s="324" t="s">
        <v>55</v>
      </c>
      <c r="AD1571" s="324" t="s">
        <v>55</v>
      </c>
      <c r="AE1571" s="324">
        <v>0</v>
      </c>
      <c r="AF1571" s="324" t="s">
        <v>572</v>
      </c>
      <c r="AG1571" s="324">
        <v>-6250</v>
      </c>
      <c r="AH1571" s="324">
        <v>-6250</v>
      </c>
      <c r="AI1571" s="324" t="s">
        <v>55</v>
      </c>
      <c r="AJ1571" s="324">
        <v>-6250</v>
      </c>
      <c r="AK1571" s="324" t="s">
        <v>55</v>
      </c>
      <c r="AL1571" s="324" t="s">
        <v>55</v>
      </c>
      <c r="AM1571" s="324" t="s">
        <v>55</v>
      </c>
    </row>
    <row r="1572" spans="1:39" s="324" customFormat="1" ht="0.65" hidden="1" customHeight="1">
      <c r="A1572" s="324">
        <v>6200</v>
      </c>
      <c r="AA1572" s="324">
        <v>27</v>
      </c>
      <c r="AB1572" s="324" t="s">
        <v>645</v>
      </c>
      <c r="AC1572" s="324" t="s">
        <v>55</v>
      </c>
      <c r="AD1572" s="324" t="s">
        <v>55</v>
      </c>
      <c r="AE1572" s="324">
        <v>0</v>
      </c>
      <c r="AF1572" s="324" t="s">
        <v>575</v>
      </c>
      <c r="AG1572" s="324">
        <v>-6250</v>
      </c>
      <c r="AH1572" s="324">
        <v>-6250</v>
      </c>
      <c r="AI1572" s="324" t="s">
        <v>55</v>
      </c>
      <c r="AJ1572" s="324">
        <v>-6250</v>
      </c>
      <c r="AK1572" s="324" t="s">
        <v>55</v>
      </c>
      <c r="AL1572" s="324" t="s">
        <v>55</v>
      </c>
      <c r="AM1572" s="324" t="s">
        <v>55</v>
      </c>
    </row>
    <row r="1573" spans="1:39" s="324" customFormat="1" ht="0.65" hidden="1" customHeight="1">
      <c r="A1573" s="324">
        <v>6201</v>
      </c>
      <c r="AA1573" s="324">
        <v>28</v>
      </c>
      <c r="AB1573" s="324" t="s">
        <v>645</v>
      </c>
      <c r="AC1573" s="324" t="s">
        <v>55</v>
      </c>
      <c r="AD1573" s="324" t="s">
        <v>55</v>
      </c>
      <c r="AE1573" s="324">
        <v>0</v>
      </c>
      <c r="AF1573" s="324" t="s">
        <v>577</v>
      </c>
      <c r="AG1573" s="324">
        <v>-6250</v>
      </c>
      <c r="AH1573" s="324">
        <v>-6250</v>
      </c>
      <c r="AI1573" s="324" t="s">
        <v>55</v>
      </c>
      <c r="AJ1573" s="324">
        <v>-6250</v>
      </c>
      <c r="AK1573" s="324" t="s">
        <v>55</v>
      </c>
      <c r="AL1573" s="324" t="s">
        <v>55</v>
      </c>
      <c r="AM1573" s="324" t="s">
        <v>55</v>
      </c>
    </row>
    <row r="1574" spans="1:39" s="324" customFormat="1" ht="0.65" hidden="1" customHeight="1">
      <c r="A1574" s="324">
        <v>6202</v>
      </c>
      <c r="AA1574" s="324">
        <v>29</v>
      </c>
      <c r="AB1574" s="324" t="s">
        <v>645</v>
      </c>
      <c r="AC1574" s="324" t="s">
        <v>55</v>
      </c>
      <c r="AD1574" s="324" t="s">
        <v>55</v>
      </c>
      <c r="AE1574" s="324">
        <v>0</v>
      </c>
      <c r="AF1574" s="324" t="s">
        <v>579</v>
      </c>
      <c r="AG1574" s="324">
        <v>68750</v>
      </c>
      <c r="AH1574" s="324">
        <v>68750</v>
      </c>
      <c r="AI1574" s="324" t="s">
        <v>55</v>
      </c>
      <c r="AJ1574" s="324">
        <v>68750</v>
      </c>
      <c r="AK1574" s="324" t="s">
        <v>55</v>
      </c>
      <c r="AL1574" s="324" t="s">
        <v>55</v>
      </c>
      <c r="AM1574" s="324" t="s">
        <v>55</v>
      </c>
    </row>
    <row r="1575" spans="1:39" s="324" customFormat="1" ht="0.65" hidden="1" customHeight="1">
      <c r="A1575" s="324">
        <v>6203</v>
      </c>
      <c r="AA1575" s="324">
        <v>30</v>
      </c>
      <c r="AB1575" s="324" t="s">
        <v>645</v>
      </c>
      <c r="AC1575" s="324" t="s">
        <v>55</v>
      </c>
      <c r="AD1575" s="324" t="s">
        <v>55</v>
      </c>
      <c r="AE1575" s="324">
        <v>0</v>
      </c>
      <c r="AF1575" s="324" t="s">
        <v>582</v>
      </c>
      <c r="AG1575" s="324">
        <v>68750</v>
      </c>
      <c r="AH1575" s="324">
        <v>68750</v>
      </c>
      <c r="AI1575" s="324" t="s">
        <v>55</v>
      </c>
      <c r="AJ1575" s="324">
        <v>68750</v>
      </c>
      <c r="AK1575" s="324" t="s">
        <v>55</v>
      </c>
      <c r="AL1575" s="324" t="s">
        <v>55</v>
      </c>
      <c r="AM1575" s="324" t="s">
        <v>55</v>
      </c>
    </row>
    <row r="1576" spans="1:39" s="324" customFormat="1" ht="0.65" hidden="1" customHeight="1">
      <c r="A1576" s="324">
        <v>6204</v>
      </c>
      <c r="AA1576" s="324">
        <v>31</v>
      </c>
      <c r="AB1576" s="324" t="s">
        <v>645</v>
      </c>
      <c r="AC1576" s="324" t="s">
        <v>55</v>
      </c>
      <c r="AD1576" s="324" t="s">
        <v>55</v>
      </c>
      <c r="AE1576" s="324">
        <v>0</v>
      </c>
      <c r="AF1576" s="324" t="s">
        <v>584</v>
      </c>
      <c r="AG1576" s="324">
        <v>68750</v>
      </c>
      <c r="AH1576" s="324">
        <v>68750</v>
      </c>
      <c r="AI1576" s="324" t="s">
        <v>55</v>
      </c>
      <c r="AJ1576" s="324">
        <v>68750</v>
      </c>
      <c r="AK1576" s="324" t="s">
        <v>55</v>
      </c>
      <c r="AL1576" s="324" t="s">
        <v>55</v>
      </c>
      <c r="AM1576" s="324" t="s">
        <v>55</v>
      </c>
    </row>
    <row r="1577" spans="1:39" s="324" customFormat="1" ht="0.65" hidden="1" customHeight="1">
      <c r="A1577" s="324">
        <v>6205</v>
      </c>
      <c r="AA1577" s="324">
        <v>32</v>
      </c>
      <c r="AB1577" s="324" t="s">
        <v>645</v>
      </c>
      <c r="AC1577" s="324" t="s">
        <v>55</v>
      </c>
      <c r="AD1577" s="324" t="s">
        <v>55</v>
      </c>
      <c r="AE1577" s="324">
        <v>0</v>
      </c>
      <c r="AF1577" s="324" t="s">
        <v>586</v>
      </c>
      <c r="AG1577" s="324">
        <v>68750</v>
      </c>
      <c r="AH1577" s="324">
        <v>68750</v>
      </c>
      <c r="AI1577" s="324" t="s">
        <v>55</v>
      </c>
      <c r="AJ1577" s="324">
        <v>68750</v>
      </c>
      <c r="AK1577" s="324" t="s">
        <v>55</v>
      </c>
      <c r="AL1577" s="324" t="s">
        <v>55</v>
      </c>
      <c r="AM1577" s="324" t="s">
        <v>55</v>
      </c>
    </row>
    <row r="1578" spans="1:39" s="324" customFormat="1" ht="0.65" hidden="1" customHeight="1">
      <c r="A1578" s="324">
        <v>6206</v>
      </c>
      <c r="AA1578" s="324">
        <v>33</v>
      </c>
      <c r="AB1578" s="324" t="s">
        <v>645</v>
      </c>
      <c r="AC1578" s="324" t="s">
        <v>55</v>
      </c>
      <c r="AD1578" s="324" t="s">
        <v>55</v>
      </c>
      <c r="AE1578" s="324">
        <v>0</v>
      </c>
      <c r="AF1578" s="324" t="s">
        <v>589</v>
      </c>
      <c r="AG1578" s="324">
        <v>0</v>
      </c>
      <c r="AH1578" s="324">
        <v>0</v>
      </c>
      <c r="AI1578" s="324" t="s">
        <v>55</v>
      </c>
      <c r="AJ1578" s="324">
        <v>0</v>
      </c>
      <c r="AK1578" s="324" t="s">
        <v>55</v>
      </c>
      <c r="AL1578" s="324" t="s">
        <v>55</v>
      </c>
      <c r="AM1578" s="324" t="s">
        <v>55</v>
      </c>
    </row>
    <row r="1579" spans="1:39" s="324" customFormat="1" ht="0.65" hidden="1" customHeight="1">
      <c r="A1579" s="324">
        <v>6207</v>
      </c>
      <c r="AA1579" s="324">
        <v>34</v>
      </c>
      <c r="AB1579" s="324" t="s">
        <v>645</v>
      </c>
      <c r="AC1579" s="324" t="s">
        <v>55</v>
      </c>
      <c r="AD1579" s="324" t="s">
        <v>55</v>
      </c>
      <c r="AE1579" s="324">
        <v>0</v>
      </c>
      <c r="AF1579" s="324" t="s">
        <v>590</v>
      </c>
      <c r="AG1579" s="324">
        <v>0</v>
      </c>
      <c r="AH1579" s="324">
        <v>0</v>
      </c>
      <c r="AI1579" s="324" t="s">
        <v>55</v>
      </c>
      <c r="AJ1579" s="324">
        <v>0</v>
      </c>
      <c r="AK1579" s="324" t="s">
        <v>55</v>
      </c>
      <c r="AL1579" s="324" t="s">
        <v>55</v>
      </c>
      <c r="AM1579" s="324" t="s">
        <v>55</v>
      </c>
    </row>
    <row r="1580" spans="1:39" s="324" customFormat="1" ht="0.65" hidden="1" customHeight="1">
      <c r="A1580" s="324">
        <v>6208</v>
      </c>
      <c r="AA1580" s="324">
        <v>35</v>
      </c>
      <c r="AB1580" s="324" t="s">
        <v>645</v>
      </c>
      <c r="AC1580" s="324" t="s">
        <v>55</v>
      </c>
      <c r="AD1580" s="324" t="s">
        <v>55</v>
      </c>
      <c r="AE1580" s="324">
        <v>0</v>
      </c>
      <c r="AF1580" s="324" t="s">
        <v>592</v>
      </c>
      <c r="AG1580" s="324">
        <v>144531.25</v>
      </c>
      <c r="AH1580" s="324">
        <v>144531.25</v>
      </c>
      <c r="AI1580" s="324" t="s">
        <v>55</v>
      </c>
      <c r="AJ1580" s="324">
        <v>144531.25</v>
      </c>
      <c r="AK1580" s="324" t="s">
        <v>55</v>
      </c>
      <c r="AL1580" s="324" t="s">
        <v>55</v>
      </c>
      <c r="AM1580" s="324" t="s">
        <v>55</v>
      </c>
    </row>
    <row r="1581" spans="1:39" s="324" customFormat="1" ht="0.65" hidden="1" customHeight="1">
      <c r="A1581" s="324">
        <v>6209</v>
      </c>
      <c r="AA1581" s="324">
        <v>36</v>
      </c>
      <c r="AB1581" s="324" t="s">
        <v>645</v>
      </c>
      <c r="AC1581" s="324" t="s">
        <v>55</v>
      </c>
      <c r="AD1581" s="324" t="s">
        <v>55</v>
      </c>
      <c r="AE1581" s="324">
        <v>0</v>
      </c>
      <c r="AF1581" s="324" t="s">
        <v>595</v>
      </c>
      <c r="AG1581" s="324">
        <v>213281.25</v>
      </c>
      <c r="AH1581" s="324">
        <v>213281.25</v>
      </c>
      <c r="AI1581" s="324" t="s">
        <v>55</v>
      </c>
      <c r="AJ1581" s="324">
        <v>213281.25</v>
      </c>
      <c r="AK1581" s="324" t="s">
        <v>55</v>
      </c>
      <c r="AL1581" s="324" t="s">
        <v>55</v>
      </c>
      <c r="AM1581" s="324" t="s">
        <v>55</v>
      </c>
    </row>
    <row r="1582" spans="1:39" s="324" customFormat="1" ht="0.65" hidden="1" customHeight="1">
      <c r="A1582" s="324">
        <v>6210</v>
      </c>
      <c r="AA1582" s="324">
        <v>37</v>
      </c>
      <c r="AB1582" s="324" t="s">
        <v>645</v>
      </c>
      <c r="AC1582" s="324" t="s">
        <v>55</v>
      </c>
      <c r="AD1582" s="324" t="s">
        <v>55</v>
      </c>
      <c r="AE1582" s="324">
        <v>0</v>
      </c>
      <c r="AF1582" s="324" t="s">
        <v>598</v>
      </c>
      <c r="AG1582" s="324">
        <v>213281.25</v>
      </c>
      <c r="AH1582" s="324">
        <v>213281.25</v>
      </c>
      <c r="AI1582" s="324" t="s">
        <v>55</v>
      </c>
      <c r="AJ1582" s="324">
        <v>213281.25</v>
      </c>
      <c r="AK1582" s="324" t="s">
        <v>55</v>
      </c>
      <c r="AL1582" s="324" t="s">
        <v>55</v>
      </c>
      <c r="AM1582" s="324" t="s">
        <v>55</v>
      </c>
    </row>
    <row r="1583" spans="1:39" s="324" customFormat="1" ht="0.65" hidden="1" customHeight="1">
      <c r="A1583" s="324">
        <v>6211</v>
      </c>
      <c r="AA1583" s="324">
        <v>38</v>
      </c>
      <c r="AB1583" s="324" t="s">
        <v>645</v>
      </c>
      <c r="AC1583" s="324" t="s">
        <v>55</v>
      </c>
      <c r="AD1583" s="324" t="s">
        <v>55</v>
      </c>
      <c r="AE1583" s="324">
        <v>0</v>
      </c>
      <c r="AF1583" s="324" t="s">
        <v>491</v>
      </c>
      <c r="AG1583" s="324">
        <v>142031.25</v>
      </c>
      <c r="AH1583" s="324">
        <v>142031.25</v>
      </c>
      <c r="AI1583" s="324" t="s">
        <v>55</v>
      </c>
      <c r="AJ1583" s="324">
        <v>142031.25</v>
      </c>
      <c r="AK1583" s="324" t="s">
        <v>55</v>
      </c>
      <c r="AL1583" s="324" t="s">
        <v>55</v>
      </c>
      <c r="AM1583" s="324" t="s">
        <v>55</v>
      </c>
    </row>
    <row r="1584" spans="1:39" s="324" customFormat="1" ht="0.65" hidden="1" customHeight="1">
      <c r="A1584" s="324">
        <v>6212</v>
      </c>
      <c r="AA1584" s="324">
        <v>39</v>
      </c>
      <c r="AB1584" s="324" t="s">
        <v>645</v>
      </c>
      <c r="AC1584" s="324" t="s">
        <v>55</v>
      </c>
      <c r="AD1584" s="324" t="s">
        <v>55</v>
      </c>
      <c r="AE1584" s="324">
        <v>0</v>
      </c>
      <c r="AF1584" s="324" t="s">
        <v>493</v>
      </c>
      <c r="AG1584" s="324">
        <v>68750</v>
      </c>
      <c r="AH1584" s="324">
        <v>68750</v>
      </c>
      <c r="AI1584" s="324" t="s">
        <v>55</v>
      </c>
      <c r="AJ1584" s="324">
        <v>68750</v>
      </c>
      <c r="AK1584" s="324" t="s">
        <v>55</v>
      </c>
      <c r="AL1584" s="324" t="s">
        <v>55</v>
      </c>
      <c r="AM1584" s="324" t="s">
        <v>55</v>
      </c>
    </row>
    <row r="1585" spans="1:39" s="324" customFormat="1" ht="0.65" hidden="1" customHeight="1">
      <c r="A1585" s="324">
        <v>6213</v>
      </c>
      <c r="AA1585" s="324">
        <v>40</v>
      </c>
      <c r="AB1585" s="324" t="s">
        <v>645</v>
      </c>
      <c r="AC1585" s="324" t="s">
        <v>55</v>
      </c>
      <c r="AD1585" s="324" t="s">
        <v>55</v>
      </c>
      <c r="AE1585" s="324">
        <v>0</v>
      </c>
      <c r="AF1585" s="324" t="s">
        <v>494</v>
      </c>
      <c r="AG1585" s="324">
        <v>210781.25</v>
      </c>
      <c r="AH1585" s="324">
        <v>210781.25</v>
      </c>
      <c r="AI1585" s="324" t="s">
        <v>55</v>
      </c>
      <c r="AJ1585" s="324">
        <v>210781.25</v>
      </c>
      <c r="AK1585" s="324" t="s">
        <v>55</v>
      </c>
      <c r="AL1585" s="324" t="s">
        <v>55</v>
      </c>
      <c r="AM1585" s="324" t="s">
        <v>55</v>
      </c>
    </row>
    <row r="1586" spans="1:39" s="324" customFormat="1" ht="0.65" hidden="1" customHeight="1">
      <c r="A1586" s="324">
        <v>6214</v>
      </c>
      <c r="AA1586" s="324">
        <v>41</v>
      </c>
      <c r="AB1586" s="324" t="s">
        <v>645</v>
      </c>
      <c r="AC1586" s="324" t="s">
        <v>55</v>
      </c>
      <c r="AD1586" s="324" t="s">
        <v>55</v>
      </c>
      <c r="AE1586" s="324">
        <v>0</v>
      </c>
      <c r="AF1586" s="324" t="s">
        <v>607</v>
      </c>
      <c r="AG1586" s="324">
        <v>-534375</v>
      </c>
      <c r="AH1586" s="324">
        <v>-534375</v>
      </c>
      <c r="AI1586" s="324" t="s">
        <v>55</v>
      </c>
      <c r="AJ1586" s="324">
        <v>-534375</v>
      </c>
      <c r="AK1586" s="324" t="s">
        <v>55</v>
      </c>
      <c r="AL1586" s="324" t="s">
        <v>55</v>
      </c>
      <c r="AM1586" s="324" t="s">
        <v>55</v>
      </c>
    </row>
    <row r="1587" spans="1:39" s="324" customFormat="1" ht="0.65" hidden="1" customHeight="1">
      <c r="A1587" s="324">
        <v>6215</v>
      </c>
      <c r="AA1587" s="324">
        <v>42</v>
      </c>
      <c r="AB1587" s="324" t="s">
        <v>645</v>
      </c>
      <c r="AC1587" s="324" t="s">
        <v>55</v>
      </c>
      <c r="AD1587" s="324" t="s">
        <v>55</v>
      </c>
      <c r="AE1587" s="324">
        <v>0</v>
      </c>
      <c r="AF1587" s="324" t="s">
        <v>610</v>
      </c>
      <c r="AG1587" s="324">
        <v>144531.25</v>
      </c>
      <c r="AH1587" s="324">
        <v>144531.25</v>
      </c>
      <c r="AI1587" s="324" t="s">
        <v>55</v>
      </c>
      <c r="AJ1587" s="324">
        <v>144531.25</v>
      </c>
      <c r="AK1587" s="324" t="s">
        <v>55</v>
      </c>
      <c r="AL1587" s="324" t="s">
        <v>55</v>
      </c>
      <c r="AM1587" s="324" t="s">
        <v>55</v>
      </c>
    </row>
    <row r="1588" spans="1:39" s="324" customFormat="1" ht="0.65" hidden="1" customHeight="1">
      <c r="A1588" s="324">
        <v>6216</v>
      </c>
      <c r="AA1588" s="324">
        <v>43</v>
      </c>
      <c r="AB1588" s="324" t="s">
        <v>645</v>
      </c>
      <c r="AC1588" s="324" t="s">
        <v>55</v>
      </c>
      <c r="AD1588" s="324" t="s">
        <v>55</v>
      </c>
      <c r="AE1588" s="324">
        <v>0</v>
      </c>
      <c r="AF1588" s="324" t="s">
        <v>611</v>
      </c>
      <c r="AG1588" s="324">
        <v>213281.25</v>
      </c>
      <c r="AH1588" s="324">
        <v>213281.25</v>
      </c>
      <c r="AI1588" s="324" t="s">
        <v>55</v>
      </c>
      <c r="AJ1588" s="324">
        <v>213281.25</v>
      </c>
      <c r="AK1588" s="324" t="s">
        <v>55</v>
      </c>
      <c r="AL1588" s="324" t="s">
        <v>55</v>
      </c>
      <c r="AM1588" s="324" t="s">
        <v>55</v>
      </c>
    </row>
    <row r="1589" spans="1:39" s="324" customFormat="1" ht="0.65" hidden="1" customHeight="1">
      <c r="A1589" s="324">
        <v>6217</v>
      </c>
      <c r="AA1589" s="324">
        <v>44</v>
      </c>
      <c r="AB1589" s="324" t="s">
        <v>645</v>
      </c>
      <c r="AC1589" s="324" t="s">
        <v>55</v>
      </c>
      <c r="AD1589" s="324" t="s">
        <v>55</v>
      </c>
      <c r="AE1589" s="324">
        <v>0</v>
      </c>
      <c r="AF1589" s="324" t="s">
        <v>612</v>
      </c>
      <c r="AG1589" s="324">
        <v>424062.5</v>
      </c>
      <c r="AH1589" s="324">
        <v>424062.5</v>
      </c>
      <c r="AI1589" s="324" t="s">
        <v>55</v>
      </c>
      <c r="AJ1589" s="324">
        <v>424062.5</v>
      </c>
      <c r="AK1589" s="324" t="s">
        <v>55</v>
      </c>
      <c r="AL1589" s="324" t="s">
        <v>55</v>
      </c>
      <c r="AM1589" s="324" t="s">
        <v>55</v>
      </c>
    </row>
    <row r="1590" spans="1:39" s="324" customFormat="1" ht="0.65" hidden="1" customHeight="1">
      <c r="A1590" s="324">
        <v>6218</v>
      </c>
      <c r="AA1590" s="324">
        <v>45</v>
      </c>
      <c r="AB1590" s="324" t="s">
        <v>645</v>
      </c>
      <c r="AC1590" s="324" t="s">
        <v>55</v>
      </c>
      <c r="AD1590" s="324" t="s">
        <v>55</v>
      </c>
      <c r="AE1590" s="324">
        <v>0</v>
      </c>
      <c r="AF1590" s="324" t="s">
        <v>124</v>
      </c>
      <c r="AG1590" s="324">
        <v>5.2500000000000012E-2</v>
      </c>
      <c r="AH1590" s="324">
        <v>5.2500000000000012E-2</v>
      </c>
      <c r="AI1590" s="324" t="s">
        <v>55</v>
      </c>
      <c r="AJ1590" s="324">
        <v>5.2500000000000012E-2</v>
      </c>
      <c r="AK1590" s="324" t="s">
        <v>55</v>
      </c>
      <c r="AL1590" s="324" t="s">
        <v>55</v>
      </c>
      <c r="AM1590" s="324" t="s">
        <v>55</v>
      </c>
    </row>
    <row r="1591" spans="1:39" s="324" customFormat="1" ht="0.65" hidden="1" customHeight="1">
      <c r="A1591" s="324">
        <v>6219</v>
      </c>
      <c r="AA1591" s="324">
        <v>46</v>
      </c>
      <c r="AB1591" s="324" t="s">
        <v>645</v>
      </c>
      <c r="AC1591" s="324" t="s">
        <v>55</v>
      </c>
      <c r="AD1591" s="324" t="s">
        <v>55</v>
      </c>
      <c r="AE1591" s="324">
        <v>0</v>
      </c>
      <c r="AF1591" s="324" t="s">
        <v>125</v>
      </c>
      <c r="AG1591" s="324">
        <v>0.12000000000000001</v>
      </c>
      <c r="AH1591" s="324">
        <v>0.12000000000000001</v>
      </c>
      <c r="AI1591" s="324" t="s">
        <v>55</v>
      </c>
      <c r="AJ1591" s="324">
        <v>0.12000000000000001</v>
      </c>
      <c r="AK1591" s="324" t="s">
        <v>55</v>
      </c>
      <c r="AL1591" s="324" t="s">
        <v>55</v>
      </c>
      <c r="AM1591" s="324" t="s">
        <v>55</v>
      </c>
    </row>
    <row r="1592" spans="1:39" s="324" customFormat="1" ht="0.65" hidden="1" customHeight="1">
      <c r="A1592" s="324">
        <v>6220</v>
      </c>
      <c r="AA1592" s="324">
        <v>47</v>
      </c>
      <c r="AB1592" s="324" t="s">
        <v>645</v>
      </c>
      <c r="AC1592" s="324" t="s">
        <v>55</v>
      </c>
      <c r="AD1592" s="324" t="s">
        <v>55</v>
      </c>
      <c r="AE1592" s="324">
        <v>0</v>
      </c>
      <c r="AF1592" s="324" t="s">
        <v>126</v>
      </c>
      <c r="AG1592" s="324">
        <v>0.10312499999999999</v>
      </c>
      <c r="AH1592" s="324">
        <v>0.10312499999999999</v>
      </c>
      <c r="AI1592" s="324" t="s">
        <v>55</v>
      </c>
      <c r="AJ1592" s="324">
        <v>0.10312499999999999</v>
      </c>
      <c r="AK1592" s="324" t="s">
        <v>55</v>
      </c>
      <c r="AL1592" s="324" t="s">
        <v>55</v>
      </c>
      <c r="AM1592" s="324" t="s">
        <v>55</v>
      </c>
    </row>
    <row r="1593" spans="1:39" s="324" customFormat="1" ht="0.65" hidden="1" customHeight="1">
      <c r="A1593" s="324">
        <v>6221</v>
      </c>
      <c r="AA1593" s="324">
        <v>48</v>
      </c>
      <c r="AB1593" s="324" t="s">
        <v>645</v>
      </c>
      <c r="AC1593" s="324" t="s">
        <v>55</v>
      </c>
      <c r="AD1593" s="324" t="s">
        <v>55</v>
      </c>
      <c r="AE1593" s="324">
        <v>0</v>
      </c>
      <c r="AF1593" s="324" t="s">
        <v>13</v>
      </c>
      <c r="AG1593" s="324">
        <v>87817.478696592501</v>
      </c>
      <c r="AH1593" s="324">
        <v>87817.478696592501</v>
      </c>
      <c r="AI1593" s="324" t="s">
        <v>55</v>
      </c>
      <c r="AJ1593" s="324">
        <v>87817.478696592501</v>
      </c>
      <c r="AK1593" s="324" t="s">
        <v>55</v>
      </c>
      <c r="AL1593" s="324" t="s">
        <v>55</v>
      </c>
      <c r="AM1593" s="324" t="s">
        <v>55</v>
      </c>
    </row>
    <row r="1594" spans="1:39" s="324" customFormat="1" ht="0.65" hidden="1" customHeight="1">
      <c r="A1594" s="324">
        <v>6222</v>
      </c>
      <c r="AA1594" s="324">
        <v>49</v>
      </c>
      <c r="AB1594" s="324" t="s">
        <v>645</v>
      </c>
      <c r="AC1594" s="324" t="s">
        <v>55</v>
      </c>
      <c r="AD1594" s="324" t="s">
        <v>55</v>
      </c>
      <c r="AE1594" s="324">
        <v>0</v>
      </c>
      <c r="AF1594" s="324" t="s">
        <v>28</v>
      </c>
      <c r="AG1594" s="324">
        <v>0.17939434472028948</v>
      </c>
      <c r="AH1594" s="324">
        <v>0.17939434472028948</v>
      </c>
      <c r="AI1594" s="324" t="s">
        <v>55</v>
      </c>
      <c r="AJ1594" s="324">
        <v>0.17939434472028948</v>
      </c>
      <c r="AK1594" s="324" t="s">
        <v>55</v>
      </c>
      <c r="AL1594" s="324" t="s">
        <v>55</v>
      </c>
      <c r="AM1594" s="324" t="s">
        <v>55</v>
      </c>
    </row>
    <row r="1595" spans="1:39" s="324" customFormat="1" ht="0.65" hidden="1" customHeight="1">
      <c r="A1595" s="324">
        <v>6223</v>
      </c>
      <c r="AH1595" s="324" t="s">
        <v>207</v>
      </c>
      <c r="AI1595" s="324">
        <v>0</v>
      </c>
      <c r="AJ1595" s="324" t="s">
        <v>207</v>
      </c>
      <c r="AK1595" s="324">
        <v>0</v>
      </c>
    </row>
    <row r="1596" spans="1:39" s="65" customFormat="1" hidden="1"/>
  </sheetData>
  <sheetProtection algorithmName="SHA-512" hashValue="dR+iIxgns4XGxpXP/3ajPn7aCVsjR+zt91xA7pL6Oc40M3F3QAlZUDjVjQf00jEBveG5N4TNmeg9sYZiJ54huw==" saltValue="QrxyBRwchWiodEmc+8Cy9Q==" spinCount="100000" sheet="1" selectLockedCells="1"/>
  <mergeCells count="27">
    <mergeCell ref="B1:C1"/>
    <mergeCell ref="E6:F14"/>
    <mergeCell ref="W8:AF9"/>
    <mergeCell ref="W10:AF11"/>
    <mergeCell ref="W12:AF13"/>
    <mergeCell ref="W14:AF15"/>
    <mergeCell ref="W16:AF17"/>
    <mergeCell ref="E18:F26"/>
    <mergeCell ref="W18:AF19"/>
    <mergeCell ref="N20:Q21"/>
    <mergeCell ref="W20:AF21"/>
    <mergeCell ref="N22:Q22"/>
    <mergeCell ref="W22:AF23"/>
    <mergeCell ref="W24:AF25"/>
    <mergeCell ref="W26:AF27"/>
    <mergeCell ref="W42:AF43"/>
    <mergeCell ref="W44:AF45"/>
    <mergeCell ref="W46:AF47"/>
    <mergeCell ref="M28:Q29"/>
    <mergeCell ref="W28:AF29"/>
    <mergeCell ref="W30:AF31"/>
    <mergeCell ref="M32:Q37"/>
    <mergeCell ref="W32:AF33"/>
    <mergeCell ref="W34:AF35"/>
    <mergeCell ref="W36:AF37"/>
    <mergeCell ref="W38:AF39"/>
    <mergeCell ref="W40:AF41"/>
  </mergeCells>
  <conditionalFormatting sqref="S1:AF47 G19:R47">
    <cfRule type="expression" dxfId="270" priority="6" stopIfTrue="1">
      <formula>OR(NOT($D$1=$D$2),NOT($L$17="x"),NOT($L$19=0))</formula>
    </cfRule>
  </conditionalFormatting>
  <conditionalFormatting sqref="D1:E2 K19:L19 S1:S47 A1:A47 A48:XFD1595">
    <cfRule type="expression" dxfId="269" priority="19" stopIfTrue="1">
      <formula>NOT($L$18="javi")</formula>
    </cfRule>
  </conditionalFormatting>
  <conditionalFormatting sqref="AD131:AP145 AD48:AP55 T8:AF47">
    <cfRule type="expression" dxfId="268" priority="13" stopIfTrue="1">
      <formula>T8=""</formula>
    </cfRule>
  </conditionalFormatting>
  <conditionalFormatting sqref="T5:AF7">
    <cfRule type="expression" dxfId="267" priority="12" stopIfTrue="1">
      <formula>$AK$225=0</formula>
    </cfRule>
  </conditionalFormatting>
  <conditionalFormatting sqref="T4:AF4">
    <cfRule type="expression" dxfId="266" priority="11" stopIfTrue="1">
      <formula>$T$4=""</formula>
    </cfRule>
  </conditionalFormatting>
  <conditionalFormatting sqref="K17:M18">
    <cfRule type="expression" dxfId="265" priority="9" stopIfTrue="1">
      <formula>NOT($D$1=$D$2)</formula>
    </cfRule>
  </conditionalFormatting>
  <conditionalFormatting sqref="F54:P55">
    <cfRule type="expression" dxfId="264" priority="7" stopIfTrue="1">
      <formula>NOT($L$18="javi")</formula>
    </cfRule>
  </conditionalFormatting>
  <conditionalFormatting sqref="F32:F44">
    <cfRule type="expression" dxfId="263" priority="8" stopIfTrue="1">
      <formula>NOT($L$18="javi")</formula>
    </cfRule>
  </conditionalFormatting>
  <conditionalFormatting sqref="G25:L29 M26 M28:R38">
    <cfRule type="expression" dxfId="262" priority="10" stopIfTrue="1">
      <formula>OR($L$21="",NOT($M$21=""))</formula>
    </cfRule>
  </conditionalFormatting>
  <conditionalFormatting sqref="A1:XFD1048576">
    <cfRule type="expression" dxfId="261" priority="2" stopIfTrue="1">
      <formula>OR($E$1="",NOT($E$2="SI"),$D$82="SI")</formula>
    </cfRule>
  </conditionalFormatting>
  <conditionalFormatting sqref="E6:F14 E18:F26 N20:R21">
    <cfRule type="expression" dxfId="260" priority="1" stopIfTrue="1">
      <formula>NOT($E$6="")</formula>
    </cfRule>
  </conditionalFormatting>
  <conditionalFormatting sqref="H4:P16">
    <cfRule type="expression" dxfId="259" priority="3" stopIfTrue="1">
      <formula>AND($D$1=$D$2,$L$17="x",$L$19=0,H184="B")</formula>
    </cfRule>
    <cfRule type="expression" dxfId="258" priority="4" stopIfTrue="1">
      <formula>AND($D$1=$D$2,$L$17="x",$L$19=0,H184="D")</formula>
    </cfRule>
    <cfRule type="expression" dxfId="257" priority="5" stopIfTrue="1">
      <formula>AND($D$1=$D$2,$L$17="x",$L$19=0,H184="C")</formula>
    </cfRule>
  </conditionalFormatting>
  <conditionalFormatting sqref="S131:AB145 S48:AB55">
    <cfRule type="expression" dxfId="256" priority="377" stopIfTrue="1">
      <formula>OR(NOT(#REF!="x"),NOT(#REF!=0))</formula>
    </cfRule>
  </conditionalFormatting>
  <conditionalFormatting sqref="T131:AB145 T48:AB55">
    <cfRule type="expression" dxfId="255" priority="379" stopIfTrue="1">
      <formula>OR(#REF!="",#REF!="ERROR")</formula>
    </cfRule>
  </conditionalFormatting>
  <pageMargins left="0.70866141732283472" right="0.70866141732283472" top="0.74803149606299213" bottom="0.74803149606299213" header="0.31496062992125984" footer="0.31496062992125984"/>
  <pageSetup paperSize="9" scale="70" pageOrder="overThenDown" orientation="landscape" r:id="rId1"/>
  <headerFooter>
    <oddHeader>&amp;CCaso práctico de inversión en condiciones de certeza sin inflación: Sustitución de maquinaria con inversiones en fondo de maniobra - Autoevaluación (básico)</oddHeader>
    <oddFooter>&amp;CPágina &amp;P de &amp;N</oddFooter>
  </headerFooter>
  <colBreaks count="1" manualBreakCount="1">
    <brk id="5"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F7B0-3BE5-4F78-A1DD-CDE108E6394F}">
  <dimension ref="A1:AP1596"/>
  <sheetViews>
    <sheetView showGridLines="0" topLeftCell="B1" zoomScale="90" zoomScaleNormal="90" workbookViewId="0">
      <selection activeCell="H5" sqref="H5"/>
    </sheetView>
  </sheetViews>
  <sheetFormatPr baseColWidth="10" defaultColWidth="11.453125" defaultRowHeight="14.5"/>
  <cols>
    <col min="1" max="1" width="0" style="60" hidden="1" customWidth="1"/>
    <col min="2" max="2" width="11.453125" style="60"/>
    <col min="3" max="3" width="15.81640625" style="60" customWidth="1"/>
    <col min="4" max="5" width="11.453125" style="60"/>
    <col min="6" max="6" width="3.54296875" style="60" customWidth="1"/>
    <col min="7" max="12" width="15.54296875" style="60" customWidth="1"/>
    <col min="13" max="13" width="16.453125" style="60" customWidth="1"/>
    <col min="14" max="18" width="15.54296875" style="60" customWidth="1"/>
    <col min="19" max="20" width="3.54296875" style="60" customWidth="1"/>
    <col min="21" max="21" width="73.1796875" style="60" customWidth="1"/>
    <col min="22" max="22" width="11.453125" style="60"/>
    <col min="23" max="23" width="13.81640625" style="60" customWidth="1"/>
    <col min="24" max="24" width="14.1796875" style="60" customWidth="1"/>
    <col min="25" max="25" width="12.453125" style="60" bestFit="1" customWidth="1"/>
    <col min="26" max="26" width="11.453125" style="60"/>
    <col min="27" max="27" width="13.81640625" style="60" customWidth="1"/>
    <col min="28" max="28" width="11.453125" style="60"/>
    <col min="29" max="29" width="7.1796875" style="60" customWidth="1"/>
    <col min="30" max="30" width="18.1796875" style="60" customWidth="1"/>
    <col min="31" max="31" width="16.453125" style="60" customWidth="1"/>
    <col min="32" max="32" width="18.81640625" style="60" customWidth="1"/>
    <col min="33" max="35" width="11.453125" style="60"/>
    <col min="36" max="37" width="14.81640625" style="60" customWidth="1"/>
    <col min="38" max="16384" width="11.453125" style="60"/>
  </cols>
  <sheetData>
    <row r="1" spans="1:42">
      <c r="B1" s="960" t="s">
        <v>19</v>
      </c>
      <c r="C1" s="960"/>
      <c r="D1" s="14" t="str">
        <f>'Instrucciones de uso'!$H$15</f>
        <v>contraseña</v>
      </c>
      <c r="E1" s="14" t="str">
        <f>IF(OR('Enunciado (sin infla)'!$G$2="",NOT('Enunciado (sin infla)'!$H$2="")),"",'Enunciado (sin infla)'!$G$2)</f>
        <v/>
      </c>
      <c r="AC1" s="65"/>
    </row>
    <row r="2" spans="1:42">
      <c r="B2" s="286" t="s">
        <v>3951</v>
      </c>
      <c r="D2" s="14" t="str">
        <f>'Instrucciones de uso'!$J$15</f>
        <v>contraseña</v>
      </c>
      <c r="E2" s="345" t="str">
        <f>'Instrucciones de uso'!$I$33</f>
        <v/>
      </c>
      <c r="H2" s="98" t="str">
        <f>IF(ISERROR(IF(OR(AND(NOT(H5=""),NOT(ISNUMBER(H5))),AND(NOT(H6=""),NOT(ISNUMBER(H6))),AND(NOT(H7=""),NOT(ISNUMBER(H7)))),"ERROR","")),"ERROR",IF(OR(AND(NOT(H5=""),NOT(ISNUMBER(H5))),AND(NOT(H6=""),NOT(ISNUMBER(H6))),AND(NOT(H7=""),NOT(ISNUMBER(H7)))),"ERROR",""))</f>
        <v/>
      </c>
      <c r="I2" s="98" t="str">
        <f t="shared" ref="I2:O2" si="0">IF(ISERROR(IF(OR(AND(NOT(I5=""),NOT(ISNUMBER(I5))),AND(NOT(I6=""),NOT(ISNUMBER(I6))),AND(NOT(I7=""),NOT(ISNUMBER(I7)))),"ERROR","")),"ERROR",IF(OR(AND(NOT(I5=""),NOT(ISNUMBER(I5))),AND(NOT(I6=""),NOT(ISNUMBER(I6))),AND(NOT(I7=""),NOT(ISNUMBER(I7)))),"ERROR",""))</f>
        <v/>
      </c>
      <c r="J2" s="98" t="str">
        <f t="shared" si="0"/>
        <v/>
      </c>
      <c r="K2" s="98" t="str">
        <f t="shared" si="0"/>
        <v/>
      </c>
      <c r="L2" s="98" t="str">
        <f t="shared" si="0"/>
        <v/>
      </c>
      <c r="M2" s="98" t="str">
        <f t="shared" si="0"/>
        <v/>
      </c>
      <c r="N2" s="98" t="str">
        <f t="shared" si="0"/>
        <v/>
      </c>
      <c r="O2" s="98" t="str">
        <f t="shared" si="0"/>
        <v/>
      </c>
      <c r="P2" s="98" t="str">
        <f>IF(ISERROR(IF(OR(AND(NOT(P4=""),NOT(ISNUMBER(P4))),AND(NOT(P5=""),NOT(ISNUMBER(P5))),AND(NOT(P6=""),NOT(ISNUMBER(P6))),AND(NOT(P7=""),NOT(ISNUMBER(P7)))),"ERROR","")),"ERROR",IF(OR(AND(NOT(P4=""),NOT(ISNUMBER(P4))),AND(NOT(P5=""),NOT(ISNUMBER(P5))),AND(NOT(P6=""),NOT(ISNUMBER(P6))),AND(NOT(P7=""),NOT(ISNUMBER(P7)))),"ERROR",""))</f>
        <v/>
      </c>
      <c r="AC2" s="65"/>
    </row>
    <row r="3" spans="1:42">
      <c r="A3" s="65" t="e">
        <f>$E$1*1000+1</f>
        <v>#VALUE!</v>
      </c>
      <c r="C3" s="257" t="e">
        <f>VLOOKUP($A3,$A$231:$AP$1595,C$54,FALSE)</f>
        <v>#VALUE!</v>
      </c>
      <c r="D3" s="258" t="e">
        <f>VLOOKUP($A3,$A$231:$AP$1595,D$54,FALSE)</f>
        <v>#VALUE!</v>
      </c>
      <c r="G3" s="107" t="s">
        <v>0</v>
      </c>
      <c r="H3" s="108" t="s">
        <v>69</v>
      </c>
      <c r="I3" s="108" t="s">
        <v>70</v>
      </c>
      <c r="J3" s="108" t="s">
        <v>71</v>
      </c>
      <c r="K3" s="108" t="s">
        <v>72</v>
      </c>
      <c r="L3" s="108" t="s">
        <v>73</v>
      </c>
      <c r="M3" s="108" t="s">
        <v>74</v>
      </c>
      <c r="N3" s="108" t="s">
        <v>75</v>
      </c>
      <c r="O3" s="108" t="s">
        <v>80</v>
      </c>
      <c r="P3" s="108" t="s">
        <v>1</v>
      </c>
      <c r="U3" s="148" t="s">
        <v>151</v>
      </c>
      <c r="V3" s="148"/>
      <c r="W3" s="148"/>
      <c r="X3" s="148"/>
      <c r="Y3" s="148"/>
      <c r="Z3" s="148"/>
      <c r="AA3" s="148"/>
      <c r="AC3" s="65"/>
      <c r="AD3" s="312" t="s">
        <v>455</v>
      </c>
      <c r="AE3" s="312"/>
      <c r="AF3" s="312"/>
      <c r="AG3" s="312"/>
      <c r="AH3" s="312"/>
      <c r="AI3" s="312"/>
      <c r="AJ3" s="312"/>
      <c r="AK3" s="312"/>
      <c r="AL3" s="312"/>
      <c r="AM3" s="312"/>
      <c r="AN3" s="312"/>
      <c r="AO3" s="312"/>
      <c r="AP3" s="312"/>
    </row>
    <row r="4" spans="1:42">
      <c r="A4" s="65" t="e">
        <f>1+A3</f>
        <v>#VALUE!</v>
      </c>
      <c r="C4" s="1"/>
      <c r="D4" s="1"/>
      <c r="G4" s="267" t="e">
        <f>$D$3</f>
        <v>#VALUE!</v>
      </c>
      <c r="H4" s="314">
        <v>0</v>
      </c>
      <c r="I4" s="314">
        <v>0</v>
      </c>
      <c r="J4" s="314">
        <v>0</v>
      </c>
      <c r="K4" s="314">
        <v>0</v>
      </c>
      <c r="L4" s="314">
        <v>0</v>
      </c>
      <c r="M4" s="314">
        <v>0</v>
      </c>
      <c r="N4" s="314">
        <v>0</v>
      </c>
      <c r="O4" s="20">
        <v>0</v>
      </c>
      <c r="P4" s="100"/>
      <c r="AC4" s="65"/>
      <c r="AD4" s="168" t="str">
        <f>IF(AK225=0,"NO HAY ERRORES, EL CASO SE HA RESUELTO CORRECTAMENTE Y LA DECISIÓN ADOPTADA ES LA ADECUADA","")</f>
        <v>NO HAY ERRORES, EL CASO SE HA RESUELTO CORRECTAMENTE Y LA DECISIÓN ADOPTADA ES LA ADECUADA</v>
      </c>
      <c r="AE4" s="168"/>
      <c r="AF4" s="168"/>
      <c r="AG4" s="168"/>
      <c r="AH4" s="168"/>
      <c r="AI4" s="168"/>
      <c r="AJ4" s="168"/>
      <c r="AK4" s="168"/>
      <c r="AL4" s="168"/>
      <c r="AM4" s="168"/>
      <c r="AN4" s="168"/>
      <c r="AO4" s="168"/>
      <c r="AP4" s="168"/>
    </row>
    <row r="5" spans="1:42">
      <c r="A5" s="65" t="e">
        <f t="shared" ref="A5:A68" si="1">1+A4</f>
        <v>#VALUE!</v>
      </c>
      <c r="C5" s="255" t="e">
        <f t="shared" ref="C5:D8" si="2">VLOOKUP($A5,$A$231:$AP$1595,C$54,FALSE)</f>
        <v>#VALUE!</v>
      </c>
      <c r="D5" s="256"/>
      <c r="G5" s="267" t="e">
        <f>1+G4</f>
        <v>#VALUE!</v>
      </c>
      <c r="H5" s="100"/>
      <c r="I5" s="100"/>
      <c r="J5" s="100"/>
      <c r="K5" s="100"/>
      <c r="L5" s="100"/>
      <c r="M5" s="100"/>
      <c r="N5" s="100"/>
      <c r="O5" s="101"/>
      <c r="P5" s="100"/>
      <c r="U5" s="148" t="s">
        <v>152</v>
      </c>
      <c r="V5" s="148"/>
      <c r="X5" s="154"/>
      <c r="Y5" s="154"/>
      <c r="Z5" s="155" t="s">
        <v>176</v>
      </c>
      <c r="AA5" s="156" t="e">
        <f>P159</f>
        <v>#VALUE!</v>
      </c>
      <c r="AC5" s="65"/>
      <c r="AD5" s="113"/>
      <c r="AE5" s="113"/>
      <c r="AF5" s="162" t="s">
        <v>247</v>
      </c>
      <c r="AG5" s="113"/>
      <c r="AH5" s="164"/>
      <c r="AI5" s="164"/>
      <c r="AJ5" s="164"/>
      <c r="AK5" s="164"/>
      <c r="AL5" s="164"/>
      <c r="AM5" s="164"/>
      <c r="AN5" s="164"/>
      <c r="AO5" s="164"/>
      <c r="AP5" s="164"/>
    </row>
    <row r="6" spans="1:42">
      <c r="A6" s="65" t="e">
        <f t="shared" si="1"/>
        <v>#VALUE!</v>
      </c>
      <c r="C6" s="110" t="e">
        <f t="shared" si="2"/>
        <v>#VALUE!</v>
      </c>
      <c r="D6" s="263" t="e">
        <f t="shared" si="2"/>
        <v>#VALUE!</v>
      </c>
      <c r="E6" s="961" t="str">
        <f>IF($D$82="SI","Uso indebido de la Excel: no puede modificarse el enunciado. Deshaga operación (Ctrl-Z) para continuar","")</f>
        <v/>
      </c>
      <c r="F6" s="961"/>
      <c r="G6" s="267" t="e">
        <f>1+G5</f>
        <v>#VALUE!</v>
      </c>
      <c r="H6" s="100"/>
      <c r="I6" s="100"/>
      <c r="J6" s="100"/>
      <c r="K6" s="100"/>
      <c r="L6" s="100"/>
      <c r="M6" s="100"/>
      <c r="N6" s="100"/>
      <c r="O6" s="101"/>
      <c r="P6" s="100"/>
      <c r="Y6" s="162" t="s">
        <v>139</v>
      </c>
      <c r="Z6" s="162" t="s">
        <v>174</v>
      </c>
      <c r="AC6" s="65"/>
      <c r="AD6" s="113"/>
      <c r="AE6" s="113"/>
      <c r="AF6" s="162" t="s">
        <v>248</v>
      </c>
      <c r="AG6" s="113"/>
      <c r="AH6" s="164"/>
      <c r="AI6" s="164"/>
      <c r="AJ6" s="164"/>
      <c r="AK6" s="164"/>
      <c r="AL6" s="164"/>
      <c r="AM6" s="164"/>
      <c r="AN6" s="164"/>
      <c r="AO6" s="164"/>
      <c r="AP6" s="164"/>
    </row>
    <row r="7" spans="1:42">
      <c r="A7" s="65" t="e">
        <f t="shared" si="1"/>
        <v>#VALUE!</v>
      </c>
      <c r="C7" s="110" t="e">
        <f t="shared" si="2"/>
        <v>#VALUE!</v>
      </c>
      <c r="D7" s="264" t="e">
        <f t="shared" si="2"/>
        <v>#VALUE!</v>
      </c>
      <c r="E7" s="961"/>
      <c r="F7" s="961"/>
      <c r="G7" s="267" t="e">
        <f>1+G6</f>
        <v>#VALUE!</v>
      </c>
      <c r="H7" s="100"/>
      <c r="I7" s="100"/>
      <c r="J7" s="100"/>
      <c r="K7" s="100"/>
      <c r="L7" s="100"/>
      <c r="M7" s="100"/>
      <c r="N7" s="100"/>
      <c r="O7" s="101"/>
      <c r="P7" s="100"/>
      <c r="T7" s="118" t="s">
        <v>187</v>
      </c>
      <c r="U7" s="159"/>
      <c r="V7" s="160" t="s">
        <v>180</v>
      </c>
      <c r="X7" s="161" t="s">
        <v>177</v>
      </c>
      <c r="Y7" s="118" t="s">
        <v>173</v>
      </c>
      <c r="Z7" s="118" t="s">
        <v>175</v>
      </c>
      <c r="AA7" s="118" t="s">
        <v>172</v>
      </c>
      <c r="AC7" s="65"/>
      <c r="AD7" s="118" t="s">
        <v>177</v>
      </c>
      <c r="AE7" s="161" t="s">
        <v>246</v>
      </c>
      <c r="AF7" s="118" t="s">
        <v>249</v>
      </c>
      <c r="AG7" s="161" t="s">
        <v>462</v>
      </c>
      <c r="AH7" s="159"/>
      <c r="AI7" s="159"/>
      <c r="AJ7" s="159"/>
      <c r="AK7" s="159"/>
      <c r="AL7" s="159"/>
      <c r="AM7" s="159"/>
      <c r="AN7" s="159"/>
      <c r="AO7" s="159"/>
      <c r="AP7" s="159"/>
    </row>
    <row r="8" spans="1:42">
      <c r="A8" s="65" t="e">
        <f t="shared" si="1"/>
        <v>#VALUE!</v>
      </c>
      <c r="C8" s="110" t="e">
        <f t="shared" si="2"/>
        <v>#VALUE!</v>
      </c>
      <c r="D8" s="263" t="e">
        <f t="shared" si="2"/>
        <v>#VALUE!</v>
      </c>
      <c r="E8" s="961"/>
      <c r="F8" s="961"/>
      <c r="H8" s="98" t="str">
        <f>IF(ISERROR(IF(OR(AND(NOT(H11=""),NOT(ISNUMBER(H11))),AND(NOT(H12=""),NOT(ISNUMBER(H12))),AND(NOT(H13=""),NOT(ISNUMBER(H13)))),"ERROR","")),"ERROR",IF(OR(AND(NOT(H11=""),NOT(ISNUMBER(H11))),AND(NOT(H12=""),NOT(ISNUMBER(H12))),AND(NOT(H13=""),NOT(ISNUMBER(H13)))),"ERROR",""))</f>
        <v/>
      </c>
      <c r="I8" s="98" t="str">
        <f>IF(ISERROR(IF(OR(AND(NOT(I11=""),NOT(ISNUMBER(I11))),AND(NOT(I12=""),NOT(ISNUMBER(I12))),AND(NOT(I13=""),NOT(ISNUMBER(I13)))),"ERROR","")),"ERROR",IF(OR(AND(NOT(I11=""),NOT(ISNUMBER(I11))),AND(NOT(I12=""),NOT(ISNUMBER(I12))),AND(NOT(I13=""),NOT(ISNUMBER(I13)))),"ERROR",""))</f>
        <v/>
      </c>
      <c r="J8" s="98" t="str">
        <f>IF(ISERROR(IF(OR(AND(NOT(J11=""),NOT(ISNUMBER(J11))),AND(NOT(J12=""),NOT(ISNUMBER(J12))),AND(NOT(J13=""),NOT(ISNUMBER(J13)))),"ERROR","")),"ERROR",IF(OR(AND(NOT(J11=""),NOT(ISNUMBER(J11))),AND(NOT(J12=""),NOT(ISNUMBER(J12))),AND(NOT(J13=""),NOT(ISNUMBER(J13)))),"ERROR",""))</f>
        <v/>
      </c>
      <c r="K8" s="98" t="str">
        <f>IF(ISERROR(IF(OR(AND(NOT(K11=""),NOT(ISNUMBER(K11))),AND(NOT(K12=""),NOT(ISNUMBER(K12))),AND(NOT(K13=""),NOT(ISNUMBER(K13)))),"ERROR","")),"ERROR",IF(OR(AND(NOT(K11=""),NOT(ISNUMBER(K11))),AND(NOT(K12=""),NOT(ISNUMBER(K12))),AND(NOT(K13=""),NOT(ISNUMBER(K13)))),"ERROR",""))</f>
        <v/>
      </c>
      <c r="O8" s="1"/>
      <c r="P8" s="1"/>
      <c r="T8" s="87">
        <v>1</v>
      </c>
      <c r="U8" s="60" t="s">
        <v>153</v>
      </c>
      <c r="V8" s="144"/>
      <c r="W8" s="145" t="str">
        <f>IF(OR(V8="",V8="A",V8="D",V8="?"),"","ERROR")</f>
        <v/>
      </c>
      <c r="X8" s="146" t="e">
        <f>C7</f>
        <v>#VALUE!</v>
      </c>
      <c r="Y8" s="6" t="e">
        <f>D7</f>
        <v>#VALUE!</v>
      </c>
      <c r="Z8" s="6" t="e">
        <f>Y8*1.5</f>
        <v>#VALUE!</v>
      </c>
      <c r="AA8" s="169"/>
      <c r="AB8" s="145" t="str">
        <f>IF(ISERROR(IF(OR(AA8="",ISNUMBER(AA8)),"","ERROR")),"ERROR",IF(OR(AA8="",ISNUMBER(AA8)),"","ERROR"))</f>
        <v/>
      </c>
      <c r="AC8" s="14">
        <f>1+AC7</f>
        <v>1</v>
      </c>
      <c r="AD8" s="301" t="str">
        <f>IF(ISERROR(VLOOKUP($AC8,$AE$176:$AL$224,2,FALSE)),"",VLOOKUP($AC8,$AE$176:$AL$224,2,FALSE))</f>
        <v/>
      </c>
      <c r="AE8" s="290" t="str">
        <f>IF(AG8="La celdilla está en blanco","",IF(ISERROR(VLOOKUP($AC8,$AE$176:$AL$224,3,FALSE)),"",TEXT(VLOOKUP($AC8,$AE$176:$AL$224,3,FALSE),IF(ABS(VLOOKUP($AC8,$AE$176:$AL$224,3,FALSE))&lt;1,"0,0000","#.##0"))))</f>
        <v/>
      </c>
      <c r="AF8" s="291" t="str">
        <f>IF(ISERROR(VLOOKUP($AC8,$AE$176:$AL$224,6,FALSE)),"",TEXT(VLOOKUP($AC8,$AE$176:$AL$224,6,FALSE),IF(ABS(VLOOKUP($AC8,$AE$176:$AL$224,6,FALSE))&lt;1,"0,0000","#.##0")))</f>
        <v/>
      </c>
      <c r="AG8" s="962" t="str">
        <f>IF(ISERROR(VLOOKUP($AC8,$AE$176:$AL$224,8,FALSE)),"",IF(VLOOKUP($AC8,$AE$176:$AM$224,9,FALSE)="b","La celdilla está en blanco",VLOOKUP($AC8,$AE$176:$AL$224,8,FALSE)))</f>
        <v>La celdilla está en blanco</v>
      </c>
      <c r="AH8" s="962"/>
      <c r="AI8" s="962"/>
      <c r="AJ8" s="962"/>
      <c r="AK8" s="962"/>
      <c r="AL8" s="962"/>
      <c r="AM8" s="962"/>
      <c r="AN8" s="962"/>
      <c r="AO8" s="962"/>
      <c r="AP8" s="962"/>
    </row>
    <row r="9" spans="1:42">
      <c r="A9" s="65" t="e">
        <f t="shared" si="1"/>
        <v>#VALUE!</v>
      </c>
      <c r="C9" s="8"/>
      <c r="D9" s="1"/>
      <c r="E9" s="961"/>
      <c r="F9" s="961"/>
      <c r="G9" s="107" t="s">
        <v>0</v>
      </c>
      <c r="H9" s="108" t="s">
        <v>76</v>
      </c>
      <c r="I9" s="108" t="s">
        <v>77</v>
      </c>
      <c r="J9" s="108" t="s">
        <v>78</v>
      </c>
      <c r="K9" s="108" t="s">
        <v>79</v>
      </c>
      <c r="N9" s="98" t="str">
        <f>IF(ISERROR(IF(OR(AND(NOT(N10=""),NOT(ISNUMBER(N10))),AND(NOT(N11=""),NOT(ISNUMBER(N11))),AND(NOT(N12=""),NOT(ISNUMBER(N12))),AND(NOT(N13=""),NOT(ISNUMBER(N13)))),"ERROR","")),"ERROR",IF(OR(AND(NOT(N10=""),NOT(ISNUMBER(N10))),AND(NOT(N11=""),NOT(ISNUMBER(N11))),AND(NOT(N12=""),NOT(ISNUMBER(N12))),AND(NOT(N13=""),NOT(ISNUMBER(N13)))),"ERROR",""))</f>
        <v/>
      </c>
      <c r="P9" s="98" t="str">
        <f>IF(ISERROR(IF(OR(AND(NOT(P10=""),NOT(ISNUMBER(P10))),AND(NOT(P11=""),NOT(ISNUMBER(P11))),AND(NOT(P12=""),NOT(ISNUMBER(P12))),AND(NOT(P15=""),NOT(ISNUMBER(P15))),AND(NOT(P16=""),NOT(ISNUMBER(P16)))),"ERROR","")),"ERROR",IF(OR(AND(NOT(P10=""),NOT(ISNUMBER(P10))),AND(NOT(P11=""),NOT(ISNUMBER(P11))),AND(NOT(P12=""),NOT(ISNUMBER(P12))),AND(NOT(P15=""),NOT(ISNUMBER(P15))),AND(NOT(P16=""),NOT(ISNUMBER(P16)))),"ERROR",""))</f>
        <v/>
      </c>
      <c r="T9" s="87">
        <v>2</v>
      </c>
      <c r="U9" s="60" t="s">
        <v>154</v>
      </c>
      <c r="V9" s="144"/>
      <c r="W9" s="145" t="str">
        <f t="shared" ref="W9:W26" si="3">IF(OR(V9="",V9="A",V9="D",V9="?"),"","ERROR")</f>
        <v/>
      </c>
      <c r="X9" s="146" t="e">
        <f>C6</f>
        <v>#VALUE!</v>
      </c>
      <c r="Y9" s="1" t="e">
        <f>D6</f>
        <v>#VALUE!</v>
      </c>
      <c r="Z9" s="1" t="e">
        <f>Y9*1.1</f>
        <v>#VALUE!</v>
      </c>
      <c r="AA9" s="169"/>
      <c r="AB9" s="145" t="str">
        <f t="shared" ref="AB9:AB26" si="4">IF(ISERROR(IF(OR(AA9="",ISNUMBER(AA9)),"","ERROR")),"ERROR",IF(OR(AA9="",ISNUMBER(AA9)),"","ERROR"))</f>
        <v/>
      </c>
      <c r="AC9" s="14"/>
      <c r="AD9" s="301"/>
      <c r="AE9" s="290"/>
      <c r="AF9" s="291"/>
      <c r="AG9" s="943"/>
      <c r="AH9" s="943"/>
      <c r="AI9" s="943"/>
      <c r="AJ9" s="943"/>
      <c r="AK9" s="943"/>
      <c r="AL9" s="943"/>
      <c r="AM9" s="943"/>
      <c r="AN9" s="943"/>
      <c r="AO9" s="943"/>
      <c r="AP9" s="943"/>
    </row>
    <row r="10" spans="1:42">
      <c r="A10" s="65" t="e">
        <f t="shared" si="1"/>
        <v>#VALUE!</v>
      </c>
      <c r="C10" s="110" t="e">
        <f t="shared" ref="C10:D11" si="5">VLOOKUP($A10,$A$231:$AP$1595,C$54,FALSE)</f>
        <v>#VALUE!</v>
      </c>
      <c r="D10" s="263" t="e">
        <f t="shared" si="5"/>
        <v>#VALUE!</v>
      </c>
      <c r="E10" s="961"/>
      <c r="F10" s="961"/>
      <c r="G10" s="267" t="e">
        <f>$D$3</f>
        <v>#VALUE!</v>
      </c>
      <c r="H10" s="263">
        <v>0</v>
      </c>
      <c r="I10" s="263">
        <v>0</v>
      </c>
      <c r="J10" s="263">
        <v>0</v>
      </c>
      <c r="K10" s="20">
        <v>0</v>
      </c>
      <c r="M10" s="106" t="e">
        <f>CONCATENATE("DI (",$D$3,")")</f>
        <v>#VALUE!</v>
      </c>
      <c r="N10" s="102"/>
      <c r="O10" s="109" t="s">
        <v>124</v>
      </c>
      <c r="P10" s="103"/>
      <c r="T10" s="87">
        <v>3</v>
      </c>
      <c r="U10" s="60" t="s">
        <v>155</v>
      </c>
      <c r="V10" s="144"/>
      <c r="W10" s="145" t="str">
        <f t="shared" si="3"/>
        <v/>
      </c>
      <c r="X10" s="146" t="e">
        <f>C8</f>
        <v>#VALUE!</v>
      </c>
      <c r="Y10" s="1" t="e">
        <f>D8</f>
        <v>#VALUE!</v>
      </c>
      <c r="Z10" s="1" t="e">
        <f>Y10*0.9</f>
        <v>#VALUE!</v>
      </c>
      <c r="AA10" s="169"/>
      <c r="AB10" s="145" t="str">
        <f t="shared" si="4"/>
        <v/>
      </c>
      <c r="AC10" s="14">
        <f>1+AC8</f>
        <v>2</v>
      </c>
      <c r="AD10" s="301" t="str">
        <f>IF(ISERROR(VLOOKUP($AC10,$AE$176:$AL$224,2,FALSE)),"",VLOOKUP($AC10,$AE$176:$AL$224,2,FALSE))</f>
        <v/>
      </c>
      <c r="AE10" s="290" t="str">
        <f>IF(AG10="La celdilla está en blanco","",IF(ISERROR(VLOOKUP($AC10,$AE$176:$AL$224,3,FALSE)),"",TEXT(VLOOKUP($AC10,$AE$176:$AL$224,3,FALSE),IF(ABS(VLOOKUP($AC10,$AE$176:$AL$224,3,FALSE))&lt;1,"0,0000","#.##0"))))</f>
        <v/>
      </c>
      <c r="AF10" s="291" t="str">
        <f>IF(ISERROR(VLOOKUP($AC10,$AE$176:$AL$224,6,FALSE)),"",TEXT(VLOOKUP($AC10,$AE$176:$AL$224,6,FALSE),IF(ABS(VLOOKUP($AC10,$AE$176:$AL$224,6,FALSE))&lt;1,"0,0000","#.##0")))</f>
        <v/>
      </c>
      <c r="AG10" s="943" t="str">
        <f>IF(ISERROR(VLOOKUP($AC10,$AE$176:$AL$224,8,FALSE)),"",IF(VLOOKUP($AC10,$AE$176:$AM$224,9,FALSE)="b","La celdilla está en blanco",VLOOKUP($AC10,$AE$176:$AL$224,8,FALSE)))</f>
        <v>La celdilla está en blanco</v>
      </c>
      <c r="AH10" s="943"/>
      <c r="AI10" s="943"/>
      <c r="AJ10" s="943"/>
      <c r="AK10" s="943"/>
      <c r="AL10" s="943"/>
      <c r="AM10" s="943"/>
      <c r="AN10" s="943"/>
      <c r="AO10" s="943"/>
      <c r="AP10" s="943"/>
    </row>
    <row r="11" spans="1:42">
      <c r="A11" s="65" t="e">
        <f t="shared" si="1"/>
        <v>#VALUE!</v>
      </c>
      <c r="C11" s="110" t="e">
        <f t="shared" si="5"/>
        <v>#VALUE!</v>
      </c>
      <c r="D11" s="263" t="e">
        <f t="shared" si="5"/>
        <v>#VALUE!</v>
      </c>
      <c r="E11" s="961"/>
      <c r="F11" s="961"/>
      <c r="G11" s="267" t="e">
        <f>1+G10</f>
        <v>#VALUE!</v>
      </c>
      <c r="H11" s="100"/>
      <c r="I11" s="100"/>
      <c r="J11" s="100"/>
      <c r="K11" s="100"/>
      <c r="M11" s="106" t="e">
        <f>CONCATENATE("IncVR (",$D$3+3,") (AF)")</f>
        <v>#VALUE!</v>
      </c>
      <c r="N11" s="102"/>
      <c r="O11" s="109" t="s">
        <v>125</v>
      </c>
      <c r="P11" s="103"/>
      <c r="T11" s="87">
        <v>4</v>
      </c>
      <c r="U11" s="60" t="s">
        <v>156</v>
      </c>
      <c r="V11" s="144"/>
      <c r="W11" s="145" t="str">
        <f t="shared" si="3"/>
        <v/>
      </c>
      <c r="X11" s="146" t="e">
        <f>C17</f>
        <v>#VALUE!</v>
      </c>
      <c r="Y11" s="1" t="e">
        <f>D17</f>
        <v>#VALUE!</v>
      </c>
      <c r="Z11" s="1" t="e">
        <f>Y11*1.1</f>
        <v>#VALUE!</v>
      </c>
      <c r="AA11" s="169"/>
      <c r="AB11" s="145" t="str">
        <f t="shared" si="4"/>
        <v/>
      </c>
      <c r="AC11" s="14"/>
      <c r="AD11" s="301"/>
      <c r="AE11" s="290"/>
      <c r="AF11" s="291"/>
      <c r="AG11" s="943"/>
      <c r="AH11" s="943"/>
      <c r="AI11" s="943"/>
      <c r="AJ11" s="943"/>
      <c r="AK11" s="943"/>
      <c r="AL11" s="943"/>
      <c r="AM11" s="943"/>
      <c r="AN11" s="943"/>
      <c r="AO11" s="943"/>
      <c r="AP11" s="943"/>
    </row>
    <row r="12" spans="1:42">
      <c r="A12" s="65" t="e">
        <f t="shared" si="1"/>
        <v>#VALUE!</v>
      </c>
      <c r="C12" s="8"/>
      <c r="D12" s="1"/>
      <c r="E12" s="961"/>
      <c r="F12" s="961"/>
      <c r="G12" s="267" t="e">
        <f>1+G11</f>
        <v>#VALUE!</v>
      </c>
      <c r="H12" s="100"/>
      <c r="I12" s="100"/>
      <c r="J12" s="100"/>
      <c r="K12" s="100"/>
      <c r="M12" s="106" t="e">
        <f>CONCATENATE("IncVR (",$D$3+3,") (FM)")</f>
        <v>#VALUE!</v>
      </c>
      <c r="N12" s="102"/>
      <c r="O12" s="109" t="s">
        <v>126</v>
      </c>
      <c r="P12" s="103"/>
      <c r="T12" s="87">
        <v>5</v>
      </c>
      <c r="U12" s="60" t="s">
        <v>157</v>
      </c>
      <c r="V12" s="144"/>
      <c r="W12" s="145" t="str">
        <f t="shared" si="3"/>
        <v/>
      </c>
      <c r="X12" s="146" t="e">
        <f>C19</f>
        <v>#VALUE!</v>
      </c>
      <c r="Y12" s="6" t="e">
        <f>D19</f>
        <v>#VALUE!</v>
      </c>
      <c r="Z12" s="6" t="e">
        <f>Y12-1</f>
        <v>#VALUE!</v>
      </c>
      <c r="AA12" s="169"/>
      <c r="AB12" s="145" t="str">
        <f t="shared" si="4"/>
        <v/>
      </c>
      <c r="AC12" s="14">
        <f>1+AC10</f>
        <v>3</v>
      </c>
      <c r="AD12" s="301" t="str">
        <f>IF(ISERROR(VLOOKUP($AC12,$AE$176:$AL$224,2,FALSE)),"",VLOOKUP($AC12,$AE$176:$AL$224,2,FALSE))</f>
        <v/>
      </c>
      <c r="AE12" s="290" t="str">
        <f>IF(AG12="La celdilla está en blanco","",IF(ISERROR(VLOOKUP($AC12,$AE$176:$AL$224,3,FALSE)),"",TEXT(VLOOKUP($AC12,$AE$176:$AL$224,3,FALSE),IF(ABS(VLOOKUP($AC12,$AE$176:$AL$224,3,FALSE))&lt;1,"0,0000","#.##0"))))</f>
        <v/>
      </c>
      <c r="AF12" s="291" t="str">
        <f>IF(ISERROR(VLOOKUP($AC12,$AE$176:$AL$224,6,FALSE)),"",TEXT(VLOOKUP($AC12,$AE$176:$AL$224,6,FALSE),IF(ABS(VLOOKUP($AC12,$AE$176:$AL$224,6,FALSE))&lt;1,"0,0000","#.##0")))</f>
        <v/>
      </c>
      <c r="AG12" s="943" t="str">
        <f t="shared" ref="AG12" si="6">IF(ISERROR(VLOOKUP($AC12,$AE$176:$AL$224,8,FALSE)),"",IF(VLOOKUP($AC12,$AE$176:$AM$224,9,FALSE)="b","La celdilla está en blanco",VLOOKUP($AC12,$AE$176:$AL$224,8,FALSE)))</f>
        <v>La celdilla está en blanco</v>
      </c>
      <c r="AH12" s="943"/>
      <c r="AI12" s="943"/>
      <c r="AJ12" s="943"/>
      <c r="AK12" s="943"/>
      <c r="AL12" s="943"/>
      <c r="AM12" s="943"/>
      <c r="AN12" s="943"/>
      <c r="AO12" s="943"/>
      <c r="AP12" s="943"/>
    </row>
    <row r="13" spans="1:42">
      <c r="A13" s="65" t="e">
        <f t="shared" si="1"/>
        <v>#VALUE!</v>
      </c>
      <c r="C13" s="110" t="e">
        <f t="shared" ref="C13:D14" si="7">VLOOKUP($A13,$A$231:$AP$1595,C$54,FALSE)</f>
        <v>#VALUE!</v>
      </c>
      <c r="D13" s="264" t="e">
        <f t="shared" si="7"/>
        <v>#VALUE!</v>
      </c>
      <c r="E13" s="961"/>
      <c r="F13" s="961"/>
      <c r="G13" s="267" t="e">
        <f>1+G12</f>
        <v>#VALUE!</v>
      </c>
      <c r="H13" s="100"/>
      <c r="I13" s="100"/>
      <c r="J13" s="100"/>
      <c r="K13" s="100"/>
      <c r="M13" s="106" t="e">
        <f>CONCATENATE("IncVR (",$D$3+3,")")</f>
        <v>#VALUE!</v>
      </c>
      <c r="N13" s="102"/>
      <c r="P13" s="90"/>
      <c r="T13" s="87">
        <v>6</v>
      </c>
      <c r="U13" s="60" t="s">
        <v>158</v>
      </c>
      <c r="V13" s="144"/>
      <c r="W13" s="145" t="str">
        <f t="shared" si="3"/>
        <v/>
      </c>
      <c r="X13" s="146" t="e">
        <f>C18</f>
        <v>#VALUE!</v>
      </c>
      <c r="Y13" s="1" t="e">
        <f>D18</f>
        <v>#VALUE!</v>
      </c>
      <c r="Z13" s="1" t="e">
        <f>Y13*1.1</f>
        <v>#VALUE!</v>
      </c>
      <c r="AA13" s="169"/>
      <c r="AB13" s="145" t="str">
        <f t="shared" si="4"/>
        <v/>
      </c>
      <c r="AC13" s="14"/>
      <c r="AD13" s="301"/>
      <c r="AE13" s="290"/>
      <c r="AF13" s="291"/>
      <c r="AG13" s="943"/>
      <c r="AH13" s="943"/>
      <c r="AI13" s="943"/>
      <c r="AJ13" s="943"/>
      <c r="AK13" s="943"/>
      <c r="AL13" s="943"/>
      <c r="AM13" s="943"/>
      <c r="AN13" s="943"/>
      <c r="AO13" s="943"/>
      <c r="AP13" s="943"/>
    </row>
    <row r="14" spans="1:42">
      <c r="A14" s="65" t="e">
        <f t="shared" si="1"/>
        <v>#VALUE!</v>
      </c>
      <c r="C14" s="110" t="e">
        <f t="shared" si="7"/>
        <v>#VALUE!</v>
      </c>
      <c r="D14" s="264" t="e">
        <f t="shared" si="7"/>
        <v>#VALUE!</v>
      </c>
      <c r="E14" s="961"/>
      <c r="F14" s="961"/>
      <c r="H14" s="90"/>
      <c r="I14" s="90"/>
      <c r="J14" s="90"/>
      <c r="K14" s="90"/>
      <c r="N14" s="90"/>
      <c r="T14" s="87">
        <v>7</v>
      </c>
      <c r="U14" s="60" t="s">
        <v>159</v>
      </c>
      <c r="V14" s="144"/>
      <c r="W14" s="145" t="str">
        <f t="shared" si="3"/>
        <v/>
      </c>
      <c r="X14" s="146" t="e">
        <f>C17</f>
        <v>#VALUE!</v>
      </c>
      <c r="Y14" s="1" t="e">
        <f>D17</f>
        <v>#VALUE!</v>
      </c>
      <c r="Z14" s="1" t="e">
        <f>Y14*0.9</f>
        <v>#VALUE!</v>
      </c>
      <c r="AA14" s="169"/>
      <c r="AB14" s="145" t="str">
        <f t="shared" si="4"/>
        <v/>
      </c>
      <c r="AC14" s="14">
        <f>1+AC12</f>
        <v>4</v>
      </c>
      <c r="AD14" s="301" t="str">
        <f>IF(ISERROR(VLOOKUP($AC14,$AE$176:$AL$224,2,FALSE)),"",VLOOKUP($AC14,$AE$176:$AL$224,2,FALSE))</f>
        <v/>
      </c>
      <c r="AE14" s="290" t="str">
        <f>IF(AG14="La celdilla está en blanco","",IF(ISERROR(VLOOKUP($AC14,$AE$176:$AL$224,3,FALSE)),"",TEXT(VLOOKUP($AC14,$AE$176:$AL$224,3,FALSE),IF(ABS(VLOOKUP($AC14,$AE$176:$AL$224,3,FALSE))&lt;1,"0,0000","#.##0"))))</f>
        <v/>
      </c>
      <c r="AF14" s="291" t="str">
        <f>IF(ISERROR(VLOOKUP($AC14,$AE$176:$AL$224,6,FALSE)),"",TEXT(VLOOKUP($AC14,$AE$176:$AL$224,6,FALSE),IF(ABS(VLOOKUP($AC14,$AE$176:$AL$224,6,FALSE))&lt;1,"0,0000","#.##0")))</f>
        <v/>
      </c>
      <c r="AG14" s="943" t="str">
        <f t="shared" ref="AG14" si="8">IF(ISERROR(VLOOKUP($AC14,$AE$176:$AL$224,8,FALSE)),"",IF(VLOOKUP($AC14,$AE$176:$AM$224,9,FALSE)="b","La celdilla está en blanco",VLOOKUP($AC14,$AE$176:$AL$224,8,FALSE)))</f>
        <v>La celdilla está en blanco</v>
      </c>
      <c r="AH14" s="943"/>
      <c r="AI14" s="943"/>
      <c r="AJ14" s="943"/>
      <c r="AK14" s="943"/>
      <c r="AL14" s="943"/>
      <c r="AM14" s="943"/>
      <c r="AN14" s="943"/>
      <c r="AO14" s="943"/>
      <c r="AP14" s="943"/>
    </row>
    <row r="15" spans="1:42">
      <c r="A15" s="65" t="e">
        <f t="shared" si="1"/>
        <v>#VALUE!</v>
      </c>
      <c r="C15" s="8"/>
      <c r="D15" s="1"/>
      <c r="O15" s="106" t="s">
        <v>13</v>
      </c>
      <c r="P15" s="104"/>
      <c r="T15" s="87">
        <v>8</v>
      </c>
      <c r="U15" s="60" t="s">
        <v>160</v>
      </c>
      <c r="V15" s="144"/>
      <c r="W15" s="145" t="str">
        <f t="shared" si="3"/>
        <v/>
      </c>
      <c r="X15" s="146" t="e">
        <f>C20</f>
        <v>#VALUE!</v>
      </c>
      <c r="Y15" s="1" t="e">
        <f>D20</f>
        <v>#VALUE!</v>
      </c>
      <c r="Z15" s="1" t="e">
        <f>Y15*1.1</f>
        <v>#VALUE!</v>
      </c>
      <c r="AA15" s="169"/>
      <c r="AB15" s="145" t="str">
        <f t="shared" si="4"/>
        <v/>
      </c>
      <c r="AC15" s="14"/>
      <c r="AD15" s="301"/>
      <c r="AE15" s="290"/>
      <c r="AF15" s="291"/>
      <c r="AG15" s="943"/>
      <c r="AH15" s="943"/>
      <c r="AI15" s="943"/>
      <c r="AJ15" s="943"/>
      <c r="AK15" s="943"/>
      <c r="AL15" s="943"/>
      <c r="AM15" s="943"/>
      <c r="AN15" s="943"/>
      <c r="AO15" s="943"/>
      <c r="AP15" s="943"/>
    </row>
    <row r="16" spans="1:42">
      <c r="A16" s="65" t="e">
        <f t="shared" si="1"/>
        <v>#VALUE!</v>
      </c>
      <c r="C16" s="255" t="e">
        <f t="shared" ref="C16:D20" si="9">VLOOKUP($A16,$A$231:$AP$1595,C$54,FALSE)</f>
        <v>#VALUE!</v>
      </c>
      <c r="D16" s="256"/>
      <c r="M16" s="1"/>
      <c r="O16" s="113" t="s">
        <v>28</v>
      </c>
      <c r="P16" s="103"/>
      <c r="T16" s="87">
        <v>9</v>
      </c>
      <c r="U16" s="60" t="s">
        <v>161</v>
      </c>
      <c r="V16" s="144"/>
      <c r="W16" s="145" t="str">
        <f t="shared" si="3"/>
        <v/>
      </c>
      <c r="X16" s="146" t="e">
        <f>C10</f>
        <v>#VALUE!</v>
      </c>
      <c r="Y16" s="1" t="e">
        <f>D10</f>
        <v>#VALUE!</v>
      </c>
      <c r="Z16" s="1" t="e">
        <f>Y16*1.1</f>
        <v>#VALUE!</v>
      </c>
      <c r="AA16" s="169"/>
      <c r="AB16" s="145" t="str">
        <f t="shared" si="4"/>
        <v/>
      </c>
      <c r="AC16" s="14">
        <f>1+AC14</f>
        <v>5</v>
      </c>
      <c r="AD16" s="301" t="str">
        <f>IF(ISERROR(VLOOKUP($AC16,$AE$176:$AL$224,2,FALSE)),"",VLOOKUP($AC16,$AE$176:$AL$224,2,FALSE))</f>
        <v/>
      </c>
      <c r="AE16" s="290" t="str">
        <f>IF(AG16="La celdilla está en blanco","",IF(ISERROR(VLOOKUP($AC16,$AE$176:$AL$224,3,FALSE)),"",TEXT(VLOOKUP($AC16,$AE$176:$AL$224,3,FALSE),IF(ABS(VLOOKUP($AC16,$AE$176:$AL$224,3,FALSE))&lt;1,"0,0000","#.##0"))))</f>
        <v/>
      </c>
      <c r="AF16" s="291" t="str">
        <f>IF(ISERROR(VLOOKUP($AC16,$AE$176:$AL$224,6,FALSE)),"",TEXT(VLOOKUP($AC16,$AE$176:$AL$224,6,FALSE),IF(ABS(VLOOKUP($AC16,$AE$176:$AL$224,6,FALSE))&lt;1,"0,0000","#.##0")))</f>
        <v/>
      </c>
      <c r="AG16" s="943" t="str">
        <f t="shared" ref="AG16" si="10">IF(ISERROR(VLOOKUP($AC16,$AE$176:$AL$224,8,FALSE)),"",IF(VLOOKUP($AC16,$AE$176:$AM$224,9,FALSE)="b","La celdilla está en blanco",VLOOKUP($AC16,$AE$176:$AL$224,8,FALSE)))</f>
        <v>La celdilla está en blanco</v>
      </c>
      <c r="AH16" s="943"/>
      <c r="AI16" s="943"/>
      <c r="AJ16" s="943"/>
      <c r="AK16" s="943"/>
      <c r="AL16" s="943"/>
      <c r="AM16" s="943"/>
      <c r="AN16" s="943"/>
      <c r="AO16" s="943"/>
      <c r="AP16" s="943"/>
    </row>
    <row r="17" spans="1:42">
      <c r="A17" s="65" t="e">
        <f t="shared" si="1"/>
        <v>#VALUE!</v>
      </c>
      <c r="C17" s="110" t="e">
        <f t="shared" si="9"/>
        <v>#VALUE!</v>
      </c>
      <c r="D17" s="263" t="e">
        <f t="shared" si="9"/>
        <v>#VALUE!</v>
      </c>
      <c r="K17" s="96" t="s">
        <v>127</v>
      </c>
      <c r="L17" s="97"/>
      <c r="M17" s="136" t="str">
        <f>IF(OR(L17="",L17="x"),"","ERROR")</f>
        <v/>
      </c>
      <c r="N17" s="1"/>
      <c r="O17" s="1"/>
      <c r="P17" s="105"/>
      <c r="Q17" s="1"/>
      <c r="T17" s="87">
        <v>10</v>
      </c>
      <c r="U17" s="60" t="s">
        <v>162</v>
      </c>
      <c r="V17" s="144"/>
      <c r="W17" s="145" t="str">
        <f t="shared" si="3"/>
        <v/>
      </c>
      <c r="X17" s="146" t="e">
        <f>C13</f>
        <v>#VALUE!</v>
      </c>
      <c r="Y17" s="6" t="e">
        <f>D13</f>
        <v>#VALUE!</v>
      </c>
      <c r="Z17" s="6" t="e">
        <f>Y17+30</f>
        <v>#VALUE!</v>
      </c>
      <c r="AA17" s="169"/>
      <c r="AB17" s="145" t="str">
        <f t="shared" si="4"/>
        <v/>
      </c>
      <c r="AC17" s="14"/>
      <c r="AD17" s="301"/>
      <c r="AE17" s="290"/>
      <c r="AF17" s="291"/>
      <c r="AG17" s="943"/>
      <c r="AH17" s="943"/>
      <c r="AI17" s="943"/>
      <c r="AJ17" s="943"/>
      <c r="AK17" s="943"/>
      <c r="AL17" s="943"/>
      <c r="AM17" s="943"/>
      <c r="AN17" s="943"/>
      <c r="AO17" s="943"/>
      <c r="AP17" s="943"/>
    </row>
    <row r="18" spans="1:42">
      <c r="A18" s="65" t="e">
        <f t="shared" si="1"/>
        <v>#VALUE!</v>
      </c>
      <c r="C18" s="110" t="e">
        <f t="shared" si="9"/>
        <v>#VALUE!</v>
      </c>
      <c r="D18" s="263" t="e">
        <f t="shared" si="9"/>
        <v>#VALUE!</v>
      </c>
      <c r="E18" s="954" t="str">
        <f>$E$6</f>
        <v/>
      </c>
      <c r="F18" s="954"/>
      <c r="K18" s="149" t="str">
        <f>IF(AND(L17="x",L19=0),"(en verde las celdillas correctas; en rojo las celdillas equivocadas) ","")</f>
        <v/>
      </c>
      <c r="L18" s="44"/>
      <c r="N18" s="1"/>
      <c r="O18" s="1"/>
      <c r="P18" s="1"/>
      <c r="Q18" s="1"/>
      <c r="T18" s="87">
        <v>11</v>
      </c>
      <c r="U18" s="60" t="s">
        <v>163</v>
      </c>
      <c r="V18" s="144"/>
      <c r="W18" s="145" t="str">
        <f t="shared" si="3"/>
        <v/>
      </c>
      <c r="X18" s="146" t="e">
        <f>C11</f>
        <v>#VALUE!</v>
      </c>
      <c r="Y18" s="1" t="e">
        <f>D11</f>
        <v>#VALUE!</v>
      </c>
      <c r="Z18" s="1" t="e">
        <f>IF(Y18&gt;0,Y18*0.9,Y18*1.1)</f>
        <v>#VALUE!</v>
      </c>
      <c r="AA18" s="169"/>
      <c r="AB18" s="145" t="str">
        <f t="shared" si="4"/>
        <v/>
      </c>
      <c r="AC18" s="14">
        <f>1+AC16</f>
        <v>6</v>
      </c>
      <c r="AD18" s="301" t="str">
        <f>IF(ISERROR(VLOOKUP($AC18,$AE$176:$AL$224,2,FALSE)),"",VLOOKUP($AC18,$AE$176:$AL$224,2,FALSE))</f>
        <v/>
      </c>
      <c r="AE18" s="290" t="str">
        <f>IF(AG18="La celdilla está en blanco","",IF(ISERROR(VLOOKUP($AC18,$AE$176:$AL$224,3,FALSE)),"",TEXT(VLOOKUP($AC18,$AE$176:$AL$224,3,FALSE),IF(ABS(VLOOKUP($AC18,$AE$176:$AL$224,3,FALSE))&lt;1,"0,0000","#.##0"))))</f>
        <v/>
      </c>
      <c r="AF18" s="291" t="str">
        <f>IF(ISERROR(VLOOKUP($AC18,$AE$176:$AL$224,6,FALSE)),"",TEXT(VLOOKUP($AC18,$AE$176:$AL$224,6,FALSE),IF(ABS(VLOOKUP($AC18,$AE$176:$AL$224,6,FALSE))&lt;1,"0,0000","#.##0")))</f>
        <v/>
      </c>
      <c r="AG18" s="943" t="str">
        <f t="shared" ref="AG18" si="11">IF(ISERROR(VLOOKUP($AC18,$AE$176:$AL$224,8,FALSE)),"",IF(VLOOKUP($AC18,$AE$176:$AM$224,9,FALSE)="b","La celdilla está en blanco",VLOOKUP($AC18,$AE$176:$AL$224,8,FALSE)))</f>
        <v>La celdilla está en blanco</v>
      </c>
      <c r="AH18" s="943"/>
      <c r="AI18" s="943"/>
      <c r="AJ18" s="943"/>
      <c r="AK18" s="943"/>
      <c r="AL18" s="943"/>
      <c r="AM18" s="943"/>
      <c r="AN18" s="943"/>
      <c r="AO18" s="943"/>
      <c r="AP18" s="943"/>
    </row>
    <row r="19" spans="1:42">
      <c r="A19" s="65" t="e">
        <f t="shared" si="1"/>
        <v>#VALUE!</v>
      </c>
      <c r="C19" s="110" t="e">
        <f t="shared" si="9"/>
        <v>#VALUE!</v>
      </c>
      <c r="D19" s="264" t="e">
        <f t="shared" si="9"/>
        <v>#VALUE!</v>
      </c>
      <c r="E19" s="954"/>
      <c r="F19" s="954"/>
      <c r="K19" s="346" t="s">
        <v>410</v>
      </c>
      <c r="L19" s="347">
        <f>COUNTIF(F1:P17,"ERROR")</f>
        <v>0</v>
      </c>
      <c r="M19" s="148" t="s">
        <v>337</v>
      </c>
      <c r="N19" s="154"/>
      <c r="O19" s="154"/>
      <c r="P19" s="154"/>
      <c r="Q19" s="154"/>
      <c r="T19" s="87">
        <v>12</v>
      </c>
      <c r="U19" s="60" t="s">
        <v>164</v>
      </c>
      <c r="V19" s="144"/>
      <c r="W19" s="145" t="str">
        <f t="shared" si="3"/>
        <v/>
      </c>
      <c r="X19" s="146" t="e">
        <f>C14</f>
        <v>#VALUE!</v>
      </c>
      <c r="Y19" s="6" t="e">
        <f>D14</f>
        <v>#VALUE!</v>
      </c>
      <c r="Z19" s="6" t="e">
        <f>IF(D14=0,0,Y19-30)</f>
        <v>#VALUE!</v>
      </c>
      <c r="AA19" s="169"/>
      <c r="AB19" s="145" t="str">
        <f t="shared" si="4"/>
        <v/>
      </c>
      <c r="AC19" s="14"/>
      <c r="AD19" s="301"/>
      <c r="AE19" s="290"/>
      <c r="AF19" s="291"/>
      <c r="AG19" s="943"/>
      <c r="AH19" s="943"/>
      <c r="AI19" s="943"/>
      <c r="AJ19" s="943"/>
      <c r="AK19" s="943"/>
      <c r="AL19" s="943"/>
      <c r="AM19" s="943"/>
      <c r="AN19" s="943"/>
      <c r="AO19" s="943"/>
      <c r="AP19" s="943"/>
    </row>
    <row r="20" spans="1:42">
      <c r="A20" s="65" t="e">
        <f t="shared" si="1"/>
        <v>#VALUE!</v>
      </c>
      <c r="C20" s="110" t="e">
        <f t="shared" si="9"/>
        <v>#VALUE!</v>
      </c>
      <c r="D20" s="263" t="e">
        <f t="shared" si="9"/>
        <v>#VALUE!</v>
      </c>
      <c r="E20" s="954"/>
      <c r="F20" s="954"/>
      <c r="N20" s="955" t="str">
        <f>$E$6</f>
        <v/>
      </c>
      <c r="O20" s="955"/>
      <c r="P20" s="955"/>
      <c r="Q20" s="955"/>
      <c r="T20" s="87">
        <v>13</v>
      </c>
      <c r="U20" s="60" t="s">
        <v>165</v>
      </c>
      <c r="V20" s="144"/>
      <c r="W20" s="145" t="str">
        <f t="shared" si="3"/>
        <v/>
      </c>
      <c r="X20" s="146" t="e">
        <f>C25</f>
        <v>#VALUE!</v>
      </c>
      <c r="Y20" s="1" t="e">
        <f>D25</f>
        <v>#VALUE!</v>
      </c>
      <c r="Z20" s="1" t="e">
        <f>Y20*1.1</f>
        <v>#VALUE!</v>
      </c>
      <c r="AA20" s="169"/>
      <c r="AB20" s="145" t="str">
        <f t="shared" si="4"/>
        <v/>
      </c>
      <c r="AC20" s="14">
        <f>1+AC18</f>
        <v>7</v>
      </c>
      <c r="AD20" s="301" t="str">
        <f>IF(ISERROR(VLOOKUP($AC20,$AE$176:$AL$224,2,FALSE)),"",VLOOKUP($AC20,$AE$176:$AL$224,2,FALSE))</f>
        <v/>
      </c>
      <c r="AE20" s="290" t="str">
        <f>IF(AG20="La celdilla está en blanco","",IF(ISERROR(VLOOKUP($AC20,$AE$176:$AL$224,3,FALSE)),"",TEXT(VLOOKUP($AC20,$AE$176:$AL$224,3,FALSE),IF(ABS(VLOOKUP($AC20,$AE$176:$AL$224,3,FALSE))&lt;1,"0,0000","#.##0"))))</f>
        <v/>
      </c>
      <c r="AF20" s="291" t="str">
        <f>IF(ISERROR(VLOOKUP($AC20,$AE$176:$AL$224,6,FALSE)),"",TEXT(VLOOKUP($AC20,$AE$176:$AL$224,6,FALSE),IF(ABS(VLOOKUP($AC20,$AE$176:$AL$224,6,FALSE))&lt;1,"0,0000","#.##0")))</f>
        <v/>
      </c>
      <c r="AG20" s="943" t="str">
        <f t="shared" ref="AG20" si="12">IF(ISERROR(VLOOKUP($AC20,$AE$176:$AL$224,8,FALSE)),"",IF(VLOOKUP($AC20,$AE$176:$AM$224,9,FALSE)="b","La celdilla está en blanco",VLOOKUP($AC20,$AE$176:$AL$224,8,FALSE)))</f>
        <v>La celdilla está en blanco</v>
      </c>
      <c r="AH20" s="943"/>
      <c r="AI20" s="943"/>
      <c r="AJ20" s="943"/>
      <c r="AK20" s="943"/>
      <c r="AL20" s="943"/>
      <c r="AM20" s="943"/>
      <c r="AN20" s="943"/>
      <c r="AO20" s="943"/>
      <c r="AP20" s="943"/>
    </row>
    <row r="21" spans="1:42" ht="15" thickBot="1">
      <c r="A21" s="65" t="e">
        <f t="shared" si="1"/>
        <v>#VALUE!</v>
      </c>
      <c r="C21" s="8"/>
      <c r="D21" s="1"/>
      <c r="E21" s="954"/>
      <c r="F21" s="954"/>
      <c r="G21" s="216"/>
      <c r="H21" s="217"/>
      <c r="I21" s="217"/>
      <c r="J21" s="217"/>
      <c r="K21" s="224" t="s">
        <v>413</v>
      </c>
      <c r="L21" s="144"/>
      <c r="M21" s="245" t="str">
        <f>IF(L21="","",IF(NOT(ISNUMBER(L21)),"ERROR",IF(OR(NOT(INT(L21)=L21),L21&lt;1,L21&gt;49),"ERROR","")))</f>
        <v/>
      </c>
      <c r="N21" s="956"/>
      <c r="O21" s="956"/>
      <c r="P21" s="956"/>
      <c r="Q21" s="956"/>
      <c r="T21" s="87">
        <v>14</v>
      </c>
      <c r="U21" s="60" t="s">
        <v>166</v>
      </c>
      <c r="V21" s="144"/>
      <c r="W21" s="145" t="str">
        <f t="shared" si="3"/>
        <v/>
      </c>
      <c r="X21" s="146" t="e">
        <f>C27</f>
        <v>#VALUE!</v>
      </c>
      <c r="Y21" s="115" t="e">
        <f>D27</f>
        <v>#VALUE!</v>
      </c>
      <c r="Z21" s="115" t="e">
        <f>Y21-0.01</f>
        <v>#VALUE!</v>
      </c>
      <c r="AA21" s="169"/>
      <c r="AB21" s="145" t="str">
        <f t="shared" si="4"/>
        <v/>
      </c>
      <c r="AC21" s="14"/>
      <c r="AD21" s="301"/>
      <c r="AE21" s="290"/>
      <c r="AF21" s="291"/>
      <c r="AG21" s="943"/>
      <c r="AH21" s="943"/>
      <c r="AI21" s="943"/>
      <c r="AJ21" s="943"/>
      <c r="AK21" s="943"/>
      <c r="AL21" s="943"/>
      <c r="AM21" s="943"/>
      <c r="AN21" s="943"/>
      <c r="AO21" s="943"/>
      <c r="AP21" s="943"/>
    </row>
    <row r="22" spans="1:42">
      <c r="A22" s="65" t="e">
        <f t="shared" si="1"/>
        <v>#VALUE!</v>
      </c>
      <c r="C22" s="110" t="e">
        <f>VLOOKUP($A22,$A$231:$AP$1595,C$54,FALSE)</f>
        <v>#VALUE!</v>
      </c>
      <c r="D22" s="265" t="e">
        <f t="shared" ref="D22:D23" si="13">VLOOKUP($A22,$A$231:$AP$1595,D$54,FALSE)</f>
        <v>#VALUE!</v>
      </c>
      <c r="E22" s="954"/>
      <c r="F22" s="954"/>
      <c r="G22" s="219"/>
      <c r="H22" s="218"/>
      <c r="I22" s="218"/>
      <c r="J22" s="218"/>
      <c r="K22" s="244" t="s">
        <v>479</v>
      </c>
      <c r="L22" s="218"/>
      <c r="N22" s="957" t="s">
        <v>466</v>
      </c>
      <c r="O22" s="958"/>
      <c r="P22" s="958"/>
      <c r="Q22" s="959"/>
      <c r="T22" s="87">
        <v>15</v>
      </c>
      <c r="U22" s="60" t="s">
        <v>167</v>
      </c>
      <c r="V22" s="144"/>
      <c r="W22" s="145" t="str">
        <f t="shared" si="3"/>
        <v/>
      </c>
      <c r="X22" s="146" t="e">
        <f>C26</f>
        <v>#VALUE!</v>
      </c>
      <c r="Y22" s="1" t="e">
        <f>D26</f>
        <v>#VALUE!</v>
      </c>
      <c r="Z22" s="1" t="e">
        <f>Y22*1.1</f>
        <v>#VALUE!</v>
      </c>
      <c r="AA22" s="169"/>
      <c r="AB22" s="145" t="str">
        <f t="shared" si="4"/>
        <v/>
      </c>
      <c r="AC22" s="14">
        <f>1+AC20</f>
        <v>8</v>
      </c>
      <c r="AD22" s="301" t="str">
        <f>IF(ISERROR(VLOOKUP($AC22,$AE$176:$AL$224,2,FALSE)),"",VLOOKUP($AC22,$AE$176:$AL$224,2,FALSE))</f>
        <v/>
      </c>
      <c r="AE22" s="290" t="str">
        <f>IF(AG22="La celdilla está en blanco","",IF(ISERROR(VLOOKUP($AC22,$AE$176:$AL$224,3,FALSE)),"",TEXT(VLOOKUP($AC22,$AE$176:$AL$224,3,FALSE),IF(ABS(VLOOKUP($AC22,$AE$176:$AL$224,3,FALSE))&lt;1,"0,0000","#.##0"))))</f>
        <v/>
      </c>
      <c r="AF22" s="291" t="str">
        <f>IF(ISERROR(VLOOKUP($AC22,$AE$176:$AL$224,6,FALSE)),"",TEXT(VLOOKUP($AC22,$AE$176:$AL$224,6,FALSE),IF(ABS(VLOOKUP($AC22,$AE$176:$AL$224,6,FALSE))&lt;1,"0,0000","#.##0")))</f>
        <v/>
      </c>
      <c r="AG22" s="943" t="str">
        <f t="shared" ref="AG22" si="14">IF(ISERROR(VLOOKUP($AC22,$AE$176:$AL$224,8,FALSE)),"",IF(VLOOKUP($AC22,$AE$176:$AM$224,9,FALSE)="b","La celdilla está en blanco",VLOOKUP($AC22,$AE$176:$AL$224,8,FALSE)))</f>
        <v>La celdilla está en blanco</v>
      </c>
      <c r="AH22" s="943"/>
      <c r="AI22" s="943"/>
      <c r="AJ22" s="943"/>
      <c r="AK22" s="943"/>
      <c r="AL22" s="943"/>
      <c r="AM22" s="943"/>
      <c r="AN22" s="943"/>
      <c r="AO22" s="943"/>
      <c r="AP22" s="943"/>
    </row>
    <row r="23" spans="1:42">
      <c r="A23" s="65" t="e">
        <f t="shared" si="1"/>
        <v>#VALUE!</v>
      </c>
      <c r="C23" s="314"/>
      <c r="D23" s="110" t="e">
        <f t="shared" si="13"/>
        <v>#VALUE!</v>
      </c>
      <c r="E23" s="954"/>
      <c r="F23" s="954"/>
      <c r="J23" s="218"/>
      <c r="K23" s="215" t="s">
        <v>409</v>
      </c>
      <c r="L23" s="248"/>
      <c r="M23" s="246" t="str">
        <f>IF(OR(L23="",L23="N",L23="T"),"","ERROR")</f>
        <v/>
      </c>
      <c r="N23" s="295" t="s">
        <v>467</v>
      </c>
      <c r="O23" s="293" t="s">
        <v>468</v>
      </c>
      <c r="P23" s="294"/>
      <c r="Q23" s="296"/>
      <c r="T23" s="87">
        <v>16</v>
      </c>
      <c r="U23" s="60" t="s">
        <v>168</v>
      </c>
      <c r="V23" s="144"/>
      <c r="W23" s="145" t="str">
        <f t="shared" si="3"/>
        <v/>
      </c>
      <c r="X23" s="146" t="e">
        <f>C29</f>
        <v>#VALUE!</v>
      </c>
      <c r="Y23" s="1" t="e">
        <f>D29</f>
        <v>#VALUE!</v>
      </c>
      <c r="Z23" s="1" t="e">
        <f>Y23*1.1</f>
        <v>#VALUE!</v>
      </c>
      <c r="AA23" s="169"/>
      <c r="AB23" s="145" t="str">
        <f t="shared" si="4"/>
        <v/>
      </c>
      <c r="AC23" s="14"/>
      <c r="AD23" s="301"/>
      <c r="AE23" s="290"/>
      <c r="AF23" s="291"/>
      <c r="AG23" s="943"/>
      <c r="AH23" s="943"/>
      <c r="AI23" s="943"/>
      <c r="AJ23" s="943"/>
      <c r="AK23" s="943"/>
      <c r="AL23" s="943"/>
      <c r="AM23" s="943"/>
      <c r="AN23" s="943"/>
      <c r="AO23" s="943"/>
      <c r="AP23" s="943"/>
    </row>
    <row r="24" spans="1:42">
      <c r="A24" s="65" t="e">
        <f t="shared" si="1"/>
        <v>#VALUE!</v>
      </c>
      <c r="C24" s="8"/>
      <c r="D24" s="1"/>
      <c r="E24" s="954"/>
      <c r="F24" s="954"/>
      <c r="G24" s="219"/>
      <c r="H24" s="218"/>
      <c r="I24" s="218"/>
      <c r="J24" s="218"/>
      <c r="K24" s="218"/>
      <c r="L24" s="249"/>
      <c r="M24" s="218"/>
      <c r="N24" s="297" t="s">
        <v>469</v>
      </c>
      <c r="O24" s="293" t="s">
        <v>470</v>
      </c>
      <c r="P24" s="294"/>
      <c r="Q24" s="296"/>
      <c r="T24" s="87">
        <v>17</v>
      </c>
      <c r="U24" s="60" t="s">
        <v>169</v>
      </c>
      <c r="V24" s="144"/>
      <c r="W24" s="145" t="str">
        <f t="shared" si="3"/>
        <v/>
      </c>
      <c r="X24" s="146" t="e">
        <f>C28</f>
        <v>#VALUE!</v>
      </c>
      <c r="Y24" s="1" t="e">
        <f>D28</f>
        <v>#VALUE!</v>
      </c>
      <c r="Z24" s="1" t="e">
        <f>Y24*0.5</f>
        <v>#VALUE!</v>
      </c>
      <c r="AA24" s="169"/>
      <c r="AB24" s="145" t="str">
        <f t="shared" si="4"/>
        <v/>
      </c>
      <c r="AC24" s="14">
        <f>1+AC22</f>
        <v>9</v>
      </c>
      <c r="AD24" s="301" t="str">
        <f>IF(ISERROR(VLOOKUP($AC24,$AE$176:$AL$224,2,FALSE)),"",VLOOKUP($AC24,$AE$176:$AL$224,2,FALSE))</f>
        <v/>
      </c>
      <c r="AE24" s="290" t="str">
        <f>IF(AG24="La celdilla está en blanco","",IF(ISERROR(VLOOKUP($AC24,$AE$176:$AL$224,3,FALSE)),"",TEXT(VLOOKUP($AC24,$AE$176:$AL$224,3,FALSE),IF(ABS(VLOOKUP($AC24,$AE$176:$AL$224,3,FALSE))&lt;1,"0,0000","#.##0"))))</f>
        <v/>
      </c>
      <c r="AF24" s="291" t="str">
        <f>IF(ISERROR(VLOOKUP($AC24,$AE$176:$AL$224,6,FALSE)),"",TEXT(VLOOKUP($AC24,$AE$176:$AL$224,6,FALSE),IF(ABS(VLOOKUP($AC24,$AE$176:$AL$224,6,FALSE))&lt;1,"0,0000","#.##0")))</f>
        <v/>
      </c>
      <c r="AG24" s="943" t="str">
        <f t="shared" ref="AG24" si="15">IF(ISERROR(VLOOKUP($AC24,$AE$176:$AL$224,8,FALSE)),"",IF(VLOOKUP($AC24,$AE$176:$AM$224,9,FALSE)="b","La celdilla está en blanco",VLOOKUP($AC24,$AE$176:$AL$224,8,FALSE)))</f>
        <v>La celdilla está en blanco</v>
      </c>
      <c r="AH24" s="943"/>
      <c r="AI24" s="943"/>
      <c r="AJ24" s="943"/>
      <c r="AK24" s="943"/>
      <c r="AL24" s="943"/>
      <c r="AM24" s="943"/>
      <c r="AN24" s="943"/>
      <c r="AO24" s="943"/>
      <c r="AP24" s="943"/>
    </row>
    <row r="25" spans="1:42" ht="15" thickBot="1">
      <c r="A25" s="65" t="e">
        <f t="shared" si="1"/>
        <v>#VALUE!</v>
      </c>
      <c r="C25" s="110" t="e">
        <f t="shared" ref="C25:D29" si="16">VLOOKUP($A25,$A$231:$AP$1595,C$54,FALSE)</f>
        <v>#VALUE!</v>
      </c>
      <c r="D25" s="263" t="e">
        <f t="shared" si="16"/>
        <v>#VALUE!</v>
      </c>
      <c r="E25" s="954"/>
      <c r="F25" s="954"/>
      <c r="H25" s="218"/>
      <c r="I25" s="218"/>
      <c r="J25" s="218"/>
      <c r="K25" s="218"/>
      <c r="L25" s="218"/>
      <c r="M25" s="218"/>
      <c r="N25" s="306" t="s">
        <v>471</v>
      </c>
      <c r="O25" s="298" t="s">
        <v>472</v>
      </c>
      <c r="P25" s="299"/>
      <c r="Q25" s="300"/>
      <c r="T25" s="87">
        <v>18</v>
      </c>
      <c r="U25" s="60" t="s">
        <v>170</v>
      </c>
      <c r="V25" s="144"/>
      <c r="W25" s="145" t="str">
        <f t="shared" si="3"/>
        <v/>
      </c>
      <c r="X25" s="146" t="e">
        <f>C22</f>
        <v>#VALUE!</v>
      </c>
      <c r="Y25" s="9" t="e">
        <f>D22</f>
        <v>#VALUE!</v>
      </c>
      <c r="Z25" s="9" t="e">
        <f>Y25+0.05</f>
        <v>#VALUE!</v>
      </c>
      <c r="AA25" s="169"/>
      <c r="AB25" s="145" t="str">
        <f t="shared" si="4"/>
        <v/>
      </c>
      <c r="AC25" s="14"/>
      <c r="AD25" s="301"/>
      <c r="AE25" s="290"/>
      <c r="AF25" s="291"/>
      <c r="AG25" s="943"/>
      <c r="AH25" s="943"/>
      <c r="AI25" s="943"/>
      <c r="AJ25" s="943"/>
      <c r="AK25" s="943"/>
      <c r="AL25" s="943"/>
      <c r="AM25" s="943"/>
      <c r="AN25" s="943"/>
      <c r="AO25" s="943"/>
      <c r="AP25" s="943"/>
    </row>
    <row r="26" spans="1:42">
      <c r="A26" s="65" t="e">
        <f t="shared" si="1"/>
        <v>#VALUE!</v>
      </c>
      <c r="C26" s="110" t="e">
        <f t="shared" si="16"/>
        <v>#VALUE!</v>
      </c>
      <c r="D26" s="263" t="e">
        <f t="shared" si="16"/>
        <v>#VALUE!</v>
      </c>
      <c r="E26" s="954"/>
      <c r="F26" s="954"/>
      <c r="G26" s="218"/>
      <c r="H26" s="219"/>
      <c r="I26" s="247" t="s">
        <v>320</v>
      </c>
      <c r="J26" s="226"/>
      <c r="K26" s="226" t="str">
        <f>IF(ISERROR(VLOOKUP($L$21,$G$77:$K$127,2,FALSE)),"",CONCATENATE(VLOOKUP($L$21,$G$77:$K$127,2,FALSE)," = "))</f>
        <v/>
      </c>
      <c r="L26" s="227" t="str">
        <f>IF(ISERROR(VLOOKUP($L$21,$G$77:$K$127,4,FALSE)),"",IF(OR(L21=45,L21=46,L21=47,L21=49),IF(VLOOKUP($L$21,$G$77:$K$127,4,FALSE)="","",CONCATENATE(TEXT(VLOOKUP($L$21,$G$77:$K$127,4,FALSE)*100,"0,00"),"%")),TEXT(VLOOKUP($L$21,$G$77:$K$127,4,FALSE),"#.##0")))</f>
        <v/>
      </c>
      <c r="M26" s="250" t="str">
        <f>IF(L26="","(en blanco)","")</f>
        <v>(en blanco)</v>
      </c>
      <c r="N26" s="216"/>
      <c r="O26" s="218"/>
      <c r="P26" s="218"/>
      <c r="Q26" s="218"/>
      <c r="T26" s="87">
        <v>19</v>
      </c>
      <c r="U26" s="60" t="s">
        <v>171</v>
      </c>
      <c r="V26" s="144"/>
      <c r="W26" s="145" t="str">
        <f t="shared" si="3"/>
        <v/>
      </c>
      <c r="X26" s="146" t="e">
        <f>C31</f>
        <v>#VALUE!</v>
      </c>
      <c r="Y26" s="6" t="e">
        <f>D31</f>
        <v>#VALUE!</v>
      </c>
      <c r="Z26" s="6" t="e">
        <f>G7-G4+1</f>
        <v>#VALUE!</v>
      </c>
      <c r="AA26" s="169"/>
      <c r="AB26" s="145" t="str">
        <f t="shared" si="4"/>
        <v/>
      </c>
      <c r="AC26" s="14">
        <f>1+AC24</f>
        <v>10</v>
      </c>
      <c r="AD26" s="301" t="str">
        <f>IF(ISERROR(VLOOKUP($AC26,$AE$176:$AL$224,2,FALSE)),"",VLOOKUP($AC26,$AE$176:$AL$224,2,FALSE))</f>
        <v/>
      </c>
      <c r="AE26" s="290" t="str">
        <f>IF(AG26="La celdilla está en blanco","",IF(ISERROR(VLOOKUP($AC26,$AE$176:$AL$224,3,FALSE)),"",TEXT(VLOOKUP($AC26,$AE$176:$AL$224,3,FALSE),IF(ABS(VLOOKUP($AC26,$AE$176:$AL$224,3,FALSE))&lt;1,"0,0000","#.##0"))))</f>
        <v/>
      </c>
      <c r="AF26" s="291" t="str">
        <f>IF(ISERROR(VLOOKUP($AC26,$AE$176:$AL$224,6,FALSE)),"",TEXT(VLOOKUP($AC26,$AE$176:$AL$224,6,FALSE),IF(ABS(VLOOKUP($AC26,$AE$176:$AL$224,6,FALSE))&lt;1,"0,0000","#.##0")))</f>
        <v/>
      </c>
      <c r="AG26" s="943" t="str">
        <f t="shared" ref="AG26" si="17">IF(ISERROR(VLOOKUP($AC26,$AE$176:$AL$224,8,FALSE)),"",IF(VLOOKUP($AC26,$AE$176:$AM$224,9,FALSE)="b","La celdilla está en blanco",VLOOKUP($AC26,$AE$176:$AL$224,8,FALSE)))</f>
        <v>La celdilla está en blanco</v>
      </c>
      <c r="AH26" s="943"/>
      <c r="AI26" s="943"/>
      <c r="AJ26" s="943"/>
      <c r="AK26" s="943"/>
      <c r="AL26" s="943"/>
      <c r="AM26" s="943"/>
      <c r="AN26" s="943"/>
      <c r="AO26" s="943"/>
      <c r="AP26" s="943"/>
    </row>
    <row r="27" spans="1:42">
      <c r="A27" s="65" t="e">
        <f t="shared" si="1"/>
        <v>#VALUE!</v>
      </c>
      <c r="C27" s="110" t="e">
        <f t="shared" si="16"/>
        <v>#VALUE!</v>
      </c>
      <c r="D27" s="266" t="e">
        <f t="shared" si="16"/>
        <v>#VALUE!</v>
      </c>
      <c r="G27" s="216"/>
      <c r="H27" s="217"/>
      <c r="I27" s="217"/>
      <c r="J27" s="224"/>
      <c r="K27" s="224"/>
      <c r="L27" s="219"/>
      <c r="M27" s="218"/>
      <c r="N27" s="218"/>
      <c r="O27" s="218"/>
      <c r="P27" s="218"/>
      <c r="Q27" s="218"/>
      <c r="AA27" s="90"/>
      <c r="AC27" s="14"/>
      <c r="AD27" s="165"/>
      <c r="AE27" s="290"/>
      <c r="AF27" s="291"/>
      <c r="AG27" s="943"/>
      <c r="AH27" s="943"/>
      <c r="AI27" s="943"/>
      <c r="AJ27" s="943"/>
      <c r="AK27" s="943"/>
      <c r="AL27" s="943"/>
      <c r="AM27" s="943"/>
      <c r="AN27" s="943"/>
      <c r="AO27" s="943"/>
      <c r="AP27" s="943"/>
    </row>
    <row r="28" spans="1:42">
      <c r="A28" s="65" t="e">
        <f t="shared" si="1"/>
        <v>#VALUE!</v>
      </c>
      <c r="C28" s="110" t="e">
        <f t="shared" si="16"/>
        <v>#VALUE!</v>
      </c>
      <c r="D28" s="263" t="e">
        <f t="shared" si="16"/>
        <v>#VALUE!</v>
      </c>
      <c r="G28" s="219"/>
      <c r="H28" s="223"/>
      <c r="I28" s="247" t="s">
        <v>318</v>
      </c>
      <c r="J28" s="226"/>
      <c r="K28" s="226" t="str">
        <f>K26</f>
        <v/>
      </c>
      <c r="L28" s="227" t="str">
        <f>IF(ISERROR(VLOOKUP($L$21,$G$77:$K$127,3,FALSE)),"",IF(OR(L21=45,L21=46,L21=47,L21=49),CONCATENATE(TEXT(VLOOKUP($L$21,$G$77:$K$127,3,FALSE)*100,"0,00"),"%"),TEXT(VLOOKUP($L$21,$G$77:$K$127,3,FALSE),"#.##0")))</f>
        <v/>
      </c>
      <c r="M28" s="944" t="str">
        <f>IF(OR(L23="",NOT(M23="")),"",IF(ISERROR(VLOOKUP($L$21,$G$77:$K$127,5,FALSE)),"",VLOOKUP($L$21,$G$77:$K$127,5,FALSE)))</f>
        <v/>
      </c>
      <c r="N28" s="944"/>
      <c r="O28" s="944"/>
      <c r="P28" s="944"/>
      <c r="Q28" s="944"/>
      <c r="AC28" s="14">
        <f>1+AC26</f>
        <v>11</v>
      </c>
      <c r="AD28" s="165" t="str">
        <f>IF(ISERROR(VLOOKUP($AC28,$AE$176:$AL$224,2,FALSE)),"",VLOOKUP($AC28,$AE$176:$AL$224,2,FALSE))</f>
        <v/>
      </c>
      <c r="AE28" s="290" t="str">
        <f>IF(AG28="La celdilla está en blanco","",IF(ISERROR(VLOOKUP($AC28,$AE$176:$AL$224,3,FALSE)),"",TEXT(VLOOKUP($AC28,$AE$176:$AL$224,3,FALSE),IF(ABS(VLOOKUP($AC28,$AE$176:$AL$224,3,FALSE))&lt;1,"0,0000","#.##0"))))</f>
        <v/>
      </c>
      <c r="AF28" s="291" t="str">
        <f>IF(ISERROR(VLOOKUP($AC28,$AE$176:$AL$224,6,FALSE)),"",TEXT(VLOOKUP($AC28,$AE$176:$AL$224,6,FALSE),IF(ABS(VLOOKUP($AC28,$AE$176:$AL$224,6,FALSE))&lt;1,"0,0000","#.##0")))</f>
        <v>0,0000</v>
      </c>
      <c r="AG28" s="943" t="str">
        <f t="shared" ref="AG28" si="18">IF(ISERROR(VLOOKUP($AC28,$AE$176:$AL$224,8,FALSE)),"",IF(VLOOKUP($AC28,$AE$176:$AM$224,9,FALSE)="b","La celdilla está en blanco",VLOOKUP($AC28,$AE$176:$AL$224,8,FALSE)))</f>
        <v>La celdilla está en blanco</v>
      </c>
      <c r="AH28" s="943"/>
      <c r="AI28" s="943"/>
      <c r="AJ28" s="943"/>
      <c r="AK28" s="943"/>
      <c r="AL28" s="943"/>
      <c r="AM28" s="943"/>
      <c r="AN28" s="943"/>
      <c r="AO28" s="943"/>
      <c r="AP28" s="943"/>
    </row>
    <row r="29" spans="1:42">
      <c r="A29" s="65" t="e">
        <f t="shared" si="1"/>
        <v>#VALUE!</v>
      </c>
      <c r="C29" s="110" t="e">
        <f t="shared" si="16"/>
        <v>#VALUE!</v>
      </c>
      <c r="D29" s="263" t="e">
        <f t="shared" si="16"/>
        <v>#VALUE!</v>
      </c>
      <c r="G29" s="219"/>
      <c r="H29" s="218"/>
      <c r="I29" s="218"/>
      <c r="J29" s="218"/>
      <c r="K29" s="218"/>
      <c r="L29" s="218"/>
      <c r="M29" s="944"/>
      <c r="N29" s="944"/>
      <c r="O29" s="944"/>
      <c r="P29" s="944"/>
      <c r="Q29" s="944"/>
      <c r="U29" s="149" t="s">
        <v>127</v>
      </c>
      <c r="V29" s="144"/>
      <c r="W29" s="145" t="str">
        <f>IF(OR(V29="",V29="x"),"","ERROR")</f>
        <v/>
      </c>
      <c r="AC29" s="14"/>
      <c r="AD29" s="165"/>
      <c r="AE29" s="290"/>
      <c r="AF29" s="291"/>
      <c r="AG29" s="943"/>
      <c r="AH29" s="943"/>
      <c r="AI29" s="943"/>
      <c r="AJ29" s="943"/>
      <c r="AK29" s="943"/>
      <c r="AL29" s="943"/>
      <c r="AM29" s="943"/>
      <c r="AN29" s="943"/>
      <c r="AO29" s="943"/>
      <c r="AP29" s="943"/>
    </row>
    <row r="30" spans="1:42">
      <c r="A30" s="65" t="e">
        <f t="shared" si="1"/>
        <v>#VALUE!</v>
      </c>
      <c r="C30" s="1"/>
      <c r="D30" s="1"/>
      <c r="G30" s="219"/>
      <c r="H30" s="218"/>
      <c r="I30" s="218"/>
      <c r="J30" s="218"/>
      <c r="K30" s="218"/>
      <c r="L30" s="218"/>
      <c r="M30" s="220"/>
      <c r="N30" s="220"/>
      <c r="O30" s="215"/>
      <c r="P30" s="216"/>
      <c r="Q30" s="218"/>
      <c r="V30" s="44"/>
      <c r="AC30" s="14">
        <f>1+AC28</f>
        <v>12</v>
      </c>
      <c r="AD30" s="165" t="str">
        <f>IF(ISERROR(VLOOKUP($AC30,$AE$176:$AL$224,2,FALSE)),"",VLOOKUP($AC30,$AE$176:$AL$224,2,FALSE))</f>
        <v/>
      </c>
      <c r="AE30" s="290" t="str">
        <f>IF(AG30="La celdilla está en blanco","",IF(ISERROR(VLOOKUP($AC30,$AE$176:$AL$224,3,FALSE)),"",TEXT(VLOOKUP($AC30,$AE$176:$AL$224,3,FALSE),IF(ABS(VLOOKUP($AC30,$AE$176:$AL$224,3,FALSE))&lt;1,"0,0000","#.##0"))))</f>
        <v/>
      </c>
      <c r="AF30" s="291" t="str">
        <f>IF(ISERROR(VLOOKUP($AC30,$AE$176:$AL$224,6,FALSE)),"",TEXT(VLOOKUP($AC30,$AE$176:$AL$224,6,FALSE),IF(ABS(VLOOKUP($AC30,$AE$176:$AL$224,6,FALSE))&lt;1,"0,0000","#.##0")))</f>
        <v>0,0000</v>
      </c>
      <c r="AG30" s="943" t="str">
        <f t="shared" ref="AG30" si="19">IF(ISERROR(VLOOKUP($AC30,$AE$176:$AL$224,8,FALSE)),"",IF(VLOOKUP($AC30,$AE$176:$AM$224,9,FALSE)="b","La celdilla está en blanco",VLOOKUP($AC30,$AE$176:$AL$224,8,FALSE)))</f>
        <v>La celdilla está en blanco</v>
      </c>
      <c r="AH30" s="943"/>
      <c r="AI30" s="943"/>
      <c r="AJ30" s="943"/>
      <c r="AK30" s="943"/>
      <c r="AL30" s="943"/>
      <c r="AM30" s="943"/>
      <c r="AN30" s="943"/>
      <c r="AO30" s="943"/>
      <c r="AP30" s="943"/>
    </row>
    <row r="31" spans="1:42" ht="15" thickBot="1">
      <c r="A31" s="65" t="e">
        <f t="shared" si="1"/>
        <v>#VALUE!</v>
      </c>
      <c r="C31" s="110" t="e">
        <f t="shared" ref="C31:D31" si="20">VLOOKUP($A31,$A$231:$AP$1595,C$54,FALSE)</f>
        <v>#VALUE!</v>
      </c>
      <c r="D31" s="190" t="e">
        <f t="shared" si="20"/>
        <v>#VALUE!</v>
      </c>
      <c r="G31" s="219"/>
      <c r="H31" s="218"/>
      <c r="I31" s="218"/>
      <c r="J31" s="218"/>
      <c r="K31" s="218"/>
      <c r="L31" s="218"/>
      <c r="M31" s="220"/>
      <c r="N31" s="220"/>
      <c r="O31" s="218"/>
      <c r="P31" s="218"/>
      <c r="Q31" s="218"/>
      <c r="V31" s="85">
        <f>COUNTIF(W8:W26,"ERROR")+COUNTIF(AB8:AB26,"ERROR")</f>
        <v>0</v>
      </c>
      <c r="AC31" s="14"/>
      <c r="AD31" s="165"/>
      <c r="AE31" s="290"/>
      <c r="AF31" s="291"/>
      <c r="AG31" s="943"/>
      <c r="AH31" s="943"/>
      <c r="AI31" s="943"/>
      <c r="AJ31" s="943"/>
      <c r="AK31" s="943"/>
      <c r="AL31" s="943"/>
      <c r="AM31" s="943"/>
      <c r="AN31" s="943"/>
      <c r="AO31" s="943"/>
      <c r="AP31" s="943"/>
    </row>
    <row r="32" spans="1:42" ht="15" thickBot="1">
      <c r="A32" s="65" t="e">
        <f t="shared" si="1"/>
        <v>#VALUE!</v>
      </c>
      <c r="G32" s="237" t="s">
        <v>128</v>
      </c>
      <c r="H32" s="238"/>
      <c r="I32" s="238"/>
      <c r="J32" s="238"/>
      <c r="K32" s="239"/>
      <c r="L32" s="218"/>
      <c r="M32" s="945" t="e">
        <f>IF(VLOOKUP($L$21,$G$77:$J$127,3,FALSE)=VLOOKUP($L$21,$G$77:$J$127,4,FALSE),"RESPUESTA CORRECTA.",IF(VLOOKUP($L$21,$G$77:$J$127,4,FALSE)="","La celdilla está en blanco.",CONCATENATE("RESPUESTA EQUIVOCADA. ",IF(ISERROR(HLOOKUP(VLOOKUP($L$21,$G$77:$J$127,4,FALSE),$G$51:$P$52,2,FALSE)),"Error desconocido",CONCATENATE("UNA POSIBLE EXPLICACIÓN ES LA SIGUIENTE. ",HLOOKUP(VLOOKUP($L$21,$G$77:$J$127,4,FALSE),$G$51:$P$52,2,FALSE))),".")))</f>
        <v>#N/A</v>
      </c>
      <c r="N32" s="946"/>
      <c r="O32" s="946"/>
      <c r="P32" s="946"/>
      <c r="Q32" s="947"/>
      <c r="AC32" s="14">
        <f>1+AC30</f>
        <v>13</v>
      </c>
      <c r="AD32" s="165" t="str">
        <f>IF(ISERROR(VLOOKUP($AC32,$AE$176:$AL$224,2,FALSE)),"",VLOOKUP($AC32,$AE$176:$AL$224,2,FALSE))</f>
        <v/>
      </c>
      <c r="AE32" s="290" t="str">
        <f>IF(AG32="La celdilla está en blanco","",IF(ISERROR(VLOOKUP($AC32,$AE$176:$AL$224,3,FALSE)),"",TEXT(VLOOKUP($AC32,$AE$176:$AL$224,3,FALSE),IF(ABS(VLOOKUP($AC32,$AE$176:$AL$224,3,FALSE))&lt;1,"0,0000","#.##0"))))</f>
        <v/>
      </c>
      <c r="AF32" s="291" t="str">
        <f>IF(ISERROR(VLOOKUP($AC32,$AE$176:$AL$224,6,FALSE)),"",TEXT(VLOOKUP($AC32,$AE$176:$AL$224,6,FALSE),IF(ABS(VLOOKUP($AC32,$AE$176:$AL$224,6,FALSE))&lt;1,"0,0000","#.##0")))</f>
        <v>0,0000</v>
      </c>
      <c r="AG32" s="943" t="str">
        <f t="shared" ref="AG32" si="21">IF(ISERROR(VLOOKUP($AC32,$AE$176:$AL$224,8,FALSE)),"",IF(VLOOKUP($AC32,$AE$176:$AM$224,9,FALSE)="b","La celdilla está en blanco",VLOOKUP($AC32,$AE$176:$AL$224,8,FALSE)))</f>
        <v>La celdilla está en blanco</v>
      </c>
      <c r="AH32" s="943"/>
      <c r="AI32" s="943"/>
      <c r="AJ32" s="943"/>
      <c r="AK32" s="943"/>
      <c r="AL32" s="943"/>
      <c r="AM32" s="943"/>
      <c r="AN32" s="943"/>
      <c r="AO32" s="943"/>
      <c r="AP32" s="943"/>
    </row>
    <row r="33" spans="1:42">
      <c r="A33" s="65" t="e">
        <f t="shared" si="1"/>
        <v>#VALUE!</v>
      </c>
      <c r="B33" s="277"/>
      <c r="F33" s="65">
        <v>1</v>
      </c>
      <c r="G33" s="230"/>
      <c r="H33" s="225"/>
      <c r="I33" s="226" t="s">
        <v>129</v>
      </c>
      <c r="J33" s="251" t="e">
        <f>N170/1*F33</f>
        <v>#VALUE!</v>
      </c>
      <c r="K33" s="231" t="str">
        <f t="shared" ref="K33:K44" si="22">CONCATENATE("(sobre ",F33,")")</f>
        <v>(sobre 1)</v>
      </c>
      <c r="L33" s="218"/>
      <c r="M33" s="948"/>
      <c r="N33" s="949"/>
      <c r="O33" s="949"/>
      <c r="P33" s="949"/>
      <c r="Q33" s="950"/>
      <c r="U33" s="149" t="s">
        <v>204</v>
      </c>
      <c r="V33" s="144"/>
      <c r="W33" s="150" t="str">
        <f>IF(AND(NOT(V33=""),NOT(ISNUMBER(V33))),"ERROR",IF(OR(V33="",AND(INT(V33)=V33,V33&gt;0,V33&lt;20)),"","ERROR"))</f>
        <v/>
      </c>
      <c r="AC33" s="14"/>
      <c r="AD33" s="165"/>
      <c r="AE33" s="290"/>
      <c r="AF33" s="291"/>
      <c r="AG33" s="943"/>
      <c r="AH33" s="943"/>
      <c r="AI33" s="943"/>
      <c r="AJ33" s="943"/>
      <c r="AK33" s="943"/>
      <c r="AL33" s="943"/>
      <c r="AM33" s="943"/>
      <c r="AN33" s="943"/>
      <c r="AO33" s="943"/>
      <c r="AP33" s="943"/>
    </row>
    <row r="34" spans="1:42">
      <c r="A34" s="65" t="e">
        <f t="shared" si="1"/>
        <v>#VALUE!</v>
      </c>
      <c r="F34" s="65">
        <v>1.5</v>
      </c>
      <c r="G34" s="232"/>
      <c r="H34" s="228"/>
      <c r="I34" s="229" t="s">
        <v>138</v>
      </c>
      <c r="J34" s="99" t="e">
        <f>SUM(H165:N167)/21*F34</f>
        <v>#VALUE!</v>
      </c>
      <c r="K34" s="233" t="str">
        <f t="shared" si="22"/>
        <v>(sobre 1,5)</v>
      </c>
      <c r="L34" s="222"/>
      <c r="M34" s="948"/>
      <c r="N34" s="949"/>
      <c r="O34" s="949"/>
      <c r="P34" s="949"/>
      <c r="Q34" s="950"/>
      <c r="V34" s="44"/>
      <c r="Z34" s="168" t="s">
        <v>291</v>
      </c>
      <c r="AA34" s="170"/>
      <c r="AB34" s="170"/>
      <c r="AC34" s="14">
        <f>1+AC32</f>
        <v>14</v>
      </c>
      <c r="AD34" s="165" t="str">
        <f>IF(ISERROR(VLOOKUP($AC34,$AE$176:$AL$224,2,FALSE)),"",VLOOKUP($AC34,$AE$176:$AL$224,2,FALSE))</f>
        <v/>
      </c>
      <c r="AE34" s="290" t="str">
        <f>IF(AG34="La celdilla está en blanco","",IF(ISERROR(VLOOKUP($AC34,$AE$176:$AL$224,3,FALSE)),"",TEXT(VLOOKUP($AC34,$AE$176:$AL$224,3,FALSE),IF(ABS(VLOOKUP($AC34,$AE$176:$AL$224,3,FALSE))&lt;1,"0,0000","#.##0"))))</f>
        <v/>
      </c>
      <c r="AF34" s="291" t="str">
        <f>IF(ISERROR(VLOOKUP($AC34,$AE$176:$AL$224,6,FALSE)),"",TEXT(VLOOKUP($AC34,$AE$176:$AL$224,6,FALSE),IF(ABS(VLOOKUP($AC34,$AE$176:$AL$224,6,FALSE))&lt;1,"0,0000","#.##0")))</f>
        <v/>
      </c>
      <c r="AG34" s="943" t="str">
        <f t="shared" ref="AG34" si="23">IF(ISERROR(VLOOKUP($AC34,$AE$176:$AL$224,8,FALSE)),"",IF(VLOOKUP($AC34,$AE$176:$AM$224,9,FALSE)="b","La celdilla está en blanco",VLOOKUP($AC34,$AE$176:$AL$224,8,FALSE)))</f>
        <v>La celdilla está en blanco</v>
      </c>
      <c r="AH34" s="943"/>
      <c r="AI34" s="943"/>
      <c r="AJ34" s="943"/>
      <c r="AK34" s="943"/>
      <c r="AL34" s="943"/>
      <c r="AM34" s="943"/>
      <c r="AN34" s="943"/>
      <c r="AO34" s="943"/>
      <c r="AP34" s="943"/>
    </row>
    <row r="35" spans="1:42">
      <c r="A35" s="65" t="e">
        <f t="shared" si="1"/>
        <v>#VALUE!</v>
      </c>
      <c r="D35" s="157"/>
      <c r="F35" s="65">
        <v>1.5</v>
      </c>
      <c r="G35" s="234"/>
      <c r="H35" s="221"/>
      <c r="I35" s="235" t="s">
        <v>130</v>
      </c>
      <c r="J35" s="252" t="e">
        <f>SUM(K171:K173)/3*F35</f>
        <v>#VALUE!</v>
      </c>
      <c r="K35" s="236" t="str">
        <f t="shared" si="22"/>
        <v>(sobre 1,5)</v>
      </c>
      <c r="M35" s="948"/>
      <c r="N35" s="949"/>
      <c r="O35" s="949"/>
      <c r="P35" s="949"/>
      <c r="Q35" s="950"/>
      <c r="V35" s="151"/>
      <c r="W35" s="151" t="s">
        <v>139</v>
      </c>
      <c r="X35" s="151" t="s">
        <v>174</v>
      </c>
      <c r="Z35" s="964" t="str">
        <f>IF(AND(NOT($V$33=""),$W$33=""),VLOOKUP($V$33,$T$148:$AB$166,9,FALSE),"")</f>
        <v/>
      </c>
      <c r="AA35" s="964" t="str">
        <f t="shared" ref="AA35:AB40" si="24">IF(AND(NOT($V$33=""),$W$33=""),VLOOKUP($V$33,$T$148:$Y$166,6,FALSE),"")</f>
        <v/>
      </c>
      <c r="AB35" s="964" t="str">
        <f t="shared" si="24"/>
        <v/>
      </c>
      <c r="AC35" s="14"/>
      <c r="AD35" s="165"/>
      <c r="AE35" s="290"/>
      <c r="AF35" s="291"/>
      <c r="AG35" s="943"/>
      <c r="AH35" s="943"/>
      <c r="AI35" s="943"/>
      <c r="AJ35" s="943"/>
      <c r="AK35" s="943"/>
      <c r="AL35" s="943"/>
      <c r="AM35" s="943"/>
      <c r="AN35" s="943"/>
      <c r="AO35" s="943"/>
      <c r="AP35" s="943"/>
    </row>
    <row r="36" spans="1:42">
      <c r="A36" s="65" t="e">
        <f t="shared" si="1"/>
        <v>#VALUE!</v>
      </c>
      <c r="E36" s="158"/>
      <c r="F36" s="65">
        <v>1</v>
      </c>
      <c r="G36" s="234"/>
      <c r="H36" s="221"/>
      <c r="I36" s="235" t="s">
        <v>131</v>
      </c>
      <c r="J36" s="252" t="e">
        <f>SUM(N171:N173)/3*F36</f>
        <v>#VALUE!</v>
      </c>
      <c r="K36" s="236" t="str">
        <f t="shared" si="22"/>
        <v>(sobre 1)</v>
      </c>
      <c r="M36" s="948"/>
      <c r="N36" s="949"/>
      <c r="O36" s="949"/>
      <c r="P36" s="949"/>
      <c r="Q36" s="950"/>
      <c r="V36" s="152" t="s">
        <v>177</v>
      </c>
      <c r="W36" s="152" t="s">
        <v>173</v>
      </c>
      <c r="X36" s="152" t="s">
        <v>175</v>
      </c>
      <c r="Z36" s="964" t="str">
        <f>IF(AND(NOT($V$33=""),$W$33=""),VLOOKUP($V$33,$T$148:$Y$166,6,FALSE),"")</f>
        <v/>
      </c>
      <c r="AA36" s="964" t="str">
        <f t="shared" si="24"/>
        <v/>
      </c>
      <c r="AB36" s="964" t="str">
        <f t="shared" si="24"/>
        <v/>
      </c>
      <c r="AC36" s="14">
        <f>1+AC34</f>
        <v>15</v>
      </c>
      <c r="AD36" s="165" t="str">
        <f>IF(ISERROR(VLOOKUP($AC36,$AE$176:$AL$224,2,FALSE)),"",VLOOKUP($AC36,$AE$176:$AL$224,2,FALSE))</f>
        <v/>
      </c>
      <c r="AE36" s="290" t="str">
        <f>IF(AG36="La celdilla está en blanco","",IF(ISERROR(VLOOKUP($AC36,$AE$176:$AL$224,3,FALSE)),"",TEXT(VLOOKUP($AC36,$AE$176:$AL$224,3,FALSE),IF(ABS(VLOOKUP($AC36,$AE$176:$AL$224,3,FALSE))&lt;1,"0,0000","#.##0"))))</f>
        <v/>
      </c>
      <c r="AF36" s="291" t="str">
        <f>IF(ISERROR(VLOOKUP($AC36,$AE$176:$AL$224,6,FALSE)),"",TEXT(VLOOKUP($AC36,$AE$176:$AL$224,6,FALSE),IF(ABS(VLOOKUP($AC36,$AE$176:$AL$224,6,FALSE))&lt;1,"0,0000","#.##0")))</f>
        <v/>
      </c>
      <c r="AG36" s="943" t="str">
        <f t="shared" ref="AG36" si="25">IF(ISERROR(VLOOKUP($AC36,$AE$176:$AL$224,8,FALSE)),"",IF(VLOOKUP($AC36,$AE$176:$AM$224,9,FALSE)="b","La celdilla está en blanco",VLOOKUP($AC36,$AE$176:$AL$224,8,FALSE)))</f>
        <v>La celdilla está en blanco</v>
      </c>
      <c r="AH36" s="943"/>
      <c r="AI36" s="943"/>
      <c r="AJ36" s="943"/>
      <c r="AK36" s="943"/>
      <c r="AL36" s="943"/>
      <c r="AM36" s="943"/>
      <c r="AN36" s="943"/>
      <c r="AO36" s="943"/>
      <c r="AP36" s="943"/>
    </row>
    <row r="37" spans="1:42" ht="15" thickBot="1">
      <c r="A37" s="65" t="e">
        <f t="shared" si="1"/>
        <v>#VALUE!</v>
      </c>
      <c r="E37" s="158"/>
      <c r="F37" s="65">
        <v>1</v>
      </c>
      <c r="G37" s="234"/>
      <c r="H37" s="221"/>
      <c r="I37" s="235" t="s">
        <v>132</v>
      </c>
      <c r="J37" s="252" t="e">
        <f>SUM(P164:P167)/4*F37</f>
        <v>#VALUE!</v>
      </c>
      <c r="K37" s="236" t="str">
        <f t="shared" si="22"/>
        <v>(sobre 1)</v>
      </c>
      <c r="M37" s="951"/>
      <c r="N37" s="952"/>
      <c r="O37" s="952"/>
      <c r="P37" s="952"/>
      <c r="Q37" s="953"/>
      <c r="T37" s="21" t="str">
        <f>IF(AND(NOT($V$33=""),$W$33=""),$V$33,"")</f>
        <v/>
      </c>
      <c r="U37" s="21" t="str">
        <f>IF(AND(NOT($V$33=""),$W$33=""),VLOOKUP($V$33,$T$148:$Y$166,2,FALSE),"")</f>
        <v/>
      </c>
      <c r="V37" s="153" t="str">
        <f>IF(ISERROR(VLOOKUP($T$37,$T$8:$Z$26,5,FALSE)),"",VLOOKUP($T$37,$T$8:$Z$26,5,FALSE))</f>
        <v/>
      </c>
      <c r="W37" s="153" t="str">
        <f>IF(ISERROR(VLOOKUP($T$37,$T$8:$Z$26,6,FALSE)),"",VLOOKUP($T$37,$T$8:$Z$26,6,FALSE))</f>
        <v/>
      </c>
      <c r="X37" s="153" t="str">
        <f>IF(ISERROR(VLOOKUP($T$37,$T$8:$Z$26,7,FALSE)),"",VLOOKUP($T$37,$T$8:$Z$26,7,FALSE))</f>
        <v/>
      </c>
      <c r="Z37" s="964" t="str">
        <f>IF(AND(NOT($V$33=""),$W$33=""),VLOOKUP($V$33,$T$148:$Y$166,6,FALSE),"")</f>
        <v/>
      </c>
      <c r="AA37" s="964" t="str">
        <f t="shared" si="24"/>
        <v/>
      </c>
      <c r="AB37" s="964" t="str">
        <f t="shared" si="24"/>
        <v/>
      </c>
      <c r="AC37" s="14"/>
      <c r="AD37" s="165"/>
      <c r="AE37" s="290"/>
      <c r="AF37" s="291"/>
      <c r="AG37" s="943"/>
      <c r="AH37" s="943"/>
      <c r="AI37" s="943"/>
      <c r="AJ37" s="943"/>
      <c r="AK37" s="943"/>
      <c r="AL37" s="943"/>
      <c r="AM37" s="943"/>
      <c r="AN37" s="943"/>
      <c r="AO37" s="943"/>
      <c r="AP37" s="943"/>
    </row>
    <row r="38" spans="1:42">
      <c r="A38" s="65" t="e">
        <f t="shared" si="1"/>
        <v>#VALUE!</v>
      </c>
      <c r="E38" s="158"/>
      <c r="F38" s="65">
        <v>0.5</v>
      </c>
      <c r="G38" s="234"/>
      <c r="H38" s="221"/>
      <c r="I38" s="235" t="s">
        <v>133</v>
      </c>
      <c r="J38" s="252" t="e">
        <f>P170*F38</f>
        <v>#VALUE!</v>
      </c>
      <c r="K38" s="236" t="str">
        <f t="shared" si="22"/>
        <v>(sobre 0,5)</v>
      </c>
      <c r="V38" s="153" t="str">
        <f>IF($T$37="","","VAN")</f>
        <v/>
      </c>
      <c r="W38" s="153" t="e">
        <f>AA5</f>
        <v>#VALUE!</v>
      </c>
      <c r="X38" s="153" t="str">
        <f>IF(AND(NOT($V$33=""),$W$33=""),VLOOKUP($V$33,$T$148:$Y$166,4,FALSE),"")</f>
        <v/>
      </c>
      <c r="Z38" s="964" t="str">
        <f>IF(AND(NOT($V$33=""),$W$33=""),VLOOKUP($V$33,$T$148:$Y$166,6,FALSE),"")</f>
        <v/>
      </c>
      <c r="AA38" s="964" t="str">
        <f t="shared" si="24"/>
        <v/>
      </c>
      <c r="AB38" s="964" t="str">
        <f t="shared" si="24"/>
        <v/>
      </c>
      <c r="AC38" s="14">
        <f>1+AC36</f>
        <v>16</v>
      </c>
      <c r="AD38" s="165" t="str">
        <f>IF(ISERROR(VLOOKUP($AC38,$AE$176:$AL$224,2,FALSE)),"",VLOOKUP($AC38,$AE$176:$AL$224,2,FALSE))</f>
        <v/>
      </c>
      <c r="AE38" s="290" t="str">
        <f>IF(AG38="La celdilla está en blanco","",IF(ISERROR(VLOOKUP($AC38,$AE$176:$AL$224,3,FALSE)),"",TEXT(VLOOKUP($AC38,$AE$176:$AL$224,3,FALSE),IF(ABS(VLOOKUP($AC38,$AE$176:$AL$224,3,FALSE))&lt;1,"0,0000","#.##0"))))</f>
        <v/>
      </c>
      <c r="AF38" s="291" t="str">
        <f>IF(ISERROR(VLOOKUP($AC38,$AE$176:$AL$224,6,FALSE)),"",TEXT(VLOOKUP($AC38,$AE$176:$AL$224,6,FALSE),IF(ABS(VLOOKUP($AC38,$AE$176:$AL$224,6,FALSE))&lt;1,"0,0000","#.##0")))</f>
        <v/>
      </c>
      <c r="AG38" s="943" t="str">
        <f t="shared" ref="AG38" si="26">IF(ISERROR(VLOOKUP($AC38,$AE$176:$AL$224,8,FALSE)),"",IF(VLOOKUP($AC38,$AE$176:$AM$224,9,FALSE)="b","La celdilla está en blanco",VLOOKUP($AC38,$AE$176:$AL$224,8,FALSE)))</f>
        <v>La celdilla está en blanco</v>
      </c>
      <c r="AH38" s="943"/>
      <c r="AI38" s="943"/>
      <c r="AJ38" s="943"/>
      <c r="AK38" s="943"/>
      <c r="AL38" s="943"/>
      <c r="AM38" s="943"/>
      <c r="AN38" s="943"/>
      <c r="AO38" s="943"/>
      <c r="AP38" s="943"/>
    </row>
    <row r="39" spans="1:42">
      <c r="A39" s="65" t="e">
        <f t="shared" si="1"/>
        <v>#VALUE!</v>
      </c>
      <c r="E39" s="158"/>
      <c r="F39" s="65">
        <v>0.5</v>
      </c>
      <c r="G39" s="234"/>
      <c r="H39" s="221"/>
      <c r="I39" s="235" t="s">
        <v>134</v>
      </c>
      <c r="J39" s="252" t="e">
        <f>P171*F39</f>
        <v>#VALUE!</v>
      </c>
      <c r="K39" s="236" t="str">
        <f t="shared" si="22"/>
        <v>(sobre 0,5)</v>
      </c>
      <c r="V39" s="314" t="str">
        <f>IF($T$37="","","Diferencia")</f>
        <v/>
      </c>
      <c r="W39" s="314"/>
      <c r="X39" s="153" t="str">
        <f>IF(AND(NOT($V$33=""),$W$33=""),VLOOKUP($V$33,$T$148:$Y$166,6,FALSE),"")</f>
        <v/>
      </c>
      <c r="Z39" s="964" t="str">
        <f>IF(AND(NOT($V$33=""),$W$33=""),VLOOKUP($V$33,$T$148:$Y$166,6,FALSE),"")</f>
        <v/>
      </c>
      <c r="AA39" s="964" t="str">
        <f t="shared" si="24"/>
        <v/>
      </c>
      <c r="AB39" s="964" t="str">
        <f t="shared" si="24"/>
        <v/>
      </c>
      <c r="AC39" s="14"/>
      <c r="AD39" s="165"/>
      <c r="AE39" s="290"/>
      <c r="AF39" s="291"/>
      <c r="AG39" s="943"/>
      <c r="AH39" s="943"/>
      <c r="AI39" s="943"/>
      <c r="AJ39" s="943"/>
      <c r="AK39" s="943"/>
      <c r="AL39" s="943"/>
      <c r="AM39" s="943"/>
      <c r="AN39" s="943"/>
      <c r="AO39" s="943"/>
      <c r="AP39" s="943"/>
    </row>
    <row r="40" spans="1:42">
      <c r="A40" s="65" t="e">
        <f t="shared" si="1"/>
        <v>#VALUE!</v>
      </c>
      <c r="E40" s="158"/>
      <c r="F40" s="65">
        <v>1</v>
      </c>
      <c r="G40" s="234"/>
      <c r="H40" s="221"/>
      <c r="I40" s="235" t="s">
        <v>135</v>
      </c>
      <c r="J40" s="252" t="e">
        <f>P172*F40</f>
        <v>#VALUE!</v>
      </c>
      <c r="K40" s="236" t="str">
        <f t="shared" si="22"/>
        <v>(sobre 1)</v>
      </c>
      <c r="Z40" s="964" t="str">
        <f>IF(AND(NOT($V$33=""),$W$33=""),VLOOKUP($V$33,$T$148:$Y$166,6,FALSE),"")</f>
        <v/>
      </c>
      <c r="AA40" s="964" t="str">
        <f t="shared" si="24"/>
        <v/>
      </c>
      <c r="AB40" s="964" t="str">
        <f t="shared" si="24"/>
        <v/>
      </c>
      <c r="AC40" s="14">
        <f>1+AC38</f>
        <v>17</v>
      </c>
      <c r="AD40" s="165" t="str">
        <f>IF(ISERROR(VLOOKUP($AC40,$AE$176:$AL$224,2,FALSE)),"",VLOOKUP($AC40,$AE$176:$AL$224,2,FALSE))</f>
        <v/>
      </c>
      <c r="AE40" s="290" t="str">
        <f>IF(AG40="La celdilla está en blanco","",IF(ISERROR(VLOOKUP($AC40,$AE$176:$AL$224,3,FALSE)),"",TEXT(VLOOKUP($AC40,$AE$176:$AL$224,3,FALSE),IF(ABS(VLOOKUP($AC40,$AE$176:$AL$224,3,FALSE))&lt;1,"0,0000","#.##0"))))</f>
        <v/>
      </c>
      <c r="AF40" s="291" t="str">
        <f>IF(ISERROR(VLOOKUP($AC40,$AE$176:$AL$224,6,FALSE)),"",TEXT(VLOOKUP($AC40,$AE$176:$AL$224,6,FALSE),IF(ABS(VLOOKUP($AC40,$AE$176:$AL$224,6,FALSE))&lt;1,"0,0000","#.##0")))</f>
        <v>0,0000</v>
      </c>
      <c r="AG40" s="943" t="str">
        <f t="shared" ref="AG40" si="27">IF(ISERROR(VLOOKUP($AC40,$AE$176:$AL$224,8,FALSE)),"",IF(VLOOKUP($AC40,$AE$176:$AM$224,9,FALSE)="b","La celdilla está en blanco",VLOOKUP($AC40,$AE$176:$AL$224,8,FALSE)))</f>
        <v>La celdilla está en blanco</v>
      </c>
      <c r="AH40" s="943"/>
      <c r="AI40" s="943"/>
      <c r="AJ40" s="943"/>
      <c r="AK40" s="943"/>
      <c r="AL40" s="943"/>
      <c r="AM40" s="943"/>
      <c r="AN40" s="943"/>
      <c r="AO40" s="943"/>
      <c r="AP40" s="943"/>
    </row>
    <row r="41" spans="1:42">
      <c r="A41" s="65" t="e">
        <f t="shared" si="1"/>
        <v>#VALUE!</v>
      </c>
      <c r="E41" s="158"/>
      <c r="F41" s="65">
        <v>0.5</v>
      </c>
      <c r="G41" s="234"/>
      <c r="H41" s="221"/>
      <c r="I41" s="235" t="s">
        <v>13</v>
      </c>
      <c r="J41" s="252" t="e">
        <f>P175*F41</f>
        <v>#VALUE!</v>
      </c>
      <c r="K41" s="236" t="str">
        <f t="shared" si="22"/>
        <v>(sobre 0,5)</v>
      </c>
      <c r="V41" s="147"/>
      <c r="W41" s="147"/>
      <c r="X41" s="147"/>
      <c r="AC41" s="14"/>
      <c r="AD41" s="165"/>
      <c r="AE41" s="290"/>
      <c r="AF41" s="291"/>
      <c r="AG41" s="943"/>
      <c r="AH41" s="943"/>
      <c r="AI41" s="943"/>
      <c r="AJ41" s="943"/>
      <c r="AK41" s="943"/>
      <c r="AL41" s="943"/>
      <c r="AM41" s="943"/>
      <c r="AN41" s="943"/>
      <c r="AO41" s="943"/>
      <c r="AP41" s="943"/>
    </row>
    <row r="42" spans="1:42" ht="15" customHeight="1">
      <c r="A42" s="65" t="e">
        <f t="shared" si="1"/>
        <v>#VALUE!</v>
      </c>
      <c r="E42" s="158"/>
      <c r="F42" s="65">
        <v>0.5</v>
      </c>
      <c r="G42" s="234"/>
      <c r="H42" s="221"/>
      <c r="I42" s="235" t="s">
        <v>28</v>
      </c>
      <c r="J42" s="252" t="e">
        <f>P176*F42</f>
        <v>#VALUE!</v>
      </c>
      <c r="K42" s="236" t="str">
        <f t="shared" si="22"/>
        <v>(sobre 0,5)</v>
      </c>
      <c r="U42" s="963" t="str">
        <f>IF(OR(V33="",NOT(W33="")),"",VLOOKUP(V33,$T$148:$AA$166,8,FALSE))</f>
        <v/>
      </c>
      <c r="V42" s="963"/>
      <c r="W42" s="963"/>
      <c r="X42" s="963"/>
      <c r="Y42" s="963"/>
      <c r="Z42" s="963"/>
      <c r="AA42" s="963"/>
      <c r="AB42" s="963"/>
      <c r="AC42" s="14">
        <f>1+AC40</f>
        <v>18</v>
      </c>
      <c r="AD42" s="165" t="str">
        <f>IF(ISERROR(VLOOKUP($AC42,$AE$176:$AL$224,2,FALSE)),"",VLOOKUP($AC42,$AE$176:$AL$224,2,FALSE))</f>
        <v/>
      </c>
      <c r="AE42" s="290" t="str">
        <f>IF(AG42="La celdilla está en blanco","",IF(ISERROR(VLOOKUP($AC42,$AE$176:$AL$224,3,FALSE)),"",TEXT(VLOOKUP($AC42,$AE$176:$AL$224,3,FALSE),IF(ABS(VLOOKUP($AC42,$AE$176:$AL$224,3,FALSE))&lt;1,"0,0000","#.##0"))))</f>
        <v/>
      </c>
      <c r="AF42" s="291" t="str">
        <f>IF(ISERROR(VLOOKUP($AC42,$AE$176:$AL$224,6,FALSE)),"",TEXT(VLOOKUP($AC42,$AE$176:$AL$224,6,FALSE),IF(ABS(VLOOKUP($AC42,$AE$176:$AL$224,6,FALSE))&lt;1,"0,0000","#.##0")))</f>
        <v>0,0000</v>
      </c>
      <c r="AG42" s="943" t="str">
        <f t="shared" ref="AG42" si="28">IF(ISERROR(VLOOKUP($AC42,$AE$176:$AL$224,8,FALSE)),"",IF(VLOOKUP($AC42,$AE$176:$AM$224,9,FALSE)="b","La celdilla está en blanco",VLOOKUP($AC42,$AE$176:$AL$224,8,FALSE)))</f>
        <v>La celdilla está en blanco</v>
      </c>
      <c r="AH42" s="943"/>
      <c r="AI42" s="943"/>
      <c r="AJ42" s="943"/>
      <c r="AK42" s="943"/>
      <c r="AL42" s="943"/>
      <c r="AM42" s="943"/>
      <c r="AN42" s="943"/>
      <c r="AO42" s="943"/>
      <c r="AP42" s="943"/>
    </row>
    <row r="43" spans="1:42" ht="15" thickBot="1">
      <c r="A43" s="65" t="e">
        <f t="shared" si="1"/>
        <v>#VALUE!</v>
      </c>
      <c r="E43" s="158"/>
      <c r="F43" s="65">
        <v>1</v>
      </c>
      <c r="G43" s="234"/>
      <c r="H43" s="221"/>
      <c r="I43" s="235" t="s">
        <v>136</v>
      </c>
      <c r="J43" s="252" t="e">
        <f>IF(OR(AND(P15&gt;0,P159&gt;0),AND(P15&lt;0,P159&lt;0),AND(P15=0,P159=0)),1*F43,0)</f>
        <v>#VALUE!</v>
      </c>
      <c r="K43" s="236" t="str">
        <f t="shared" si="22"/>
        <v>(sobre 1)</v>
      </c>
      <c r="U43" s="963"/>
      <c r="V43" s="963"/>
      <c r="W43" s="963"/>
      <c r="X43" s="963"/>
      <c r="Y43" s="963"/>
      <c r="Z43" s="963"/>
      <c r="AA43" s="963"/>
      <c r="AB43" s="963"/>
      <c r="AC43" s="14"/>
      <c r="AD43" s="165"/>
      <c r="AE43" s="290"/>
      <c r="AF43" s="291"/>
      <c r="AG43" s="943"/>
      <c r="AH43" s="943"/>
      <c r="AI43" s="943"/>
      <c r="AJ43" s="943"/>
      <c r="AK43" s="943"/>
      <c r="AL43" s="943"/>
      <c r="AM43" s="943"/>
      <c r="AN43" s="943"/>
      <c r="AO43" s="943"/>
      <c r="AP43" s="943"/>
    </row>
    <row r="44" spans="1:42" ht="15" thickBot="1">
      <c r="A44" s="65" t="e">
        <f t="shared" si="1"/>
        <v>#VALUE!</v>
      </c>
      <c r="E44" s="158"/>
      <c r="F44" s="65">
        <f>SUM(F33:F43)</f>
        <v>10</v>
      </c>
      <c r="G44" s="240"/>
      <c r="H44" s="241"/>
      <c r="I44" s="242" t="s">
        <v>137</v>
      </c>
      <c r="J44" s="253" t="e">
        <f>SUM(J33:J43)</f>
        <v>#VALUE!</v>
      </c>
      <c r="K44" s="243" t="str">
        <f t="shared" si="22"/>
        <v>(sobre 10)</v>
      </c>
      <c r="U44" s="963"/>
      <c r="V44" s="963"/>
      <c r="W44" s="963"/>
      <c r="X44" s="963"/>
      <c r="Y44" s="963"/>
      <c r="Z44" s="963"/>
      <c r="AA44" s="963"/>
      <c r="AB44" s="963"/>
      <c r="AC44" s="14">
        <f>1+AC42</f>
        <v>19</v>
      </c>
      <c r="AD44" s="165" t="str">
        <f>IF(ISERROR(VLOOKUP($AC44,$AE$176:$AL$224,2,FALSE)),"",VLOOKUP($AC44,$AE$176:$AL$224,2,FALSE))</f>
        <v/>
      </c>
      <c r="AE44" s="290" t="str">
        <f>IF(AG44="La celdilla está en blanco","",IF(ISERROR(VLOOKUP($AC44,$AE$176:$AL$224,3,FALSE)),"",TEXT(VLOOKUP($AC44,$AE$176:$AL$224,3,FALSE),IF(ABS(VLOOKUP($AC44,$AE$176:$AL$224,3,FALSE))&lt;1,"0,0000","#.##0"))))</f>
        <v/>
      </c>
      <c r="AF44" s="291" t="str">
        <f>IF(ISERROR(VLOOKUP($AC44,$AE$176:$AL$224,6,FALSE)),"",TEXT(VLOOKUP($AC44,$AE$176:$AL$224,6,FALSE),IF(ABS(VLOOKUP($AC44,$AE$176:$AL$224,6,FALSE))&lt;1,"0,0000","#.##0")))</f>
        <v>0,0000</v>
      </c>
      <c r="AG44" s="943" t="str">
        <f t="shared" ref="AG44" si="29">IF(ISERROR(VLOOKUP($AC44,$AE$176:$AL$224,8,FALSE)),"",IF(VLOOKUP($AC44,$AE$176:$AM$224,9,FALSE)="b","La celdilla está en blanco",VLOOKUP($AC44,$AE$176:$AL$224,8,FALSE)))</f>
        <v>La celdilla está en blanco</v>
      </c>
      <c r="AH44" s="943"/>
      <c r="AI44" s="943"/>
      <c r="AJ44" s="943"/>
      <c r="AK44" s="943"/>
      <c r="AL44" s="943"/>
      <c r="AM44" s="943"/>
      <c r="AN44" s="943"/>
      <c r="AO44" s="943"/>
      <c r="AP44" s="943"/>
    </row>
    <row r="45" spans="1:42">
      <c r="A45" s="65" t="e">
        <f t="shared" si="1"/>
        <v>#VALUE!</v>
      </c>
      <c r="E45" s="158"/>
      <c r="U45" s="963"/>
      <c r="V45" s="963"/>
      <c r="W45" s="963"/>
      <c r="X45" s="963"/>
      <c r="Y45" s="963"/>
      <c r="Z45" s="963"/>
      <c r="AA45" s="963"/>
      <c r="AB45" s="963"/>
      <c r="AC45" s="14"/>
      <c r="AD45" s="165"/>
      <c r="AE45" s="290"/>
      <c r="AF45" s="291"/>
      <c r="AG45" s="943"/>
      <c r="AH45" s="943"/>
      <c r="AI45" s="943"/>
      <c r="AJ45" s="943"/>
      <c r="AK45" s="943"/>
      <c r="AL45" s="943"/>
      <c r="AM45" s="943"/>
      <c r="AN45" s="943"/>
      <c r="AO45" s="943"/>
      <c r="AP45" s="943"/>
    </row>
    <row r="46" spans="1:42">
      <c r="A46" s="65" t="e">
        <f t="shared" si="1"/>
        <v>#VALUE!</v>
      </c>
      <c r="E46" s="158"/>
      <c r="U46" s="963"/>
      <c r="V46" s="963"/>
      <c r="W46" s="963"/>
      <c r="X46" s="963"/>
      <c r="Y46" s="963"/>
      <c r="Z46" s="963"/>
      <c r="AA46" s="963"/>
      <c r="AB46" s="963"/>
      <c r="AC46" s="14">
        <f>1+AC44</f>
        <v>20</v>
      </c>
      <c r="AD46" s="165" t="str">
        <f>IF(ISERROR(VLOOKUP($AC46,$AE$176:$AL$224,2,FALSE)),"",VLOOKUP($AC46,$AE$176:$AL$224,2,FALSE))</f>
        <v/>
      </c>
      <c r="AE46" s="290" t="str">
        <f>IF(AG46="La celdilla está en blanco","",IF(ISERROR(VLOOKUP($AC46,$AE$176:$AL$224,3,FALSE)),"",TEXT(VLOOKUP($AC46,$AE$176:$AL$224,3,FALSE),IF(ABS(VLOOKUP($AC46,$AE$176:$AL$224,3,FALSE))&lt;1,"0,0000","#.##0"))))</f>
        <v/>
      </c>
      <c r="AF46" s="291" t="str">
        <f>IF(ISERROR(VLOOKUP($AC46,$AE$176:$AL$224,6,FALSE)),"",TEXT(VLOOKUP($AC46,$AE$176:$AL$224,6,FALSE),IF(ABS(VLOOKUP($AC46,$AE$176:$AL$224,6,FALSE))&lt;1,"0,0000","#.##0")))</f>
        <v>0,0000</v>
      </c>
      <c r="AG46" s="943" t="str">
        <f t="shared" ref="AG46" si="30">IF(ISERROR(VLOOKUP($AC46,$AE$176:$AL$224,8,FALSE)),"",IF(VLOOKUP($AC46,$AE$176:$AM$224,9,FALSE)="b","La celdilla está en blanco",VLOOKUP($AC46,$AE$176:$AL$224,8,FALSE)))</f>
        <v>La celdilla está en blanco</v>
      </c>
      <c r="AH46" s="943"/>
      <c r="AI46" s="943"/>
      <c r="AJ46" s="943"/>
      <c r="AK46" s="943"/>
      <c r="AL46" s="943"/>
      <c r="AM46" s="943"/>
      <c r="AN46" s="943"/>
      <c r="AO46" s="943"/>
      <c r="AP46" s="943"/>
    </row>
    <row r="47" spans="1:42">
      <c r="A47" s="65" t="e">
        <f t="shared" si="1"/>
        <v>#VALUE!</v>
      </c>
      <c r="E47" s="158"/>
      <c r="U47" s="963"/>
      <c r="V47" s="963"/>
      <c r="W47" s="963"/>
      <c r="X47" s="963"/>
      <c r="Y47" s="963"/>
      <c r="Z47" s="963"/>
      <c r="AA47" s="963"/>
      <c r="AB47" s="963"/>
      <c r="AC47" s="14"/>
      <c r="AD47" s="165"/>
      <c r="AE47" s="166"/>
      <c r="AF47" s="167"/>
      <c r="AG47" s="943"/>
      <c r="AH47" s="943"/>
      <c r="AI47" s="943"/>
      <c r="AJ47" s="943"/>
      <c r="AK47" s="943"/>
      <c r="AL47" s="943"/>
      <c r="AM47" s="943"/>
      <c r="AN47" s="943"/>
      <c r="AO47" s="943"/>
      <c r="AP47" s="943"/>
    </row>
    <row r="48" spans="1:42" s="65" customFormat="1" hidden="1">
      <c r="A48" s="65" t="e">
        <f t="shared" si="1"/>
        <v>#VALUE!</v>
      </c>
      <c r="E48" s="343"/>
      <c r="U48" s="283"/>
      <c r="V48" s="283"/>
      <c r="W48" s="283"/>
      <c r="X48" s="283"/>
      <c r="Y48" s="283"/>
      <c r="Z48" s="283"/>
      <c r="AA48" s="283"/>
      <c r="AB48" s="283"/>
      <c r="AC48" s="14"/>
      <c r="AD48" s="165"/>
      <c r="AE48" s="166"/>
      <c r="AF48" s="344"/>
      <c r="AG48" s="316"/>
      <c r="AH48" s="316"/>
      <c r="AI48" s="316"/>
      <c r="AJ48" s="316"/>
      <c r="AK48" s="316"/>
      <c r="AL48" s="316"/>
      <c r="AM48" s="316"/>
      <c r="AN48" s="316"/>
      <c r="AO48" s="316"/>
      <c r="AP48" s="316"/>
    </row>
    <row r="49" spans="1:42" s="324" customFormat="1" ht="0.65" hidden="1" customHeight="1">
      <c r="A49" s="324" t="e">
        <f t="shared" si="1"/>
        <v>#VALUE!</v>
      </c>
      <c r="G49" s="326">
        <v>1</v>
      </c>
      <c r="H49" s="326">
        <v>2</v>
      </c>
      <c r="I49" s="326">
        <v>3</v>
      </c>
      <c r="J49" s="326">
        <v>4</v>
      </c>
      <c r="K49" s="326">
        <v>5</v>
      </c>
      <c r="L49" s="326">
        <v>6</v>
      </c>
      <c r="M49" s="326">
        <v>7</v>
      </c>
      <c r="N49" s="326">
        <v>8</v>
      </c>
      <c r="O49" s="326">
        <v>9</v>
      </c>
      <c r="P49" s="326">
        <v>10</v>
      </c>
      <c r="U49" s="323"/>
      <c r="V49" s="323"/>
      <c r="W49" s="323"/>
      <c r="X49" s="323"/>
      <c r="Y49" s="323"/>
      <c r="Z49" s="323"/>
      <c r="AA49" s="323"/>
      <c r="AB49" s="323"/>
      <c r="AC49" s="326"/>
      <c r="AE49" s="325"/>
      <c r="AF49" s="325"/>
      <c r="AG49" s="323"/>
      <c r="AH49" s="323"/>
      <c r="AI49" s="323"/>
      <c r="AJ49" s="323"/>
      <c r="AK49" s="323"/>
      <c r="AL49" s="323"/>
      <c r="AM49" s="323"/>
      <c r="AN49" s="323"/>
      <c r="AO49" s="323"/>
      <c r="AP49" s="323"/>
    </row>
    <row r="50" spans="1:42" s="324" customFormat="1" ht="0.65" hidden="1" customHeight="1">
      <c r="A50" s="324" t="e">
        <f t="shared" si="1"/>
        <v>#VALUE!</v>
      </c>
      <c r="G50" s="326" t="s">
        <v>212</v>
      </c>
      <c r="H50" s="326" t="s">
        <v>213</v>
      </c>
      <c r="I50" s="326" t="s">
        <v>214</v>
      </c>
      <c r="J50" s="326" t="s">
        <v>215</v>
      </c>
      <c r="K50" s="326" t="s">
        <v>216</v>
      </c>
      <c r="L50" s="326" t="s">
        <v>218</v>
      </c>
      <c r="M50" s="326" t="s">
        <v>219</v>
      </c>
      <c r="N50" s="326" t="s">
        <v>220</v>
      </c>
      <c r="O50" s="326" t="s">
        <v>221</v>
      </c>
      <c r="P50" s="326" t="s">
        <v>222</v>
      </c>
      <c r="U50" s="323"/>
      <c r="V50" s="323"/>
      <c r="W50" s="323"/>
      <c r="X50" s="323"/>
      <c r="Y50" s="323"/>
      <c r="Z50" s="323"/>
      <c r="AA50" s="323"/>
      <c r="AB50" s="323"/>
      <c r="AC50" s="326"/>
      <c r="AE50" s="325"/>
      <c r="AF50" s="325"/>
      <c r="AG50" s="323"/>
      <c r="AH50" s="323"/>
      <c r="AI50" s="323"/>
      <c r="AJ50" s="323"/>
      <c r="AK50" s="323"/>
      <c r="AL50" s="323"/>
      <c r="AM50" s="323"/>
      <c r="AN50" s="323"/>
      <c r="AO50" s="323"/>
      <c r="AP50" s="323"/>
    </row>
    <row r="51" spans="1:42" s="324" customFormat="1" ht="0.65" hidden="1" customHeight="1">
      <c r="A51" s="324" t="e">
        <f t="shared" si="1"/>
        <v>#VALUE!</v>
      </c>
      <c r="G51" s="331" t="str">
        <f>IF(ISERROR(VLOOKUP($L$21,$G$77:$AG$125,6+G$49,FALSE)),"",IF(VLOOKUP($L$21,$G$77:$AG$125,6+G$49,FALSE)="","",VLOOKUP($L$21,$G$77:$AG$125,6+G$49,FALSE)))</f>
        <v/>
      </c>
      <c r="H51" s="331" t="str">
        <f t="shared" ref="H51:P51" si="31">IF(ISERROR(VLOOKUP($L$21,$G$77:$AG$125,6+H$49,FALSE)),"",IF(VLOOKUP($L$21,$G$77:$AG$125,6+H$49,FALSE)="","",VLOOKUP($L$21,$G$77:$AG$125,6+H$49,FALSE)))</f>
        <v/>
      </c>
      <c r="I51" s="331" t="str">
        <f t="shared" si="31"/>
        <v/>
      </c>
      <c r="J51" s="331" t="str">
        <f t="shared" si="31"/>
        <v/>
      </c>
      <c r="K51" s="331" t="str">
        <f t="shared" si="31"/>
        <v/>
      </c>
      <c r="L51" s="331" t="str">
        <f t="shared" si="31"/>
        <v/>
      </c>
      <c r="M51" s="331" t="str">
        <f t="shared" si="31"/>
        <v/>
      </c>
      <c r="N51" s="331" t="str">
        <f t="shared" si="31"/>
        <v/>
      </c>
      <c r="O51" s="331" t="str">
        <f t="shared" si="31"/>
        <v/>
      </c>
      <c r="P51" s="331" t="str">
        <f t="shared" si="31"/>
        <v/>
      </c>
      <c r="U51" s="323"/>
      <c r="V51" s="323"/>
      <c r="W51" s="323"/>
      <c r="X51" s="323"/>
      <c r="Y51" s="323"/>
      <c r="Z51" s="323"/>
      <c r="AA51" s="323"/>
      <c r="AB51" s="323"/>
      <c r="AC51" s="326"/>
      <c r="AE51" s="325"/>
      <c r="AF51" s="325"/>
      <c r="AG51" s="323"/>
      <c r="AH51" s="323"/>
      <c r="AI51" s="323"/>
      <c r="AJ51" s="323"/>
      <c r="AK51" s="323"/>
      <c r="AL51" s="323"/>
      <c r="AM51" s="323"/>
      <c r="AN51" s="323"/>
      <c r="AO51" s="323"/>
      <c r="AP51" s="323"/>
    </row>
    <row r="52" spans="1:42" s="324" customFormat="1" ht="0.65" hidden="1" customHeight="1">
      <c r="A52" s="324" t="e">
        <f t="shared" si="1"/>
        <v>#VALUE!</v>
      </c>
      <c r="G52" s="332" t="str">
        <f>IF(ISERROR(VLOOKUP($L$21,$G$77:$AG$125,17+G$49,FALSE)),"",IF(VLOOKUP($L$21,$G$77:$AG$125,17+G$49,FALSE)="","",VLOOKUP($L$21,$G$77:$AG$125,17+G$49,FALSE)))</f>
        <v/>
      </c>
      <c r="H52" s="332" t="str">
        <f t="shared" ref="H52:P52" si="32">IF(ISERROR(VLOOKUP($L$21,$G$77:$AG$125,17+H$49,FALSE)),"",IF(VLOOKUP($L$21,$G$77:$AG$125,17+H$49,FALSE)="","",VLOOKUP($L$21,$G$77:$AG$125,17+H$49,FALSE)))</f>
        <v/>
      </c>
      <c r="I52" s="332" t="str">
        <f t="shared" si="32"/>
        <v/>
      </c>
      <c r="J52" s="332" t="str">
        <f t="shared" si="32"/>
        <v/>
      </c>
      <c r="K52" s="332" t="str">
        <f t="shared" si="32"/>
        <v/>
      </c>
      <c r="L52" s="332" t="str">
        <f t="shared" si="32"/>
        <v/>
      </c>
      <c r="M52" s="332" t="str">
        <f t="shared" si="32"/>
        <v/>
      </c>
      <c r="N52" s="332" t="str">
        <f t="shared" si="32"/>
        <v/>
      </c>
      <c r="O52" s="332" t="str">
        <f t="shared" si="32"/>
        <v/>
      </c>
      <c r="P52" s="332" t="str">
        <f t="shared" si="32"/>
        <v/>
      </c>
      <c r="U52" s="323"/>
      <c r="V52" s="323"/>
      <c r="W52" s="323"/>
      <c r="X52" s="323"/>
      <c r="Y52" s="323"/>
      <c r="Z52" s="323"/>
      <c r="AA52" s="323"/>
      <c r="AB52" s="323"/>
      <c r="AC52" s="326"/>
      <c r="AE52" s="325"/>
      <c r="AF52" s="325"/>
      <c r="AG52" s="323"/>
      <c r="AH52" s="323"/>
      <c r="AI52" s="323"/>
      <c r="AJ52" s="323"/>
      <c r="AK52" s="323"/>
      <c r="AL52" s="323"/>
      <c r="AM52" s="323"/>
      <c r="AN52" s="323"/>
      <c r="AO52" s="323"/>
      <c r="AP52" s="323"/>
    </row>
    <row r="53" spans="1:42" s="324" customFormat="1" ht="0.65" hidden="1" customHeight="1">
      <c r="A53" s="324" t="e">
        <f t="shared" si="1"/>
        <v>#VALUE!</v>
      </c>
      <c r="U53" s="323"/>
      <c r="V53" s="323"/>
      <c r="W53" s="323"/>
      <c r="X53" s="323"/>
      <c r="Y53" s="323"/>
      <c r="Z53" s="323"/>
      <c r="AA53" s="323"/>
      <c r="AB53" s="323"/>
      <c r="AC53" s="326"/>
      <c r="AE53" s="325"/>
      <c r="AF53" s="325"/>
      <c r="AG53" s="323"/>
      <c r="AH53" s="323"/>
      <c r="AI53" s="323"/>
      <c r="AJ53" s="323"/>
      <c r="AK53" s="323"/>
      <c r="AL53" s="323"/>
      <c r="AM53" s="323"/>
      <c r="AN53" s="323"/>
      <c r="AO53" s="323"/>
      <c r="AP53" s="323"/>
    </row>
    <row r="54" spans="1:42" s="324" customFormat="1" ht="0.65" hidden="1" customHeight="1">
      <c r="A54" s="324" t="e">
        <f t="shared" si="1"/>
        <v>#VALUE!</v>
      </c>
      <c r="B54" s="333">
        <v>2</v>
      </c>
      <c r="C54" s="333">
        <v>3</v>
      </c>
      <c r="D54" s="333">
        <v>4</v>
      </c>
      <c r="E54" s="333">
        <v>5</v>
      </c>
      <c r="F54" s="333">
        <v>6</v>
      </c>
      <c r="G54" s="333">
        <v>7</v>
      </c>
      <c r="H54" s="333">
        <v>8</v>
      </c>
      <c r="I54" s="333">
        <v>9</v>
      </c>
      <c r="J54" s="333">
        <v>10</v>
      </c>
      <c r="K54" s="333">
        <v>11</v>
      </c>
      <c r="L54" s="333">
        <v>12</v>
      </c>
      <c r="M54" s="333">
        <v>13</v>
      </c>
      <c r="N54" s="333">
        <v>14</v>
      </c>
      <c r="O54" s="333">
        <v>15</v>
      </c>
      <c r="P54" s="333">
        <v>16</v>
      </c>
      <c r="Q54" s="333">
        <v>17</v>
      </c>
      <c r="R54" s="333">
        <v>18</v>
      </c>
      <c r="S54" s="333">
        <v>19</v>
      </c>
      <c r="T54" s="333">
        <v>20</v>
      </c>
      <c r="U54" s="334">
        <v>21</v>
      </c>
      <c r="V54" s="334">
        <v>22</v>
      </c>
      <c r="W54" s="334">
        <v>23</v>
      </c>
      <c r="X54" s="334">
        <v>24</v>
      </c>
      <c r="Y54" s="334">
        <v>25</v>
      </c>
      <c r="Z54" s="334">
        <v>26</v>
      </c>
      <c r="AA54" s="334">
        <v>27</v>
      </c>
      <c r="AB54" s="334">
        <v>28</v>
      </c>
      <c r="AC54" s="333">
        <v>29</v>
      </c>
      <c r="AD54" s="333">
        <v>30</v>
      </c>
      <c r="AE54" s="333">
        <v>31</v>
      </c>
      <c r="AF54" s="333">
        <v>32</v>
      </c>
      <c r="AG54" s="334">
        <v>33</v>
      </c>
      <c r="AH54" s="334">
        <v>34</v>
      </c>
      <c r="AI54" s="334">
        <v>35</v>
      </c>
      <c r="AJ54" s="334">
        <v>36</v>
      </c>
      <c r="AK54" s="334">
        <v>37</v>
      </c>
      <c r="AL54" s="334">
        <v>38</v>
      </c>
      <c r="AM54" s="334">
        <v>39</v>
      </c>
      <c r="AN54" s="334">
        <v>40</v>
      </c>
      <c r="AO54" s="334">
        <v>41</v>
      </c>
      <c r="AP54" s="334">
        <v>42</v>
      </c>
    </row>
    <row r="55" spans="1:42" s="324" customFormat="1" ht="0.65" hidden="1" customHeight="1">
      <c r="A55" s="324" t="e">
        <f t="shared" si="1"/>
        <v>#VALUE!</v>
      </c>
      <c r="U55" s="323"/>
      <c r="V55" s="323"/>
      <c r="W55" s="323"/>
      <c r="X55" s="323"/>
      <c r="Y55" s="323"/>
      <c r="Z55" s="323"/>
      <c r="AA55" s="323"/>
      <c r="AB55" s="323"/>
      <c r="AC55" s="326"/>
      <c r="AE55" s="325"/>
      <c r="AF55" s="325"/>
      <c r="AG55" s="323"/>
      <c r="AH55" s="323"/>
      <c r="AI55" s="323"/>
      <c r="AJ55" s="323"/>
      <c r="AK55" s="323"/>
      <c r="AL55" s="323"/>
      <c r="AM55" s="323"/>
      <c r="AN55" s="323"/>
      <c r="AO55" s="323"/>
      <c r="AP55" s="323"/>
    </row>
    <row r="56" spans="1:42" s="324" customFormat="1" ht="0.65" hidden="1" customHeight="1">
      <c r="A56" s="324" t="e">
        <f t="shared" si="1"/>
        <v>#VALUE!</v>
      </c>
      <c r="B56" s="328" t="e">
        <f t="shared" ref="B56:B58" si="33">VLOOKUP($A56,$A$231:$AP$1595,B$54,FALSE)</f>
        <v>#VALUE!</v>
      </c>
      <c r="C56" s="328" t="e">
        <f>D6</f>
        <v>#VALUE!</v>
      </c>
      <c r="D56" s="326" t="e">
        <f>IF(B56=C56,1,0)</f>
        <v>#VALUE!</v>
      </c>
      <c r="G56" s="327" t="s">
        <v>0</v>
      </c>
      <c r="H56" s="335" t="s">
        <v>69</v>
      </c>
      <c r="I56" s="335" t="s">
        <v>70</v>
      </c>
      <c r="J56" s="335" t="s">
        <v>71</v>
      </c>
      <c r="K56" s="335" t="s">
        <v>72</v>
      </c>
      <c r="L56" s="335" t="s">
        <v>73</v>
      </c>
      <c r="M56" s="335" t="s">
        <v>74</v>
      </c>
      <c r="N56" s="335" t="s">
        <v>75</v>
      </c>
      <c r="O56" s="335" t="s">
        <v>80</v>
      </c>
      <c r="P56" s="335" t="s">
        <v>1</v>
      </c>
    </row>
    <row r="57" spans="1:42" s="324" customFormat="1" ht="0.65" hidden="1" customHeight="1">
      <c r="A57" s="324" t="e">
        <f t="shared" si="1"/>
        <v>#VALUE!</v>
      </c>
      <c r="B57" s="324" t="e">
        <f t="shared" si="33"/>
        <v>#VALUE!</v>
      </c>
      <c r="C57" s="324" t="e">
        <f>D7</f>
        <v>#VALUE!</v>
      </c>
      <c r="D57" s="326" t="e">
        <f>IF(B57=C57,1,0)</f>
        <v>#VALUE!</v>
      </c>
      <c r="G57" s="336" t="e">
        <f t="shared" ref="G57:P60" si="34">VLOOKUP($A57,$A$231:$AP$1595,G$54,FALSE)</f>
        <v>#VALUE!</v>
      </c>
      <c r="O57" s="328"/>
      <c r="P57" s="326" t="e">
        <f>VLOOKUP($A57,$A$231:$AP$1595,P$54,FALSE)</f>
        <v>#VALUE!</v>
      </c>
    </row>
    <row r="58" spans="1:42" s="324" customFormat="1" ht="0.65" hidden="1" customHeight="1">
      <c r="A58" s="324" t="e">
        <f t="shared" si="1"/>
        <v>#VALUE!</v>
      </c>
      <c r="B58" s="324" t="e">
        <f t="shared" si="33"/>
        <v>#VALUE!</v>
      </c>
      <c r="C58" s="324" t="e">
        <f>D8</f>
        <v>#VALUE!</v>
      </c>
      <c r="D58" s="326" t="e">
        <f>IF(B58=C58,1,0)</f>
        <v>#VALUE!</v>
      </c>
      <c r="G58" s="336" t="e">
        <f t="shared" si="34"/>
        <v>#VALUE!</v>
      </c>
      <c r="H58" s="326" t="e">
        <f t="shared" si="34"/>
        <v>#VALUE!</v>
      </c>
      <c r="I58" s="326" t="e">
        <f t="shared" si="34"/>
        <v>#VALUE!</v>
      </c>
      <c r="J58" s="326" t="e">
        <f t="shared" si="34"/>
        <v>#VALUE!</v>
      </c>
      <c r="K58" s="326" t="e">
        <f t="shared" si="34"/>
        <v>#VALUE!</v>
      </c>
      <c r="L58" s="326" t="e">
        <f t="shared" si="34"/>
        <v>#VALUE!</v>
      </c>
      <c r="M58" s="326" t="e">
        <f t="shared" si="34"/>
        <v>#VALUE!</v>
      </c>
      <c r="N58" s="326" t="e">
        <f t="shared" si="34"/>
        <v>#VALUE!</v>
      </c>
      <c r="O58" s="326" t="e">
        <f t="shared" si="34"/>
        <v>#VALUE!</v>
      </c>
      <c r="P58" s="326" t="e">
        <f t="shared" si="34"/>
        <v>#VALUE!</v>
      </c>
    </row>
    <row r="59" spans="1:42" s="324" customFormat="1" ht="0.65" hidden="1" customHeight="1">
      <c r="A59" s="324" t="e">
        <f t="shared" si="1"/>
        <v>#VALUE!</v>
      </c>
      <c r="D59" s="326"/>
      <c r="G59" s="336" t="e">
        <f t="shared" si="34"/>
        <v>#VALUE!</v>
      </c>
      <c r="H59" s="326" t="e">
        <f t="shared" si="34"/>
        <v>#VALUE!</v>
      </c>
      <c r="I59" s="326" t="e">
        <f t="shared" si="34"/>
        <v>#VALUE!</v>
      </c>
      <c r="J59" s="326" t="e">
        <f t="shared" si="34"/>
        <v>#VALUE!</v>
      </c>
      <c r="K59" s="326" t="e">
        <f t="shared" si="34"/>
        <v>#VALUE!</v>
      </c>
      <c r="L59" s="326" t="e">
        <f t="shared" si="34"/>
        <v>#VALUE!</v>
      </c>
      <c r="M59" s="326" t="e">
        <f t="shared" si="34"/>
        <v>#VALUE!</v>
      </c>
      <c r="N59" s="326" t="e">
        <f t="shared" si="34"/>
        <v>#VALUE!</v>
      </c>
      <c r="O59" s="326" t="e">
        <f t="shared" si="34"/>
        <v>#VALUE!</v>
      </c>
      <c r="P59" s="326" t="e">
        <f t="shared" si="34"/>
        <v>#VALUE!</v>
      </c>
    </row>
    <row r="60" spans="1:42" s="324" customFormat="1" ht="0.65" hidden="1" customHeight="1">
      <c r="A60" s="324" t="e">
        <f t="shared" si="1"/>
        <v>#VALUE!</v>
      </c>
      <c r="B60" s="324" t="e">
        <f t="shared" ref="B60:B61" si="35">VLOOKUP($A60,$A$231:$AP$1595,B$54,FALSE)</f>
        <v>#VALUE!</v>
      </c>
      <c r="C60" s="324" t="e">
        <f>D10</f>
        <v>#VALUE!</v>
      </c>
      <c r="D60" s="326" t="e">
        <f>IF(B60=C60,1,0)</f>
        <v>#VALUE!</v>
      </c>
      <c r="G60" s="336" t="e">
        <f t="shared" si="34"/>
        <v>#VALUE!</v>
      </c>
      <c r="H60" s="326" t="e">
        <f t="shared" si="34"/>
        <v>#VALUE!</v>
      </c>
      <c r="I60" s="326" t="e">
        <f t="shared" si="34"/>
        <v>#VALUE!</v>
      </c>
      <c r="J60" s="326" t="e">
        <f t="shared" si="34"/>
        <v>#VALUE!</v>
      </c>
      <c r="K60" s="326" t="e">
        <f t="shared" si="34"/>
        <v>#VALUE!</v>
      </c>
      <c r="L60" s="326" t="e">
        <f t="shared" si="34"/>
        <v>#VALUE!</v>
      </c>
      <c r="M60" s="326" t="e">
        <f t="shared" si="34"/>
        <v>#VALUE!</v>
      </c>
      <c r="N60" s="326" t="e">
        <f t="shared" si="34"/>
        <v>#VALUE!</v>
      </c>
      <c r="O60" s="326" t="e">
        <f t="shared" si="34"/>
        <v>#VALUE!</v>
      </c>
      <c r="P60" s="326" t="e">
        <f t="shared" si="34"/>
        <v>#VALUE!</v>
      </c>
    </row>
    <row r="61" spans="1:42" s="324" customFormat="1" ht="0.65" hidden="1" customHeight="1">
      <c r="A61" s="324" t="e">
        <f t="shared" si="1"/>
        <v>#VALUE!</v>
      </c>
      <c r="B61" s="324" t="e">
        <f t="shared" si="35"/>
        <v>#VALUE!</v>
      </c>
      <c r="C61" s="324" t="e">
        <f>D11</f>
        <v>#VALUE!</v>
      </c>
      <c r="D61" s="326" t="e">
        <f>IF(B61=C61,1,0)</f>
        <v>#VALUE!</v>
      </c>
      <c r="O61" s="328"/>
      <c r="P61" s="328"/>
    </row>
    <row r="62" spans="1:42" s="324" customFormat="1" ht="0.65" hidden="1" customHeight="1">
      <c r="A62" s="324" t="e">
        <f t="shared" si="1"/>
        <v>#VALUE!</v>
      </c>
      <c r="D62" s="326"/>
      <c r="G62" s="327" t="s">
        <v>0</v>
      </c>
      <c r="H62" s="335" t="s">
        <v>76</v>
      </c>
      <c r="I62" s="335" t="s">
        <v>77</v>
      </c>
      <c r="J62" s="335" t="s">
        <v>78</v>
      </c>
      <c r="K62" s="335" t="s">
        <v>79</v>
      </c>
    </row>
    <row r="63" spans="1:42" s="324" customFormat="1" ht="0.65" hidden="1" customHeight="1">
      <c r="A63" s="324" t="e">
        <f t="shared" si="1"/>
        <v>#VALUE!</v>
      </c>
      <c r="B63" s="324" t="e">
        <f t="shared" ref="B63:B64" si="36">VLOOKUP($A63,$A$231:$AP$1595,B$54,FALSE)</f>
        <v>#VALUE!</v>
      </c>
      <c r="C63" s="324" t="e">
        <f>D13</f>
        <v>#VALUE!</v>
      </c>
      <c r="D63" s="326" t="e">
        <f>IF(B63=C63,1,0)</f>
        <v>#VALUE!</v>
      </c>
      <c r="G63" s="336" t="e">
        <f t="shared" ref="G63:K66" si="37">VLOOKUP($A63,$A$231:$AP$1595,G$54,FALSE)</f>
        <v>#VALUE!</v>
      </c>
      <c r="H63" s="328"/>
      <c r="I63" s="328"/>
      <c r="J63" s="328"/>
      <c r="K63" s="328"/>
      <c r="M63" s="328" t="e">
        <f t="shared" ref="M63:P66" si="38">VLOOKUP($A63,$A$231:$AP$1595,M$54,FALSE)</f>
        <v>#VALUE!</v>
      </c>
      <c r="N63" s="326" t="e">
        <f t="shared" si="38"/>
        <v>#VALUE!</v>
      </c>
      <c r="O63" s="337" t="s">
        <v>124</v>
      </c>
      <c r="P63" s="326" t="e">
        <f t="shared" si="38"/>
        <v>#VALUE!</v>
      </c>
    </row>
    <row r="64" spans="1:42" s="324" customFormat="1" ht="0.65" hidden="1" customHeight="1">
      <c r="A64" s="324" t="e">
        <f t="shared" si="1"/>
        <v>#VALUE!</v>
      </c>
      <c r="B64" s="324" t="e">
        <f t="shared" si="36"/>
        <v>#VALUE!</v>
      </c>
      <c r="C64" s="324" t="e">
        <f>D14</f>
        <v>#VALUE!</v>
      </c>
      <c r="D64" s="326" t="e">
        <f>IF(B64=C64,1,0)</f>
        <v>#VALUE!</v>
      </c>
      <c r="G64" s="336" t="e">
        <f t="shared" si="37"/>
        <v>#VALUE!</v>
      </c>
      <c r="H64" s="326" t="e">
        <f t="shared" si="37"/>
        <v>#VALUE!</v>
      </c>
      <c r="I64" s="326" t="e">
        <f t="shared" si="37"/>
        <v>#VALUE!</v>
      </c>
      <c r="J64" s="326" t="e">
        <f t="shared" si="37"/>
        <v>#VALUE!</v>
      </c>
      <c r="K64" s="326" t="e">
        <f t="shared" si="37"/>
        <v>#VALUE!</v>
      </c>
      <c r="M64" s="328" t="e">
        <f t="shared" si="38"/>
        <v>#VALUE!</v>
      </c>
      <c r="N64" s="326" t="e">
        <f t="shared" si="38"/>
        <v>#VALUE!</v>
      </c>
      <c r="O64" s="337" t="s">
        <v>125</v>
      </c>
      <c r="P64" s="326" t="e">
        <f t="shared" si="38"/>
        <v>#VALUE!</v>
      </c>
    </row>
    <row r="65" spans="1:33" s="324" customFormat="1" ht="0.65" hidden="1" customHeight="1">
      <c r="A65" s="324" t="e">
        <f t="shared" si="1"/>
        <v>#VALUE!</v>
      </c>
      <c r="D65" s="326"/>
      <c r="G65" s="336" t="e">
        <f t="shared" si="37"/>
        <v>#VALUE!</v>
      </c>
      <c r="H65" s="326" t="e">
        <f t="shared" si="37"/>
        <v>#VALUE!</v>
      </c>
      <c r="I65" s="326" t="e">
        <f t="shared" si="37"/>
        <v>#VALUE!</v>
      </c>
      <c r="J65" s="326" t="e">
        <f t="shared" si="37"/>
        <v>#VALUE!</v>
      </c>
      <c r="K65" s="326" t="e">
        <f t="shared" si="37"/>
        <v>#VALUE!</v>
      </c>
      <c r="M65" s="328" t="e">
        <f t="shared" si="38"/>
        <v>#VALUE!</v>
      </c>
      <c r="N65" s="326" t="e">
        <f t="shared" si="38"/>
        <v>#VALUE!</v>
      </c>
      <c r="O65" s="337" t="s">
        <v>126</v>
      </c>
      <c r="P65" s="326" t="e">
        <f t="shared" si="38"/>
        <v>#VALUE!</v>
      </c>
    </row>
    <row r="66" spans="1:33" s="324" customFormat="1" ht="0.65" hidden="1" customHeight="1">
      <c r="A66" s="324" t="e">
        <f t="shared" si="1"/>
        <v>#VALUE!</v>
      </c>
      <c r="D66" s="326"/>
      <c r="G66" s="336" t="e">
        <f t="shared" si="37"/>
        <v>#VALUE!</v>
      </c>
      <c r="H66" s="326" t="e">
        <f t="shared" si="37"/>
        <v>#VALUE!</v>
      </c>
      <c r="I66" s="326" t="e">
        <f t="shared" si="37"/>
        <v>#VALUE!</v>
      </c>
      <c r="J66" s="326" t="e">
        <f t="shared" si="37"/>
        <v>#VALUE!</v>
      </c>
      <c r="K66" s="326" t="e">
        <f t="shared" si="37"/>
        <v>#VALUE!</v>
      </c>
      <c r="M66" s="328" t="e">
        <f t="shared" si="38"/>
        <v>#VALUE!</v>
      </c>
      <c r="N66" s="326" t="e">
        <f t="shared" si="38"/>
        <v>#VALUE!</v>
      </c>
      <c r="P66" s="326"/>
    </row>
    <row r="67" spans="1:33" s="324" customFormat="1" ht="0.65" hidden="1" customHeight="1">
      <c r="A67" s="324" t="e">
        <f t="shared" si="1"/>
        <v>#VALUE!</v>
      </c>
      <c r="B67" s="324" t="e">
        <f t="shared" ref="B67:B70" si="39">VLOOKUP($A67,$A$231:$AP$1595,B$54,FALSE)</f>
        <v>#VALUE!</v>
      </c>
      <c r="C67" s="324" t="e">
        <f>D17</f>
        <v>#VALUE!</v>
      </c>
      <c r="D67" s="326" t="e">
        <f>IF(B67=C67,1,0)</f>
        <v>#VALUE!</v>
      </c>
      <c r="P67" s="326"/>
    </row>
    <row r="68" spans="1:33" s="324" customFormat="1" ht="0.65" hidden="1" customHeight="1">
      <c r="A68" s="324" t="e">
        <f t="shared" si="1"/>
        <v>#VALUE!</v>
      </c>
      <c r="B68" s="324" t="e">
        <f t="shared" si="39"/>
        <v>#VALUE!</v>
      </c>
      <c r="C68" s="324" t="e">
        <f>D18</f>
        <v>#VALUE!</v>
      </c>
      <c r="D68" s="326" t="e">
        <f>IF(B68=C68,1,0)</f>
        <v>#VALUE!</v>
      </c>
      <c r="O68" s="328" t="s">
        <v>13</v>
      </c>
      <c r="P68" s="326" t="e">
        <f t="shared" ref="P68:P71" si="40">VLOOKUP($A68,$A$231:$AP$1595,P$54,FALSE)</f>
        <v>#VALUE!</v>
      </c>
    </row>
    <row r="69" spans="1:33" s="324" customFormat="1" ht="0.65" hidden="1" customHeight="1">
      <c r="A69" s="324" t="e">
        <f t="shared" ref="A69:A132" si="41">1+A68</f>
        <v>#VALUE!</v>
      </c>
      <c r="B69" s="324" t="e">
        <f t="shared" si="39"/>
        <v>#VALUE!</v>
      </c>
      <c r="C69" s="324" t="e">
        <f>D19</f>
        <v>#VALUE!</v>
      </c>
      <c r="D69" s="326" t="e">
        <f>IF(B69=C69,1,0)</f>
        <v>#VALUE!</v>
      </c>
      <c r="O69" s="324" t="s">
        <v>28</v>
      </c>
      <c r="P69" s="326" t="e">
        <f t="shared" si="40"/>
        <v>#VALUE!</v>
      </c>
    </row>
    <row r="70" spans="1:33" s="324" customFormat="1" ht="0.65" hidden="1" customHeight="1">
      <c r="A70" s="324" t="e">
        <f t="shared" si="41"/>
        <v>#VALUE!</v>
      </c>
      <c r="B70" s="324" t="e">
        <f t="shared" si="39"/>
        <v>#VALUE!</v>
      </c>
      <c r="C70" s="324" t="e">
        <f>D20</f>
        <v>#VALUE!</v>
      </c>
      <c r="D70" s="326" t="e">
        <f>IF(B70=C70,1,0)</f>
        <v>#VALUE!</v>
      </c>
      <c r="N70" s="328"/>
      <c r="O70" s="324" t="s">
        <v>29</v>
      </c>
      <c r="P70" s="326" t="e">
        <f t="shared" si="40"/>
        <v>#VALUE!</v>
      </c>
    </row>
    <row r="71" spans="1:33" s="324" customFormat="1" ht="0.65" hidden="1" customHeight="1">
      <c r="A71" s="324" t="e">
        <f t="shared" si="41"/>
        <v>#VALUE!</v>
      </c>
      <c r="D71" s="326"/>
      <c r="N71" s="328"/>
      <c r="O71" s="324" t="s">
        <v>30</v>
      </c>
      <c r="P71" s="326" t="e">
        <f t="shared" si="40"/>
        <v>#VALUE!</v>
      </c>
    </row>
    <row r="72" spans="1:33" s="324" customFormat="1" ht="0.65" hidden="1" customHeight="1">
      <c r="A72" s="324" t="e">
        <f t="shared" si="41"/>
        <v>#VALUE!</v>
      </c>
      <c r="B72" s="324" t="e">
        <f>VLOOKUP($A72,$A$231:$AP$1595,B$54,FALSE)</f>
        <v>#VALUE!</v>
      </c>
      <c r="C72" s="324" t="e">
        <f>D22</f>
        <v>#VALUE!</v>
      </c>
      <c r="D72" s="326" t="e">
        <f>IF(B72=C72,1,0)</f>
        <v>#VALUE!</v>
      </c>
      <c r="N72" s="328"/>
    </row>
    <row r="73" spans="1:33" s="324" customFormat="1" ht="0.65" hidden="1" customHeight="1">
      <c r="A73" s="324" t="e">
        <f t="shared" si="41"/>
        <v>#VALUE!</v>
      </c>
      <c r="D73" s="326"/>
      <c r="N73" s="328"/>
    </row>
    <row r="74" spans="1:33" s="324" customFormat="1" ht="0.65" hidden="1" customHeight="1">
      <c r="A74" s="324" t="e">
        <f t="shared" si="41"/>
        <v>#VALUE!</v>
      </c>
      <c r="D74" s="326"/>
      <c r="N74" s="328"/>
    </row>
    <row r="75" spans="1:33" s="324" customFormat="1" ht="0.65" hidden="1" customHeight="1">
      <c r="A75" s="324" t="e">
        <f t="shared" si="41"/>
        <v>#VALUE!</v>
      </c>
      <c r="B75" s="324" t="e">
        <f t="shared" ref="B75:B79" si="42">VLOOKUP($A75,$A$231:$AP$1595,B$54,FALSE)</f>
        <v>#VALUE!</v>
      </c>
      <c r="C75" s="324" t="e">
        <f>D25</f>
        <v>#VALUE!</v>
      </c>
      <c r="D75" s="326" t="e">
        <f>IF(B75=C75,1,0)</f>
        <v>#VALUE!</v>
      </c>
      <c r="N75" s="328"/>
    </row>
    <row r="76" spans="1:33" s="324" customFormat="1" ht="0.65" hidden="1" customHeight="1">
      <c r="A76" s="324" t="e">
        <f t="shared" si="41"/>
        <v>#VALUE!</v>
      </c>
      <c r="B76" s="324" t="e">
        <f t="shared" si="42"/>
        <v>#VALUE!</v>
      </c>
      <c r="C76" s="324" t="e">
        <f>D26</f>
        <v>#VALUE!</v>
      </c>
      <c r="D76" s="326" t="e">
        <f>IF(B76=C76,1,0)</f>
        <v>#VALUE!</v>
      </c>
      <c r="K76" s="330" t="s">
        <v>475</v>
      </c>
      <c r="M76" s="326" t="s">
        <v>212</v>
      </c>
      <c r="N76" s="327" t="s">
        <v>213</v>
      </c>
      <c r="O76" s="326" t="s">
        <v>214</v>
      </c>
      <c r="P76" s="326" t="s">
        <v>215</v>
      </c>
      <c r="Q76" s="326" t="s">
        <v>216</v>
      </c>
      <c r="R76" s="326" t="s">
        <v>218</v>
      </c>
      <c r="S76" s="326" t="s">
        <v>219</v>
      </c>
      <c r="T76" s="326" t="s">
        <v>220</v>
      </c>
      <c r="U76" s="332" t="s">
        <v>473</v>
      </c>
      <c r="V76" s="332" t="s">
        <v>474</v>
      </c>
      <c r="X76" s="326" t="s">
        <v>223</v>
      </c>
      <c r="Y76" s="327" t="s">
        <v>224</v>
      </c>
      <c r="Z76" s="326" t="s">
        <v>225</v>
      </c>
      <c r="AA76" s="326" t="s">
        <v>226</v>
      </c>
      <c r="AB76" s="326" t="s">
        <v>227</v>
      </c>
      <c r="AC76" s="326" t="s">
        <v>228</v>
      </c>
      <c r="AD76" s="326" t="s">
        <v>229</v>
      </c>
      <c r="AE76" s="326" t="s">
        <v>230</v>
      </c>
      <c r="AF76" s="326"/>
      <c r="AG76" s="326"/>
    </row>
    <row r="77" spans="1:33" s="324" customFormat="1" ht="0.65" hidden="1" customHeight="1">
      <c r="A77" s="324" t="e">
        <f t="shared" si="41"/>
        <v>#VALUE!</v>
      </c>
      <c r="B77" s="324" t="e">
        <f t="shared" si="42"/>
        <v>#VALUE!</v>
      </c>
      <c r="C77" s="324" t="e">
        <f>D27</f>
        <v>#VALUE!</v>
      </c>
      <c r="D77" s="326" t="e">
        <f>IF(B77=C77,1,0)</f>
        <v>#VALUE!</v>
      </c>
      <c r="F77" s="324" t="e">
        <f>IF(I77=J77,1,0)</f>
        <v>#VALUE!</v>
      </c>
      <c r="G77" s="324">
        <v>1</v>
      </c>
      <c r="H77" s="328" t="e">
        <f t="shared" ref="H77:I96" si="43">VLOOKUP($A77,$A$231:$AP$1595,H$54,FALSE)</f>
        <v>#VALUE!</v>
      </c>
      <c r="I77" s="328" t="e">
        <f t="shared" si="43"/>
        <v>#VALUE!</v>
      </c>
      <c r="J77" s="328" t="str">
        <f>IF(N10="","",N10)</f>
        <v/>
      </c>
      <c r="K77" s="324" t="str">
        <f>IF($L$23="N",U77,IF($L$23="T",V77,""))</f>
        <v/>
      </c>
      <c r="M77" s="331" t="e">
        <f t="shared" ref="M77:AB92" si="44">VLOOKUP($A77,$A$231:$AP$1595,M$54,FALSE)</f>
        <v>#VALUE!</v>
      </c>
      <c r="N77" s="331" t="e">
        <f t="shared" si="44"/>
        <v>#VALUE!</v>
      </c>
      <c r="O77" s="331" t="e">
        <f t="shared" si="44"/>
        <v>#VALUE!</v>
      </c>
      <c r="P77" s="331" t="e">
        <f t="shared" si="44"/>
        <v>#VALUE!</v>
      </c>
      <c r="Q77" s="331" t="e">
        <f t="shared" si="44"/>
        <v>#VALUE!</v>
      </c>
      <c r="R77" s="331" t="e">
        <f t="shared" si="44"/>
        <v>#VALUE!</v>
      </c>
      <c r="S77" s="331" t="e">
        <f t="shared" si="44"/>
        <v>#VALUE!</v>
      </c>
      <c r="T77" s="331" t="e">
        <f t="shared" si="44"/>
        <v>#VALUE!</v>
      </c>
      <c r="U77" s="338" t="e">
        <f t="shared" si="44"/>
        <v>#VALUE!</v>
      </c>
      <c r="V77" s="338" t="e">
        <f t="shared" si="44"/>
        <v>#VALUE!</v>
      </c>
      <c r="W77" s="324" t="e">
        <f t="shared" si="44"/>
        <v>#VALUE!</v>
      </c>
      <c r="X77" s="324" t="e">
        <f t="shared" si="44"/>
        <v>#VALUE!</v>
      </c>
      <c r="Y77" s="324" t="e">
        <f t="shared" si="44"/>
        <v>#VALUE!</v>
      </c>
      <c r="Z77" s="324" t="e">
        <f t="shared" si="44"/>
        <v>#VALUE!</v>
      </c>
      <c r="AA77" s="324" t="e">
        <f t="shared" si="44"/>
        <v>#VALUE!</v>
      </c>
      <c r="AB77" s="324" t="e">
        <f t="shared" si="44"/>
        <v>#VALUE!</v>
      </c>
      <c r="AC77" s="324" t="e">
        <f t="shared" ref="AC77:AE96" si="45">VLOOKUP($A77,$A$231:$AP$1595,AC$54,FALSE)</f>
        <v>#VALUE!</v>
      </c>
      <c r="AD77" s="324" t="e">
        <f t="shared" si="45"/>
        <v>#VALUE!</v>
      </c>
      <c r="AE77" s="324" t="e">
        <f t="shared" si="45"/>
        <v>#VALUE!</v>
      </c>
    </row>
    <row r="78" spans="1:33" s="324" customFormat="1" ht="0.65" hidden="1" customHeight="1">
      <c r="A78" s="324" t="e">
        <f t="shared" si="41"/>
        <v>#VALUE!</v>
      </c>
      <c r="B78" s="324" t="e">
        <f t="shared" si="42"/>
        <v>#VALUE!</v>
      </c>
      <c r="C78" s="324" t="e">
        <f>D28</f>
        <v>#VALUE!</v>
      </c>
      <c r="D78" s="326" t="e">
        <f>IF(B78=C78,1,0)</f>
        <v>#VALUE!</v>
      </c>
      <c r="F78" s="324" t="e">
        <f t="shared" ref="F78:F125" si="46">IF(I78=J78,1,0)</f>
        <v>#VALUE!</v>
      </c>
      <c r="G78" s="324">
        <v>2</v>
      </c>
      <c r="H78" s="324" t="e">
        <f t="shared" si="43"/>
        <v>#VALUE!</v>
      </c>
      <c r="I78" s="328" t="e">
        <f t="shared" si="43"/>
        <v>#VALUE!</v>
      </c>
      <c r="J78" s="328" t="str">
        <f>IF(H5="","",H5)</f>
        <v/>
      </c>
      <c r="K78" s="324" t="str">
        <f t="shared" ref="K78:K125" si="47">IF($L$23="N",U78,IF($L$23="T",V78,""))</f>
        <v/>
      </c>
      <c r="M78" s="331" t="e">
        <f t="shared" si="44"/>
        <v>#VALUE!</v>
      </c>
      <c r="N78" s="331" t="e">
        <f t="shared" si="44"/>
        <v>#VALUE!</v>
      </c>
      <c r="O78" s="331" t="e">
        <f t="shared" si="44"/>
        <v>#VALUE!</v>
      </c>
      <c r="P78" s="331" t="e">
        <f t="shared" si="44"/>
        <v>#VALUE!</v>
      </c>
      <c r="Q78" s="331" t="e">
        <f t="shared" si="44"/>
        <v>#VALUE!</v>
      </c>
      <c r="R78" s="331" t="e">
        <f t="shared" si="44"/>
        <v>#VALUE!</v>
      </c>
      <c r="S78" s="331" t="e">
        <f t="shared" si="44"/>
        <v>#VALUE!</v>
      </c>
      <c r="T78" s="331" t="e">
        <f t="shared" si="44"/>
        <v>#VALUE!</v>
      </c>
      <c r="U78" s="338" t="e">
        <f t="shared" si="44"/>
        <v>#VALUE!</v>
      </c>
      <c r="V78" s="338" t="e">
        <f t="shared" si="44"/>
        <v>#VALUE!</v>
      </c>
      <c r="W78" s="324" t="e">
        <f t="shared" si="44"/>
        <v>#VALUE!</v>
      </c>
      <c r="X78" s="324" t="e">
        <f t="shared" si="44"/>
        <v>#VALUE!</v>
      </c>
      <c r="Y78" s="324" t="e">
        <f t="shared" si="44"/>
        <v>#VALUE!</v>
      </c>
      <c r="Z78" s="324" t="e">
        <f t="shared" si="44"/>
        <v>#VALUE!</v>
      </c>
      <c r="AA78" s="324" t="e">
        <f t="shared" si="44"/>
        <v>#VALUE!</v>
      </c>
      <c r="AB78" s="324" t="e">
        <f t="shared" si="44"/>
        <v>#VALUE!</v>
      </c>
      <c r="AC78" s="324" t="e">
        <f t="shared" si="45"/>
        <v>#VALUE!</v>
      </c>
      <c r="AD78" s="324" t="e">
        <f t="shared" si="45"/>
        <v>#VALUE!</v>
      </c>
      <c r="AE78" s="324" t="e">
        <f t="shared" si="45"/>
        <v>#VALUE!</v>
      </c>
    </row>
    <row r="79" spans="1:33" s="324" customFormat="1" ht="0.65" hidden="1" customHeight="1">
      <c r="A79" s="324" t="e">
        <f t="shared" si="41"/>
        <v>#VALUE!</v>
      </c>
      <c r="B79" s="324" t="e">
        <f t="shared" si="42"/>
        <v>#VALUE!</v>
      </c>
      <c r="C79" s="324" t="e">
        <f>D29</f>
        <v>#VALUE!</v>
      </c>
      <c r="D79" s="326" t="e">
        <f>IF(B79=C79,1,0)</f>
        <v>#VALUE!</v>
      </c>
      <c r="F79" s="324" t="e">
        <f t="shared" si="46"/>
        <v>#VALUE!</v>
      </c>
      <c r="G79" s="324">
        <v>3</v>
      </c>
      <c r="H79" s="324" t="e">
        <f t="shared" si="43"/>
        <v>#VALUE!</v>
      </c>
      <c r="I79" s="328" t="e">
        <f t="shared" si="43"/>
        <v>#VALUE!</v>
      </c>
      <c r="J79" s="328" t="str">
        <f>IF(H6="","",H6)</f>
        <v/>
      </c>
      <c r="K79" s="324" t="str">
        <f t="shared" si="47"/>
        <v/>
      </c>
      <c r="M79" s="331" t="e">
        <f t="shared" si="44"/>
        <v>#VALUE!</v>
      </c>
      <c r="N79" s="331" t="e">
        <f t="shared" si="44"/>
        <v>#VALUE!</v>
      </c>
      <c r="O79" s="331" t="e">
        <f t="shared" si="44"/>
        <v>#VALUE!</v>
      </c>
      <c r="P79" s="331" t="e">
        <f t="shared" si="44"/>
        <v>#VALUE!</v>
      </c>
      <c r="Q79" s="331" t="e">
        <f t="shared" si="44"/>
        <v>#VALUE!</v>
      </c>
      <c r="R79" s="331" t="e">
        <f t="shared" si="44"/>
        <v>#VALUE!</v>
      </c>
      <c r="S79" s="331" t="e">
        <f t="shared" si="44"/>
        <v>#VALUE!</v>
      </c>
      <c r="T79" s="331" t="e">
        <f t="shared" si="44"/>
        <v>#VALUE!</v>
      </c>
      <c r="U79" s="338" t="e">
        <f t="shared" si="44"/>
        <v>#VALUE!</v>
      </c>
      <c r="V79" s="338" t="e">
        <f t="shared" si="44"/>
        <v>#VALUE!</v>
      </c>
      <c r="W79" s="324" t="e">
        <f t="shared" si="44"/>
        <v>#VALUE!</v>
      </c>
      <c r="X79" s="324" t="e">
        <f t="shared" si="44"/>
        <v>#VALUE!</v>
      </c>
      <c r="Y79" s="324" t="e">
        <f t="shared" si="44"/>
        <v>#VALUE!</v>
      </c>
      <c r="Z79" s="324" t="e">
        <f t="shared" si="44"/>
        <v>#VALUE!</v>
      </c>
      <c r="AA79" s="324" t="e">
        <f t="shared" si="44"/>
        <v>#VALUE!</v>
      </c>
      <c r="AB79" s="324" t="e">
        <f t="shared" si="44"/>
        <v>#VALUE!</v>
      </c>
      <c r="AC79" s="324" t="e">
        <f t="shared" si="45"/>
        <v>#VALUE!</v>
      </c>
      <c r="AD79" s="324" t="e">
        <f t="shared" si="45"/>
        <v>#VALUE!</v>
      </c>
      <c r="AE79" s="324" t="e">
        <f t="shared" si="45"/>
        <v>#VALUE!</v>
      </c>
    </row>
    <row r="80" spans="1:33" s="324" customFormat="1" ht="0.65" hidden="1" customHeight="1">
      <c r="A80" s="324" t="e">
        <f t="shared" si="41"/>
        <v>#VALUE!</v>
      </c>
      <c r="D80" s="326"/>
      <c r="F80" s="324" t="e">
        <f t="shared" si="46"/>
        <v>#VALUE!</v>
      </c>
      <c r="G80" s="324">
        <v>4</v>
      </c>
      <c r="H80" s="324" t="e">
        <f t="shared" si="43"/>
        <v>#VALUE!</v>
      </c>
      <c r="I80" s="328" t="e">
        <f t="shared" si="43"/>
        <v>#VALUE!</v>
      </c>
      <c r="J80" s="328" t="str">
        <f>IF(H7="","",H7)</f>
        <v/>
      </c>
      <c r="K80" s="324" t="str">
        <f t="shared" si="47"/>
        <v/>
      </c>
      <c r="M80" s="331" t="e">
        <f t="shared" si="44"/>
        <v>#VALUE!</v>
      </c>
      <c r="N80" s="331" t="e">
        <f t="shared" si="44"/>
        <v>#VALUE!</v>
      </c>
      <c r="O80" s="331" t="e">
        <f t="shared" si="44"/>
        <v>#VALUE!</v>
      </c>
      <c r="P80" s="331" t="e">
        <f t="shared" si="44"/>
        <v>#VALUE!</v>
      </c>
      <c r="Q80" s="331" t="e">
        <f t="shared" si="44"/>
        <v>#VALUE!</v>
      </c>
      <c r="R80" s="331" t="e">
        <f t="shared" si="44"/>
        <v>#VALUE!</v>
      </c>
      <c r="S80" s="331" t="e">
        <f t="shared" si="44"/>
        <v>#VALUE!</v>
      </c>
      <c r="T80" s="331" t="e">
        <f t="shared" si="44"/>
        <v>#VALUE!</v>
      </c>
      <c r="U80" s="338" t="e">
        <f t="shared" si="44"/>
        <v>#VALUE!</v>
      </c>
      <c r="V80" s="338" t="e">
        <f t="shared" si="44"/>
        <v>#VALUE!</v>
      </c>
      <c r="W80" s="324" t="e">
        <f t="shared" si="44"/>
        <v>#VALUE!</v>
      </c>
      <c r="X80" s="324" t="e">
        <f t="shared" si="44"/>
        <v>#VALUE!</v>
      </c>
      <c r="Y80" s="324" t="e">
        <f t="shared" si="44"/>
        <v>#VALUE!</v>
      </c>
      <c r="Z80" s="324" t="e">
        <f t="shared" si="44"/>
        <v>#VALUE!</v>
      </c>
      <c r="AA80" s="324" t="e">
        <f t="shared" si="44"/>
        <v>#VALUE!</v>
      </c>
      <c r="AB80" s="324" t="e">
        <f t="shared" si="44"/>
        <v>#VALUE!</v>
      </c>
      <c r="AC80" s="324" t="e">
        <f t="shared" si="45"/>
        <v>#VALUE!</v>
      </c>
      <c r="AD80" s="324" t="e">
        <f t="shared" si="45"/>
        <v>#VALUE!</v>
      </c>
      <c r="AE80" s="324" t="e">
        <f t="shared" si="45"/>
        <v>#VALUE!</v>
      </c>
    </row>
    <row r="81" spans="1:31" s="324" customFormat="1" ht="0.65" hidden="1" customHeight="1">
      <c r="A81" s="324" t="e">
        <f t="shared" si="41"/>
        <v>#VALUE!</v>
      </c>
      <c r="C81" s="330" t="s">
        <v>422</v>
      </c>
      <c r="D81" s="326" t="e">
        <f>SUM(D56:D79)+SUM(D84:D97)</f>
        <v>#VALUE!</v>
      </c>
      <c r="F81" s="324" t="e">
        <f t="shared" si="46"/>
        <v>#VALUE!</v>
      </c>
      <c r="G81" s="324">
        <v>5</v>
      </c>
      <c r="H81" s="324" t="e">
        <f t="shared" si="43"/>
        <v>#VALUE!</v>
      </c>
      <c r="I81" s="328" t="e">
        <f t="shared" si="43"/>
        <v>#VALUE!</v>
      </c>
      <c r="J81" s="328" t="str">
        <f>IF(I5="","",I5)</f>
        <v/>
      </c>
      <c r="K81" s="324" t="str">
        <f t="shared" si="47"/>
        <v/>
      </c>
      <c r="M81" s="331" t="e">
        <f t="shared" si="44"/>
        <v>#VALUE!</v>
      </c>
      <c r="N81" s="331" t="e">
        <f t="shared" si="44"/>
        <v>#VALUE!</v>
      </c>
      <c r="O81" s="331" t="e">
        <f t="shared" si="44"/>
        <v>#VALUE!</v>
      </c>
      <c r="P81" s="331" t="e">
        <f t="shared" si="44"/>
        <v>#VALUE!</v>
      </c>
      <c r="Q81" s="331" t="e">
        <f t="shared" si="44"/>
        <v>#VALUE!</v>
      </c>
      <c r="R81" s="331" t="e">
        <f t="shared" si="44"/>
        <v>#VALUE!</v>
      </c>
      <c r="S81" s="331" t="e">
        <f t="shared" si="44"/>
        <v>#VALUE!</v>
      </c>
      <c r="T81" s="331" t="e">
        <f t="shared" si="44"/>
        <v>#VALUE!</v>
      </c>
      <c r="U81" s="338" t="e">
        <f t="shared" si="44"/>
        <v>#VALUE!</v>
      </c>
      <c r="V81" s="338" t="e">
        <f t="shared" si="44"/>
        <v>#VALUE!</v>
      </c>
      <c r="W81" s="324" t="e">
        <f t="shared" si="44"/>
        <v>#VALUE!</v>
      </c>
      <c r="X81" s="324" t="e">
        <f t="shared" si="44"/>
        <v>#VALUE!</v>
      </c>
      <c r="Y81" s="324" t="e">
        <f t="shared" si="44"/>
        <v>#VALUE!</v>
      </c>
      <c r="Z81" s="324" t="e">
        <f t="shared" si="44"/>
        <v>#VALUE!</v>
      </c>
      <c r="AA81" s="324" t="e">
        <f t="shared" si="44"/>
        <v>#VALUE!</v>
      </c>
      <c r="AB81" s="324" t="e">
        <f t="shared" si="44"/>
        <v>#VALUE!</v>
      </c>
      <c r="AC81" s="324" t="e">
        <f t="shared" si="45"/>
        <v>#VALUE!</v>
      </c>
      <c r="AD81" s="324" t="e">
        <f t="shared" si="45"/>
        <v>#VALUE!</v>
      </c>
      <c r="AE81" s="324" t="e">
        <f t="shared" si="45"/>
        <v>#VALUE!</v>
      </c>
    </row>
    <row r="82" spans="1:31" s="324" customFormat="1" ht="0.65" hidden="1" customHeight="1">
      <c r="A82" s="324" t="e">
        <f t="shared" si="41"/>
        <v>#VALUE!</v>
      </c>
      <c r="C82" s="330" t="s">
        <v>423</v>
      </c>
      <c r="D82" s="326" t="str">
        <f>IF(E1="","NO",IF(D81=28,"NO","SI"))</f>
        <v>NO</v>
      </c>
      <c r="F82" s="324" t="e">
        <f t="shared" si="46"/>
        <v>#VALUE!</v>
      </c>
      <c r="G82" s="324">
        <v>6</v>
      </c>
      <c r="H82" s="324" t="e">
        <f t="shared" si="43"/>
        <v>#VALUE!</v>
      </c>
      <c r="I82" s="328" t="e">
        <f t="shared" si="43"/>
        <v>#VALUE!</v>
      </c>
      <c r="J82" s="328" t="str">
        <f>IF(I6="","",I6)</f>
        <v/>
      </c>
      <c r="K82" s="324" t="str">
        <f t="shared" si="47"/>
        <v/>
      </c>
      <c r="M82" s="331" t="e">
        <f t="shared" si="44"/>
        <v>#VALUE!</v>
      </c>
      <c r="N82" s="331" t="e">
        <f t="shared" si="44"/>
        <v>#VALUE!</v>
      </c>
      <c r="O82" s="331" t="e">
        <f t="shared" si="44"/>
        <v>#VALUE!</v>
      </c>
      <c r="P82" s="331" t="e">
        <f t="shared" si="44"/>
        <v>#VALUE!</v>
      </c>
      <c r="Q82" s="331" t="e">
        <f t="shared" si="44"/>
        <v>#VALUE!</v>
      </c>
      <c r="R82" s="331" t="e">
        <f t="shared" si="44"/>
        <v>#VALUE!</v>
      </c>
      <c r="S82" s="331" t="e">
        <f t="shared" si="44"/>
        <v>#VALUE!</v>
      </c>
      <c r="T82" s="331" t="e">
        <f t="shared" si="44"/>
        <v>#VALUE!</v>
      </c>
      <c r="U82" s="338" t="e">
        <f t="shared" si="44"/>
        <v>#VALUE!</v>
      </c>
      <c r="V82" s="338" t="e">
        <f t="shared" si="44"/>
        <v>#VALUE!</v>
      </c>
      <c r="W82" s="324" t="e">
        <f t="shared" si="44"/>
        <v>#VALUE!</v>
      </c>
      <c r="X82" s="324" t="e">
        <f t="shared" si="44"/>
        <v>#VALUE!</v>
      </c>
      <c r="Y82" s="324" t="e">
        <f t="shared" si="44"/>
        <v>#VALUE!</v>
      </c>
      <c r="Z82" s="324" t="e">
        <f t="shared" si="44"/>
        <v>#VALUE!</v>
      </c>
      <c r="AA82" s="324" t="e">
        <f t="shared" si="44"/>
        <v>#VALUE!</v>
      </c>
      <c r="AB82" s="324" t="e">
        <f t="shared" si="44"/>
        <v>#VALUE!</v>
      </c>
      <c r="AC82" s="324" t="e">
        <f t="shared" si="45"/>
        <v>#VALUE!</v>
      </c>
      <c r="AD82" s="324" t="e">
        <f t="shared" si="45"/>
        <v>#VALUE!</v>
      </c>
      <c r="AE82" s="324" t="e">
        <f t="shared" si="45"/>
        <v>#VALUE!</v>
      </c>
    </row>
    <row r="83" spans="1:31" s="324" customFormat="1" ht="0.65" hidden="1" customHeight="1">
      <c r="A83" s="324" t="e">
        <f t="shared" si="41"/>
        <v>#VALUE!</v>
      </c>
      <c r="D83" s="326"/>
      <c r="F83" s="324" t="e">
        <f t="shared" si="46"/>
        <v>#VALUE!</v>
      </c>
      <c r="G83" s="324">
        <v>7</v>
      </c>
      <c r="H83" s="324" t="e">
        <f t="shared" si="43"/>
        <v>#VALUE!</v>
      </c>
      <c r="I83" s="328" t="e">
        <f t="shared" si="43"/>
        <v>#VALUE!</v>
      </c>
      <c r="J83" s="328" t="str">
        <f>IF(I7="","",I7)</f>
        <v/>
      </c>
      <c r="K83" s="324" t="str">
        <f t="shared" si="47"/>
        <v/>
      </c>
      <c r="M83" s="331" t="e">
        <f t="shared" si="44"/>
        <v>#VALUE!</v>
      </c>
      <c r="N83" s="331" t="e">
        <f t="shared" si="44"/>
        <v>#VALUE!</v>
      </c>
      <c r="O83" s="331" t="e">
        <f t="shared" si="44"/>
        <v>#VALUE!</v>
      </c>
      <c r="P83" s="331" t="e">
        <f t="shared" si="44"/>
        <v>#VALUE!</v>
      </c>
      <c r="Q83" s="331" t="e">
        <f t="shared" si="44"/>
        <v>#VALUE!</v>
      </c>
      <c r="R83" s="331" t="e">
        <f t="shared" si="44"/>
        <v>#VALUE!</v>
      </c>
      <c r="S83" s="331" t="e">
        <f t="shared" si="44"/>
        <v>#VALUE!</v>
      </c>
      <c r="T83" s="331" t="e">
        <f t="shared" si="44"/>
        <v>#VALUE!</v>
      </c>
      <c r="U83" s="338" t="e">
        <f t="shared" si="44"/>
        <v>#VALUE!</v>
      </c>
      <c r="V83" s="338" t="e">
        <f t="shared" si="44"/>
        <v>#VALUE!</v>
      </c>
      <c r="W83" s="324" t="e">
        <f t="shared" si="44"/>
        <v>#VALUE!</v>
      </c>
      <c r="X83" s="324" t="e">
        <f t="shared" si="44"/>
        <v>#VALUE!</v>
      </c>
      <c r="Y83" s="324" t="e">
        <f t="shared" si="44"/>
        <v>#VALUE!</v>
      </c>
      <c r="Z83" s="324" t="e">
        <f t="shared" si="44"/>
        <v>#VALUE!</v>
      </c>
      <c r="AA83" s="324" t="e">
        <f t="shared" si="44"/>
        <v>#VALUE!</v>
      </c>
      <c r="AB83" s="324" t="e">
        <f t="shared" si="44"/>
        <v>#VALUE!</v>
      </c>
      <c r="AC83" s="324" t="e">
        <f t="shared" si="45"/>
        <v>#VALUE!</v>
      </c>
      <c r="AD83" s="324" t="e">
        <f t="shared" si="45"/>
        <v>#VALUE!</v>
      </c>
      <c r="AE83" s="324" t="e">
        <f t="shared" si="45"/>
        <v>#VALUE!</v>
      </c>
    </row>
    <row r="84" spans="1:31" s="324" customFormat="1" ht="0.65" hidden="1" customHeight="1">
      <c r="A84" s="324" t="e">
        <f t="shared" si="41"/>
        <v>#VALUE!</v>
      </c>
      <c r="B84" s="324" t="e">
        <f>$D$3</f>
        <v>#VALUE!</v>
      </c>
      <c r="C84" s="324" t="e">
        <f>G4</f>
        <v>#VALUE!</v>
      </c>
      <c r="D84" s="326" t="e">
        <f>IF(B84=C84,1,0)</f>
        <v>#VALUE!</v>
      </c>
      <c r="F84" s="324" t="e">
        <f t="shared" si="46"/>
        <v>#VALUE!</v>
      </c>
      <c r="G84" s="324">
        <v>8</v>
      </c>
      <c r="H84" s="324" t="e">
        <f t="shared" si="43"/>
        <v>#VALUE!</v>
      </c>
      <c r="I84" s="328" t="e">
        <f t="shared" si="43"/>
        <v>#VALUE!</v>
      </c>
      <c r="J84" s="328" t="str">
        <f>IF(J5="","",J5)</f>
        <v/>
      </c>
      <c r="K84" s="324" t="str">
        <f t="shared" si="47"/>
        <v/>
      </c>
      <c r="M84" s="331" t="e">
        <f t="shared" si="44"/>
        <v>#VALUE!</v>
      </c>
      <c r="N84" s="331" t="e">
        <f t="shared" si="44"/>
        <v>#VALUE!</v>
      </c>
      <c r="O84" s="331" t="e">
        <f t="shared" si="44"/>
        <v>#VALUE!</v>
      </c>
      <c r="P84" s="331" t="e">
        <f t="shared" si="44"/>
        <v>#VALUE!</v>
      </c>
      <c r="Q84" s="331" t="e">
        <f t="shared" si="44"/>
        <v>#VALUE!</v>
      </c>
      <c r="R84" s="331" t="e">
        <f t="shared" si="44"/>
        <v>#VALUE!</v>
      </c>
      <c r="S84" s="331" t="e">
        <f t="shared" si="44"/>
        <v>#VALUE!</v>
      </c>
      <c r="T84" s="331" t="e">
        <f t="shared" si="44"/>
        <v>#VALUE!</v>
      </c>
      <c r="U84" s="338" t="e">
        <f t="shared" si="44"/>
        <v>#VALUE!</v>
      </c>
      <c r="V84" s="338" t="e">
        <f t="shared" si="44"/>
        <v>#VALUE!</v>
      </c>
      <c r="W84" s="324" t="e">
        <f t="shared" si="44"/>
        <v>#VALUE!</v>
      </c>
      <c r="X84" s="324" t="e">
        <f t="shared" si="44"/>
        <v>#VALUE!</v>
      </c>
      <c r="Y84" s="324" t="e">
        <f t="shared" si="44"/>
        <v>#VALUE!</v>
      </c>
      <c r="Z84" s="324" t="e">
        <f t="shared" si="44"/>
        <v>#VALUE!</v>
      </c>
      <c r="AA84" s="324" t="e">
        <f t="shared" si="44"/>
        <v>#VALUE!</v>
      </c>
      <c r="AB84" s="324" t="e">
        <f t="shared" si="44"/>
        <v>#VALUE!</v>
      </c>
      <c r="AC84" s="324" t="e">
        <f t="shared" si="45"/>
        <v>#VALUE!</v>
      </c>
      <c r="AD84" s="324" t="e">
        <f t="shared" si="45"/>
        <v>#VALUE!</v>
      </c>
      <c r="AE84" s="324" t="e">
        <f t="shared" si="45"/>
        <v>#VALUE!</v>
      </c>
    </row>
    <row r="85" spans="1:31" s="324" customFormat="1" ht="0.65" hidden="1" customHeight="1">
      <c r="A85" s="324" t="e">
        <f t="shared" si="41"/>
        <v>#VALUE!</v>
      </c>
      <c r="B85" s="324" t="e">
        <f>1+B84</f>
        <v>#VALUE!</v>
      </c>
      <c r="C85" s="324" t="e">
        <f>G5</f>
        <v>#VALUE!</v>
      </c>
      <c r="D85" s="326" t="e">
        <f>IF(B85=C85,1,0)</f>
        <v>#VALUE!</v>
      </c>
      <c r="F85" s="324" t="e">
        <f t="shared" si="46"/>
        <v>#VALUE!</v>
      </c>
      <c r="G85" s="324">
        <v>9</v>
      </c>
      <c r="H85" s="324" t="e">
        <f t="shared" si="43"/>
        <v>#VALUE!</v>
      </c>
      <c r="I85" s="328" t="e">
        <f t="shared" si="43"/>
        <v>#VALUE!</v>
      </c>
      <c r="J85" s="328" t="str">
        <f>IF(J6="","",J6)</f>
        <v/>
      </c>
      <c r="K85" s="324" t="str">
        <f t="shared" si="47"/>
        <v/>
      </c>
      <c r="M85" s="331" t="e">
        <f t="shared" si="44"/>
        <v>#VALUE!</v>
      </c>
      <c r="N85" s="331" t="e">
        <f t="shared" si="44"/>
        <v>#VALUE!</v>
      </c>
      <c r="O85" s="331" t="e">
        <f t="shared" si="44"/>
        <v>#VALUE!</v>
      </c>
      <c r="P85" s="331" t="e">
        <f t="shared" si="44"/>
        <v>#VALUE!</v>
      </c>
      <c r="Q85" s="331" t="e">
        <f t="shared" si="44"/>
        <v>#VALUE!</v>
      </c>
      <c r="R85" s="331" t="e">
        <f t="shared" si="44"/>
        <v>#VALUE!</v>
      </c>
      <c r="S85" s="331" t="e">
        <f t="shared" si="44"/>
        <v>#VALUE!</v>
      </c>
      <c r="T85" s="331" t="e">
        <f t="shared" si="44"/>
        <v>#VALUE!</v>
      </c>
      <c r="U85" s="338" t="e">
        <f t="shared" si="44"/>
        <v>#VALUE!</v>
      </c>
      <c r="V85" s="338" t="e">
        <f t="shared" si="44"/>
        <v>#VALUE!</v>
      </c>
      <c r="W85" s="324" t="e">
        <f t="shared" si="44"/>
        <v>#VALUE!</v>
      </c>
      <c r="X85" s="324" t="e">
        <f t="shared" si="44"/>
        <v>#VALUE!</v>
      </c>
      <c r="Y85" s="324" t="e">
        <f t="shared" si="44"/>
        <v>#VALUE!</v>
      </c>
      <c r="Z85" s="324" t="e">
        <f t="shared" si="44"/>
        <v>#VALUE!</v>
      </c>
      <c r="AA85" s="324" t="e">
        <f t="shared" si="44"/>
        <v>#VALUE!</v>
      </c>
      <c r="AB85" s="324" t="e">
        <f t="shared" si="44"/>
        <v>#VALUE!</v>
      </c>
      <c r="AC85" s="324" t="e">
        <f t="shared" si="45"/>
        <v>#VALUE!</v>
      </c>
      <c r="AD85" s="324" t="e">
        <f t="shared" si="45"/>
        <v>#VALUE!</v>
      </c>
      <c r="AE85" s="324" t="e">
        <f t="shared" si="45"/>
        <v>#VALUE!</v>
      </c>
    </row>
    <row r="86" spans="1:31" s="324" customFormat="1" ht="0.65" hidden="1" customHeight="1">
      <c r="A86" s="324" t="e">
        <f t="shared" si="41"/>
        <v>#VALUE!</v>
      </c>
      <c r="B86" s="324" t="e">
        <f>1+B85</f>
        <v>#VALUE!</v>
      </c>
      <c r="C86" s="324" t="e">
        <f>G6</f>
        <v>#VALUE!</v>
      </c>
      <c r="D86" s="326" t="e">
        <f>IF(B86=C86,1,0)</f>
        <v>#VALUE!</v>
      </c>
      <c r="F86" s="324" t="e">
        <f t="shared" si="46"/>
        <v>#VALUE!</v>
      </c>
      <c r="G86" s="324">
        <v>10</v>
      </c>
      <c r="H86" s="324" t="e">
        <f t="shared" si="43"/>
        <v>#VALUE!</v>
      </c>
      <c r="I86" s="328" t="e">
        <f t="shared" si="43"/>
        <v>#VALUE!</v>
      </c>
      <c r="J86" s="328" t="str">
        <f>IF(J7="","",J7)</f>
        <v/>
      </c>
      <c r="K86" s="324" t="str">
        <f t="shared" si="47"/>
        <v/>
      </c>
      <c r="M86" s="331" t="e">
        <f t="shared" si="44"/>
        <v>#VALUE!</v>
      </c>
      <c r="N86" s="331" t="e">
        <f t="shared" si="44"/>
        <v>#VALUE!</v>
      </c>
      <c r="O86" s="331" t="e">
        <f t="shared" si="44"/>
        <v>#VALUE!</v>
      </c>
      <c r="P86" s="331" t="e">
        <f t="shared" si="44"/>
        <v>#VALUE!</v>
      </c>
      <c r="Q86" s="331" t="e">
        <f t="shared" si="44"/>
        <v>#VALUE!</v>
      </c>
      <c r="R86" s="331" t="e">
        <f t="shared" si="44"/>
        <v>#VALUE!</v>
      </c>
      <c r="S86" s="331" t="e">
        <f t="shared" si="44"/>
        <v>#VALUE!</v>
      </c>
      <c r="T86" s="331" t="e">
        <f t="shared" si="44"/>
        <v>#VALUE!</v>
      </c>
      <c r="U86" s="338" t="e">
        <f t="shared" si="44"/>
        <v>#VALUE!</v>
      </c>
      <c r="V86" s="338" t="e">
        <f t="shared" si="44"/>
        <v>#VALUE!</v>
      </c>
      <c r="W86" s="324" t="e">
        <f t="shared" si="44"/>
        <v>#VALUE!</v>
      </c>
      <c r="X86" s="324" t="e">
        <f t="shared" si="44"/>
        <v>#VALUE!</v>
      </c>
      <c r="Y86" s="324" t="e">
        <f t="shared" si="44"/>
        <v>#VALUE!</v>
      </c>
      <c r="Z86" s="324" t="e">
        <f t="shared" si="44"/>
        <v>#VALUE!</v>
      </c>
      <c r="AA86" s="324" t="e">
        <f t="shared" si="44"/>
        <v>#VALUE!</v>
      </c>
      <c r="AB86" s="324" t="e">
        <f t="shared" si="44"/>
        <v>#VALUE!</v>
      </c>
      <c r="AC86" s="324" t="e">
        <f t="shared" si="45"/>
        <v>#VALUE!</v>
      </c>
      <c r="AD86" s="324" t="e">
        <f t="shared" si="45"/>
        <v>#VALUE!</v>
      </c>
      <c r="AE86" s="324" t="e">
        <f t="shared" si="45"/>
        <v>#VALUE!</v>
      </c>
    </row>
    <row r="87" spans="1:31" s="324" customFormat="1" ht="0.65" hidden="1" customHeight="1">
      <c r="A87" s="324" t="e">
        <f t="shared" si="41"/>
        <v>#VALUE!</v>
      </c>
      <c r="B87" s="324" t="e">
        <f>1+B86</f>
        <v>#VALUE!</v>
      </c>
      <c r="C87" s="324" t="e">
        <f>G7</f>
        <v>#VALUE!</v>
      </c>
      <c r="D87" s="326" t="e">
        <f>IF(B87=C87,1,0)</f>
        <v>#VALUE!</v>
      </c>
      <c r="F87" s="324" t="e">
        <f t="shared" si="46"/>
        <v>#VALUE!</v>
      </c>
      <c r="G87" s="324">
        <v>11</v>
      </c>
      <c r="H87" s="324" t="e">
        <f t="shared" si="43"/>
        <v>#VALUE!</v>
      </c>
      <c r="I87" s="328" t="e">
        <f t="shared" si="43"/>
        <v>#VALUE!</v>
      </c>
      <c r="J87" s="328" t="str">
        <f>IF(K5="","",K5)</f>
        <v/>
      </c>
      <c r="K87" s="324" t="str">
        <f t="shared" si="47"/>
        <v/>
      </c>
      <c r="M87" s="331" t="e">
        <f t="shared" si="44"/>
        <v>#VALUE!</v>
      </c>
      <c r="N87" s="331" t="e">
        <f t="shared" si="44"/>
        <v>#VALUE!</v>
      </c>
      <c r="O87" s="331" t="e">
        <f t="shared" si="44"/>
        <v>#VALUE!</v>
      </c>
      <c r="P87" s="331" t="e">
        <f t="shared" si="44"/>
        <v>#VALUE!</v>
      </c>
      <c r="Q87" s="331" t="e">
        <f t="shared" si="44"/>
        <v>#VALUE!</v>
      </c>
      <c r="R87" s="331" t="e">
        <f t="shared" si="44"/>
        <v>#VALUE!</v>
      </c>
      <c r="S87" s="331" t="e">
        <f t="shared" si="44"/>
        <v>#VALUE!</v>
      </c>
      <c r="T87" s="331" t="e">
        <f t="shared" si="44"/>
        <v>#VALUE!</v>
      </c>
      <c r="U87" s="338" t="e">
        <f t="shared" si="44"/>
        <v>#VALUE!</v>
      </c>
      <c r="V87" s="338" t="e">
        <f t="shared" si="44"/>
        <v>#VALUE!</v>
      </c>
      <c r="W87" s="324" t="e">
        <f t="shared" si="44"/>
        <v>#VALUE!</v>
      </c>
      <c r="X87" s="324" t="e">
        <f t="shared" si="44"/>
        <v>#VALUE!</v>
      </c>
      <c r="Y87" s="324" t="e">
        <f t="shared" si="44"/>
        <v>#VALUE!</v>
      </c>
      <c r="Z87" s="324" t="e">
        <f t="shared" si="44"/>
        <v>#VALUE!</v>
      </c>
      <c r="AA87" s="324" t="e">
        <f t="shared" si="44"/>
        <v>#VALUE!</v>
      </c>
      <c r="AB87" s="324" t="e">
        <f t="shared" si="44"/>
        <v>#VALUE!</v>
      </c>
      <c r="AC87" s="324" t="e">
        <f t="shared" si="45"/>
        <v>#VALUE!</v>
      </c>
      <c r="AD87" s="324" t="e">
        <f t="shared" si="45"/>
        <v>#VALUE!</v>
      </c>
      <c r="AE87" s="324" t="e">
        <f t="shared" si="45"/>
        <v>#VALUE!</v>
      </c>
    </row>
    <row r="88" spans="1:31" s="324" customFormat="1" ht="0.65" hidden="1" customHeight="1">
      <c r="A88" s="324" t="e">
        <f t="shared" si="41"/>
        <v>#VALUE!</v>
      </c>
      <c r="D88" s="326"/>
      <c r="F88" s="324" t="e">
        <f t="shared" si="46"/>
        <v>#VALUE!</v>
      </c>
      <c r="G88" s="324">
        <v>12</v>
      </c>
      <c r="H88" s="324" t="e">
        <f t="shared" si="43"/>
        <v>#VALUE!</v>
      </c>
      <c r="I88" s="328" t="e">
        <f t="shared" si="43"/>
        <v>#VALUE!</v>
      </c>
      <c r="J88" s="328" t="str">
        <f>IF(K6="","",K6)</f>
        <v/>
      </c>
      <c r="K88" s="324" t="str">
        <f t="shared" si="47"/>
        <v/>
      </c>
      <c r="M88" s="331" t="e">
        <f t="shared" si="44"/>
        <v>#VALUE!</v>
      </c>
      <c r="N88" s="331" t="e">
        <f t="shared" si="44"/>
        <v>#VALUE!</v>
      </c>
      <c r="O88" s="331" t="e">
        <f t="shared" si="44"/>
        <v>#VALUE!</v>
      </c>
      <c r="P88" s="331" t="e">
        <f t="shared" si="44"/>
        <v>#VALUE!</v>
      </c>
      <c r="Q88" s="331" t="e">
        <f t="shared" si="44"/>
        <v>#VALUE!</v>
      </c>
      <c r="R88" s="331" t="e">
        <f t="shared" si="44"/>
        <v>#VALUE!</v>
      </c>
      <c r="S88" s="331" t="e">
        <f t="shared" si="44"/>
        <v>#VALUE!</v>
      </c>
      <c r="T88" s="331" t="e">
        <f t="shared" si="44"/>
        <v>#VALUE!</v>
      </c>
      <c r="U88" s="338" t="e">
        <f t="shared" si="44"/>
        <v>#VALUE!</v>
      </c>
      <c r="V88" s="338" t="e">
        <f t="shared" si="44"/>
        <v>#VALUE!</v>
      </c>
      <c r="W88" s="324" t="e">
        <f t="shared" si="44"/>
        <v>#VALUE!</v>
      </c>
      <c r="X88" s="324" t="e">
        <f t="shared" si="44"/>
        <v>#VALUE!</v>
      </c>
      <c r="Y88" s="324" t="e">
        <f t="shared" si="44"/>
        <v>#VALUE!</v>
      </c>
      <c r="Z88" s="324" t="e">
        <f t="shared" si="44"/>
        <v>#VALUE!</v>
      </c>
      <c r="AA88" s="324" t="e">
        <f t="shared" si="44"/>
        <v>#VALUE!</v>
      </c>
      <c r="AB88" s="324" t="e">
        <f t="shared" si="44"/>
        <v>#VALUE!</v>
      </c>
      <c r="AC88" s="324" t="e">
        <f t="shared" si="45"/>
        <v>#VALUE!</v>
      </c>
      <c r="AD88" s="324" t="e">
        <f t="shared" si="45"/>
        <v>#VALUE!</v>
      </c>
      <c r="AE88" s="324" t="e">
        <f t="shared" si="45"/>
        <v>#VALUE!</v>
      </c>
    </row>
    <row r="89" spans="1:31" s="324" customFormat="1" ht="0.65" hidden="1" customHeight="1">
      <c r="A89" s="324" t="e">
        <f t="shared" si="41"/>
        <v>#VALUE!</v>
      </c>
      <c r="D89" s="326"/>
      <c r="F89" s="324" t="e">
        <f t="shared" si="46"/>
        <v>#VALUE!</v>
      </c>
      <c r="G89" s="324">
        <v>13</v>
      </c>
      <c r="H89" s="324" t="e">
        <f t="shared" si="43"/>
        <v>#VALUE!</v>
      </c>
      <c r="I89" s="328" t="e">
        <f t="shared" si="43"/>
        <v>#VALUE!</v>
      </c>
      <c r="J89" s="328" t="str">
        <f>IF(K7="","",K7)</f>
        <v/>
      </c>
      <c r="K89" s="324" t="str">
        <f t="shared" si="47"/>
        <v/>
      </c>
      <c r="M89" s="331" t="e">
        <f t="shared" si="44"/>
        <v>#VALUE!</v>
      </c>
      <c r="N89" s="331" t="e">
        <f t="shared" si="44"/>
        <v>#VALUE!</v>
      </c>
      <c r="O89" s="331" t="e">
        <f t="shared" si="44"/>
        <v>#VALUE!</v>
      </c>
      <c r="P89" s="331" t="e">
        <f t="shared" si="44"/>
        <v>#VALUE!</v>
      </c>
      <c r="Q89" s="331" t="e">
        <f t="shared" si="44"/>
        <v>#VALUE!</v>
      </c>
      <c r="R89" s="331" t="e">
        <f t="shared" si="44"/>
        <v>#VALUE!</v>
      </c>
      <c r="S89" s="331" t="e">
        <f t="shared" si="44"/>
        <v>#VALUE!</v>
      </c>
      <c r="T89" s="331" t="e">
        <f t="shared" si="44"/>
        <v>#VALUE!</v>
      </c>
      <c r="U89" s="338" t="e">
        <f t="shared" si="44"/>
        <v>#VALUE!</v>
      </c>
      <c r="V89" s="338" t="e">
        <f t="shared" si="44"/>
        <v>#VALUE!</v>
      </c>
      <c r="W89" s="324" t="e">
        <f t="shared" si="44"/>
        <v>#VALUE!</v>
      </c>
      <c r="X89" s="324" t="e">
        <f t="shared" si="44"/>
        <v>#VALUE!</v>
      </c>
      <c r="Y89" s="324" t="e">
        <f t="shared" si="44"/>
        <v>#VALUE!</v>
      </c>
      <c r="Z89" s="324" t="e">
        <f t="shared" si="44"/>
        <v>#VALUE!</v>
      </c>
      <c r="AA89" s="324" t="e">
        <f t="shared" si="44"/>
        <v>#VALUE!</v>
      </c>
      <c r="AB89" s="324" t="e">
        <f t="shared" si="44"/>
        <v>#VALUE!</v>
      </c>
      <c r="AC89" s="324" t="e">
        <f t="shared" si="45"/>
        <v>#VALUE!</v>
      </c>
      <c r="AD89" s="324" t="e">
        <f t="shared" si="45"/>
        <v>#VALUE!</v>
      </c>
      <c r="AE89" s="324" t="e">
        <f t="shared" si="45"/>
        <v>#VALUE!</v>
      </c>
    </row>
    <row r="90" spans="1:31" s="324" customFormat="1" ht="0.65" hidden="1" customHeight="1">
      <c r="A90" s="324" t="e">
        <f t="shared" si="41"/>
        <v>#VALUE!</v>
      </c>
      <c r="B90" s="324" t="e">
        <f>$D$3</f>
        <v>#VALUE!</v>
      </c>
      <c r="C90" s="324" t="e">
        <f>G10</f>
        <v>#VALUE!</v>
      </c>
      <c r="D90" s="326" t="e">
        <f>IF(B90=C90,1,0)</f>
        <v>#VALUE!</v>
      </c>
      <c r="F90" s="324" t="e">
        <f t="shared" si="46"/>
        <v>#VALUE!</v>
      </c>
      <c r="G90" s="324">
        <v>14</v>
      </c>
      <c r="H90" s="324" t="e">
        <f t="shared" si="43"/>
        <v>#VALUE!</v>
      </c>
      <c r="I90" s="328" t="e">
        <f t="shared" si="43"/>
        <v>#VALUE!</v>
      </c>
      <c r="J90" s="328" t="str">
        <f>IF(L5="","",L5)</f>
        <v/>
      </c>
      <c r="K90" s="324" t="str">
        <f t="shared" si="47"/>
        <v/>
      </c>
      <c r="M90" s="331" t="e">
        <f t="shared" si="44"/>
        <v>#VALUE!</v>
      </c>
      <c r="N90" s="331" t="e">
        <f t="shared" si="44"/>
        <v>#VALUE!</v>
      </c>
      <c r="O90" s="331" t="e">
        <f t="shared" si="44"/>
        <v>#VALUE!</v>
      </c>
      <c r="P90" s="331" t="e">
        <f t="shared" si="44"/>
        <v>#VALUE!</v>
      </c>
      <c r="Q90" s="331" t="e">
        <f t="shared" si="44"/>
        <v>#VALUE!</v>
      </c>
      <c r="R90" s="331" t="e">
        <f t="shared" si="44"/>
        <v>#VALUE!</v>
      </c>
      <c r="S90" s="331" t="e">
        <f t="shared" si="44"/>
        <v>#VALUE!</v>
      </c>
      <c r="T90" s="331" t="e">
        <f t="shared" si="44"/>
        <v>#VALUE!</v>
      </c>
      <c r="U90" s="338" t="e">
        <f t="shared" si="44"/>
        <v>#VALUE!</v>
      </c>
      <c r="V90" s="338" t="e">
        <f t="shared" si="44"/>
        <v>#VALUE!</v>
      </c>
      <c r="W90" s="324" t="e">
        <f t="shared" si="44"/>
        <v>#VALUE!</v>
      </c>
      <c r="X90" s="324" t="e">
        <f t="shared" si="44"/>
        <v>#VALUE!</v>
      </c>
      <c r="Y90" s="324" t="e">
        <f t="shared" si="44"/>
        <v>#VALUE!</v>
      </c>
      <c r="Z90" s="324" t="e">
        <f t="shared" si="44"/>
        <v>#VALUE!</v>
      </c>
      <c r="AA90" s="324" t="e">
        <f t="shared" si="44"/>
        <v>#VALUE!</v>
      </c>
      <c r="AB90" s="324" t="e">
        <f t="shared" si="44"/>
        <v>#VALUE!</v>
      </c>
      <c r="AC90" s="324" t="e">
        <f t="shared" si="45"/>
        <v>#VALUE!</v>
      </c>
      <c r="AD90" s="324" t="e">
        <f t="shared" si="45"/>
        <v>#VALUE!</v>
      </c>
      <c r="AE90" s="324" t="e">
        <f t="shared" si="45"/>
        <v>#VALUE!</v>
      </c>
    </row>
    <row r="91" spans="1:31" s="324" customFormat="1" ht="0.65" hidden="1" customHeight="1">
      <c r="A91" s="324" t="e">
        <f t="shared" si="41"/>
        <v>#VALUE!</v>
      </c>
      <c r="B91" s="324" t="e">
        <f>1+B90</f>
        <v>#VALUE!</v>
      </c>
      <c r="C91" s="324" t="e">
        <f>G11</f>
        <v>#VALUE!</v>
      </c>
      <c r="D91" s="326" t="e">
        <f>IF(B91=C91,1,0)</f>
        <v>#VALUE!</v>
      </c>
      <c r="F91" s="324" t="e">
        <f t="shared" si="46"/>
        <v>#VALUE!</v>
      </c>
      <c r="G91" s="324">
        <v>15</v>
      </c>
      <c r="H91" s="324" t="e">
        <f t="shared" si="43"/>
        <v>#VALUE!</v>
      </c>
      <c r="I91" s="328" t="e">
        <f t="shared" si="43"/>
        <v>#VALUE!</v>
      </c>
      <c r="J91" s="328" t="str">
        <f>IF(L6="","",L6)</f>
        <v/>
      </c>
      <c r="K91" s="324" t="str">
        <f t="shared" si="47"/>
        <v/>
      </c>
      <c r="M91" s="331" t="e">
        <f t="shared" si="44"/>
        <v>#VALUE!</v>
      </c>
      <c r="N91" s="331" t="e">
        <f t="shared" si="44"/>
        <v>#VALUE!</v>
      </c>
      <c r="O91" s="331" t="e">
        <f t="shared" si="44"/>
        <v>#VALUE!</v>
      </c>
      <c r="P91" s="331" t="e">
        <f t="shared" si="44"/>
        <v>#VALUE!</v>
      </c>
      <c r="Q91" s="331" t="e">
        <f t="shared" si="44"/>
        <v>#VALUE!</v>
      </c>
      <c r="R91" s="331" t="e">
        <f t="shared" si="44"/>
        <v>#VALUE!</v>
      </c>
      <c r="S91" s="331" t="e">
        <f t="shared" si="44"/>
        <v>#VALUE!</v>
      </c>
      <c r="T91" s="331" t="e">
        <f t="shared" si="44"/>
        <v>#VALUE!</v>
      </c>
      <c r="U91" s="338" t="e">
        <f t="shared" si="44"/>
        <v>#VALUE!</v>
      </c>
      <c r="V91" s="338" t="e">
        <f t="shared" si="44"/>
        <v>#VALUE!</v>
      </c>
      <c r="W91" s="324" t="e">
        <f t="shared" si="44"/>
        <v>#VALUE!</v>
      </c>
      <c r="X91" s="324" t="e">
        <f t="shared" si="44"/>
        <v>#VALUE!</v>
      </c>
      <c r="Y91" s="324" t="e">
        <f t="shared" si="44"/>
        <v>#VALUE!</v>
      </c>
      <c r="Z91" s="324" t="e">
        <f t="shared" si="44"/>
        <v>#VALUE!</v>
      </c>
      <c r="AA91" s="324" t="e">
        <f t="shared" si="44"/>
        <v>#VALUE!</v>
      </c>
      <c r="AB91" s="324" t="e">
        <f t="shared" si="44"/>
        <v>#VALUE!</v>
      </c>
      <c r="AC91" s="324" t="e">
        <f t="shared" si="45"/>
        <v>#VALUE!</v>
      </c>
      <c r="AD91" s="324" t="e">
        <f t="shared" si="45"/>
        <v>#VALUE!</v>
      </c>
      <c r="AE91" s="324" t="e">
        <f t="shared" si="45"/>
        <v>#VALUE!</v>
      </c>
    </row>
    <row r="92" spans="1:31" s="324" customFormat="1" ht="0.65" hidden="1" customHeight="1">
      <c r="A92" s="324" t="e">
        <f t="shared" si="41"/>
        <v>#VALUE!</v>
      </c>
      <c r="B92" s="324" t="e">
        <f>1+B91</f>
        <v>#VALUE!</v>
      </c>
      <c r="C92" s="324" t="e">
        <f>G12</f>
        <v>#VALUE!</v>
      </c>
      <c r="D92" s="326" t="e">
        <f>IF(B92=C92,1,0)</f>
        <v>#VALUE!</v>
      </c>
      <c r="F92" s="324" t="e">
        <f t="shared" si="46"/>
        <v>#VALUE!</v>
      </c>
      <c r="G92" s="324">
        <v>16</v>
      </c>
      <c r="H92" s="324" t="e">
        <f t="shared" si="43"/>
        <v>#VALUE!</v>
      </c>
      <c r="I92" s="328" t="e">
        <f t="shared" si="43"/>
        <v>#VALUE!</v>
      </c>
      <c r="J92" s="328" t="str">
        <f>IF(L7="","",L7)</f>
        <v/>
      </c>
      <c r="K92" s="324" t="str">
        <f t="shared" si="47"/>
        <v/>
      </c>
      <c r="M92" s="331" t="e">
        <f t="shared" si="44"/>
        <v>#VALUE!</v>
      </c>
      <c r="N92" s="331" t="e">
        <f t="shared" si="44"/>
        <v>#VALUE!</v>
      </c>
      <c r="O92" s="331" t="e">
        <f t="shared" si="44"/>
        <v>#VALUE!</v>
      </c>
      <c r="P92" s="331" t="e">
        <f t="shared" si="44"/>
        <v>#VALUE!</v>
      </c>
      <c r="Q92" s="331" t="e">
        <f t="shared" si="44"/>
        <v>#VALUE!</v>
      </c>
      <c r="R92" s="331" t="e">
        <f t="shared" si="44"/>
        <v>#VALUE!</v>
      </c>
      <c r="S92" s="331" t="e">
        <f t="shared" si="44"/>
        <v>#VALUE!</v>
      </c>
      <c r="T92" s="331" t="e">
        <f t="shared" si="44"/>
        <v>#VALUE!</v>
      </c>
      <c r="U92" s="338" t="e">
        <f t="shared" si="44"/>
        <v>#VALUE!</v>
      </c>
      <c r="V92" s="338" t="e">
        <f t="shared" si="44"/>
        <v>#VALUE!</v>
      </c>
      <c r="W92" s="324" t="e">
        <f t="shared" si="44"/>
        <v>#VALUE!</v>
      </c>
      <c r="X92" s="324" t="e">
        <f t="shared" si="44"/>
        <v>#VALUE!</v>
      </c>
      <c r="Y92" s="324" t="e">
        <f t="shared" si="44"/>
        <v>#VALUE!</v>
      </c>
      <c r="Z92" s="324" t="e">
        <f t="shared" si="44"/>
        <v>#VALUE!</v>
      </c>
      <c r="AA92" s="324" t="e">
        <f t="shared" si="44"/>
        <v>#VALUE!</v>
      </c>
      <c r="AB92" s="324" t="e">
        <f t="shared" ref="AB92:AE111" si="48">VLOOKUP($A92,$A$231:$AP$1595,AB$54,FALSE)</f>
        <v>#VALUE!</v>
      </c>
      <c r="AC92" s="324" t="e">
        <f t="shared" si="45"/>
        <v>#VALUE!</v>
      </c>
      <c r="AD92" s="324" t="e">
        <f t="shared" si="45"/>
        <v>#VALUE!</v>
      </c>
      <c r="AE92" s="324" t="e">
        <f t="shared" si="45"/>
        <v>#VALUE!</v>
      </c>
    </row>
    <row r="93" spans="1:31" s="324" customFormat="1" ht="0.65" hidden="1" customHeight="1">
      <c r="A93" s="324" t="e">
        <f t="shared" si="41"/>
        <v>#VALUE!</v>
      </c>
      <c r="B93" s="324" t="e">
        <f>1+B92</f>
        <v>#VALUE!</v>
      </c>
      <c r="C93" s="324" t="e">
        <f>G13</f>
        <v>#VALUE!</v>
      </c>
      <c r="D93" s="326" t="e">
        <f>IF(B93=C93,1,0)</f>
        <v>#VALUE!</v>
      </c>
      <c r="F93" s="324" t="e">
        <f t="shared" si="46"/>
        <v>#VALUE!</v>
      </c>
      <c r="G93" s="324">
        <v>17</v>
      </c>
      <c r="H93" s="324" t="e">
        <f t="shared" si="43"/>
        <v>#VALUE!</v>
      </c>
      <c r="I93" s="328" t="e">
        <f t="shared" si="43"/>
        <v>#VALUE!</v>
      </c>
      <c r="J93" s="328" t="str">
        <f>IF(M5="","",M5)</f>
        <v/>
      </c>
      <c r="K93" s="324" t="str">
        <f t="shared" si="47"/>
        <v/>
      </c>
      <c r="M93" s="331" t="e">
        <f t="shared" ref="M93:AA108" si="49">VLOOKUP($A93,$A$231:$AP$1595,M$54,FALSE)</f>
        <v>#VALUE!</v>
      </c>
      <c r="N93" s="331" t="e">
        <f t="shared" si="49"/>
        <v>#VALUE!</v>
      </c>
      <c r="O93" s="331" t="e">
        <f t="shared" si="49"/>
        <v>#VALUE!</v>
      </c>
      <c r="P93" s="331" t="e">
        <f t="shared" si="49"/>
        <v>#VALUE!</v>
      </c>
      <c r="Q93" s="331" t="e">
        <f t="shared" si="49"/>
        <v>#VALUE!</v>
      </c>
      <c r="R93" s="331" t="e">
        <f t="shared" si="49"/>
        <v>#VALUE!</v>
      </c>
      <c r="S93" s="331" t="e">
        <f t="shared" si="49"/>
        <v>#VALUE!</v>
      </c>
      <c r="T93" s="331" t="e">
        <f t="shared" si="49"/>
        <v>#VALUE!</v>
      </c>
      <c r="U93" s="338" t="e">
        <f t="shared" si="49"/>
        <v>#VALUE!</v>
      </c>
      <c r="V93" s="338" t="e">
        <f t="shared" si="49"/>
        <v>#VALUE!</v>
      </c>
      <c r="W93" s="324" t="e">
        <f t="shared" si="49"/>
        <v>#VALUE!</v>
      </c>
      <c r="X93" s="324" t="e">
        <f t="shared" si="49"/>
        <v>#VALUE!</v>
      </c>
      <c r="Y93" s="324" t="e">
        <f t="shared" si="49"/>
        <v>#VALUE!</v>
      </c>
      <c r="Z93" s="324" t="e">
        <f t="shared" si="49"/>
        <v>#VALUE!</v>
      </c>
      <c r="AA93" s="324" t="e">
        <f t="shared" si="49"/>
        <v>#VALUE!</v>
      </c>
      <c r="AB93" s="324" t="e">
        <f t="shared" si="48"/>
        <v>#VALUE!</v>
      </c>
      <c r="AC93" s="324" t="e">
        <f t="shared" si="45"/>
        <v>#VALUE!</v>
      </c>
      <c r="AD93" s="324" t="e">
        <f t="shared" si="45"/>
        <v>#VALUE!</v>
      </c>
      <c r="AE93" s="324" t="e">
        <f t="shared" si="45"/>
        <v>#VALUE!</v>
      </c>
    </row>
    <row r="94" spans="1:31" s="324" customFormat="1" ht="0.65" hidden="1" customHeight="1">
      <c r="A94" s="324" t="e">
        <f t="shared" si="41"/>
        <v>#VALUE!</v>
      </c>
      <c r="D94" s="326"/>
      <c r="F94" s="324" t="e">
        <f t="shared" si="46"/>
        <v>#VALUE!</v>
      </c>
      <c r="G94" s="324">
        <v>18</v>
      </c>
      <c r="H94" s="324" t="e">
        <f t="shared" si="43"/>
        <v>#VALUE!</v>
      </c>
      <c r="I94" s="328" t="e">
        <f t="shared" si="43"/>
        <v>#VALUE!</v>
      </c>
      <c r="J94" s="328" t="str">
        <f>IF(M6="","",M6)</f>
        <v/>
      </c>
      <c r="K94" s="324" t="str">
        <f t="shared" si="47"/>
        <v/>
      </c>
      <c r="M94" s="331" t="e">
        <f t="shared" si="49"/>
        <v>#VALUE!</v>
      </c>
      <c r="N94" s="331" t="e">
        <f t="shared" si="49"/>
        <v>#VALUE!</v>
      </c>
      <c r="O94" s="331" t="e">
        <f t="shared" si="49"/>
        <v>#VALUE!</v>
      </c>
      <c r="P94" s="331" t="e">
        <f t="shared" si="49"/>
        <v>#VALUE!</v>
      </c>
      <c r="Q94" s="331" t="e">
        <f t="shared" si="49"/>
        <v>#VALUE!</v>
      </c>
      <c r="R94" s="331" t="e">
        <f t="shared" si="49"/>
        <v>#VALUE!</v>
      </c>
      <c r="S94" s="331" t="e">
        <f t="shared" si="49"/>
        <v>#VALUE!</v>
      </c>
      <c r="T94" s="331" t="e">
        <f t="shared" si="49"/>
        <v>#VALUE!</v>
      </c>
      <c r="U94" s="338" t="e">
        <f t="shared" si="49"/>
        <v>#VALUE!</v>
      </c>
      <c r="V94" s="338" t="e">
        <f t="shared" si="49"/>
        <v>#VALUE!</v>
      </c>
      <c r="W94" s="324" t="e">
        <f t="shared" si="49"/>
        <v>#VALUE!</v>
      </c>
      <c r="X94" s="324" t="e">
        <f t="shared" si="49"/>
        <v>#VALUE!</v>
      </c>
      <c r="Y94" s="324" t="e">
        <f t="shared" si="49"/>
        <v>#VALUE!</v>
      </c>
      <c r="Z94" s="324" t="e">
        <f t="shared" si="49"/>
        <v>#VALUE!</v>
      </c>
      <c r="AA94" s="324" t="e">
        <f t="shared" si="49"/>
        <v>#VALUE!</v>
      </c>
      <c r="AB94" s="324" t="e">
        <f t="shared" si="48"/>
        <v>#VALUE!</v>
      </c>
      <c r="AC94" s="324" t="e">
        <f t="shared" si="45"/>
        <v>#VALUE!</v>
      </c>
      <c r="AD94" s="324" t="e">
        <f t="shared" si="45"/>
        <v>#VALUE!</v>
      </c>
      <c r="AE94" s="324" t="e">
        <f t="shared" si="45"/>
        <v>#VALUE!</v>
      </c>
    </row>
    <row r="95" spans="1:31" s="324" customFormat="1" ht="0.65" hidden="1" customHeight="1">
      <c r="A95" s="324" t="e">
        <f t="shared" si="41"/>
        <v>#VALUE!</v>
      </c>
      <c r="B95" s="324">
        <v>0</v>
      </c>
      <c r="C95" s="328">
        <f>H10</f>
        <v>0</v>
      </c>
      <c r="D95" s="326">
        <f>IF(B95=C95,1,0)</f>
        <v>1</v>
      </c>
      <c r="F95" s="324" t="e">
        <f t="shared" si="46"/>
        <v>#VALUE!</v>
      </c>
      <c r="G95" s="324">
        <v>19</v>
      </c>
      <c r="H95" s="324" t="e">
        <f t="shared" si="43"/>
        <v>#VALUE!</v>
      </c>
      <c r="I95" s="328" t="e">
        <f t="shared" si="43"/>
        <v>#VALUE!</v>
      </c>
      <c r="J95" s="328" t="str">
        <f>IF(M7="","",M7)</f>
        <v/>
      </c>
      <c r="K95" s="324" t="str">
        <f t="shared" si="47"/>
        <v/>
      </c>
      <c r="M95" s="331" t="e">
        <f t="shared" si="49"/>
        <v>#VALUE!</v>
      </c>
      <c r="N95" s="331" t="e">
        <f t="shared" si="49"/>
        <v>#VALUE!</v>
      </c>
      <c r="O95" s="331" t="e">
        <f t="shared" si="49"/>
        <v>#VALUE!</v>
      </c>
      <c r="P95" s="331" t="e">
        <f t="shared" si="49"/>
        <v>#VALUE!</v>
      </c>
      <c r="Q95" s="331" t="e">
        <f t="shared" si="49"/>
        <v>#VALUE!</v>
      </c>
      <c r="R95" s="331" t="e">
        <f t="shared" si="49"/>
        <v>#VALUE!</v>
      </c>
      <c r="S95" s="331" t="e">
        <f t="shared" si="49"/>
        <v>#VALUE!</v>
      </c>
      <c r="T95" s="331" t="e">
        <f t="shared" si="49"/>
        <v>#VALUE!</v>
      </c>
      <c r="U95" s="338" t="e">
        <f t="shared" si="49"/>
        <v>#VALUE!</v>
      </c>
      <c r="V95" s="338" t="e">
        <f t="shared" si="49"/>
        <v>#VALUE!</v>
      </c>
      <c r="W95" s="324" t="e">
        <f t="shared" si="49"/>
        <v>#VALUE!</v>
      </c>
      <c r="X95" s="324" t="e">
        <f t="shared" si="49"/>
        <v>#VALUE!</v>
      </c>
      <c r="Y95" s="324" t="e">
        <f t="shared" si="49"/>
        <v>#VALUE!</v>
      </c>
      <c r="Z95" s="324" t="e">
        <f t="shared" si="49"/>
        <v>#VALUE!</v>
      </c>
      <c r="AA95" s="324" t="e">
        <f t="shared" si="49"/>
        <v>#VALUE!</v>
      </c>
      <c r="AB95" s="324" t="e">
        <f t="shared" si="48"/>
        <v>#VALUE!</v>
      </c>
      <c r="AC95" s="324" t="e">
        <f t="shared" si="45"/>
        <v>#VALUE!</v>
      </c>
      <c r="AD95" s="324" t="e">
        <f t="shared" si="45"/>
        <v>#VALUE!</v>
      </c>
      <c r="AE95" s="324" t="e">
        <f t="shared" si="45"/>
        <v>#VALUE!</v>
      </c>
    </row>
    <row r="96" spans="1:31" s="324" customFormat="1" ht="0.65" hidden="1" customHeight="1">
      <c r="A96" s="324" t="e">
        <f t="shared" si="41"/>
        <v>#VALUE!</v>
      </c>
      <c r="B96" s="324">
        <v>0</v>
      </c>
      <c r="C96" s="328">
        <f>I10</f>
        <v>0</v>
      </c>
      <c r="D96" s="326">
        <f>IF(B96=C96,1,0)</f>
        <v>1</v>
      </c>
      <c r="F96" s="324" t="e">
        <f t="shared" si="46"/>
        <v>#VALUE!</v>
      </c>
      <c r="G96" s="324">
        <v>20</v>
      </c>
      <c r="H96" s="324" t="e">
        <f t="shared" si="43"/>
        <v>#VALUE!</v>
      </c>
      <c r="I96" s="328" t="e">
        <f t="shared" si="43"/>
        <v>#VALUE!</v>
      </c>
      <c r="J96" s="328" t="str">
        <f>IF(N5="","",N5)</f>
        <v/>
      </c>
      <c r="K96" s="324" t="str">
        <f t="shared" si="47"/>
        <v/>
      </c>
      <c r="M96" s="331" t="e">
        <f t="shared" si="49"/>
        <v>#VALUE!</v>
      </c>
      <c r="N96" s="331" t="e">
        <f t="shared" si="49"/>
        <v>#VALUE!</v>
      </c>
      <c r="O96" s="331" t="e">
        <f t="shared" si="49"/>
        <v>#VALUE!</v>
      </c>
      <c r="P96" s="331" t="e">
        <f t="shared" si="49"/>
        <v>#VALUE!</v>
      </c>
      <c r="Q96" s="331" t="e">
        <f t="shared" si="49"/>
        <v>#VALUE!</v>
      </c>
      <c r="R96" s="331" t="e">
        <f t="shared" si="49"/>
        <v>#VALUE!</v>
      </c>
      <c r="S96" s="331" t="e">
        <f t="shared" si="49"/>
        <v>#VALUE!</v>
      </c>
      <c r="T96" s="331" t="e">
        <f t="shared" si="49"/>
        <v>#VALUE!</v>
      </c>
      <c r="U96" s="338" t="e">
        <f t="shared" si="49"/>
        <v>#VALUE!</v>
      </c>
      <c r="V96" s="338" t="e">
        <f t="shared" si="49"/>
        <v>#VALUE!</v>
      </c>
      <c r="W96" s="324" t="e">
        <f t="shared" si="49"/>
        <v>#VALUE!</v>
      </c>
      <c r="X96" s="324" t="e">
        <f t="shared" si="49"/>
        <v>#VALUE!</v>
      </c>
      <c r="Y96" s="324" t="e">
        <f t="shared" si="49"/>
        <v>#VALUE!</v>
      </c>
      <c r="Z96" s="324" t="e">
        <f t="shared" si="49"/>
        <v>#VALUE!</v>
      </c>
      <c r="AA96" s="324" t="e">
        <f t="shared" si="49"/>
        <v>#VALUE!</v>
      </c>
      <c r="AB96" s="324" t="e">
        <f t="shared" si="48"/>
        <v>#VALUE!</v>
      </c>
      <c r="AC96" s="324" t="e">
        <f t="shared" si="45"/>
        <v>#VALUE!</v>
      </c>
      <c r="AD96" s="324" t="e">
        <f t="shared" si="45"/>
        <v>#VALUE!</v>
      </c>
      <c r="AE96" s="324" t="e">
        <f t="shared" si="45"/>
        <v>#VALUE!</v>
      </c>
    </row>
    <row r="97" spans="1:31" s="324" customFormat="1" ht="0.65" hidden="1" customHeight="1">
      <c r="A97" s="324" t="e">
        <f t="shared" si="41"/>
        <v>#VALUE!</v>
      </c>
      <c r="B97" s="324">
        <v>0</v>
      </c>
      <c r="C97" s="328">
        <f>J10</f>
        <v>0</v>
      </c>
      <c r="D97" s="326">
        <f>IF(B97=C97,1,0)</f>
        <v>1</v>
      </c>
      <c r="F97" s="324" t="e">
        <f t="shared" si="46"/>
        <v>#VALUE!</v>
      </c>
      <c r="G97" s="324">
        <v>21</v>
      </c>
      <c r="H97" s="324" t="e">
        <f t="shared" ref="H97:I125" si="50">VLOOKUP($A97,$A$231:$AP$1595,H$54,FALSE)</f>
        <v>#VALUE!</v>
      </c>
      <c r="I97" s="328" t="e">
        <f t="shared" si="50"/>
        <v>#VALUE!</v>
      </c>
      <c r="J97" s="328" t="str">
        <f>IF(N6="","",N6)</f>
        <v/>
      </c>
      <c r="K97" s="324" t="str">
        <f t="shared" si="47"/>
        <v/>
      </c>
      <c r="M97" s="331" t="e">
        <f t="shared" si="49"/>
        <v>#VALUE!</v>
      </c>
      <c r="N97" s="331" t="e">
        <f t="shared" si="49"/>
        <v>#VALUE!</v>
      </c>
      <c r="O97" s="331" t="e">
        <f t="shared" si="49"/>
        <v>#VALUE!</v>
      </c>
      <c r="P97" s="331" t="e">
        <f t="shared" si="49"/>
        <v>#VALUE!</v>
      </c>
      <c r="Q97" s="331" t="e">
        <f t="shared" si="49"/>
        <v>#VALUE!</v>
      </c>
      <c r="R97" s="331" t="e">
        <f t="shared" si="49"/>
        <v>#VALUE!</v>
      </c>
      <c r="S97" s="331" t="e">
        <f t="shared" si="49"/>
        <v>#VALUE!</v>
      </c>
      <c r="T97" s="331" t="e">
        <f t="shared" si="49"/>
        <v>#VALUE!</v>
      </c>
      <c r="U97" s="338" t="e">
        <f t="shared" si="49"/>
        <v>#VALUE!</v>
      </c>
      <c r="V97" s="338" t="e">
        <f t="shared" si="49"/>
        <v>#VALUE!</v>
      </c>
      <c r="W97" s="324" t="e">
        <f t="shared" si="49"/>
        <v>#VALUE!</v>
      </c>
      <c r="X97" s="324" t="e">
        <f t="shared" si="49"/>
        <v>#VALUE!</v>
      </c>
      <c r="Y97" s="324" t="e">
        <f t="shared" si="49"/>
        <v>#VALUE!</v>
      </c>
      <c r="Z97" s="324" t="e">
        <f t="shared" si="49"/>
        <v>#VALUE!</v>
      </c>
      <c r="AA97" s="324" t="e">
        <f t="shared" si="49"/>
        <v>#VALUE!</v>
      </c>
      <c r="AB97" s="324" t="e">
        <f t="shared" si="48"/>
        <v>#VALUE!</v>
      </c>
      <c r="AC97" s="324" t="e">
        <f t="shared" si="48"/>
        <v>#VALUE!</v>
      </c>
      <c r="AD97" s="324" t="e">
        <f t="shared" si="48"/>
        <v>#VALUE!</v>
      </c>
      <c r="AE97" s="324" t="e">
        <f t="shared" si="48"/>
        <v>#VALUE!</v>
      </c>
    </row>
    <row r="98" spans="1:31" s="324" customFormat="1" ht="0.65" hidden="1" customHeight="1">
      <c r="A98" s="324" t="e">
        <f t="shared" si="41"/>
        <v>#VALUE!</v>
      </c>
      <c r="F98" s="324" t="e">
        <f t="shared" si="46"/>
        <v>#VALUE!</v>
      </c>
      <c r="G98" s="324">
        <v>22</v>
      </c>
      <c r="H98" s="324" t="e">
        <f t="shared" si="50"/>
        <v>#VALUE!</v>
      </c>
      <c r="I98" s="328" t="e">
        <f t="shared" si="50"/>
        <v>#VALUE!</v>
      </c>
      <c r="J98" s="328" t="str">
        <f>IF(N7="","",N7)</f>
        <v/>
      </c>
      <c r="K98" s="324" t="str">
        <f t="shared" si="47"/>
        <v/>
      </c>
      <c r="M98" s="331" t="e">
        <f t="shared" si="49"/>
        <v>#VALUE!</v>
      </c>
      <c r="N98" s="331" t="e">
        <f t="shared" si="49"/>
        <v>#VALUE!</v>
      </c>
      <c r="O98" s="331" t="e">
        <f t="shared" si="49"/>
        <v>#VALUE!</v>
      </c>
      <c r="P98" s="331" t="e">
        <f t="shared" si="49"/>
        <v>#VALUE!</v>
      </c>
      <c r="Q98" s="331" t="e">
        <f t="shared" si="49"/>
        <v>#VALUE!</v>
      </c>
      <c r="R98" s="331" t="e">
        <f t="shared" si="49"/>
        <v>#VALUE!</v>
      </c>
      <c r="S98" s="331" t="e">
        <f t="shared" si="49"/>
        <v>#VALUE!</v>
      </c>
      <c r="T98" s="331" t="e">
        <f t="shared" si="49"/>
        <v>#VALUE!</v>
      </c>
      <c r="U98" s="338" t="e">
        <f t="shared" si="49"/>
        <v>#VALUE!</v>
      </c>
      <c r="V98" s="338" t="e">
        <f t="shared" si="49"/>
        <v>#VALUE!</v>
      </c>
      <c r="W98" s="324" t="e">
        <f t="shared" si="49"/>
        <v>#VALUE!</v>
      </c>
      <c r="X98" s="324" t="e">
        <f t="shared" si="49"/>
        <v>#VALUE!</v>
      </c>
      <c r="Y98" s="324" t="e">
        <f t="shared" si="49"/>
        <v>#VALUE!</v>
      </c>
      <c r="Z98" s="324" t="e">
        <f t="shared" si="49"/>
        <v>#VALUE!</v>
      </c>
      <c r="AA98" s="324" t="e">
        <f t="shared" si="49"/>
        <v>#VALUE!</v>
      </c>
      <c r="AB98" s="324" t="e">
        <f t="shared" si="48"/>
        <v>#VALUE!</v>
      </c>
      <c r="AC98" s="324" t="e">
        <f t="shared" si="48"/>
        <v>#VALUE!</v>
      </c>
      <c r="AD98" s="324" t="e">
        <f t="shared" si="48"/>
        <v>#VALUE!</v>
      </c>
      <c r="AE98" s="324" t="e">
        <f t="shared" si="48"/>
        <v>#VALUE!</v>
      </c>
    </row>
    <row r="99" spans="1:31" s="324" customFormat="1" ht="0.65" hidden="1" customHeight="1">
      <c r="A99" s="324" t="e">
        <f t="shared" si="41"/>
        <v>#VALUE!</v>
      </c>
      <c r="F99" s="324" t="e">
        <f t="shared" si="46"/>
        <v>#VALUE!</v>
      </c>
      <c r="G99" s="324">
        <v>23</v>
      </c>
      <c r="H99" s="324" t="e">
        <f t="shared" si="50"/>
        <v>#VALUE!</v>
      </c>
      <c r="I99" s="328" t="e">
        <f t="shared" si="50"/>
        <v>#VALUE!</v>
      </c>
      <c r="J99" s="328" t="str">
        <f>IF(H11="","",H11)</f>
        <v/>
      </c>
      <c r="K99" s="324" t="str">
        <f t="shared" si="47"/>
        <v/>
      </c>
      <c r="M99" s="331" t="e">
        <f t="shared" si="49"/>
        <v>#VALUE!</v>
      </c>
      <c r="N99" s="331" t="e">
        <f t="shared" si="49"/>
        <v>#VALUE!</v>
      </c>
      <c r="O99" s="331" t="e">
        <f t="shared" si="49"/>
        <v>#VALUE!</v>
      </c>
      <c r="P99" s="331" t="e">
        <f t="shared" si="49"/>
        <v>#VALUE!</v>
      </c>
      <c r="Q99" s="331" t="e">
        <f t="shared" si="49"/>
        <v>#VALUE!</v>
      </c>
      <c r="R99" s="331" t="e">
        <f t="shared" si="49"/>
        <v>#VALUE!</v>
      </c>
      <c r="S99" s="331" t="e">
        <f t="shared" si="49"/>
        <v>#VALUE!</v>
      </c>
      <c r="T99" s="331" t="e">
        <f t="shared" si="49"/>
        <v>#VALUE!</v>
      </c>
      <c r="U99" s="338" t="e">
        <f t="shared" si="49"/>
        <v>#VALUE!</v>
      </c>
      <c r="V99" s="338" t="e">
        <f t="shared" si="49"/>
        <v>#VALUE!</v>
      </c>
      <c r="W99" s="324" t="e">
        <f t="shared" si="49"/>
        <v>#VALUE!</v>
      </c>
      <c r="X99" s="324" t="e">
        <f t="shared" si="49"/>
        <v>#VALUE!</v>
      </c>
      <c r="Y99" s="324" t="e">
        <f t="shared" si="49"/>
        <v>#VALUE!</v>
      </c>
      <c r="Z99" s="324" t="e">
        <f t="shared" si="49"/>
        <v>#VALUE!</v>
      </c>
      <c r="AA99" s="324" t="e">
        <f t="shared" si="49"/>
        <v>#VALUE!</v>
      </c>
      <c r="AB99" s="324" t="e">
        <f t="shared" si="48"/>
        <v>#VALUE!</v>
      </c>
      <c r="AC99" s="324" t="e">
        <f t="shared" si="48"/>
        <v>#VALUE!</v>
      </c>
      <c r="AD99" s="324" t="e">
        <f t="shared" si="48"/>
        <v>#VALUE!</v>
      </c>
      <c r="AE99" s="324" t="e">
        <f t="shared" si="48"/>
        <v>#VALUE!</v>
      </c>
    </row>
    <row r="100" spans="1:31" s="324" customFormat="1" ht="0.65" hidden="1" customHeight="1">
      <c r="A100" s="324" t="e">
        <f t="shared" si="41"/>
        <v>#VALUE!</v>
      </c>
      <c r="F100" s="324" t="e">
        <f t="shared" si="46"/>
        <v>#VALUE!</v>
      </c>
      <c r="G100" s="324">
        <v>24</v>
      </c>
      <c r="H100" s="324" t="e">
        <f t="shared" si="50"/>
        <v>#VALUE!</v>
      </c>
      <c r="I100" s="328" t="e">
        <f t="shared" si="50"/>
        <v>#VALUE!</v>
      </c>
      <c r="J100" s="328" t="str">
        <f>IF(H12="","",H12)</f>
        <v/>
      </c>
      <c r="K100" s="324" t="str">
        <f t="shared" si="47"/>
        <v/>
      </c>
      <c r="M100" s="331" t="e">
        <f t="shared" si="49"/>
        <v>#VALUE!</v>
      </c>
      <c r="N100" s="331" t="e">
        <f t="shared" si="49"/>
        <v>#VALUE!</v>
      </c>
      <c r="O100" s="331" t="e">
        <f t="shared" si="49"/>
        <v>#VALUE!</v>
      </c>
      <c r="P100" s="331" t="e">
        <f t="shared" si="49"/>
        <v>#VALUE!</v>
      </c>
      <c r="Q100" s="331" t="e">
        <f t="shared" si="49"/>
        <v>#VALUE!</v>
      </c>
      <c r="R100" s="331" t="e">
        <f t="shared" si="49"/>
        <v>#VALUE!</v>
      </c>
      <c r="S100" s="331" t="e">
        <f t="shared" si="49"/>
        <v>#VALUE!</v>
      </c>
      <c r="T100" s="331" t="e">
        <f t="shared" si="49"/>
        <v>#VALUE!</v>
      </c>
      <c r="U100" s="338" t="e">
        <f t="shared" si="49"/>
        <v>#VALUE!</v>
      </c>
      <c r="V100" s="338" t="e">
        <f t="shared" si="49"/>
        <v>#VALUE!</v>
      </c>
      <c r="W100" s="324" t="e">
        <f t="shared" si="49"/>
        <v>#VALUE!</v>
      </c>
      <c r="X100" s="324" t="e">
        <f t="shared" si="49"/>
        <v>#VALUE!</v>
      </c>
      <c r="Y100" s="324" t="e">
        <f t="shared" si="49"/>
        <v>#VALUE!</v>
      </c>
      <c r="Z100" s="324" t="e">
        <f t="shared" si="49"/>
        <v>#VALUE!</v>
      </c>
      <c r="AA100" s="324" t="e">
        <f t="shared" si="49"/>
        <v>#VALUE!</v>
      </c>
      <c r="AB100" s="324" t="e">
        <f t="shared" si="48"/>
        <v>#VALUE!</v>
      </c>
      <c r="AC100" s="324" t="e">
        <f t="shared" si="48"/>
        <v>#VALUE!</v>
      </c>
      <c r="AD100" s="324" t="e">
        <f t="shared" si="48"/>
        <v>#VALUE!</v>
      </c>
      <c r="AE100" s="324" t="e">
        <f t="shared" si="48"/>
        <v>#VALUE!</v>
      </c>
    </row>
    <row r="101" spans="1:31" s="324" customFormat="1" ht="0.65" hidden="1" customHeight="1">
      <c r="A101" s="324" t="e">
        <f t="shared" si="41"/>
        <v>#VALUE!</v>
      </c>
      <c r="F101" s="324" t="e">
        <f t="shared" si="46"/>
        <v>#VALUE!</v>
      </c>
      <c r="G101" s="324">
        <v>25</v>
      </c>
      <c r="H101" s="324" t="e">
        <f t="shared" si="50"/>
        <v>#VALUE!</v>
      </c>
      <c r="I101" s="328" t="e">
        <f t="shared" si="50"/>
        <v>#VALUE!</v>
      </c>
      <c r="J101" s="328" t="str">
        <f>IF(H13="","",H13)</f>
        <v/>
      </c>
      <c r="K101" s="324" t="str">
        <f t="shared" si="47"/>
        <v/>
      </c>
      <c r="M101" s="331" t="e">
        <f t="shared" si="49"/>
        <v>#VALUE!</v>
      </c>
      <c r="N101" s="331" t="e">
        <f t="shared" si="49"/>
        <v>#VALUE!</v>
      </c>
      <c r="O101" s="331" t="e">
        <f t="shared" si="49"/>
        <v>#VALUE!</v>
      </c>
      <c r="P101" s="331" t="e">
        <f t="shared" si="49"/>
        <v>#VALUE!</v>
      </c>
      <c r="Q101" s="331" t="e">
        <f t="shared" si="49"/>
        <v>#VALUE!</v>
      </c>
      <c r="R101" s="331" t="e">
        <f t="shared" si="49"/>
        <v>#VALUE!</v>
      </c>
      <c r="S101" s="331" t="e">
        <f t="shared" si="49"/>
        <v>#VALUE!</v>
      </c>
      <c r="T101" s="331" t="e">
        <f t="shared" si="49"/>
        <v>#VALUE!</v>
      </c>
      <c r="U101" s="338" t="e">
        <f t="shared" si="49"/>
        <v>#VALUE!</v>
      </c>
      <c r="V101" s="338" t="e">
        <f t="shared" si="49"/>
        <v>#VALUE!</v>
      </c>
      <c r="W101" s="324" t="e">
        <f t="shared" si="49"/>
        <v>#VALUE!</v>
      </c>
      <c r="X101" s="324" t="e">
        <f t="shared" si="49"/>
        <v>#VALUE!</v>
      </c>
      <c r="Y101" s="324" t="e">
        <f t="shared" si="49"/>
        <v>#VALUE!</v>
      </c>
      <c r="Z101" s="324" t="e">
        <f t="shared" si="49"/>
        <v>#VALUE!</v>
      </c>
      <c r="AA101" s="324" t="e">
        <f t="shared" si="49"/>
        <v>#VALUE!</v>
      </c>
      <c r="AB101" s="324" t="e">
        <f t="shared" si="48"/>
        <v>#VALUE!</v>
      </c>
      <c r="AC101" s="324" t="e">
        <f t="shared" si="48"/>
        <v>#VALUE!</v>
      </c>
      <c r="AD101" s="324" t="e">
        <f t="shared" si="48"/>
        <v>#VALUE!</v>
      </c>
      <c r="AE101" s="324" t="e">
        <f t="shared" si="48"/>
        <v>#VALUE!</v>
      </c>
    </row>
    <row r="102" spans="1:31" s="324" customFormat="1" ht="0.65" hidden="1" customHeight="1">
      <c r="A102" s="324" t="e">
        <f t="shared" si="41"/>
        <v>#VALUE!</v>
      </c>
      <c r="F102" s="324" t="e">
        <f t="shared" si="46"/>
        <v>#VALUE!</v>
      </c>
      <c r="G102" s="324">
        <v>26</v>
      </c>
      <c r="H102" s="324" t="e">
        <f t="shared" si="50"/>
        <v>#VALUE!</v>
      </c>
      <c r="I102" s="328" t="e">
        <f t="shared" si="50"/>
        <v>#VALUE!</v>
      </c>
      <c r="J102" s="328" t="str">
        <f>IF(I11="","",I11)</f>
        <v/>
      </c>
      <c r="K102" s="324" t="str">
        <f t="shared" si="47"/>
        <v/>
      </c>
      <c r="M102" s="331" t="e">
        <f t="shared" si="49"/>
        <v>#VALUE!</v>
      </c>
      <c r="N102" s="331" t="e">
        <f t="shared" si="49"/>
        <v>#VALUE!</v>
      </c>
      <c r="O102" s="331" t="e">
        <f t="shared" si="49"/>
        <v>#VALUE!</v>
      </c>
      <c r="P102" s="331" t="e">
        <f t="shared" si="49"/>
        <v>#VALUE!</v>
      </c>
      <c r="Q102" s="331" t="e">
        <f t="shared" si="49"/>
        <v>#VALUE!</v>
      </c>
      <c r="R102" s="331" t="e">
        <f t="shared" si="49"/>
        <v>#VALUE!</v>
      </c>
      <c r="S102" s="331" t="e">
        <f t="shared" si="49"/>
        <v>#VALUE!</v>
      </c>
      <c r="T102" s="331" t="e">
        <f t="shared" si="49"/>
        <v>#VALUE!</v>
      </c>
      <c r="U102" s="338" t="e">
        <f t="shared" si="49"/>
        <v>#VALUE!</v>
      </c>
      <c r="V102" s="338" t="e">
        <f t="shared" si="49"/>
        <v>#VALUE!</v>
      </c>
      <c r="W102" s="324" t="e">
        <f t="shared" si="49"/>
        <v>#VALUE!</v>
      </c>
      <c r="X102" s="324" t="e">
        <f t="shared" si="49"/>
        <v>#VALUE!</v>
      </c>
      <c r="Y102" s="324" t="e">
        <f t="shared" si="49"/>
        <v>#VALUE!</v>
      </c>
      <c r="Z102" s="324" t="e">
        <f t="shared" si="49"/>
        <v>#VALUE!</v>
      </c>
      <c r="AA102" s="324" t="e">
        <f t="shared" si="49"/>
        <v>#VALUE!</v>
      </c>
      <c r="AB102" s="324" t="e">
        <f t="shared" si="48"/>
        <v>#VALUE!</v>
      </c>
      <c r="AC102" s="324" t="e">
        <f t="shared" si="48"/>
        <v>#VALUE!</v>
      </c>
      <c r="AD102" s="324" t="e">
        <f t="shared" si="48"/>
        <v>#VALUE!</v>
      </c>
      <c r="AE102" s="324" t="e">
        <f t="shared" si="48"/>
        <v>#VALUE!</v>
      </c>
    </row>
    <row r="103" spans="1:31" s="324" customFormat="1" ht="0.65" hidden="1" customHeight="1">
      <c r="A103" s="324" t="e">
        <f t="shared" si="41"/>
        <v>#VALUE!</v>
      </c>
      <c r="F103" s="324" t="e">
        <f t="shared" si="46"/>
        <v>#VALUE!</v>
      </c>
      <c r="G103" s="324">
        <v>27</v>
      </c>
      <c r="H103" s="324" t="e">
        <f t="shared" si="50"/>
        <v>#VALUE!</v>
      </c>
      <c r="I103" s="328" t="e">
        <f t="shared" si="50"/>
        <v>#VALUE!</v>
      </c>
      <c r="J103" s="328" t="str">
        <f>IF(I12="","",I12)</f>
        <v/>
      </c>
      <c r="K103" s="324" t="str">
        <f t="shared" si="47"/>
        <v/>
      </c>
      <c r="M103" s="331" t="e">
        <f t="shared" si="49"/>
        <v>#VALUE!</v>
      </c>
      <c r="N103" s="331" t="e">
        <f t="shared" si="49"/>
        <v>#VALUE!</v>
      </c>
      <c r="O103" s="331" t="e">
        <f t="shared" si="49"/>
        <v>#VALUE!</v>
      </c>
      <c r="P103" s="331" t="e">
        <f t="shared" si="49"/>
        <v>#VALUE!</v>
      </c>
      <c r="Q103" s="331" t="e">
        <f t="shared" si="49"/>
        <v>#VALUE!</v>
      </c>
      <c r="R103" s="331" t="e">
        <f t="shared" si="49"/>
        <v>#VALUE!</v>
      </c>
      <c r="S103" s="331" t="e">
        <f t="shared" si="49"/>
        <v>#VALUE!</v>
      </c>
      <c r="T103" s="331" t="e">
        <f t="shared" si="49"/>
        <v>#VALUE!</v>
      </c>
      <c r="U103" s="338" t="e">
        <f t="shared" si="49"/>
        <v>#VALUE!</v>
      </c>
      <c r="V103" s="338" t="e">
        <f t="shared" si="49"/>
        <v>#VALUE!</v>
      </c>
      <c r="W103" s="324" t="e">
        <f t="shared" si="49"/>
        <v>#VALUE!</v>
      </c>
      <c r="X103" s="324" t="e">
        <f t="shared" si="49"/>
        <v>#VALUE!</v>
      </c>
      <c r="Y103" s="324" t="e">
        <f t="shared" si="49"/>
        <v>#VALUE!</v>
      </c>
      <c r="Z103" s="324" t="e">
        <f t="shared" si="49"/>
        <v>#VALUE!</v>
      </c>
      <c r="AA103" s="324" t="e">
        <f t="shared" si="49"/>
        <v>#VALUE!</v>
      </c>
      <c r="AB103" s="324" t="e">
        <f t="shared" si="48"/>
        <v>#VALUE!</v>
      </c>
      <c r="AC103" s="324" t="e">
        <f t="shared" si="48"/>
        <v>#VALUE!</v>
      </c>
      <c r="AD103" s="324" t="e">
        <f t="shared" si="48"/>
        <v>#VALUE!</v>
      </c>
      <c r="AE103" s="324" t="e">
        <f t="shared" si="48"/>
        <v>#VALUE!</v>
      </c>
    </row>
    <row r="104" spans="1:31" s="324" customFormat="1" ht="0.65" hidden="1" customHeight="1">
      <c r="A104" s="324" t="e">
        <f t="shared" si="41"/>
        <v>#VALUE!</v>
      </c>
      <c r="F104" s="324" t="e">
        <f t="shared" si="46"/>
        <v>#VALUE!</v>
      </c>
      <c r="G104" s="324">
        <v>28</v>
      </c>
      <c r="H104" s="324" t="e">
        <f t="shared" si="50"/>
        <v>#VALUE!</v>
      </c>
      <c r="I104" s="328" t="e">
        <f t="shared" si="50"/>
        <v>#VALUE!</v>
      </c>
      <c r="J104" s="328" t="str">
        <f>IF(I13="","",I13)</f>
        <v/>
      </c>
      <c r="K104" s="324" t="str">
        <f t="shared" si="47"/>
        <v/>
      </c>
      <c r="M104" s="331" t="e">
        <f t="shared" si="49"/>
        <v>#VALUE!</v>
      </c>
      <c r="N104" s="331" t="e">
        <f t="shared" si="49"/>
        <v>#VALUE!</v>
      </c>
      <c r="O104" s="331" t="e">
        <f t="shared" si="49"/>
        <v>#VALUE!</v>
      </c>
      <c r="P104" s="331" t="e">
        <f t="shared" si="49"/>
        <v>#VALUE!</v>
      </c>
      <c r="Q104" s="331" t="e">
        <f t="shared" si="49"/>
        <v>#VALUE!</v>
      </c>
      <c r="R104" s="331" t="e">
        <f t="shared" si="49"/>
        <v>#VALUE!</v>
      </c>
      <c r="S104" s="331" t="e">
        <f t="shared" si="49"/>
        <v>#VALUE!</v>
      </c>
      <c r="T104" s="331" t="e">
        <f t="shared" si="49"/>
        <v>#VALUE!</v>
      </c>
      <c r="U104" s="338" t="e">
        <f t="shared" si="49"/>
        <v>#VALUE!</v>
      </c>
      <c r="V104" s="338" t="e">
        <f t="shared" si="49"/>
        <v>#VALUE!</v>
      </c>
      <c r="W104" s="324" t="e">
        <f t="shared" si="49"/>
        <v>#VALUE!</v>
      </c>
      <c r="X104" s="324" t="e">
        <f t="shared" si="49"/>
        <v>#VALUE!</v>
      </c>
      <c r="Y104" s="324" t="e">
        <f t="shared" si="49"/>
        <v>#VALUE!</v>
      </c>
      <c r="Z104" s="324" t="e">
        <f t="shared" si="49"/>
        <v>#VALUE!</v>
      </c>
      <c r="AA104" s="324" t="e">
        <f t="shared" si="49"/>
        <v>#VALUE!</v>
      </c>
      <c r="AB104" s="324" t="e">
        <f t="shared" si="48"/>
        <v>#VALUE!</v>
      </c>
      <c r="AC104" s="324" t="e">
        <f t="shared" si="48"/>
        <v>#VALUE!</v>
      </c>
      <c r="AD104" s="324" t="e">
        <f t="shared" si="48"/>
        <v>#VALUE!</v>
      </c>
      <c r="AE104" s="324" t="e">
        <f t="shared" si="48"/>
        <v>#VALUE!</v>
      </c>
    </row>
    <row r="105" spans="1:31" s="324" customFormat="1" ht="0.65" hidden="1" customHeight="1">
      <c r="A105" s="324" t="e">
        <f t="shared" si="41"/>
        <v>#VALUE!</v>
      </c>
      <c r="F105" s="324" t="e">
        <f t="shared" si="46"/>
        <v>#VALUE!</v>
      </c>
      <c r="G105" s="324">
        <v>29</v>
      </c>
      <c r="H105" s="324" t="e">
        <f t="shared" si="50"/>
        <v>#VALUE!</v>
      </c>
      <c r="I105" s="328" t="e">
        <f t="shared" si="50"/>
        <v>#VALUE!</v>
      </c>
      <c r="J105" s="328" t="str">
        <f>IF(J11="","",J11)</f>
        <v/>
      </c>
      <c r="K105" s="324" t="str">
        <f t="shared" si="47"/>
        <v/>
      </c>
      <c r="M105" s="331" t="e">
        <f t="shared" si="49"/>
        <v>#VALUE!</v>
      </c>
      <c r="N105" s="331" t="e">
        <f t="shared" si="49"/>
        <v>#VALUE!</v>
      </c>
      <c r="O105" s="331" t="e">
        <f t="shared" si="49"/>
        <v>#VALUE!</v>
      </c>
      <c r="P105" s="331" t="e">
        <f t="shared" si="49"/>
        <v>#VALUE!</v>
      </c>
      <c r="Q105" s="331" t="e">
        <f t="shared" si="49"/>
        <v>#VALUE!</v>
      </c>
      <c r="R105" s="331" t="e">
        <f t="shared" si="49"/>
        <v>#VALUE!</v>
      </c>
      <c r="S105" s="331" t="e">
        <f t="shared" si="49"/>
        <v>#VALUE!</v>
      </c>
      <c r="T105" s="331" t="e">
        <f t="shared" si="49"/>
        <v>#VALUE!</v>
      </c>
      <c r="U105" s="338" t="e">
        <f t="shared" si="49"/>
        <v>#VALUE!</v>
      </c>
      <c r="V105" s="338" t="e">
        <f t="shared" si="49"/>
        <v>#VALUE!</v>
      </c>
      <c r="W105" s="324" t="e">
        <f t="shared" si="49"/>
        <v>#VALUE!</v>
      </c>
      <c r="X105" s="324" t="e">
        <f t="shared" si="49"/>
        <v>#VALUE!</v>
      </c>
      <c r="Y105" s="324" t="e">
        <f t="shared" si="49"/>
        <v>#VALUE!</v>
      </c>
      <c r="Z105" s="324" t="e">
        <f t="shared" si="49"/>
        <v>#VALUE!</v>
      </c>
      <c r="AA105" s="324" t="e">
        <f t="shared" si="49"/>
        <v>#VALUE!</v>
      </c>
      <c r="AB105" s="324" t="e">
        <f t="shared" si="48"/>
        <v>#VALUE!</v>
      </c>
      <c r="AC105" s="324" t="e">
        <f t="shared" si="48"/>
        <v>#VALUE!</v>
      </c>
      <c r="AD105" s="324" t="e">
        <f t="shared" si="48"/>
        <v>#VALUE!</v>
      </c>
      <c r="AE105" s="324" t="e">
        <f t="shared" si="48"/>
        <v>#VALUE!</v>
      </c>
    </row>
    <row r="106" spans="1:31" s="324" customFormat="1" ht="0.65" hidden="1" customHeight="1">
      <c r="A106" s="324" t="e">
        <f t="shared" si="41"/>
        <v>#VALUE!</v>
      </c>
      <c r="F106" s="324" t="e">
        <f t="shared" si="46"/>
        <v>#VALUE!</v>
      </c>
      <c r="G106" s="324">
        <v>30</v>
      </c>
      <c r="H106" s="324" t="e">
        <f t="shared" si="50"/>
        <v>#VALUE!</v>
      </c>
      <c r="I106" s="328" t="e">
        <f t="shared" si="50"/>
        <v>#VALUE!</v>
      </c>
      <c r="J106" s="328" t="str">
        <f>IF(J12="","",J12)</f>
        <v/>
      </c>
      <c r="K106" s="324" t="str">
        <f t="shared" si="47"/>
        <v/>
      </c>
      <c r="M106" s="331" t="e">
        <f t="shared" si="49"/>
        <v>#VALUE!</v>
      </c>
      <c r="N106" s="331" t="e">
        <f t="shared" si="49"/>
        <v>#VALUE!</v>
      </c>
      <c r="O106" s="331" t="e">
        <f t="shared" si="49"/>
        <v>#VALUE!</v>
      </c>
      <c r="P106" s="331" t="e">
        <f t="shared" si="49"/>
        <v>#VALUE!</v>
      </c>
      <c r="Q106" s="331" t="e">
        <f t="shared" si="49"/>
        <v>#VALUE!</v>
      </c>
      <c r="R106" s="331" t="e">
        <f t="shared" si="49"/>
        <v>#VALUE!</v>
      </c>
      <c r="S106" s="331" t="e">
        <f t="shared" si="49"/>
        <v>#VALUE!</v>
      </c>
      <c r="T106" s="331" t="e">
        <f t="shared" si="49"/>
        <v>#VALUE!</v>
      </c>
      <c r="U106" s="338" t="e">
        <f t="shared" si="49"/>
        <v>#VALUE!</v>
      </c>
      <c r="V106" s="338" t="e">
        <f t="shared" si="49"/>
        <v>#VALUE!</v>
      </c>
      <c r="W106" s="324" t="e">
        <f t="shared" si="49"/>
        <v>#VALUE!</v>
      </c>
      <c r="X106" s="324" t="e">
        <f t="shared" si="49"/>
        <v>#VALUE!</v>
      </c>
      <c r="Y106" s="324" t="e">
        <f t="shared" si="49"/>
        <v>#VALUE!</v>
      </c>
      <c r="Z106" s="324" t="e">
        <f t="shared" si="49"/>
        <v>#VALUE!</v>
      </c>
      <c r="AA106" s="324" t="e">
        <f t="shared" si="49"/>
        <v>#VALUE!</v>
      </c>
      <c r="AB106" s="324" t="e">
        <f t="shared" si="48"/>
        <v>#VALUE!</v>
      </c>
      <c r="AC106" s="324" t="e">
        <f t="shared" si="48"/>
        <v>#VALUE!</v>
      </c>
      <c r="AD106" s="324" t="e">
        <f t="shared" si="48"/>
        <v>#VALUE!</v>
      </c>
      <c r="AE106" s="324" t="e">
        <f t="shared" si="48"/>
        <v>#VALUE!</v>
      </c>
    </row>
    <row r="107" spans="1:31" s="324" customFormat="1" ht="0.65" hidden="1" customHeight="1">
      <c r="A107" s="324" t="e">
        <f t="shared" si="41"/>
        <v>#VALUE!</v>
      </c>
      <c r="F107" s="324" t="e">
        <f t="shared" si="46"/>
        <v>#VALUE!</v>
      </c>
      <c r="G107" s="324">
        <v>31</v>
      </c>
      <c r="H107" s="324" t="e">
        <f t="shared" si="50"/>
        <v>#VALUE!</v>
      </c>
      <c r="I107" s="328" t="e">
        <f t="shared" si="50"/>
        <v>#VALUE!</v>
      </c>
      <c r="J107" s="328" t="str">
        <f>IF(J13="","",J13)</f>
        <v/>
      </c>
      <c r="K107" s="324" t="str">
        <f t="shared" si="47"/>
        <v/>
      </c>
      <c r="M107" s="331" t="e">
        <f t="shared" si="49"/>
        <v>#VALUE!</v>
      </c>
      <c r="N107" s="331" t="e">
        <f t="shared" si="49"/>
        <v>#VALUE!</v>
      </c>
      <c r="O107" s="331" t="e">
        <f t="shared" si="49"/>
        <v>#VALUE!</v>
      </c>
      <c r="P107" s="331" t="e">
        <f t="shared" si="49"/>
        <v>#VALUE!</v>
      </c>
      <c r="Q107" s="331" t="e">
        <f t="shared" si="49"/>
        <v>#VALUE!</v>
      </c>
      <c r="R107" s="331" t="e">
        <f t="shared" si="49"/>
        <v>#VALUE!</v>
      </c>
      <c r="S107" s="331" t="e">
        <f t="shared" si="49"/>
        <v>#VALUE!</v>
      </c>
      <c r="T107" s="331" t="e">
        <f t="shared" si="49"/>
        <v>#VALUE!</v>
      </c>
      <c r="U107" s="338" t="e">
        <f t="shared" si="49"/>
        <v>#VALUE!</v>
      </c>
      <c r="V107" s="338" t="e">
        <f t="shared" si="49"/>
        <v>#VALUE!</v>
      </c>
      <c r="W107" s="324" t="e">
        <f t="shared" si="49"/>
        <v>#VALUE!</v>
      </c>
      <c r="X107" s="324" t="e">
        <f t="shared" si="49"/>
        <v>#VALUE!</v>
      </c>
      <c r="Y107" s="324" t="e">
        <f t="shared" si="49"/>
        <v>#VALUE!</v>
      </c>
      <c r="Z107" s="324" t="e">
        <f t="shared" si="49"/>
        <v>#VALUE!</v>
      </c>
      <c r="AA107" s="324" t="e">
        <f t="shared" si="49"/>
        <v>#VALUE!</v>
      </c>
      <c r="AB107" s="324" t="e">
        <f t="shared" si="48"/>
        <v>#VALUE!</v>
      </c>
      <c r="AC107" s="324" t="e">
        <f t="shared" si="48"/>
        <v>#VALUE!</v>
      </c>
      <c r="AD107" s="324" t="e">
        <f t="shared" si="48"/>
        <v>#VALUE!</v>
      </c>
      <c r="AE107" s="324" t="e">
        <f t="shared" si="48"/>
        <v>#VALUE!</v>
      </c>
    </row>
    <row r="108" spans="1:31" s="324" customFormat="1" ht="0.65" hidden="1" customHeight="1">
      <c r="A108" s="324" t="e">
        <f t="shared" si="41"/>
        <v>#VALUE!</v>
      </c>
      <c r="F108" s="324" t="e">
        <f t="shared" si="46"/>
        <v>#VALUE!</v>
      </c>
      <c r="G108" s="324">
        <v>32</v>
      </c>
      <c r="H108" s="324" t="e">
        <f t="shared" si="50"/>
        <v>#VALUE!</v>
      </c>
      <c r="I108" s="328" t="e">
        <f t="shared" si="50"/>
        <v>#VALUE!</v>
      </c>
      <c r="J108" s="328" t="str">
        <f>IF(K11="","",K11)</f>
        <v/>
      </c>
      <c r="K108" s="324" t="str">
        <f t="shared" si="47"/>
        <v/>
      </c>
      <c r="M108" s="331" t="e">
        <f t="shared" si="49"/>
        <v>#VALUE!</v>
      </c>
      <c r="N108" s="331" t="e">
        <f t="shared" si="49"/>
        <v>#VALUE!</v>
      </c>
      <c r="O108" s="331" t="e">
        <f t="shared" si="49"/>
        <v>#VALUE!</v>
      </c>
      <c r="P108" s="331" t="e">
        <f t="shared" si="49"/>
        <v>#VALUE!</v>
      </c>
      <c r="Q108" s="331" t="e">
        <f t="shared" si="49"/>
        <v>#VALUE!</v>
      </c>
      <c r="R108" s="331" t="e">
        <f t="shared" si="49"/>
        <v>#VALUE!</v>
      </c>
      <c r="S108" s="331" t="e">
        <f t="shared" si="49"/>
        <v>#VALUE!</v>
      </c>
      <c r="T108" s="331" t="e">
        <f t="shared" si="49"/>
        <v>#VALUE!</v>
      </c>
      <c r="U108" s="338" t="e">
        <f t="shared" si="49"/>
        <v>#VALUE!</v>
      </c>
      <c r="V108" s="338" t="e">
        <f t="shared" si="49"/>
        <v>#VALUE!</v>
      </c>
      <c r="W108" s="324" t="e">
        <f t="shared" si="49"/>
        <v>#VALUE!</v>
      </c>
      <c r="X108" s="324" t="e">
        <f t="shared" si="49"/>
        <v>#VALUE!</v>
      </c>
      <c r="Y108" s="324" t="e">
        <f t="shared" si="49"/>
        <v>#VALUE!</v>
      </c>
      <c r="Z108" s="324" t="e">
        <f t="shared" si="49"/>
        <v>#VALUE!</v>
      </c>
      <c r="AA108" s="324" t="e">
        <f t="shared" si="49"/>
        <v>#VALUE!</v>
      </c>
      <c r="AB108" s="324" t="e">
        <f t="shared" si="48"/>
        <v>#VALUE!</v>
      </c>
      <c r="AC108" s="324" t="e">
        <f t="shared" si="48"/>
        <v>#VALUE!</v>
      </c>
      <c r="AD108" s="324" t="e">
        <f t="shared" si="48"/>
        <v>#VALUE!</v>
      </c>
      <c r="AE108" s="324" t="e">
        <f t="shared" si="48"/>
        <v>#VALUE!</v>
      </c>
    </row>
    <row r="109" spans="1:31" s="324" customFormat="1" ht="0.65" hidden="1" customHeight="1">
      <c r="A109" s="324" t="e">
        <f t="shared" si="41"/>
        <v>#VALUE!</v>
      </c>
      <c r="F109" s="324" t="e">
        <f t="shared" si="46"/>
        <v>#VALUE!</v>
      </c>
      <c r="G109" s="324">
        <v>33</v>
      </c>
      <c r="H109" s="324" t="e">
        <f t="shared" si="50"/>
        <v>#VALUE!</v>
      </c>
      <c r="I109" s="328" t="e">
        <f t="shared" si="50"/>
        <v>#VALUE!</v>
      </c>
      <c r="J109" s="328" t="str">
        <f>IF(K12="","",K12)</f>
        <v/>
      </c>
      <c r="K109" s="324" t="str">
        <f t="shared" si="47"/>
        <v/>
      </c>
      <c r="M109" s="331" t="e">
        <f t="shared" ref="M109:AB124" si="51">VLOOKUP($A109,$A$231:$AP$1595,M$54,FALSE)</f>
        <v>#VALUE!</v>
      </c>
      <c r="N109" s="331" t="e">
        <f t="shared" si="51"/>
        <v>#VALUE!</v>
      </c>
      <c r="O109" s="331" t="e">
        <f t="shared" si="51"/>
        <v>#VALUE!</v>
      </c>
      <c r="P109" s="331" t="e">
        <f t="shared" si="51"/>
        <v>#VALUE!</v>
      </c>
      <c r="Q109" s="331" t="e">
        <f t="shared" si="51"/>
        <v>#VALUE!</v>
      </c>
      <c r="R109" s="331" t="e">
        <f t="shared" si="51"/>
        <v>#VALUE!</v>
      </c>
      <c r="S109" s="331" t="e">
        <f t="shared" si="51"/>
        <v>#VALUE!</v>
      </c>
      <c r="T109" s="331" t="e">
        <f t="shared" si="51"/>
        <v>#VALUE!</v>
      </c>
      <c r="U109" s="338" t="e">
        <f t="shared" si="51"/>
        <v>#VALUE!</v>
      </c>
      <c r="V109" s="338" t="e">
        <f t="shared" si="51"/>
        <v>#VALUE!</v>
      </c>
      <c r="W109" s="324" t="e">
        <f t="shared" si="51"/>
        <v>#VALUE!</v>
      </c>
      <c r="X109" s="324" t="e">
        <f t="shared" si="51"/>
        <v>#VALUE!</v>
      </c>
      <c r="Y109" s="324" t="e">
        <f t="shared" si="51"/>
        <v>#VALUE!</v>
      </c>
      <c r="Z109" s="324" t="e">
        <f t="shared" si="51"/>
        <v>#VALUE!</v>
      </c>
      <c r="AA109" s="324" t="e">
        <f t="shared" si="51"/>
        <v>#VALUE!</v>
      </c>
      <c r="AB109" s="324" t="e">
        <f t="shared" si="48"/>
        <v>#VALUE!</v>
      </c>
      <c r="AC109" s="324" t="e">
        <f t="shared" si="48"/>
        <v>#VALUE!</v>
      </c>
      <c r="AD109" s="324" t="e">
        <f t="shared" si="48"/>
        <v>#VALUE!</v>
      </c>
      <c r="AE109" s="324" t="e">
        <f t="shared" si="48"/>
        <v>#VALUE!</v>
      </c>
    </row>
    <row r="110" spans="1:31" s="324" customFormat="1" ht="0.65" hidden="1" customHeight="1">
      <c r="A110" s="324" t="e">
        <f t="shared" si="41"/>
        <v>#VALUE!</v>
      </c>
      <c r="F110" s="324" t="e">
        <f t="shared" si="46"/>
        <v>#VALUE!</v>
      </c>
      <c r="G110" s="324">
        <v>34</v>
      </c>
      <c r="H110" s="324" t="e">
        <f t="shared" si="50"/>
        <v>#VALUE!</v>
      </c>
      <c r="I110" s="328" t="e">
        <f t="shared" si="50"/>
        <v>#VALUE!</v>
      </c>
      <c r="J110" s="328" t="str">
        <f>IF(K13="","",K13)</f>
        <v/>
      </c>
      <c r="K110" s="324" t="str">
        <f t="shared" si="47"/>
        <v/>
      </c>
      <c r="M110" s="331" t="e">
        <f t="shared" si="51"/>
        <v>#VALUE!</v>
      </c>
      <c r="N110" s="331" t="e">
        <f t="shared" si="51"/>
        <v>#VALUE!</v>
      </c>
      <c r="O110" s="331" t="e">
        <f t="shared" si="51"/>
        <v>#VALUE!</v>
      </c>
      <c r="P110" s="331" t="e">
        <f t="shared" si="51"/>
        <v>#VALUE!</v>
      </c>
      <c r="Q110" s="331" t="e">
        <f t="shared" si="51"/>
        <v>#VALUE!</v>
      </c>
      <c r="R110" s="331" t="e">
        <f t="shared" si="51"/>
        <v>#VALUE!</v>
      </c>
      <c r="S110" s="331" t="e">
        <f t="shared" si="51"/>
        <v>#VALUE!</v>
      </c>
      <c r="T110" s="331" t="e">
        <f t="shared" si="51"/>
        <v>#VALUE!</v>
      </c>
      <c r="U110" s="338" t="e">
        <f t="shared" si="51"/>
        <v>#VALUE!</v>
      </c>
      <c r="V110" s="338" t="e">
        <f t="shared" si="51"/>
        <v>#VALUE!</v>
      </c>
      <c r="W110" s="324" t="e">
        <f t="shared" si="51"/>
        <v>#VALUE!</v>
      </c>
      <c r="X110" s="324" t="e">
        <f t="shared" si="51"/>
        <v>#VALUE!</v>
      </c>
      <c r="Y110" s="324" t="e">
        <f t="shared" si="51"/>
        <v>#VALUE!</v>
      </c>
      <c r="Z110" s="324" t="e">
        <f t="shared" si="51"/>
        <v>#VALUE!</v>
      </c>
      <c r="AA110" s="324" t="e">
        <f t="shared" si="51"/>
        <v>#VALUE!</v>
      </c>
      <c r="AB110" s="324" t="e">
        <f t="shared" si="48"/>
        <v>#VALUE!</v>
      </c>
      <c r="AC110" s="324" t="e">
        <f t="shared" si="48"/>
        <v>#VALUE!</v>
      </c>
      <c r="AD110" s="324" t="e">
        <f t="shared" si="48"/>
        <v>#VALUE!</v>
      </c>
      <c r="AE110" s="324" t="e">
        <f t="shared" si="48"/>
        <v>#VALUE!</v>
      </c>
    </row>
    <row r="111" spans="1:31" s="324" customFormat="1" ht="0.65" hidden="1" customHeight="1">
      <c r="A111" s="324" t="e">
        <f t="shared" si="41"/>
        <v>#VALUE!</v>
      </c>
      <c r="E111" s="339"/>
      <c r="F111" s="324" t="e">
        <f t="shared" si="46"/>
        <v>#VALUE!</v>
      </c>
      <c r="G111" s="324">
        <v>35</v>
      </c>
      <c r="H111" s="324" t="e">
        <f t="shared" si="50"/>
        <v>#VALUE!</v>
      </c>
      <c r="I111" s="328" t="e">
        <f t="shared" si="50"/>
        <v>#VALUE!</v>
      </c>
      <c r="J111" s="328" t="str">
        <f>IF(O5="","",O5)</f>
        <v/>
      </c>
      <c r="K111" s="324" t="str">
        <f t="shared" si="47"/>
        <v/>
      </c>
      <c r="M111" s="331" t="e">
        <f t="shared" si="51"/>
        <v>#VALUE!</v>
      </c>
      <c r="N111" s="331" t="e">
        <f t="shared" si="51"/>
        <v>#VALUE!</v>
      </c>
      <c r="O111" s="331" t="e">
        <f t="shared" si="51"/>
        <v>#VALUE!</v>
      </c>
      <c r="P111" s="331" t="e">
        <f t="shared" si="51"/>
        <v>#VALUE!</v>
      </c>
      <c r="Q111" s="331" t="e">
        <f t="shared" si="51"/>
        <v>#VALUE!</v>
      </c>
      <c r="R111" s="331" t="e">
        <f t="shared" si="51"/>
        <v>#VALUE!</v>
      </c>
      <c r="S111" s="331" t="e">
        <f t="shared" si="51"/>
        <v>#VALUE!</v>
      </c>
      <c r="T111" s="331" t="e">
        <f t="shared" si="51"/>
        <v>#VALUE!</v>
      </c>
      <c r="U111" s="338" t="e">
        <f t="shared" si="51"/>
        <v>#VALUE!</v>
      </c>
      <c r="V111" s="338" t="e">
        <f t="shared" si="51"/>
        <v>#VALUE!</v>
      </c>
      <c r="W111" s="324" t="e">
        <f t="shared" si="51"/>
        <v>#VALUE!</v>
      </c>
      <c r="X111" s="324" t="e">
        <f t="shared" si="51"/>
        <v>#VALUE!</v>
      </c>
      <c r="Y111" s="324" t="e">
        <f t="shared" si="51"/>
        <v>#VALUE!</v>
      </c>
      <c r="Z111" s="324" t="e">
        <f t="shared" si="51"/>
        <v>#VALUE!</v>
      </c>
      <c r="AA111" s="324" t="e">
        <f t="shared" si="51"/>
        <v>#VALUE!</v>
      </c>
      <c r="AB111" s="324" t="e">
        <f t="shared" si="48"/>
        <v>#VALUE!</v>
      </c>
      <c r="AC111" s="324" t="e">
        <f t="shared" si="48"/>
        <v>#VALUE!</v>
      </c>
      <c r="AD111" s="324" t="e">
        <f t="shared" si="48"/>
        <v>#VALUE!</v>
      </c>
      <c r="AE111" s="324" t="e">
        <f t="shared" si="48"/>
        <v>#VALUE!</v>
      </c>
    </row>
    <row r="112" spans="1:31" s="324" customFormat="1" ht="0.65" hidden="1" customHeight="1">
      <c r="A112" s="324" t="e">
        <f t="shared" si="41"/>
        <v>#VALUE!</v>
      </c>
      <c r="F112" s="324" t="e">
        <f t="shared" si="46"/>
        <v>#VALUE!</v>
      </c>
      <c r="G112" s="324">
        <v>36</v>
      </c>
      <c r="H112" s="324" t="e">
        <f t="shared" si="50"/>
        <v>#VALUE!</v>
      </c>
      <c r="I112" s="328" t="e">
        <f t="shared" si="50"/>
        <v>#VALUE!</v>
      </c>
      <c r="J112" s="328" t="str">
        <f>IF(O6="","",O6)</f>
        <v/>
      </c>
      <c r="K112" s="324" t="str">
        <f t="shared" si="47"/>
        <v/>
      </c>
      <c r="M112" s="331" t="e">
        <f t="shared" si="51"/>
        <v>#VALUE!</v>
      </c>
      <c r="N112" s="331" t="e">
        <f t="shared" si="51"/>
        <v>#VALUE!</v>
      </c>
      <c r="O112" s="331" t="e">
        <f t="shared" si="51"/>
        <v>#VALUE!</v>
      </c>
      <c r="P112" s="331" t="e">
        <f t="shared" si="51"/>
        <v>#VALUE!</v>
      </c>
      <c r="Q112" s="331" t="e">
        <f t="shared" si="51"/>
        <v>#VALUE!</v>
      </c>
      <c r="R112" s="331" t="e">
        <f t="shared" si="51"/>
        <v>#VALUE!</v>
      </c>
      <c r="S112" s="331" t="e">
        <f t="shared" si="51"/>
        <v>#VALUE!</v>
      </c>
      <c r="T112" s="331" t="e">
        <f t="shared" si="51"/>
        <v>#VALUE!</v>
      </c>
      <c r="U112" s="338" t="e">
        <f t="shared" si="51"/>
        <v>#VALUE!</v>
      </c>
      <c r="V112" s="338" t="e">
        <f t="shared" si="51"/>
        <v>#VALUE!</v>
      </c>
      <c r="W112" s="324" t="e">
        <f t="shared" si="51"/>
        <v>#VALUE!</v>
      </c>
      <c r="X112" s="324" t="e">
        <f t="shared" si="51"/>
        <v>#VALUE!</v>
      </c>
      <c r="Y112" s="324" t="e">
        <f t="shared" si="51"/>
        <v>#VALUE!</v>
      </c>
      <c r="Z112" s="324" t="e">
        <f t="shared" si="51"/>
        <v>#VALUE!</v>
      </c>
      <c r="AA112" s="324" t="e">
        <f t="shared" si="51"/>
        <v>#VALUE!</v>
      </c>
      <c r="AB112" s="324" t="e">
        <f t="shared" si="51"/>
        <v>#VALUE!</v>
      </c>
      <c r="AC112" s="324" t="e">
        <f t="shared" ref="AC112:AE125" si="52">VLOOKUP($A112,$A$231:$AP$1595,AC$54,FALSE)</f>
        <v>#VALUE!</v>
      </c>
      <c r="AD112" s="324" t="e">
        <f t="shared" si="52"/>
        <v>#VALUE!</v>
      </c>
      <c r="AE112" s="324" t="e">
        <f t="shared" si="52"/>
        <v>#VALUE!</v>
      </c>
    </row>
    <row r="113" spans="1:31" s="324" customFormat="1" ht="0.65" hidden="1" customHeight="1">
      <c r="A113" s="324" t="e">
        <f t="shared" si="41"/>
        <v>#VALUE!</v>
      </c>
      <c r="F113" s="324" t="e">
        <f t="shared" si="46"/>
        <v>#VALUE!</v>
      </c>
      <c r="G113" s="324">
        <v>37</v>
      </c>
      <c r="H113" s="324" t="e">
        <f t="shared" si="50"/>
        <v>#VALUE!</v>
      </c>
      <c r="I113" s="328" t="e">
        <f t="shared" si="50"/>
        <v>#VALUE!</v>
      </c>
      <c r="J113" s="328" t="str">
        <f>IF(O7="","",O7)</f>
        <v/>
      </c>
      <c r="K113" s="324" t="str">
        <f t="shared" si="47"/>
        <v/>
      </c>
      <c r="M113" s="331" t="e">
        <f t="shared" si="51"/>
        <v>#VALUE!</v>
      </c>
      <c r="N113" s="331" t="e">
        <f t="shared" si="51"/>
        <v>#VALUE!</v>
      </c>
      <c r="O113" s="331" t="e">
        <f t="shared" si="51"/>
        <v>#VALUE!</v>
      </c>
      <c r="P113" s="331" t="e">
        <f t="shared" si="51"/>
        <v>#VALUE!</v>
      </c>
      <c r="Q113" s="331" t="e">
        <f t="shared" si="51"/>
        <v>#VALUE!</v>
      </c>
      <c r="R113" s="331" t="e">
        <f t="shared" si="51"/>
        <v>#VALUE!</v>
      </c>
      <c r="S113" s="331" t="e">
        <f t="shared" si="51"/>
        <v>#VALUE!</v>
      </c>
      <c r="T113" s="331" t="e">
        <f t="shared" si="51"/>
        <v>#VALUE!</v>
      </c>
      <c r="U113" s="338" t="e">
        <f t="shared" si="51"/>
        <v>#VALUE!</v>
      </c>
      <c r="V113" s="338" t="e">
        <f t="shared" si="51"/>
        <v>#VALUE!</v>
      </c>
      <c r="W113" s="324" t="e">
        <f t="shared" si="51"/>
        <v>#VALUE!</v>
      </c>
      <c r="X113" s="324" t="e">
        <f t="shared" si="51"/>
        <v>#VALUE!</v>
      </c>
      <c r="Y113" s="324" t="e">
        <f t="shared" si="51"/>
        <v>#VALUE!</v>
      </c>
      <c r="Z113" s="324" t="e">
        <f t="shared" si="51"/>
        <v>#VALUE!</v>
      </c>
      <c r="AA113" s="324" t="e">
        <f t="shared" si="51"/>
        <v>#VALUE!</v>
      </c>
      <c r="AB113" s="324" t="e">
        <f t="shared" si="51"/>
        <v>#VALUE!</v>
      </c>
      <c r="AC113" s="324" t="e">
        <f t="shared" si="52"/>
        <v>#VALUE!</v>
      </c>
      <c r="AD113" s="324" t="e">
        <f t="shared" si="52"/>
        <v>#VALUE!</v>
      </c>
      <c r="AE113" s="324" t="e">
        <f t="shared" si="52"/>
        <v>#VALUE!</v>
      </c>
    </row>
    <row r="114" spans="1:31" s="324" customFormat="1" ht="0.65" hidden="1" customHeight="1">
      <c r="A114" s="324" t="e">
        <f t="shared" si="41"/>
        <v>#VALUE!</v>
      </c>
      <c r="F114" s="324" t="e">
        <f t="shared" si="46"/>
        <v>#VALUE!</v>
      </c>
      <c r="G114" s="324">
        <v>38</v>
      </c>
      <c r="H114" s="328" t="e">
        <f t="shared" si="50"/>
        <v>#VALUE!</v>
      </c>
      <c r="I114" s="328" t="e">
        <f t="shared" si="50"/>
        <v>#VALUE!</v>
      </c>
      <c r="J114" s="328" t="str">
        <f>IF(N11="","",N11)</f>
        <v/>
      </c>
      <c r="K114" s="324" t="str">
        <f t="shared" si="47"/>
        <v/>
      </c>
      <c r="M114" s="331" t="e">
        <f t="shared" si="51"/>
        <v>#VALUE!</v>
      </c>
      <c r="N114" s="331" t="e">
        <f t="shared" si="51"/>
        <v>#VALUE!</v>
      </c>
      <c r="O114" s="331" t="e">
        <f t="shared" si="51"/>
        <v>#VALUE!</v>
      </c>
      <c r="P114" s="331" t="e">
        <f t="shared" si="51"/>
        <v>#VALUE!</v>
      </c>
      <c r="Q114" s="331" t="e">
        <f t="shared" si="51"/>
        <v>#VALUE!</v>
      </c>
      <c r="R114" s="331" t="e">
        <f t="shared" si="51"/>
        <v>#VALUE!</v>
      </c>
      <c r="S114" s="331" t="e">
        <f t="shared" si="51"/>
        <v>#VALUE!</v>
      </c>
      <c r="T114" s="331" t="e">
        <f t="shared" si="51"/>
        <v>#VALUE!</v>
      </c>
      <c r="U114" s="338" t="e">
        <f t="shared" si="51"/>
        <v>#VALUE!</v>
      </c>
      <c r="V114" s="338" t="e">
        <f t="shared" si="51"/>
        <v>#VALUE!</v>
      </c>
      <c r="W114" s="324" t="e">
        <f t="shared" si="51"/>
        <v>#VALUE!</v>
      </c>
      <c r="X114" s="324" t="e">
        <f t="shared" si="51"/>
        <v>#VALUE!</v>
      </c>
      <c r="Y114" s="324" t="e">
        <f t="shared" si="51"/>
        <v>#VALUE!</v>
      </c>
      <c r="Z114" s="324" t="e">
        <f t="shared" si="51"/>
        <v>#VALUE!</v>
      </c>
      <c r="AA114" s="324" t="e">
        <f t="shared" si="51"/>
        <v>#VALUE!</v>
      </c>
      <c r="AB114" s="324" t="e">
        <f t="shared" si="51"/>
        <v>#VALUE!</v>
      </c>
      <c r="AC114" s="324" t="e">
        <f t="shared" si="52"/>
        <v>#VALUE!</v>
      </c>
      <c r="AD114" s="324" t="e">
        <f t="shared" si="52"/>
        <v>#VALUE!</v>
      </c>
      <c r="AE114" s="324" t="e">
        <f t="shared" si="52"/>
        <v>#VALUE!</v>
      </c>
    </row>
    <row r="115" spans="1:31" s="324" customFormat="1" ht="0.65" hidden="1" customHeight="1">
      <c r="A115" s="324" t="e">
        <f t="shared" si="41"/>
        <v>#VALUE!</v>
      </c>
      <c r="F115" s="324" t="e">
        <f t="shared" si="46"/>
        <v>#VALUE!</v>
      </c>
      <c r="G115" s="324">
        <v>39</v>
      </c>
      <c r="H115" s="328" t="e">
        <f t="shared" si="50"/>
        <v>#VALUE!</v>
      </c>
      <c r="I115" s="328" t="e">
        <f t="shared" si="50"/>
        <v>#VALUE!</v>
      </c>
      <c r="J115" s="328" t="str">
        <f>IF(N12="","",N12)</f>
        <v/>
      </c>
      <c r="K115" s="324" t="str">
        <f t="shared" si="47"/>
        <v/>
      </c>
      <c r="M115" s="331" t="e">
        <f t="shared" si="51"/>
        <v>#VALUE!</v>
      </c>
      <c r="N115" s="331" t="e">
        <f t="shared" si="51"/>
        <v>#VALUE!</v>
      </c>
      <c r="O115" s="331" t="e">
        <f t="shared" si="51"/>
        <v>#VALUE!</v>
      </c>
      <c r="P115" s="331" t="e">
        <f t="shared" si="51"/>
        <v>#VALUE!</v>
      </c>
      <c r="Q115" s="331" t="e">
        <f t="shared" si="51"/>
        <v>#VALUE!</v>
      </c>
      <c r="R115" s="331" t="e">
        <f t="shared" si="51"/>
        <v>#VALUE!</v>
      </c>
      <c r="S115" s="331" t="e">
        <f t="shared" si="51"/>
        <v>#VALUE!</v>
      </c>
      <c r="T115" s="331" t="e">
        <f t="shared" si="51"/>
        <v>#VALUE!</v>
      </c>
      <c r="U115" s="338" t="e">
        <f t="shared" si="51"/>
        <v>#VALUE!</v>
      </c>
      <c r="V115" s="338" t="e">
        <f t="shared" si="51"/>
        <v>#VALUE!</v>
      </c>
      <c r="W115" s="324" t="e">
        <f t="shared" si="51"/>
        <v>#VALUE!</v>
      </c>
      <c r="X115" s="324" t="e">
        <f t="shared" si="51"/>
        <v>#VALUE!</v>
      </c>
      <c r="Y115" s="324" t="e">
        <f t="shared" si="51"/>
        <v>#VALUE!</v>
      </c>
      <c r="Z115" s="324" t="e">
        <f t="shared" si="51"/>
        <v>#VALUE!</v>
      </c>
      <c r="AA115" s="324" t="e">
        <f t="shared" si="51"/>
        <v>#VALUE!</v>
      </c>
      <c r="AB115" s="324" t="e">
        <f t="shared" si="51"/>
        <v>#VALUE!</v>
      </c>
      <c r="AC115" s="324" t="e">
        <f t="shared" si="52"/>
        <v>#VALUE!</v>
      </c>
      <c r="AD115" s="324" t="e">
        <f t="shared" si="52"/>
        <v>#VALUE!</v>
      </c>
      <c r="AE115" s="324" t="e">
        <f t="shared" si="52"/>
        <v>#VALUE!</v>
      </c>
    </row>
    <row r="116" spans="1:31" s="324" customFormat="1" ht="0.65" hidden="1" customHeight="1">
      <c r="A116" s="324" t="e">
        <f t="shared" si="41"/>
        <v>#VALUE!</v>
      </c>
      <c r="F116" s="324" t="e">
        <f t="shared" si="46"/>
        <v>#VALUE!</v>
      </c>
      <c r="G116" s="324">
        <v>40</v>
      </c>
      <c r="H116" s="328" t="e">
        <f t="shared" si="50"/>
        <v>#VALUE!</v>
      </c>
      <c r="I116" s="328" t="e">
        <f t="shared" si="50"/>
        <v>#VALUE!</v>
      </c>
      <c r="J116" s="328" t="str">
        <f>IF(N13="","",N13)</f>
        <v/>
      </c>
      <c r="K116" s="324" t="str">
        <f t="shared" si="47"/>
        <v/>
      </c>
      <c r="M116" s="331" t="e">
        <f t="shared" si="51"/>
        <v>#VALUE!</v>
      </c>
      <c r="N116" s="331" t="e">
        <f t="shared" si="51"/>
        <v>#VALUE!</v>
      </c>
      <c r="O116" s="331" t="e">
        <f t="shared" si="51"/>
        <v>#VALUE!</v>
      </c>
      <c r="P116" s="331" t="e">
        <f t="shared" si="51"/>
        <v>#VALUE!</v>
      </c>
      <c r="Q116" s="331" t="e">
        <f t="shared" si="51"/>
        <v>#VALUE!</v>
      </c>
      <c r="R116" s="331" t="e">
        <f t="shared" si="51"/>
        <v>#VALUE!</v>
      </c>
      <c r="S116" s="331" t="e">
        <f t="shared" si="51"/>
        <v>#VALUE!</v>
      </c>
      <c r="T116" s="331" t="e">
        <f t="shared" si="51"/>
        <v>#VALUE!</v>
      </c>
      <c r="U116" s="338" t="e">
        <f t="shared" si="51"/>
        <v>#VALUE!</v>
      </c>
      <c r="V116" s="338" t="e">
        <f t="shared" si="51"/>
        <v>#VALUE!</v>
      </c>
      <c r="W116" s="324" t="e">
        <f t="shared" si="51"/>
        <v>#VALUE!</v>
      </c>
      <c r="X116" s="324" t="e">
        <f t="shared" si="51"/>
        <v>#VALUE!</v>
      </c>
      <c r="Y116" s="324" t="e">
        <f t="shared" si="51"/>
        <v>#VALUE!</v>
      </c>
      <c r="Z116" s="324" t="e">
        <f t="shared" si="51"/>
        <v>#VALUE!</v>
      </c>
      <c r="AA116" s="324" t="e">
        <f t="shared" si="51"/>
        <v>#VALUE!</v>
      </c>
      <c r="AB116" s="324" t="e">
        <f t="shared" si="51"/>
        <v>#VALUE!</v>
      </c>
      <c r="AC116" s="324" t="e">
        <f t="shared" si="52"/>
        <v>#VALUE!</v>
      </c>
      <c r="AD116" s="324" t="e">
        <f t="shared" si="52"/>
        <v>#VALUE!</v>
      </c>
      <c r="AE116" s="324" t="e">
        <f t="shared" si="52"/>
        <v>#VALUE!</v>
      </c>
    </row>
    <row r="117" spans="1:31" s="324" customFormat="1" ht="0.65" hidden="1" customHeight="1">
      <c r="A117" s="324" t="e">
        <f t="shared" si="41"/>
        <v>#VALUE!</v>
      </c>
      <c r="F117" s="324" t="e">
        <f>IF(I117=J117,1,0)</f>
        <v>#VALUE!</v>
      </c>
      <c r="G117" s="324">
        <v>41</v>
      </c>
      <c r="H117" s="324" t="e">
        <f t="shared" si="50"/>
        <v>#VALUE!</v>
      </c>
      <c r="I117" s="328" t="e">
        <f t="shared" si="50"/>
        <v>#VALUE!</v>
      </c>
      <c r="J117" s="328" t="str">
        <f>IF(P4="","",P4)</f>
        <v/>
      </c>
      <c r="K117" s="324" t="str">
        <f t="shared" si="47"/>
        <v/>
      </c>
      <c r="M117" s="331" t="e">
        <f t="shared" si="51"/>
        <v>#VALUE!</v>
      </c>
      <c r="N117" s="331" t="e">
        <f t="shared" si="51"/>
        <v>#VALUE!</v>
      </c>
      <c r="O117" s="331" t="e">
        <f t="shared" si="51"/>
        <v>#VALUE!</v>
      </c>
      <c r="P117" s="331" t="e">
        <f t="shared" si="51"/>
        <v>#VALUE!</v>
      </c>
      <c r="Q117" s="331" t="e">
        <f t="shared" si="51"/>
        <v>#VALUE!</v>
      </c>
      <c r="R117" s="331" t="e">
        <f t="shared" si="51"/>
        <v>#VALUE!</v>
      </c>
      <c r="S117" s="331" t="e">
        <f t="shared" si="51"/>
        <v>#VALUE!</v>
      </c>
      <c r="T117" s="331" t="e">
        <f t="shared" si="51"/>
        <v>#VALUE!</v>
      </c>
      <c r="U117" s="338" t="e">
        <f t="shared" si="51"/>
        <v>#VALUE!</v>
      </c>
      <c r="V117" s="338" t="e">
        <f t="shared" si="51"/>
        <v>#VALUE!</v>
      </c>
      <c r="W117" s="324" t="e">
        <f t="shared" si="51"/>
        <v>#VALUE!</v>
      </c>
      <c r="X117" s="324" t="e">
        <f t="shared" si="51"/>
        <v>#VALUE!</v>
      </c>
      <c r="Y117" s="324" t="e">
        <f t="shared" si="51"/>
        <v>#VALUE!</v>
      </c>
      <c r="Z117" s="324" t="e">
        <f t="shared" si="51"/>
        <v>#VALUE!</v>
      </c>
      <c r="AA117" s="324" t="e">
        <f t="shared" si="51"/>
        <v>#VALUE!</v>
      </c>
      <c r="AB117" s="324" t="e">
        <f t="shared" si="51"/>
        <v>#VALUE!</v>
      </c>
      <c r="AC117" s="324" t="e">
        <f t="shared" si="52"/>
        <v>#VALUE!</v>
      </c>
      <c r="AD117" s="324" t="e">
        <f t="shared" si="52"/>
        <v>#VALUE!</v>
      </c>
      <c r="AE117" s="324" t="e">
        <f t="shared" si="52"/>
        <v>#VALUE!</v>
      </c>
    </row>
    <row r="118" spans="1:31" s="324" customFormat="1" ht="0.65" hidden="1" customHeight="1">
      <c r="A118" s="324" t="e">
        <f t="shared" si="41"/>
        <v>#VALUE!</v>
      </c>
      <c r="F118" s="324" t="e">
        <f>IF(I118=J118,1,0)</f>
        <v>#VALUE!</v>
      </c>
      <c r="G118" s="324">
        <v>42</v>
      </c>
      <c r="H118" s="324" t="e">
        <f t="shared" si="50"/>
        <v>#VALUE!</v>
      </c>
      <c r="I118" s="328" t="e">
        <f t="shared" si="50"/>
        <v>#VALUE!</v>
      </c>
      <c r="J118" s="328" t="str">
        <f>IF(P5="","",P5)</f>
        <v/>
      </c>
      <c r="K118" s="324" t="str">
        <f t="shared" si="47"/>
        <v/>
      </c>
      <c r="M118" s="331" t="e">
        <f t="shared" si="51"/>
        <v>#VALUE!</v>
      </c>
      <c r="N118" s="331" t="e">
        <f t="shared" si="51"/>
        <v>#VALUE!</v>
      </c>
      <c r="O118" s="331" t="e">
        <f t="shared" si="51"/>
        <v>#VALUE!</v>
      </c>
      <c r="P118" s="331" t="e">
        <f t="shared" si="51"/>
        <v>#VALUE!</v>
      </c>
      <c r="Q118" s="331" t="e">
        <f t="shared" si="51"/>
        <v>#VALUE!</v>
      </c>
      <c r="R118" s="331" t="e">
        <f t="shared" si="51"/>
        <v>#VALUE!</v>
      </c>
      <c r="S118" s="331" t="e">
        <f t="shared" si="51"/>
        <v>#VALUE!</v>
      </c>
      <c r="T118" s="331" t="e">
        <f t="shared" si="51"/>
        <v>#VALUE!</v>
      </c>
      <c r="U118" s="338" t="e">
        <f t="shared" si="51"/>
        <v>#VALUE!</v>
      </c>
      <c r="V118" s="338" t="e">
        <f t="shared" si="51"/>
        <v>#VALUE!</v>
      </c>
      <c r="W118" s="324" t="e">
        <f t="shared" si="51"/>
        <v>#VALUE!</v>
      </c>
      <c r="X118" s="324" t="e">
        <f t="shared" si="51"/>
        <v>#VALUE!</v>
      </c>
      <c r="Y118" s="324" t="e">
        <f t="shared" si="51"/>
        <v>#VALUE!</v>
      </c>
      <c r="Z118" s="324" t="e">
        <f t="shared" si="51"/>
        <v>#VALUE!</v>
      </c>
      <c r="AA118" s="324" t="e">
        <f t="shared" si="51"/>
        <v>#VALUE!</v>
      </c>
      <c r="AB118" s="324" t="e">
        <f t="shared" si="51"/>
        <v>#VALUE!</v>
      </c>
      <c r="AC118" s="324" t="e">
        <f t="shared" si="52"/>
        <v>#VALUE!</v>
      </c>
      <c r="AD118" s="324" t="e">
        <f t="shared" si="52"/>
        <v>#VALUE!</v>
      </c>
      <c r="AE118" s="324" t="e">
        <f t="shared" si="52"/>
        <v>#VALUE!</v>
      </c>
    </row>
    <row r="119" spans="1:31" s="324" customFormat="1" ht="0.65" hidden="1" customHeight="1">
      <c r="A119" s="324" t="e">
        <f t="shared" si="41"/>
        <v>#VALUE!</v>
      </c>
      <c r="F119" s="324" t="e">
        <f>IF(I119=J119,1,0)</f>
        <v>#VALUE!</v>
      </c>
      <c r="G119" s="324">
        <v>43</v>
      </c>
      <c r="H119" s="324" t="e">
        <f t="shared" si="50"/>
        <v>#VALUE!</v>
      </c>
      <c r="I119" s="328" t="e">
        <f t="shared" si="50"/>
        <v>#VALUE!</v>
      </c>
      <c r="J119" s="328" t="str">
        <f>IF(P6="","",P6)</f>
        <v/>
      </c>
      <c r="K119" s="324" t="str">
        <f t="shared" si="47"/>
        <v/>
      </c>
      <c r="M119" s="331" t="e">
        <f t="shared" si="51"/>
        <v>#VALUE!</v>
      </c>
      <c r="N119" s="331" t="e">
        <f t="shared" si="51"/>
        <v>#VALUE!</v>
      </c>
      <c r="O119" s="331" t="e">
        <f t="shared" si="51"/>
        <v>#VALUE!</v>
      </c>
      <c r="P119" s="331" t="e">
        <f t="shared" si="51"/>
        <v>#VALUE!</v>
      </c>
      <c r="Q119" s="331" t="e">
        <f t="shared" si="51"/>
        <v>#VALUE!</v>
      </c>
      <c r="R119" s="331" t="e">
        <f t="shared" si="51"/>
        <v>#VALUE!</v>
      </c>
      <c r="S119" s="331" t="e">
        <f t="shared" si="51"/>
        <v>#VALUE!</v>
      </c>
      <c r="T119" s="331" t="e">
        <f t="shared" si="51"/>
        <v>#VALUE!</v>
      </c>
      <c r="U119" s="338" t="e">
        <f t="shared" si="51"/>
        <v>#VALUE!</v>
      </c>
      <c r="V119" s="338" t="e">
        <f t="shared" si="51"/>
        <v>#VALUE!</v>
      </c>
      <c r="W119" s="324" t="e">
        <f t="shared" si="51"/>
        <v>#VALUE!</v>
      </c>
      <c r="X119" s="324" t="e">
        <f t="shared" si="51"/>
        <v>#VALUE!</v>
      </c>
      <c r="Y119" s="324" t="e">
        <f t="shared" si="51"/>
        <v>#VALUE!</v>
      </c>
      <c r="Z119" s="324" t="e">
        <f t="shared" si="51"/>
        <v>#VALUE!</v>
      </c>
      <c r="AA119" s="324" t="e">
        <f t="shared" si="51"/>
        <v>#VALUE!</v>
      </c>
      <c r="AB119" s="324" t="e">
        <f t="shared" si="51"/>
        <v>#VALUE!</v>
      </c>
      <c r="AC119" s="324" t="e">
        <f t="shared" si="52"/>
        <v>#VALUE!</v>
      </c>
      <c r="AD119" s="324" t="e">
        <f t="shared" si="52"/>
        <v>#VALUE!</v>
      </c>
      <c r="AE119" s="324" t="e">
        <f t="shared" si="52"/>
        <v>#VALUE!</v>
      </c>
    </row>
    <row r="120" spans="1:31" s="324" customFormat="1" ht="0.65" hidden="1" customHeight="1">
      <c r="A120" s="324" t="e">
        <f t="shared" si="41"/>
        <v>#VALUE!</v>
      </c>
      <c r="F120" s="324" t="e">
        <f>IF(I120=J120,1,0)</f>
        <v>#VALUE!</v>
      </c>
      <c r="G120" s="324">
        <v>44</v>
      </c>
      <c r="H120" s="324" t="e">
        <f t="shared" si="50"/>
        <v>#VALUE!</v>
      </c>
      <c r="I120" s="328" t="e">
        <f t="shared" si="50"/>
        <v>#VALUE!</v>
      </c>
      <c r="J120" s="328" t="str">
        <f>IF(P7="","",P7)</f>
        <v/>
      </c>
      <c r="K120" s="324" t="str">
        <f t="shared" si="47"/>
        <v/>
      </c>
      <c r="M120" s="331" t="e">
        <f t="shared" si="51"/>
        <v>#VALUE!</v>
      </c>
      <c r="N120" s="331" t="e">
        <f t="shared" si="51"/>
        <v>#VALUE!</v>
      </c>
      <c r="O120" s="331" t="e">
        <f t="shared" si="51"/>
        <v>#VALUE!</v>
      </c>
      <c r="P120" s="331" t="e">
        <f t="shared" si="51"/>
        <v>#VALUE!</v>
      </c>
      <c r="Q120" s="331" t="e">
        <f t="shared" si="51"/>
        <v>#VALUE!</v>
      </c>
      <c r="R120" s="331" t="e">
        <f t="shared" si="51"/>
        <v>#VALUE!</v>
      </c>
      <c r="S120" s="331" t="e">
        <f t="shared" si="51"/>
        <v>#VALUE!</v>
      </c>
      <c r="T120" s="331" t="e">
        <f t="shared" si="51"/>
        <v>#VALUE!</v>
      </c>
      <c r="U120" s="338" t="e">
        <f t="shared" si="51"/>
        <v>#VALUE!</v>
      </c>
      <c r="V120" s="338" t="e">
        <f t="shared" si="51"/>
        <v>#VALUE!</v>
      </c>
      <c r="W120" s="324" t="e">
        <f t="shared" si="51"/>
        <v>#VALUE!</v>
      </c>
      <c r="X120" s="324" t="e">
        <f t="shared" si="51"/>
        <v>#VALUE!</v>
      </c>
      <c r="Y120" s="324" t="e">
        <f t="shared" si="51"/>
        <v>#VALUE!</v>
      </c>
      <c r="Z120" s="324" t="e">
        <f t="shared" si="51"/>
        <v>#VALUE!</v>
      </c>
      <c r="AA120" s="324" t="e">
        <f t="shared" si="51"/>
        <v>#VALUE!</v>
      </c>
      <c r="AB120" s="324" t="e">
        <f t="shared" si="51"/>
        <v>#VALUE!</v>
      </c>
      <c r="AC120" s="324" t="e">
        <f t="shared" si="52"/>
        <v>#VALUE!</v>
      </c>
      <c r="AD120" s="324" t="e">
        <f t="shared" si="52"/>
        <v>#VALUE!</v>
      </c>
      <c r="AE120" s="324" t="e">
        <f t="shared" si="52"/>
        <v>#VALUE!</v>
      </c>
    </row>
    <row r="121" spans="1:31" s="324" customFormat="1" ht="0.65" hidden="1" customHeight="1">
      <c r="A121" s="324" t="e">
        <f t="shared" si="41"/>
        <v>#VALUE!</v>
      </c>
      <c r="F121" s="324" t="e">
        <f t="shared" si="46"/>
        <v>#VALUE!</v>
      </c>
      <c r="G121" s="324">
        <v>45</v>
      </c>
      <c r="H121" s="328" t="e">
        <f t="shared" si="50"/>
        <v>#VALUE!</v>
      </c>
      <c r="I121" s="340" t="e">
        <f t="shared" si="50"/>
        <v>#VALUE!</v>
      </c>
      <c r="J121" s="329" t="str">
        <f>IF(P10="","",P10)</f>
        <v/>
      </c>
      <c r="K121" s="324" t="str">
        <f t="shared" si="47"/>
        <v/>
      </c>
      <c r="M121" s="331" t="e">
        <f t="shared" si="51"/>
        <v>#VALUE!</v>
      </c>
      <c r="N121" s="331" t="e">
        <f t="shared" si="51"/>
        <v>#VALUE!</v>
      </c>
      <c r="O121" s="331" t="e">
        <f t="shared" si="51"/>
        <v>#VALUE!</v>
      </c>
      <c r="P121" s="331" t="e">
        <f t="shared" si="51"/>
        <v>#VALUE!</v>
      </c>
      <c r="Q121" s="331" t="e">
        <f t="shared" si="51"/>
        <v>#VALUE!</v>
      </c>
      <c r="R121" s="331" t="e">
        <f t="shared" si="51"/>
        <v>#VALUE!</v>
      </c>
      <c r="S121" s="331" t="e">
        <f t="shared" si="51"/>
        <v>#VALUE!</v>
      </c>
      <c r="T121" s="331" t="e">
        <f t="shared" si="51"/>
        <v>#VALUE!</v>
      </c>
      <c r="U121" s="338" t="e">
        <f t="shared" si="51"/>
        <v>#VALUE!</v>
      </c>
      <c r="V121" s="338" t="e">
        <f t="shared" si="51"/>
        <v>#VALUE!</v>
      </c>
      <c r="W121" s="324" t="e">
        <f t="shared" si="51"/>
        <v>#VALUE!</v>
      </c>
      <c r="X121" s="324" t="e">
        <f t="shared" si="51"/>
        <v>#VALUE!</v>
      </c>
      <c r="Y121" s="324" t="e">
        <f t="shared" si="51"/>
        <v>#VALUE!</v>
      </c>
      <c r="Z121" s="324" t="e">
        <f t="shared" si="51"/>
        <v>#VALUE!</v>
      </c>
      <c r="AA121" s="324" t="e">
        <f t="shared" si="51"/>
        <v>#VALUE!</v>
      </c>
      <c r="AB121" s="324" t="e">
        <f t="shared" si="51"/>
        <v>#VALUE!</v>
      </c>
      <c r="AC121" s="324" t="e">
        <f t="shared" si="52"/>
        <v>#VALUE!</v>
      </c>
      <c r="AD121" s="324" t="e">
        <f t="shared" si="52"/>
        <v>#VALUE!</v>
      </c>
      <c r="AE121" s="324" t="e">
        <f t="shared" si="52"/>
        <v>#VALUE!</v>
      </c>
    </row>
    <row r="122" spans="1:31" s="324" customFormat="1" ht="0.65" hidden="1" customHeight="1">
      <c r="A122" s="324" t="e">
        <f t="shared" si="41"/>
        <v>#VALUE!</v>
      </c>
      <c r="F122" s="324" t="e">
        <f t="shared" si="46"/>
        <v>#VALUE!</v>
      </c>
      <c r="G122" s="324">
        <v>46</v>
      </c>
      <c r="H122" s="328" t="e">
        <f t="shared" si="50"/>
        <v>#VALUE!</v>
      </c>
      <c r="I122" s="340" t="e">
        <f t="shared" si="50"/>
        <v>#VALUE!</v>
      </c>
      <c r="J122" s="329" t="str">
        <f>IF(P11="","",P11)</f>
        <v/>
      </c>
      <c r="K122" s="324" t="str">
        <f t="shared" si="47"/>
        <v/>
      </c>
      <c r="M122" s="331" t="e">
        <f t="shared" si="51"/>
        <v>#VALUE!</v>
      </c>
      <c r="N122" s="331" t="e">
        <f t="shared" si="51"/>
        <v>#VALUE!</v>
      </c>
      <c r="O122" s="331" t="e">
        <f t="shared" si="51"/>
        <v>#VALUE!</v>
      </c>
      <c r="P122" s="331" t="e">
        <f t="shared" si="51"/>
        <v>#VALUE!</v>
      </c>
      <c r="Q122" s="331" t="e">
        <f t="shared" si="51"/>
        <v>#VALUE!</v>
      </c>
      <c r="R122" s="331" t="e">
        <f t="shared" si="51"/>
        <v>#VALUE!</v>
      </c>
      <c r="S122" s="331" t="e">
        <f t="shared" si="51"/>
        <v>#VALUE!</v>
      </c>
      <c r="T122" s="331" t="e">
        <f t="shared" si="51"/>
        <v>#VALUE!</v>
      </c>
      <c r="U122" s="338" t="e">
        <f t="shared" si="51"/>
        <v>#VALUE!</v>
      </c>
      <c r="V122" s="338" t="e">
        <f t="shared" si="51"/>
        <v>#VALUE!</v>
      </c>
      <c r="W122" s="324" t="e">
        <f t="shared" si="51"/>
        <v>#VALUE!</v>
      </c>
      <c r="X122" s="324" t="e">
        <f t="shared" si="51"/>
        <v>#VALUE!</v>
      </c>
      <c r="Y122" s="324" t="e">
        <f t="shared" si="51"/>
        <v>#VALUE!</v>
      </c>
      <c r="Z122" s="324" t="e">
        <f t="shared" si="51"/>
        <v>#VALUE!</v>
      </c>
      <c r="AA122" s="324" t="e">
        <f t="shared" si="51"/>
        <v>#VALUE!</v>
      </c>
      <c r="AB122" s="324" t="e">
        <f t="shared" si="51"/>
        <v>#VALUE!</v>
      </c>
      <c r="AC122" s="324" t="e">
        <f t="shared" si="52"/>
        <v>#VALUE!</v>
      </c>
      <c r="AD122" s="324" t="e">
        <f t="shared" si="52"/>
        <v>#VALUE!</v>
      </c>
      <c r="AE122" s="324" t="e">
        <f t="shared" si="52"/>
        <v>#VALUE!</v>
      </c>
    </row>
    <row r="123" spans="1:31" s="324" customFormat="1" ht="0.65" hidden="1" customHeight="1">
      <c r="A123" s="324" t="e">
        <f t="shared" si="41"/>
        <v>#VALUE!</v>
      </c>
      <c r="F123" s="324" t="e">
        <f t="shared" si="46"/>
        <v>#VALUE!</v>
      </c>
      <c r="G123" s="324">
        <v>47</v>
      </c>
      <c r="H123" s="328" t="e">
        <f t="shared" si="50"/>
        <v>#VALUE!</v>
      </c>
      <c r="I123" s="340" t="e">
        <f t="shared" si="50"/>
        <v>#VALUE!</v>
      </c>
      <c r="J123" s="329" t="str">
        <f>IF(P12="","",P12)</f>
        <v/>
      </c>
      <c r="K123" s="324" t="str">
        <f t="shared" si="47"/>
        <v/>
      </c>
      <c r="M123" s="331" t="e">
        <f t="shared" si="51"/>
        <v>#VALUE!</v>
      </c>
      <c r="N123" s="331" t="e">
        <f t="shared" si="51"/>
        <v>#VALUE!</v>
      </c>
      <c r="O123" s="331" t="e">
        <f t="shared" si="51"/>
        <v>#VALUE!</v>
      </c>
      <c r="P123" s="331" t="e">
        <f t="shared" si="51"/>
        <v>#VALUE!</v>
      </c>
      <c r="Q123" s="331" t="e">
        <f t="shared" si="51"/>
        <v>#VALUE!</v>
      </c>
      <c r="R123" s="331" t="e">
        <f t="shared" si="51"/>
        <v>#VALUE!</v>
      </c>
      <c r="S123" s="331" t="e">
        <f t="shared" si="51"/>
        <v>#VALUE!</v>
      </c>
      <c r="T123" s="331" t="e">
        <f t="shared" si="51"/>
        <v>#VALUE!</v>
      </c>
      <c r="U123" s="338" t="e">
        <f t="shared" si="51"/>
        <v>#VALUE!</v>
      </c>
      <c r="V123" s="338" t="e">
        <f t="shared" si="51"/>
        <v>#VALUE!</v>
      </c>
      <c r="W123" s="324" t="e">
        <f t="shared" si="51"/>
        <v>#VALUE!</v>
      </c>
      <c r="X123" s="324" t="e">
        <f t="shared" si="51"/>
        <v>#VALUE!</v>
      </c>
      <c r="Y123" s="324" t="e">
        <f t="shared" si="51"/>
        <v>#VALUE!</v>
      </c>
      <c r="Z123" s="324" t="e">
        <f t="shared" si="51"/>
        <v>#VALUE!</v>
      </c>
      <c r="AA123" s="324" t="e">
        <f t="shared" si="51"/>
        <v>#VALUE!</v>
      </c>
      <c r="AB123" s="324" t="e">
        <f t="shared" si="51"/>
        <v>#VALUE!</v>
      </c>
      <c r="AC123" s="324" t="e">
        <f t="shared" si="52"/>
        <v>#VALUE!</v>
      </c>
      <c r="AD123" s="324" t="e">
        <f t="shared" si="52"/>
        <v>#VALUE!</v>
      </c>
      <c r="AE123" s="324" t="e">
        <f t="shared" si="52"/>
        <v>#VALUE!</v>
      </c>
    </row>
    <row r="124" spans="1:31" s="324" customFormat="1" ht="0.65" hidden="1" customHeight="1">
      <c r="A124" s="324" t="e">
        <f t="shared" si="41"/>
        <v>#VALUE!</v>
      </c>
      <c r="F124" s="324" t="e">
        <f t="shared" si="46"/>
        <v>#VALUE!</v>
      </c>
      <c r="G124" s="324">
        <v>48</v>
      </c>
      <c r="H124" s="328" t="e">
        <f t="shared" si="50"/>
        <v>#VALUE!</v>
      </c>
      <c r="I124" s="327" t="e">
        <f t="shared" si="50"/>
        <v>#VALUE!</v>
      </c>
      <c r="J124" s="328" t="str">
        <f>IF(P15="","",P15)</f>
        <v/>
      </c>
      <c r="K124" s="324" t="str">
        <f t="shared" si="47"/>
        <v/>
      </c>
      <c r="M124" s="331" t="e">
        <f t="shared" si="51"/>
        <v>#VALUE!</v>
      </c>
      <c r="N124" s="331" t="e">
        <f t="shared" si="51"/>
        <v>#VALUE!</v>
      </c>
      <c r="O124" s="331" t="e">
        <f t="shared" si="51"/>
        <v>#VALUE!</v>
      </c>
      <c r="P124" s="331" t="e">
        <f t="shared" si="51"/>
        <v>#VALUE!</v>
      </c>
      <c r="Q124" s="331" t="e">
        <f t="shared" si="51"/>
        <v>#VALUE!</v>
      </c>
      <c r="R124" s="331" t="e">
        <f t="shared" si="51"/>
        <v>#VALUE!</v>
      </c>
      <c r="S124" s="331" t="e">
        <f t="shared" si="51"/>
        <v>#VALUE!</v>
      </c>
      <c r="T124" s="331" t="e">
        <f t="shared" si="51"/>
        <v>#VALUE!</v>
      </c>
      <c r="U124" s="338" t="e">
        <f t="shared" si="51"/>
        <v>#VALUE!</v>
      </c>
      <c r="V124" s="338" t="e">
        <f t="shared" si="51"/>
        <v>#VALUE!</v>
      </c>
      <c r="W124" s="324" t="e">
        <f t="shared" si="51"/>
        <v>#VALUE!</v>
      </c>
      <c r="X124" s="324" t="e">
        <f t="shared" si="51"/>
        <v>#VALUE!</v>
      </c>
      <c r="Y124" s="324" t="e">
        <f t="shared" si="51"/>
        <v>#VALUE!</v>
      </c>
      <c r="Z124" s="324" t="e">
        <f t="shared" si="51"/>
        <v>#VALUE!</v>
      </c>
      <c r="AA124" s="324" t="e">
        <f t="shared" si="51"/>
        <v>#VALUE!</v>
      </c>
      <c r="AB124" s="324" t="e">
        <f t="shared" si="51"/>
        <v>#VALUE!</v>
      </c>
      <c r="AC124" s="324" t="e">
        <f t="shared" si="52"/>
        <v>#VALUE!</v>
      </c>
      <c r="AD124" s="324" t="e">
        <f t="shared" si="52"/>
        <v>#VALUE!</v>
      </c>
      <c r="AE124" s="324" t="e">
        <f t="shared" si="52"/>
        <v>#VALUE!</v>
      </c>
    </row>
    <row r="125" spans="1:31" s="324" customFormat="1" ht="0.65" hidden="1" customHeight="1">
      <c r="A125" s="324" t="e">
        <f t="shared" si="41"/>
        <v>#VALUE!</v>
      </c>
      <c r="F125" s="324" t="e">
        <f t="shared" si="46"/>
        <v>#VALUE!</v>
      </c>
      <c r="G125" s="324">
        <v>49</v>
      </c>
      <c r="H125" s="328" t="e">
        <f t="shared" si="50"/>
        <v>#VALUE!</v>
      </c>
      <c r="I125" s="340" t="e">
        <f t="shared" si="50"/>
        <v>#VALUE!</v>
      </c>
      <c r="J125" s="329" t="str">
        <f>IF(P16="","",P16)</f>
        <v/>
      </c>
      <c r="K125" s="324" t="str">
        <f t="shared" si="47"/>
        <v/>
      </c>
      <c r="M125" s="331" t="e">
        <f t="shared" ref="M125:AB125" si="53">VLOOKUP($A125,$A$231:$AP$1595,M$54,FALSE)</f>
        <v>#VALUE!</v>
      </c>
      <c r="N125" s="331" t="e">
        <f t="shared" si="53"/>
        <v>#VALUE!</v>
      </c>
      <c r="O125" s="331" t="e">
        <f t="shared" si="53"/>
        <v>#VALUE!</v>
      </c>
      <c r="P125" s="331" t="e">
        <f t="shared" si="53"/>
        <v>#VALUE!</v>
      </c>
      <c r="Q125" s="331" t="e">
        <f t="shared" si="53"/>
        <v>#VALUE!</v>
      </c>
      <c r="R125" s="331" t="e">
        <f t="shared" si="53"/>
        <v>#VALUE!</v>
      </c>
      <c r="S125" s="331" t="e">
        <f t="shared" si="53"/>
        <v>#VALUE!</v>
      </c>
      <c r="T125" s="331" t="e">
        <f t="shared" si="53"/>
        <v>#VALUE!</v>
      </c>
      <c r="U125" s="338" t="e">
        <f t="shared" si="53"/>
        <v>#VALUE!</v>
      </c>
      <c r="V125" s="338" t="e">
        <f t="shared" si="53"/>
        <v>#VALUE!</v>
      </c>
      <c r="W125" s="324" t="e">
        <f t="shared" si="53"/>
        <v>#VALUE!</v>
      </c>
      <c r="X125" s="324" t="e">
        <f t="shared" si="53"/>
        <v>#VALUE!</v>
      </c>
      <c r="Y125" s="324" t="e">
        <f t="shared" si="53"/>
        <v>#VALUE!</v>
      </c>
      <c r="Z125" s="324" t="e">
        <f t="shared" si="53"/>
        <v>#VALUE!</v>
      </c>
      <c r="AA125" s="324" t="e">
        <f t="shared" si="53"/>
        <v>#VALUE!</v>
      </c>
      <c r="AB125" s="324" t="e">
        <f t="shared" si="53"/>
        <v>#VALUE!</v>
      </c>
      <c r="AC125" s="324" t="e">
        <f t="shared" si="52"/>
        <v>#VALUE!</v>
      </c>
      <c r="AD125" s="324" t="e">
        <f t="shared" si="52"/>
        <v>#VALUE!</v>
      </c>
      <c r="AE125" s="324" t="e">
        <f t="shared" si="52"/>
        <v>#VALUE!</v>
      </c>
    </row>
    <row r="126" spans="1:31" s="324" customFormat="1" ht="0.65" hidden="1" customHeight="1">
      <c r="A126" s="324" t="e">
        <f t="shared" si="41"/>
        <v>#VALUE!</v>
      </c>
      <c r="H126" s="328"/>
      <c r="I126" s="341"/>
      <c r="M126" s="326">
        <v>1</v>
      </c>
      <c r="N126" s="326">
        <v>2</v>
      </c>
      <c r="O126" s="326">
        <v>3</v>
      </c>
      <c r="P126" s="326">
        <v>4</v>
      </c>
      <c r="Q126" s="326">
        <v>5</v>
      </c>
      <c r="R126" s="326">
        <v>6</v>
      </c>
      <c r="S126" s="326">
        <v>7</v>
      </c>
      <c r="T126" s="326">
        <v>8</v>
      </c>
      <c r="U126" s="326">
        <v>9</v>
      </c>
      <c r="V126" s="326">
        <v>10</v>
      </c>
    </row>
    <row r="127" spans="1:31" s="324" customFormat="1" ht="0.65" hidden="1" customHeight="1">
      <c r="A127" s="324" t="e">
        <f t="shared" si="41"/>
        <v>#VALUE!</v>
      </c>
      <c r="H127" s="328"/>
      <c r="I127" s="326"/>
    </row>
    <row r="128" spans="1:31" s="324" customFormat="1" ht="0.65" hidden="1" customHeight="1">
      <c r="A128" s="324" t="e">
        <f t="shared" si="41"/>
        <v>#VALUE!</v>
      </c>
    </row>
    <row r="129" spans="1:42" s="324" customFormat="1" ht="0.65" hidden="1" customHeight="1">
      <c r="A129" s="324" t="e">
        <f t="shared" si="41"/>
        <v>#VALUE!</v>
      </c>
    </row>
    <row r="130" spans="1:42" s="324" customFormat="1" ht="0.65" hidden="1" customHeight="1">
      <c r="A130" s="324" t="e">
        <f t="shared" si="41"/>
        <v>#VALUE!</v>
      </c>
    </row>
    <row r="131" spans="1:42" s="324" customFormat="1" ht="0.65" hidden="1" customHeight="1">
      <c r="A131" s="324" t="e">
        <f t="shared" si="41"/>
        <v>#VALUE!</v>
      </c>
      <c r="U131" s="323"/>
      <c r="V131" s="323"/>
      <c r="W131" s="323"/>
      <c r="X131" s="323"/>
      <c r="Y131" s="323"/>
      <c r="Z131" s="323"/>
      <c r="AA131" s="323"/>
      <c r="AB131" s="323"/>
      <c r="AC131" s="326"/>
      <c r="AE131" s="325"/>
      <c r="AF131" s="325"/>
      <c r="AG131" s="323"/>
      <c r="AH131" s="323"/>
      <c r="AI131" s="323"/>
      <c r="AJ131" s="323"/>
      <c r="AK131" s="323"/>
      <c r="AL131" s="323"/>
      <c r="AM131" s="323"/>
      <c r="AN131" s="323"/>
      <c r="AO131" s="323"/>
      <c r="AP131" s="323"/>
    </row>
    <row r="132" spans="1:42" s="324" customFormat="1" ht="0.65" hidden="1" customHeight="1">
      <c r="A132" s="324" t="e">
        <f t="shared" si="41"/>
        <v>#VALUE!</v>
      </c>
      <c r="U132" s="323"/>
      <c r="V132" s="323"/>
      <c r="W132" s="323"/>
      <c r="X132" s="323"/>
      <c r="Y132" s="323"/>
      <c r="Z132" s="323"/>
      <c r="AA132" s="323"/>
      <c r="AB132" s="323"/>
      <c r="AC132" s="326"/>
      <c r="AE132" s="325"/>
      <c r="AF132" s="325"/>
      <c r="AG132" s="323"/>
      <c r="AH132" s="323"/>
      <c r="AI132" s="323"/>
      <c r="AJ132" s="323"/>
      <c r="AK132" s="323"/>
      <c r="AL132" s="323"/>
      <c r="AM132" s="323"/>
      <c r="AN132" s="323"/>
      <c r="AO132" s="323"/>
      <c r="AP132" s="323"/>
    </row>
    <row r="133" spans="1:42" s="324" customFormat="1" ht="0.65" hidden="1" customHeight="1">
      <c r="A133" s="324" t="e">
        <f t="shared" ref="A133:A196" si="54">1+A132</f>
        <v>#VALUE!</v>
      </c>
      <c r="U133" s="323"/>
      <c r="V133" s="323"/>
      <c r="W133" s="323"/>
      <c r="X133" s="323"/>
      <c r="Y133" s="323"/>
      <c r="Z133" s="323"/>
      <c r="AA133" s="323"/>
      <c r="AB133" s="323"/>
      <c r="AC133" s="326"/>
      <c r="AE133" s="325"/>
      <c r="AF133" s="325"/>
      <c r="AG133" s="323"/>
      <c r="AH133" s="323"/>
      <c r="AI133" s="323"/>
      <c r="AJ133" s="323"/>
      <c r="AK133" s="323"/>
      <c r="AL133" s="323"/>
      <c r="AM133" s="323"/>
      <c r="AN133" s="323"/>
      <c r="AO133" s="323"/>
      <c r="AP133" s="323"/>
    </row>
    <row r="134" spans="1:42" s="324" customFormat="1" ht="0.65" hidden="1" customHeight="1">
      <c r="A134" s="324" t="e">
        <f t="shared" si="54"/>
        <v>#VALUE!</v>
      </c>
      <c r="U134" s="323"/>
      <c r="V134" s="323"/>
      <c r="W134" s="323"/>
      <c r="X134" s="323"/>
      <c r="Y134" s="323"/>
      <c r="Z134" s="323"/>
      <c r="AA134" s="323"/>
      <c r="AB134" s="323"/>
      <c r="AC134" s="326"/>
      <c r="AE134" s="325"/>
      <c r="AF134" s="325"/>
      <c r="AG134" s="323"/>
      <c r="AH134" s="323"/>
      <c r="AI134" s="323"/>
      <c r="AJ134" s="323"/>
      <c r="AK134" s="323"/>
      <c r="AL134" s="323"/>
      <c r="AM134" s="323"/>
      <c r="AN134" s="323"/>
      <c r="AO134" s="323"/>
      <c r="AP134" s="323"/>
    </row>
    <row r="135" spans="1:42" s="324" customFormat="1" ht="0.65" hidden="1" customHeight="1">
      <c r="A135" s="324" t="e">
        <f t="shared" si="54"/>
        <v>#VALUE!</v>
      </c>
      <c r="U135" s="323"/>
      <c r="V135" s="323"/>
      <c r="W135" s="323"/>
      <c r="X135" s="323"/>
      <c r="Y135" s="323"/>
      <c r="Z135" s="323"/>
      <c r="AA135" s="323"/>
      <c r="AB135" s="323"/>
      <c r="AC135" s="326"/>
      <c r="AE135" s="325"/>
      <c r="AF135" s="325"/>
      <c r="AG135" s="323"/>
      <c r="AH135" s="323"/>
      <c r="AI135" s="323"/>
      <c r="AJ135" s="323"/>
      <c r="AK135" s="323"/>
      <c r="AL135" s="323"/>
      <c r="AM135" s="323"/>
      <c r="AN135" s="323"/>
      <c r="AO135" s="323"/>
      <c r="AP135" s="323"/>
    </row>
    <row r="136" spans="1:42" s="324" customFormat="1" ht="0.65" hidden="1" customHeight="1">
      <c r="A136" s="324" t="e">
        <f t="shared" si="54"/>
        <v>#VALUE!</v>
      </c>
      <c r="U136" s="323"/>
      <c r="V136" s="323"/>
      <c r="W136" s="323"/>
      <c r="X136" s="323"/>
      <c r="Y136" s="323"/>
      <c r="Z136" s="323"/>
      <c r="AA136" s="323"/>
      <c r="AB136" s="323"/>
      <c r="AC136" s="326"/>
      <c r="AE136" s="325"/>
      <c r="AF136" s="325"/>
      <c r="AG136" s="323"/>
      <c r="AH136" s="323"/>
      <c r="AI136" s="323"/>
      <c r="AJ136" s="323"/>
      <c r="AK136" s="323"/>
      <c r="AL136" s="323"/>
      <c r="AM136" s="323"/>
      <c r="AN136" s="323"/>
      <c r="AO136" s="323"/>
      <c r="AP136" s="323"/>
    </row>
    <row r="137" spans="1:42" s="324" customFormat="1" ht="0.65" hidden="1" customHeight="1">
      <c r="A137" s="324" t="e">
        <f t="shared" si="54"/>
        <v>#VALUE!</v>
      </c>
      <c r="U137" s="323"/>
      <c r="V137" s="323"/>
      <c r="W137" s="323"/>
      <c r="X137" s="323"/>
      <c r="Y137" s="323"/>
      <c r="Z137" s="323"/>
      <c r="AA137" s="323"/>
      <c r="AB137" s="323"/>
      <c r="AC137" s="326"/>
      <c r="AE137" s="325"/>
      <c r="AF137" s="325"/>
      <c r="AG137" s="323"/>
      <c r="AH137" s="323"/>
      <c r="AI137" s="323"/>
      <c r="AJ137" s="323"/>
      <c r="AK137" s="323"/>
      <c r="AL137" s="323"/>
      <c r="AM137" s="323"/>
      <c r="AN137" s="323"/>
      <c r="AO137" s="323"/>
      <c r="AP137" s="323"/>
    </row>
    <row r="138" spans="1:42" s="324" customFormat="1" ht="0.65" hidden="1" customHeight="1">
      <c r="A138" s="324" t="e">
        <f t="shared" si="54"/>
        <v>#VALUE!</v>
      </c>
      <c r="U138" s="323"/>
      <c r="V138" s="323"/>
      <c r="W138" s="323"/>
      <c r="X138" s="323"/>
      <c r="Y138" s="323"/>
      <c r="Z138" s="323"/>
      <c r="AA138" s="323"/>
      <c r="AB138" s="323"/>
      <c r="AC138" s="326"/>
      <c r="AE138" s="325"/>
      <c r="AF138" s="325"/>
      <c r="AG138" s="323"/>
      <c r="AH138" s="323"/>
      <c r="AI138" s="323"/>
      <c r="AJ138" s="323"/>
      <c r="AK138" s="323"/>
      <c r="AL138" s="323"/>
      <c r="AM138" s="323"/>
      <c r="AN138" s="323"/>
      <c r="AO138" s="323"/>
      <c r="AP138" s="323"/>
    </row>
    <row r="139" spans="1:42" s="324" customFormat="1" ht="0.65" hidden="1" customHeight="1">
      <c r="A139" s="324" t="e">
        <f t="shared" si="54"/>
        <v>#VALUE!</v>
      </c>
      <c r="U139" s="323"/>
      <c r="V139" s="323"/>
      <c r="W139" s="323"/>
      <c r="X139" s="323"/>
      <c r="Y139" s="323"/>
      <c r="Z139" s="323"/>
      <c r="AA139" s="323"/>
      <c r="AB139" s="323"/>
      <c r="AC139" s="326"/>
      <c r="AE139" s="325"/>
      <c r="AF139" s="325"/>
      <c r="AG139" s="323"/>
      <c r="AH139" s="323"/>
      <c r="AI139" s="323"/>
      <c r="AJ139" s="323"/>
      <c r="AK139" s="323"/>
      <c r="AL139" s="323"/>
      <c r="AM139" s="323"/>
      <c r="AN139" s="323"/>
      <c r="AO139" s="323"/>
      <c r="AP139" s="323"/>
    </row>
    <row r="140" spans="1:42" s="324" customFormat="1" ht="0.65" hidden="1" customHeight="1">
      <c r="A140" s="324" t="e">
        <f t="shared" si="54"/>
        <v>#VALUE!</v>
      </c>
      <c r="U140" s="323"/>
      <c r="V140" s="323"/>
      <c r="W140" s="323"/>
      <c r="X140" s="323"/>
      <c r="Y140" s="323"/>
      <c r="Z140" s="323"/>
      <c r="AA140" s="323"/>
      <c r="AB140" s="323"/>
      <c r="AC140" s="326"/>
      <c r="AE140" s="325"/>
      <c r="AF140" s="325"/>
      <c r="AG140" s="323"/>
      <c r="AH140" s="323"/>
      <c r="AI140" s="323"/>
      <c r="AJ140" s="323"/>
      <c r="AK140" s="323"/>
      <c r="AL140" s="323"/>
      <c r="AM140" s="323"/>
      <c r="AN140" s="323"/>
      <c r="AO140" s="323"/>
      <c r="AP140" s="323"/>
    </row>
    <row r="141" spans="1:42" s="324" customFormat="1" ht="0.65" hidden="1" customHeight="1">
      <c r="A141" s="324" t="e">
        <f t="shared" si="54"/>
        <v>#VALUE!</v>
      </c>
      <c r="U141" s="323"/>
      <c r="V141" s="323"/>
      <c r="W141" s="323"/>
      <c r="X141" s="323"/>
      <c r="Y141" s="323"/>
      <c r="Z141" s="323"/>
      <c r="AA141" s="323"/>
      <c r="AB141" s="323"/>
      <c r="AC141" s="326"/>
      <c r="AE141" s="325"/>
      <c r="AF141" s="325"/>
      <c r="AG141" s="323"/>
      <c r="AH141" s="323"/>
      <c r="AI141" s="323"/>
      <c r="AJ141" s="323"/>
      <c r="AK141" s="323"/>
      <c r="AL141" s="323"/>
      <c r="AM141" s="323"/>
      <c r="AN141" s="323"/>
      <c r="AO141" s="323"/>
      <c r="AP141" s="323"/>
    </row>
    <row r="142" spans="1:42" s="324" customFormat="1" ht="0.65" hidden="1" customHeight="1">
      <c r="A142" s="324" t="e">
        <f t="shared" si="54"/>
        <v>#VALUE!</v>
      </c>
      <c r="U142" s="323"/>
      <c r="V142" s="323"/>
      <c r="W142" s="323"/>
      <c r="X142" s="323"/>
      <c r="Y142" s="323"/>
      <c r="Z142" s="323"/>
      <c r="AA142" s="323"/>
      <c r="AB142" s="323"/>
      <c r="AC142" s="326"/>
      <c r="AE142" s="325"/>
      <c r="AF142" s="325"/>
      <c r="AG142" s="323"/>
      <c r="AH142" s="323"/>
      <c r="AI142" s="323"/>
      <c r="AJ142" s="323"/>
      <c r="AK142" s="323"/>
      <c r="AL142" s="323"/>
      <c r="AM142" s="323"/>
      <c r="AN142" s="323"/>
      <c r="AO142" s="323"/>
      <c r="AP142" s="323"/>
    </row>
    <row r="143" spans="1:42" s="324" customFormat="1" ht="0.65" hidden="1" customHeight="1">
      <c r="A143" s="324" t="e">
        <f t="shared" si="54"/>
        <v>#VALUE!</v>
      </c>
      <c r="U143" s="323"/>
      <c r="V143" s="323"/>
      <c r="W143" s="323"/>
      <c r="X143" s="323"/>
      <c r="Y143" s="323"/>
      <c r="Z143" s="323"/>
      <c r="AA143" s="323"/>
      <c r="AB143" s="323"/>
      <c r="AC143" s="326"/>
      <c r="AE143" s="325"/>
      <c r="AF143" s="325"/>
      <c r="AG143" s="323"/>
      <c r="AH143" s="323"/>
      <c r="AI143" s="323"/>
      <c r="AJ143" s="323"/>
      <c r="AK143" s="323"/>
      <c r="AL143" s="323"/>
      <c r="AM143" s="323"/>
      <c r="AN143" s="323"/>
      <c r="AO143" s="323"/>
      <c r="AP143" s="323"/>
    </row>
    <row r="144" spans="1:42" s="324" customFormat="1" ht="0.65" hidden="1" customHeight="1">
      <c r="A144" s="324" t="e">
        <f t="shared" si="54"/>
        <v>#VALUE!</v>
      </c>
      <c r="U144" s="323"/>
      <c r="V144" s="323"/>
      <c r="W144" s="323"/>
      <c r="X144" s="323"/>
      <c r="Y144" s="323"/>
      <c r="Z144" s="323"/>
      <c r="AA144" s="323"/>
      <c r="AB144" s="323"/>
      <c r="AC144" s="326"/>
      <c r="AE144" s="325"/>
      <c r="AF144" s="325"/>
      <c r="AG144" s="323"/>
      <c r="AH144" s="323"/>
      <c r="AI144" s="323"/>
      <c r="AJ144" s="323"/>
      <c r="AK144" s="323"/>
      <c r="AL144" s="323"/>
      <c r="AM144" s="323"/>
      <c r="AN144" s="323"/>
      <c r="AO144" s="323"/>
      <c r="AP144" s="323"/>
    </row>
    <row r="145" spans="1:42" s="324" customFormat="1" ht="0.65" hidden="1" customHeight="1">
      <c r="A145" s="324" t="e">
        <f t="shared" si="54"/>
        <v>#VALUE!</v>
      </c>
      <c r="U145" s="323"/>
      <c r="V145" s="323"/>
      <c r="W145" s="323"/>
      <c r="X145" s="323"/>
      <c r="Y145" s="323"/>
      <c r="Z145" s="323"/>
      <c r="AA145" s="323"/>
      <c r="AB145" s="323"/>
      <c r="AC145" s="326"/>
      <c r="AE145" s="325"/>
      <c r="AF145" s="325"/>
      <c r="AG145" s="323"/>
      <c r="AH145" s="323"/>
      <c r="AI145" s="323"/>
      <c r="AJ145" s="323"/>
      <c r="AK145" s="323"/>
      <c r="AL145" s="323"/>
      <c r="AM145" s="323"/>
      <c r="AN145" s="323"/>
      <c r="AO145" s="323"/>
      <c r="AP145" s="323"/>
    </row>
    <row r="146" spans="1:42" s="324" customFormat="1" ht="0.65" hidden="1" customHeight="1">
      <c r="A146" s="324" t="e">
        <f t="shared" si="54"/>
        <v>#VALUE!</v>
      </c>
      <c r="U146" s="324" t="e">
        <f>CONCATENATE("Problema predefinido nº ",#REF!)</f>
        <v>#REF!</v>
      </c>
    </row>
    <row r="147" spans="1:42" s="324" customFormat="1" ht="0.65" hidden="1" customHeight="1">
      <c r="A147" s="324" t="e">
        <f t="shared" si="54"/>
        <v>#VALUE!</v>
      </c>
      <c r="G147" s="327" t="s">
        <v>0</v>
      </c>
      <c r="H147" s="335" t="s">
        <v>69</v>
      </c>
      <c r="I147" s="335" t="s">
        <v>70</v>
      </c>
      <c r="J147" s="335" t="s">
        <v>71</v>
      </c>
      <c r="K147" s="335" t="s">
        <v>72</v>
      </c>
      <c r="L147" s="335" t="s">
        <v>73</v>
      </c>
      <c r="M147" s="335" t="s">
        <v>74</v>
      </c>
      <c r="N147" s="335" t="s">
        <v>75</v>
      </c>
      <c r="O147" s="335" t="s">
        <v>80</v>
      </c>
      <c r="P147" s="335" t="s">
        <v>1</v>
      </c>
      <c r="V147" s="326" t="s">
        <v>182</v>
      </c>
      <c r="W147" s="326" t="s">
        <v>183</v>
      </c>
      <c r="X147" s="326" t="s">
        <v>184</v>
      </c>
      <c r="Y147" s="326" t="s">
        <v>185</v>
      </c>
      <c r="AB147" s="326"/>
    </row>
    <row r="148" spans="1:42" s="324" customFormat="1" ht="0.65" hidden="1" customHeight="1">
      <c r="A148" s="324" t="e">
        <f t="shared" si="54"/>
        <v>#VALUE!</v>
      </c>
      <c r="G148" s="336" t="e">
        <f t="shared" ref="G148:P151" si="55">VLOOKUP($A148,$A$231:$AP$1595,G$54,FALSE)</f>
        <v>#VALUE!</v>
      </c>
      <c r="H148" s="324" t="e">
        <f t="shared" si="55"/>
        <v>#VALUE!</v>
      </c>
      <c r="I148" s="324" t="e">
        <f t="shared" si="55"/>
        <v>#VALUE!</v>
      </c>
      <c r="J148" s="324" t="e">
        <f t="shared" si="55"/>
        <v>#VALUE!</v>
      </c>
      <c r="K148" s="324" t="e">
        <f t="shared" si="55"/>
        <v>#VALUE!</v>
      </c>
      <c r="L148" s="324" t="e">
        <f t="shared" si="55"/>
        <v>#VALUE!</v>
      </c>
      <c r="M148" s="324" t="e">
        <f t="shared" si="55"/>
        <v>#VALUE!</v>
      </c>
      <c r="N148" s="324" t="e">
        <f t="shared" si="55"/>
        <v>#VALUE!</v>
      </c>
      <c r="O148" s="328" t="e">
        <f t="shared" si="55"/>
        <v>#VALUE!</v>
      </c>
      <c r="P148" s="328" t="e">
        <f t="shared" si="55"/>
        <v>#VALUE!</v>
      </c>
      <c r="T148" s="324">
        <v>1</v>
      </c>
      <c r="U148" s="324" t="s">
        <v>153</v>
      </c>
      <c r="V148" s="326" t="e">
        <f t="shared" ref="V148:Z166" si="56">VLOOKUP($A148,$A$231:$AP$1595,V$54,FALSE)</f>
        <v>#VALUE!</v>
      </c>
      <c r="W148" s="342" t="e">
        <f t="shared" si="56"/>
        <v>#VALUE!</v>
      </c>
      <c r="X148" s="342" t="e">
        <f t="shared" si="56"/>
        <v>#VALUE!</v>
      </c>
      <c r="Y148" s="342" t="e">
        <f t="shared" si="56"/>
        <v>#VALUE!</v>
      </c>
      <c r="Z148" s="342"/>
      <c r="AA148" s="328" t="e">
        <f t="shared" ref="AA148:AF166" si="57">VLOOKUP($A148,$A$231:$AP$1595,AA$54,FALSE)</f>
        <v>#VALUE!</v>
      </c>
      <c r="AB148" s="324" t="e">
        <f t="shared" si="57"/>
        <v>#VALUE!</v>
      </c>
      <c r="AD148" s="328" t="e">
        <f t="shared" si="57"/>
        <v>#VALUE!</v>
      </c>
      <c r="AE148" s="342" t="e">
        <f t="shared" si="57"/>
        <v>#VALUE!</v>
      </c>
      <c r="AF148" s="328" t="e">
        <f t="shared" si="57"/>
        <v>#VALUE!</v>
      </c>
    </row>
    <row r="149" spans="1:42" s="324" customFormat="1" ht="0.65" hidden="1" customHeight="1">
      <c r="A149" s="324" t="e">
        <f t="shared" si="54"/>
        <v>#VALUE!</v>
      </c>
      <c r="G149" s="336" t="e">
        <f t="shared" si="55"/>
        <v>#VALUE!</v>
      </c>
      <c r="H149" s="328" t="e">
        <f t="shared" si="55"/>
        <v>#VALUE!</v>
      </c>
      <c r="I149" s="328" t="e">
        <f t="shared" si="55"/>
        <v>#VALUE!</v>
      </c>
      <c r="J149" s="328" t="e">
        <f t="shared" si="55"/>
        <v>#VALUE!</v>
      </c>
      <c r="K149" s="328" t="e">
        <f t="shared" si="55"/>
        <v>#VALUE!</v>
      </c>
      <c r="L149" s="328" t="e">
        <f t="shared" si="55"/>
        <v>#VALUE!</v>
      </c>
      <c r="M149" s="328" t="e">
        <f t="shared" si="55"/>
        <v>#VALUE!</v>
      </c>
      <c r="N149" s="328" t="e">
        <f t="shared" si="55"/>
        <v>#VALUE!</v>
      </c>
      <c r="O149" s="328" t="e">
        <f t="shared" si="55"/>
        <v>#VALUE!</v>
      </c>
      <c r="P149" s="328" t="e">
        <f t="shared" si="55"/>
        <v>#VALUE!</v>
      </c>
      <c r="T149" s="324">
        <v>2</v>
      </c>
      <c r="U149" s="324" t="s">
        <v>154</v>
      </c>
      <c r="V149" s="326" t="e">
        <f t="shared" si="56"/>
        <v>#VALUE!</v>
      </c>
      <c r="W149" s="342" t="e">
        <f t="shared" si="56"/>
        <v>#VALUE!</v>
      </c>
      <c r="X149" s="342" t="e">
        <f t="shared" si="56"/>
        <v>#VALUE!</v>
      </c>
      <c r="Y149" s="342" t="e">
        <f t="shared" si="56"/>
        <v>#VALUE!</v>
      </c>
      <c r="AA149" s="328" t="e">
        <f t="shared" si="57"/>
        <v>#VALUE!</v>
      </c>
      <c r="AB149" s="324" t="e">
        <f t="shared" si="57"/>
        <v>#VALUE!</v>
      </c>
      <c r="AD149" s="328" t="e">
        <f t="shared" si="57"/>
        <v>#VALUE!</v>
      </c>
      <c r="AF149" s="328" t="e">
        <f t="shared" si="57"/>
        <v>#VALUE!</v>
      </c>
    </row>
    <row r="150" spans="1:42" s="324" customFormat="1" ht="0.65" hidden="1" customHeight="1">
      <c r="A150" s="324" t="e">
        <f t="shared" si="54"/>
        <v>#VALUE!</v>
      </c>
      <c r="G150" s="336" t="e">
        <f t="shared" si="55"/>
        <v>#VALUE!</v>
      </c>
      <c r="H150" s="328" t="e">
        <f t="shared" si="55"/>
        <v>#VALUE!</v>
      </c>
      <c r="I150" s="328" t="e">
        <f t="shared" si="55"/>
        <v>#VALUE!</v>
      </c>
      <c r="J150" s="328" t="e">
        <f t="shared" si="55"/>
        <v>#VALUE!</v>
      </c>
      <c r="K150" s="328" t="e">
        <f t="shared" si="55"/>
        <v>#VALUE!</v>
      </c>
      <c r="L150" s="328" t="e">
        <f t="shared" si="55"/>
        <v>#VALUE!</v>
      </c>
      <c r="M150" s="328" t="e">
        <f t="shared" si="55"/>
        <v>#VALUE!</v>
      </c>
      <c r="N150" s="328" t="e">
        <f t="shared" si="55"/>
        <v>#VALUE!</v>
      </c>
      <c r="O150" s="328" t="e">
        <f t="shared" si="55"/>
        <v>#VALUE!</v>
      </c>
      <c r="P150" s="328" t="e">
        <f t="shared" si="55"/>
        <v>#VALUE!</v>
      </c>
      <c r="T150" s="324">
        <v>3</v>
      </c>
      <c r="U150" s="324" t="s">
        <v>155</v>
      </c>
      <c r="V150" s="326" t="e">
        <f t="shared" si="56"/>
        <v>#VALUE!</v>
      </c>
      <c r="W150" s="342" t="e">
        <f t="shared" si="56"/>
        <v>#VALUE!</v>
      </c>
      <c r="X150" s="342" t="e">
        <f t="shared" si="56"/>
        <v>#VALUE!</v>
      </c>
      <c r="Y150" s="342" t="e">
        <f t="shared" si="56"/>
        <v>#VALUE!</v>
      </c>
      <c r="AA150" s="328" t="e">
        <f t="shared" si="57"/>
        <v>#VALUE!</v>
      </c>
      <c r="AB150" s="324" t="e">
        <f t="shared" si="57"/>
        <v>#VALUE!</v>
      </c>
      <c r="AD150" s="328" t="e">
        <f t="shared" si="57"/>
        <v>#VALUE!</v>
      </c>
      <c r="AF150" s="328" t="e">
        <f t="shared" si="57"/>
        <v>#VALUE!</v>
      </c>
    </row>
    <row r="151" spans="1:42" s="324" customFormat="1" ht="0.65" hidden="1" customHeight="1">
      <c r="A151" s="324" t="e">
        <f t="shared" si="54"/>
        <v>#VALUE!</v>
      </c>
      <c r="G151" s="336" t="e">
        <f t="shared" si="55"/>
        <v>#VALUE!</v>
      </c>
      <c r="H151" s="328" t="e">
        <f t="shared" si="55"/>
        <v>#VALUE!</v>
      </c>
      <c r="I151" s="328" t="e">
        <f t="shared" si="55"/>
        <v>#VALUE!</v>
      </c>
      <c r="J151" s="328" t="e">
        <f t="shared" si="55"/>
        <v>#VALUE!</v>
      </c>
      <c r="K151" s="328" t="e">
        <f t="shared" si="55"/>
        <v>#VALUE!</v>
      </c>
      <c r="L151" s="328" t="e">
        <f t="shared" si="55"/>
        <v>#VALUE!</v>
      </c>
      <c r="M151" s="328" t="e">
        <f t="shared" si="55"/>
        <v>#VALUE!</v>
      </c>
      <c r="N151" s="328" t="e">
        <f t="shared" si="55"/>
        <v>#VALUE!</v>
      </c>
      <c r="O151" s="328" t="e">
        <f t="shared" si="55"/>
        <v>#VALUE!</v>
      </c>
      <c r="P151" s="328" t="e">
        <f t="shared" si="55"/>
        <v>#VALUE!</v>
      </c>
      <c r="T151" s="324">
        <v>4</v>
      </c>
      <c r="U151" s="324" t="s">
        <v>156</v>
      </c>
      <c r="V151" s="326" t="e">
        <f t="shared" si="56"/>
        <v>#VALUE!</v>
      </c>
      <c r="W151" s="342" t="e">
        <f t="shared" si="56"/>
        <v>#VALUE!</v>
      </c>
      <c r="X151" s="342" t="e">
        <f t="shared" si="56"/>
        <v>#VALUE!</v>
      </c>
      <c r="Y151" s="342" t="e">
        <f t="shared" si="56"/>
        <v>#VALUE!</v>
      </c>
      <c r="AA151" s="328" t="e">
        <f t="shared" si="57"/>
        <v>#VALUE!</v>
      </c>
      <c r="AB151" s="324" t="e">
        <f t="shared" si="57"/>
        <v>#VALUE!</v>
      </c>
      <c r="AD151" s="328" t="e">
        <f t="shared" si="57"/>
        <v>#VALUE!</v>
      </c>
      <c r="AF151" s="328" t="e">
        <f t="shared" si="57"/>
        <v>#VALUE!</v>
      </c>
    </row>
    <row r="152" spans="1:42" s="324" customFormat="1" ht="0.65" hidden="1" customHeight="1">
      <c r="A152" s="324" t="e">
        <f t="shared" si="54"/>
        <v>#VALUE!</v>
      </c>
      <c r="O152" s="328"/>
      <c r="P152" s="328"/>
      <c r="T152" s="324">
        <v>5</v>
      </c>
      <c r="U152" s="324" t="s">
        <v>157</v>
      </c>
      <c r="V152" s="326" t="e">
        <f t="shared" si="56"/>
        <v>#VALUE!</v>
      </c>
      <c r="W152" s="342" t="e">
        <f t="shared" si="56"/>
        <v>#VALUE!</v>
      </c>
      <c r="X152" s="342" t="e">
        <f t="shared" si="56"/>
        <v>#VALUE!</v>
      </c>
      <c r="Y152" s="342" t="e">
        <f t="shared" si="56"/>
        <v>#VALUE!</v>
      </c>
      <c r="AA152" s="328" t="e">
        <f t="shared" si="57"/>
        <v>#VALUE!</v>
      </c>
      <c r="AB152" s="324" t="e">
        <f t="shared" si="57"/>
        <v>#VALUE!</v>
      </c>
      <c r="AD152" s="324" t="e">
        <f t="shared" si="57"/>
        <v>#VALUE!</v>
      </c>
      <c r="AF152" s="324" t="e">
        <f t="shared" si="57"/>
        <v>#VALUE!</v>
      </c>
    </row>
    <row r="153" spans="1:42" s="324" customFormat="1" ht="0.65" hidden="1" customHeight="1">
      <c r="A153" s="324" t="e">
        <f t="shared" si="54"/>
        <v>#VALUE!</v>
      </c>
      <c r="G153" s="327" t="s">
        <v>0</v>
      </c>
      <c r="H153" s="335" t="s">
        <v>76</v>
      </c>
      <c r="I153" s="335" t="s">
        <v>77</v>
      </c>
      <c r="J153" s="335" t="s">
        <v>78</v>
      </c>
      <c r="K153" s="335" t="s">
        <v>79</v>
      </c>
      <c r="T153" s="324">
        <v>6</v>
      </c>
      <c r="U153" s="324" t="s">
        <v>158</v>
      </c>
      <c r="V153" s="326" t="e">
        <f t="shared" si="56"/>
        <v>#VALUE!</v>
      </c>
      <c r="W153" s="342" t="e">
        <f t="shared" si="56"/>
        <v>#VALUE!</v>
      </c>
      <c r="X153" s="342" t="e">
        <f t="shared" si="56"/>
        <v>#VALUE!</v>
      </c>
      <c r="Y153" s="342" t="e">
        <f t="shared" si="56"/>
        <v>#VALUE!</v>
      </c>
      <c r="AA153" s="342" t="e">
        <f t="shared" si="57"/>
        <v>#VALUE!</v>
      </c>
      <c r="AB153" s="324" t="e">
        <f t="shared" si="57"/>
        <v>#VALUE!</v>
      </c>
      <c r="AD153" s="342" t="e">
        <f t="shared" si="57"/>
        <v>#VALUE!</v>
      </c>
      <c r="AF153" s="342" t="e">
        <f t="shared" si="57"/>
        <v>#VALUE!</v>
      </c>
    </row>
    <row r="154" spans="1:42" s="324" customFormat="1" ht="0.65" hidden="1" customHeight="1">
      <c r="A154" s="324" t="e">
        <f t="shared" si="54"/>
        <v>#VALUE!</v>
      </c>
      <c r="G154" s="336" t="e">
        <f t="shared" ref="G154:K157" si="58">VLOOKUP($A154,$A$231:$AP$1595,G$54,FALSE)</f>
        <v>#VALUE!</v>
      </c>
      <c r="H154" s="328" t="e">
        <f t="shared" si="58"/>
        <v>#VALUE!</v>
      </c>
      <c r="I154" s="328" t="e">
        <f t="shared" si="58"/>
        <v>#VALUE!</v>
      </c>
      <c r="J154" s="328" t="e">
        <f t="shared" si="58"/>
        <v>#VALUE!</v>
      </c>
      <c r="K154" s="328" t="e">
        <f t="shared" si="58"/>
        <v>#VALUE!</v>
      </c>
      <c r="M154" s="328" t="e">
        <f t="shared" ref="M154:P157" si="59">VLOOKUP($A154,$A$231:$AP$1595,M$54,FALSE)</f>
        <v>#VALUE!</v>
      </c>
      <c r="N154" s="328" t="e">
        <f t="shared" si="59"/>
        <v>#VALUE!</v>
      </c>
      <c r="O154" s="337" t="s">
        <v>124</v>
      </c>
      <c r="P154" s="340" t="e">
        <f t="shared" si="59"/>
        <v>#VALUE!</v>
      </c>
      <c r="T154" s="324">
        <v>7</v>
      </c>
      <c r="U154" s="324" t="s">
        <v>159</v>
      </c>
      <c r="V154" s="326" t="e">
        <f t="shared" si="56"/>
        <v>#VALUE!</v>
      </c>
      <c r="W154" s="342" t="e">
        <f t="shared" si="56"/>
        <v>#VALUE!</v>
      </c>
      <c r="X154" s="342" t="e">
        <f t="shared" si="56"/>
        <v>#VALUE!</v>
      </c>
      <c r="Y154" s="342" t="e">
        <f t="shared" si="56"/>
        <v>#VALUE!</v>
      </c>
      <c r="AA154" s="342" t="e">
        <f t="shared" si="57"/>
        <v>#VALUE!</v>
      </c>
      <c r="AB154" s="324" t="e">
        <f t="shared" si="57"/>
        <v>#VALUE!</v>
      </c>
      <c r="AD154" s="324" t="e">
        <f t="shared" si="57"/>
        <v>#VALUE!</v>
      </c>
      <c r="AF154" s="342" t="e">
        <f t="shared" si="57"/>
        <v>#VALUE!</v>
      </c>
    </row>
    <row r="155" spans="1:42" s="324" customFormat="1" ht="0.65" hidden="1" customHeight="1">
      <c r="A155" s="324" t="e">
        <f t="shared" si="54"/>
        <v>#VALUE!</v>
      </c>
      <c r="G155" s="336" t="e">
        <f t="shared" si="58"/>
        <v>#VALUE!</v>
      </c>
      <c r="H155" s="328" t="e">
        <f t="shared" si="58"/>
        <v>#VALUE!</v>
      </c>
      <c r="I155" s="328" t="e">
        <f t="shared" si="58"/>
        <v>#VALUE!</v>
      </c>
      <c r="J155" s="328" t="e">
        <f t="shared" si="58"/>
        <v>#VALUE!</v>
      </c>
      <c r="K155" s="328" t="e">
        <f t="shared" si="58"/>
        <v>#VALUE!</v>
      </c>
      <c r="M155" s="328" t="e">
        <f t="shared" si="59"/>
        <v>#VALUE!</v>
      </c>
      <c r="N155" s="328" t="e">
        <f t="shared" si="59"/>
        <v>#VALUE!</v>
      </c>
      <c r="O155" s="337" t="s">
        <v>125</v>
      </c>
      <c r="P155" s="340" t="e">
        <f t="shared" si="59"/>
        <v>#VALUE!</v>
      </c>
      <c r="T155" s="324">
        <v>8</v>
      </c>
      <c r="U155" s="324" t="s">
        <v>160</v>
      </c>
      <c r="V155" s="326" t="e">
        <f t="shared" si="56"/>
        <v>#VALUE!</v>
      </c>
      <c r="W155" s="342" t="e">
        <f t="shared" si="56"/>
        <v>#VALUE!</v>
      </c>
      <c r="X155" s="342" t="e">
        <f t="shared" si="56"/>
        <v>#VALUE!</v>
      </c>
      <c r="Y155" s="342" t="e">
        <f t="shared" si="56"/>
        <v>#VALUE!</v>
      </c>
      <c r="AA155" s="328" t="e">
        <f t="shared" si="57"/>
        <v>#VALUE!</v>
      </c>
      <c r="AB155" s="324" t="e">
        <f t="shared" si="57"/>
        <v>#VALUE!</v>
      </c>
      <c r="AD155" s="324" t="e">
        <f t="shared" si="57"/>
        <v>#VALUE!</v>
      </c>
    </row>
    <row r="156" spans="1:42" s="324" customFormat="1" ht="0.65" hidden="1" customHeight="1">
      <c r="A156" s="324" t="e">
        <f t="shared" si="54"/>
        <v>#VALUE!</v>
      </c>
      <c r="G156" s="336" t="e">
        <f t="shared" si="58"/>
        <v>#VALUE!</v>
      </c>
      <c r="H156" s="328" t="e">
        <f t="shared" si="58"/>
        <v>#VALUE!</v>
      </c>
      <c r="I156" s="328" t="e">
        <f t="shared" si="58"/>
        <v>#VALUE!</v>
      </c>
      <c r="J156" s="328" t="e">
        <f t="shared" si="58"/>
        <v>#VALUE!</v>
      </c>
      <c r="K156" s="328" t="e">
        <f t="shared" si="58"/>
        <v>#VALUE!</v>
      </c>
      <c r="M156" s="328" t="e">
        <f t="shared" si="59"/>
        <v>#VALUE!</v>
      </c>
      <c r="N156" s="328" t="e">
        <f t="shared" si="59"/>
        <v>#VALUE!</v>
      </c>
      <c r="O156" s="337" t="s">
        <v>126</v>
      </c>
      <c r="P156" s="340" t="e">
        <f t="shared" si="59"/>
        <v>#VALUE!</v>
      </c>
      <c r="T156" s="324">
        <v>9</v>
      </c>
      <c r="U156" s="324" t="s">
        <v>161</v>
      </c>
      <c r="V156" s="326" t="e">
        <f t="shared" si="56"/>
        <v>#VALUE!</v>
      </c>
      <c r="W156" s="342" t="e">
        <f t="shared" si="56"/>
        <v>#VALUE!</v>
      </c>
      <c r="X156" s="342" t="e">
        <f t="shared" si="56"/>
        <v>#VALUE!</v>
      </c>
      <c r="Y156" s="342" t="e">
        <f t="shared" si="56"/>
        <v>#VALUE!</v>
      </c>
      <c r="AA156" s="324" t="e">
        <f t="shared" si="57"/>
        <v>#VALUE!</v>
      </c>
      <c r="AB156" s="324" t="e">
        <f t="shared" si="57"/>
        <v>#VALUE!</v>
      </c>
      <c r="AD156" s="328" t="e">
        <f t="shared" si="57"/>
        <v>#VALUE!</v>
      </c>
    </row>
    <row r="157" spans="1:42" s="324" customFormat="1" ht="0.65" hidden="1" customHeight="1">
      <c r="A157" s="324" t="e">
        <f t="shared" si="54"/>
        <v>#VALUE!</v>
      </c>
      <c r="G157" s="336" t="e">
        <f t="shared" si="58"/>
        <v>#VALUE!</v>
      </c>
      <c r="H157" s="328" t="e">
        <f t="shared" si="58"/>
        <v>#VALUE!</v>
      </c>
      <c r="I157" s="328" t="e">
        <f t="shared" si="58"/>
        <v>#VALUE!</v>
      </c>
      <c r="J157" s="328" t="e">
        <f t="shared" si="58"/>
        <v>#VALUE!</v>
      </c>
      <c r="K157" s="328" t="e">
        <f t="shared" si="58"/>
        <v>#VALUE!</v>
      </c>
      <c r="M157" s="328" t="e">
        <f t="shared" si="59"/>
        <v>#VALUE!</v>
      </c>
      <c r="N157" s="328" t="e">
        <f t="shared" si="59"/>
        <v>#VALUE!</v>
      </c>
      <c r="T157" s="324">
        <v>10</v>
      </c>
      <c r="U157" s="324" t="s">
        <v>162</v>
      </c>
      <c r="V157" s="326" t="e">
        <f t="shared" si="56"/>
        <v>#VALUE!</v>
      </c>
      <c r="W157" s="342" t="e">
        <f t="shared" si="56"/>
        <v>#VALUE!</v>
      </c>
      <c r="X157" s="342" t="e">
        <f t="shared" si="56"/>
        <v>#VALUE!</v>
      </c>
      <c r="Y157" s="342" t="e">
        <f t="shared" si="56"/>
        <v>#VALUE!</v>
      </c>
      <c r="AA157" s="324" t="e">
        <f t="shared" si="57"/>
        <v>#VALUE!</v>
      </c>
      <c r="AB157" s="324" t="e">
        <f t="shared" si="57"/>
        <v>#VALUE!</v>
      </c>
      <c r="AD157" s="328" t="e">
        <f t="shared" si="57"/>
        <v>#VALUE!</v>
      </c>
    </row>
    <row r="158" spans="1:42" s="324" customFormat="1" ht="0.65" hidden="1" customHeight="1">
      <c r="A158" s="324" t="e">
        <f t="shared" si="54"/>
        <v>#VALUE!</v>
      </c>
      <c r="T158" s="324">
        <v>11</v>
      </c>
      <c r="U158" s="324" t="s">
        <v>163</v>
      </c>
      <c r="V158" s="326" t="e">
        <f t="shared" si="56"/>
        <v>#VALUE!</v>
      </c>
      <c r="W158" s="342" t="e">
        <f t="shared" si="56"/>
        <v>#VALUE!</v>
      </c>
      <c r="X158" s="342" t="e">
        <f t="shared" si="56"/>
        <v>#VALUE!</v>
      </c>
      <c r="Y158" s="342" t="e">
        <f t="shared" si="56"/>
        <v>#VALUE!</v>
      </c>
      <c r="AA158" s="324" t="e">
        <f t="shared" si="57"/>
        <v>#VALUE!</v>
      </c>
      <c r="AB158" s="324" t="e">
        <f t="shared" si="57"/>
        <v>#VALUE!</v>
      </c>
      <c r="AD158" s="328" t="e">
        <f t="shared" si="57"/>
        <v>#VALUE!</v>
      </c>
    </row>
    <row r="159" spans="1:42" s="324" customFormat="1" ht="0.65" hidden="1" customHeight="1">
      <c r="A159" s="324" t="e">
        <f t="shared" si="54"/>
        <v>#VALUE!</v>
      </c>
      <c r="O159" s="328" t="s">
        <v>13</v>
      </c>
      <c r="P159" s="327" t="e">
        <f t="shared" ref="P159:P162" si="60">VLOOKUP($A159,$A$231:$AP$1595,P$54,FALSE)</f>
        <v>#VALUE!</v>
      </c>
      <c r="T159" s="324">
        <v>12</v>
      </c>
      <c r="U159" s="324" t="s">
        <v>164</v>
      </c>
      <c r="V159" s="326" t="e">
        <f t="shared" si="56"/>
        <v>#VALUE!</v>
      </c>
      <c r="W159" s="342" t="e">
        <f t="shared" si="56"/>
        <v>#VALUE!</v>
      </c>
      <c r="X159" s="342" t="e">
        <f t="shared" si="56"/>
        <v>#VALUE!</v>
      </c>
      <c r="Y159" s="342" t="e">
        <f t="shared" si="56"/>
        <v>#VALUE!</v>
      </c>
      <c r="AA159" s="324" t="e">
        <f t="shared" si="57"/>
        <v>#VALUE!</v>
      </c>
      <c r="AB159" s="324" t="e">
        <f t="shared" si="57"/>
        <v>#VALUE!</v>
      </c>
      <c r="AD159" s="328" t="e">
        <f t="shared" si="57"/>
        <v>#VALUE!</v>
      </c>
    </row>
    <row r="160" spans="1:42" s="324" customFormat="1" ht="0.65" hidden="1" customHeight="1">
      <c r="A160" s="324" t="e">
        <f t="shared" si="54"/>
        <v>#VALUE!</v>
      </c>
      <c r="O160" s="324" t="s">
        <v>28</v>
      </c>
      <c r="P160" s="340" t="e">
        <f t="shared" si="60"/>
        <v>#VALUE!</v>
      </c>
      <c r="T160" s="324">
        <v>13</v>
      </c>
      <c r="U160" s="324" t="s">
        <v>165</v>
      </c>
      <c r="V160" s="326" t="e">
        <f t="shared" si="56"/>
        <v>#VALUE!</v>
      </c>
      <c r="W160" s="342" t="e">
        <f t="shared" si="56"/>
        <v>#VALUE!</v>
      </c>
      <c r="X160" s="342" t="e">
        <f t="shared" si="56"/>
        <v>#VALUE!</v>
      </c>
      <c r="Y160" s="342" t="e">
        <f t="shared" si="56"/>
        <v>#VALUE!</v>
      </c>
      <c r="Z160" s="324" t="e">
        <f t="shared" si="56"/>
        <v>#VALUE!</v>
      </c>
      <c r="AA160" s="324" t="e">
        <f t="shared" si="57"/>
        <v>#VALUE!</v>
      </c>
      <c r="AB160" s="324" t="e">
        <f t="shared" si="57"/>
        <v>#VALUE!</v>
      </c>
      <c r="AD160" s="328" t="e">
        <f t="shared" si="57"/>
        <v>#VALUE!</v>
      </c>
    </row>
    <row r="161" spans="1:39" s="324" customFormat="1" ht="0.65" hidden="1" customHeight="1">
      <c r="A161" s="324" t="e">
        <f t="shared" si="54"/>
        <v>#VALUE!</v>
      </c>
      <c r="N161" s="328"/>
      <c r="O161" s="324" t="s">
        <v>29</v>
      </c>
      <c r="P161" s="341" t="e">
        <f t="shared" si="60"/>
        <v>#VALUE!</v>
      </c>
      <c r="T161" s="324">
        <v>14</v>
      </c>
      <c r="U161" s="324" t="s">
        <v>166</v>
      </c>
      <c r="V161" s="326" t="e">
        <f t="shared" si="56"/>
        <v>#VALUE!</v>
      </c>
      <c r="W161" s="342" t="e">
        <f t="shared" si="56"/>
        <v>#VALUE!</v>
      </c>
      <c r="X161" s="342" t="e">
        <f t="shared" si="56"/>
        <v>#VALUE!</v>
      </c>
      <c r="Y161" s="342" t="e">
        <f t="shared" si="56"/>
        <v>#VALUE!</v>
      </c>
      <c r="Z161" s="324" t="e">
        <f t="shared" si="56"/>
        <v>#VALUE!</v>
      </c>
      <c r="AA161" s="324" t="e">
        <f t="shared" si="57"/>
        <v>#VALUE!</v>
      </c>
      <c r="AB161" s="324" t="e">
        <f t="shared" si="57"/>
        <v>#VALUE!</v>
      </c>
      <c r="AD161" s="324" t="e">
        <f t="shared" si="57"/>
        <v>#VALUE!</v>
      </c>
    </row>
    <row r="162" spans="1:39" s="324" customFormat="1" ht="0.65" hidden="1" customHeight="1">
      <c r="A162" s="324" t="e">
        <f t="shared" si="54"/>
        <v>#VALUE!</v>
      </c>
      <c r="N162" s="328"/>
      <c r="O162" s="324" t="s">
        <v>30</v>
      </c>
      <c r="P162" s="326" t="e">
        <f t="shared" si="60"/>
        <v>#VALUE!</v>
      </c>
      <c r="T162" s="324">
        <v>15</v>
      </c>
      <c r="U162" s="324" t="s">
        <v>167</v>
      </c>
      <c r="V162" s="326" t="e">
        <f t="shared" si="56"/>
        <v>#VALUE!</v>
      </c>
      <c r="W162" s="342" t="e">
        <f t="shared" si="56"/>
        <v>#VALUE!</v>
      </c>
      <c r="X162" s="342" t="e">
        <f t="shared" si="56"/>
        <v>#VALUE!</v>
      </c>
      <c r="Y162" s="342" t="e">
        <f t="shared" si="56"/>
        <v>#VALUE!</v>
      </c>
      <c r="Z162" s="324" t="e">
        <f t="shared" si="56"/>
        <v>#VALUE!</v>
      </c>
      <c r="AA162" s="324" t="e">
        <f t="shared" si="57"/>
        <v>#VALUE!</v>
      </c>
      <c r="AB162" s="324" t="e">
        <f t="shared" si="57"/>
        <v>#VALUE!</v>
      </c>
      <c r="AD162" s="342" t="e">
        <f t="shared" si="57"/>
        <v>#VALUE!</v>
      </c>
    </row>
    <row r="163" spans="1:39" s="324" customFormat="1" ht="0.65" hidden="1" customHeight="1">
      <c r="A163" s="324" t="e">
        <f t="shared" si="54"/>
        <v>#VALUE!</v>
      </c>
      <c r="N163" s="328"/>
      <c r="T163" s="324">
        <v>16</v>
      </c>
      <c r="U163" s="324" t="s">
        <v>168</v>
      </c>
      <c r="V163" s="326" t="e">
        <f t="shared" si="56"/>
        <v>#VALUE!</v>
      </c>
      <c r="W163" s="342" t="e">
        <f t="shared" si="56"/>
        <v>#VALUE!</v>
      </c>
      <c r="X163" s="342" t="e">
        <f t="shared" si="56"/>
        <v>#VALUE!</v>
      </c>
      <c r="Y163" s="342" t="e">
        <f t="shared" si="56"/>
        <v>#VALUE!</v>
      </c>
      <c r="Z163" s="324" t="e">
        <f t="shared" si="56"/>
        <v>#VALUE!</v>
      </c>
      <c r="AA163" s="324" t="e">
        <f t="shared" si="57"/>
        <v>#VALUE!</v>
      </c>
      <c r="AB163" s="324" t="e">
        <f t="shared" si="57"/>
        <v>#VALUE!</v>
      </c>
      <c r="AD163" s="342" t="e">
        <f t="shared" si="57"/>
        <v>#VALUE!</v>
      </c>
    </row>
    <row r="164" spans="1:39" s="324" customFormat="1" ht="0.65" hidden="1" customHeight="1">
      <c r="A164" s="324" t="e">
        <f t="shared" si="54"/>
        <v>#VALUE!</v>
      </c>
      <c r="N164" s="328"/>
      <c r="P164" s="326" t="e">
        <f t="shared" ref="I164:P165" si="61">IF(ABS(P4-P148)&lt;0.01,1,0)</f>
        <v>#VALUE!</v>
      </c>
      <c r="T164" s="324">
        <v>17</v>
      </c>
      <c r="U164" s="324" t="s">
        <v>169</v>
      </c>
      <c r="V164" s="326" t="e">
        <f t="shared" si="56"/>
        <v>#VALUE!</v>
      </c>
      <c r="W164" s="342" t="e">
        <f t="shared" si="56"/>
        <v>#VALUE!</v>
      </c>
      <c r="X164" s="342" t="e">
        <f t="shared" si="56"/>
        <v>#VALUE!</v>
      </c>
      <c r="Y164" s="342" t="e">
        <f t="shared" si="56"/>
        <v>#VALUE!</v>
      </c>
      <c r="Z164" s="324" t="e">
        <f t="shared" si="56"/>
        <v>#VALUE!</v>
      </c>
      <c r="AA164" s="324" t="e">
        <f t="shared" si="57"/>
        <v>#VALUE!</v>
      </c>
      <c r="AB164" s="324" t="e">
        <f t="shared" si="57"/>
        <v>#VALUE!</v>
      </c>
      <c r="AD164" s="324" t="e">
        <f t="shared" si="57"/>
        <v>#VALUE!</v>
      </c>
    </row>
    <row r="165" spans="1:39" s="324" customFormat="1" ht="0.65" hidden="1" customHeight="1">
      <c r="A165" s="324" t="e">
        <f t="shared" si="54"/>
        <v>#VALUE!</v>
      </c>
      <c r="H165" s="326" t="e">
        <f>IF(ABS(H5-H149)&lt;0.01,1,0)</f>
        <v>#VALUE!</v>
      </c>
      <c r="I165" s="326" t="e">
        <f t="shared" si="61"/>
        <v>#VALUE!</v>
      </c>
      <c r="J165" s="326" t="e">
        <f t="shared" si="61"/>
        <v>#VALUE!</v>
      </c>
      <c r="K165" s="326" t="e">
        <f t="shared" si="61"/>
        <v>#VALUE!</v>
      </c>
      <c r="L165" s="326" t="e">
        <f t="shared" si="61"/>
        <v>#VALUE!</v>
      </c>
      <c r="M165" s="326" t="e">
        <f t="shared" si="61"/>
        <v>#VALUE!</v>
      </c>
      <c r="N165" s="327" t="e">
        <f t="shared" si="61"/>
        <v>#VALUE!</v>
      </c>
      <c r="O165" s="326" t="e">
        <f t="shared" si="61"/>
        <v>#VALUE!</v>
      </c>
      <c r="P165" s="326" t="e">
        <f t="shared" si="61"/>
        <v>#VALUE!</v>
      </c>
      <c r="T165" s="324">
        <v>18</v>
      </c>
      <c r="U165" s="324" t="s">
        <v>170</v>
      </c>
      <c r="V165" s="326" t="e">
        <f t="shared" si="56"/>
        <v>#VALUE!</v>
      </c>
      <c r="W165" s="342" t="e">
        <f t="shared" si="56"/>
        <v>#VALUE!</v>
      </c>
      <c r="X165" s="342" t="e">
        <f t="shared" si="56"/>
        <v>#VALUE!</v>
      </c>
      <c r="Y165" s="342" t="e">
        <f t="shared" si="56"/>
        <v>#VALUE!</v>
      </c>
      <c r="Z165" s="324" t="e">
        <f t="shared" si="56"/>
        <v>#VALUE!</v>
      </c>
      <c r="AA165" s="324" t="e">
        <f t="shared" si="57"/>
        <v>#VALUE!</v>
      </c>
      <c r="AB165" s="324" t="e">
        <f t="shared" si="57"/>
        <v>#VALUE!</v>
      </c>
      <c r="AD165" s="324" t="e">
        <f t="shared" si="57"/>
        <v>#VALUE!</v>
      </c>
    </row>
    <row r="166" spans="1:39" s="324" customFormat="1" ht="0.65" hidden="1" customHeight="1">
      <c r="A166" s="324" t="e">
        <f t="shared" si="54"/>
        <v>#VALUE!</v>
      </c>
      <c r="H166" s="326" t="e">
        <f t="shared" ref="H166:P167" si="62">IF(ABS(H6-H150)&lt;0.01,1,0)</f>
        <v>#VALUE!</v>
      </c>
      <c r="I166" s="326" t="e">
        <f t="shared" si="62"/>
        <v>#VALUE!</v>
      </c>
      <c r="J166" s="326" t="e">
        <f t="shared" si="62"/>
        <v>#VALUE!</v>
      </c>
      <c r="K166" s="326" t="e">
        <f t="shared" si="62"/>
        <v>#VALUE!</v>
      </c>
      <c r="L166" s="326" t="e">
        <f t="shared" si="62"/>
        <v>#VALUE!</v>
      </c>
      <c r="M166" s="326" t="e">
        <f t="shared" si="62"/>
        <v>#VALUE!</v>
      </c>
      <c r="N166" s="327" t="e">
        <f t="shared" si="62"/>
        <v>#VALUE!</v>
      </c>
      <c r="O166" s="326" t="e">
        <f t="shared" si="62"/>
        <v>#VALUE!</v>
      </c>
      <c r="P166" s="326" t="e">
        <f t="shared" si="62"/>
        <v>#VALUE!</v>
      </c>
      <c r="T166" s="324">
        <v>19</v>
      </c>
      <c r="U166" s="324" t="s">
        <v>171</v>
      </c>
      <c r="V166" s="326" t="e">
        <f t="shared" si="56"/>
        <v>#VALUE!</v>
      </c>
      <c r="W166" s="342" t="e">
        <f t="shared" si="56"/>
        <v>#VALUE!</v>
      </c>
      <c r="X166" s="342" t="e">
        <f t="shared" si="56"/>
        <v>#VALUE!</v>
      </c>
      <c r="Y166" s="342" t="e">
        <f t="shared" si="56"/>
        <v>#VALUE!</v>
      </c>
      <c r="AA166" s="324" t="e">
        <f t="shared" si="57"/>
        <v>#VALUE!</v>
      </c>
      <c r="AB166" s="324" t="e">
        <f t="shared" si="57"/>
        <v>#VALUE!</v>
      </c>
      <c r="AD166" s="324" t="e">
        <f t="shared" si="57"/>
        <v>#VALUE!</v>
      </c>
    </row>
    <row r="167" spans="1:39" s="324" customFormat="1" ht="0.65" hidden="1" customHeight="1">
      <c r="A167" s="324" t="e">
        <f t="shared" si="54"/>
        <v>#VALUE!</v>
      </c>
      <c r="H167" s="326" t="e">
        <f t="shared" si="62"/>
        <v>#VALUE!</v>
      </c>
      <c r="I167" s="326" t="e">
        <f t="shared" si="62"/>
        <v>#VALUE!</v>
      </c>
      <c r="J167" s="326" t="e">
        <f t="shared" si="62"/>
        <v>#VALUE!</v>
      </c>
      <c r="K167" s="326" t="e">
        <f t="shared" si="62"/>
        <v>#VALUE!</v>
      </c>
      <c r="L167" s="326" t="e">
        <f t="shared" si="62"/>
        <v>#VALUE!</v>
      </c>
      <c r="M167" s="326" t="e">
        <f t="shared" si="62"/>
        <v>#VALUE!</v>
      </c>
      <c r="N167" s="327" t="e">
        <f t="shared" si="62"/>
        <v>#VALUE!</v>
      </c>
      <c r="O167" s="326" t="e">
        <f t="shared" si="62"/>
        <v>#VALUE!</v>
      </c>
      <c r="P167" s="326" t="e">
        <f t="shared" si="62"/>
        <v>#VALUE!</v>
      </c>
    </row>
    <row r="168" spans="1:39" s="324" customFormat="1" ht="0.65" hidden="1" customHeight="1">
      <c r="A168" s="324" t="e">
        <f t="shared" si="54"/>
        <v>#VALUE!</v>
      </c>
      <c r="N168" s="328"/>
    </row>
    <row r="169" spans="1:39" s="324" customFormat="1" ht="0.65" hidden="1" customHeight="1">
      <c r="A169" s="324" t="e">
        <f t="shared" si="54"/>
        <v>#VALUE!</v>
      </c>
      <c r="N169" s="328"/>
      <c r="X169" s="324" t="s">
        <v>186</v>
      </c>
      <c r="Y169" s="342" t="e">
        <f>SUM(X148:X166)-SUM(Y148:Y166)</f>
        <v>#VALUE!</v>
      </c>
    </row>
    <row r="170" spans="1:39" s="324" customFormat="1" ht="0.65" hidden="1" customHeight="1">
      <c r="A170" s="324" t="e">
        <f t="shared" si="54"/>
        <v>#VALUE!</v>
      </c>
      <c r="N170" s="327" t="e">
        <f>IF(ABS(N10-N154)&lt;0.01,1,0)</f>
        <v>#VALUE!</v>
      </c>
      <c r="P170" s="326" t="e">
        <f>IF(ABS(P10-P154)&lt;0.000001,1,0)</f>
        <v>#VALUE!</v>
      </c>
    </row>
    <row r="171" spans="1:39" s="324" customFormat="1" ht="0.65" hidden="1" customHeight="1">
      <c r="A171" s="324" t="e">
        <f t="shared" si="54"/>
        <v>#VALUE!</v>
      </c>
      <c r="H171" s="326" t="e">
        <f t="shared" ref="H171:K173" si="63">IF(ABS(H11-H155)&lt;0.01,1,0)</f>
        <v>#VALUE!</v>
      </c>
      <c r="I171" s="326" t="e">
        <f t="shared" si="63"/>
        <v>#VALUE!</v>
      </c>
      <c r="J171" s="326" t="e">
        <f t="shared" si="63"/>
        <v>#VALUE!</v>
      </c>
      <c r="K171" s="326" t="e">
        <f t="shared" si="63"/>
        <v>#VALUE!</v>
      </c>
      <c r="N171" s="327" t="e">
        <f>IF(ABS(N11-N155)&lt;0.01,1,0)</f>
        <v>#VALUE!</v>
      </c>
      <c r="P171" s="326" t="e">
        <f>IF(ABS(P11-P155)&lt;0.000001,1,0)</f>
        <v>#VALUE!</v>
      </c>
    </row>
    <row r="172" spans="1:39" s="324" customFormat="1" ht="0.65" hidden="1" customHeight="1">
      <c r="A172" s="324" t="e">
        <f t="shared" si="54"/>
        <v>#VALUE!</v>
      </c>
      <c r="H172" s="326" t="e">
        <f t="shared" si="63"/>
        <v>#VALUE!</v>
      </c>
      <c r="I172" s="326" t="e">
        <f t="shared" si="63"/>
        <v>#VALUE!</v>
      </c>
      <c r="J172" s="326" t="e">
        <f t="shared" si="63"/>
        <v>#VALUE!</v>
      </c>
      <c r="K172" s="326" t="e">
        <f t="shared" si="63"/>
        <v>#VALUE!</v>
      </c>
      <c r="N172" s="327" t="e">
        <f>IF(ABS(N12-N156)&lt;0.01,1,0)</f>
        <v>#VALUE!</v>
      </c>
      <c r="P172" s="326" t="e">
        <f>IF(ABS(P12-P156)&lt;0.000001,1,0)</f>
        <v>#VALUE!</v>
      </c>
    </row>
    <row r="173" spans="1:39" s="324" customFormat="1" ht="0.65" hidden="1" customHeight="1">
      <c r="A173" s="324" t="e">
        <f t="shared" si="54"/>
        <v>#VALUE!</v>
      </c>
      <c r="H173" s="326" t="e">
        <f t="shared" si="63"/>
        <v>#VALUE!</v>
      </c>
      <c r="I173" s="326" t="e">
        <f t="shared" si="63"/>
        <v>#VALUE!</v>
      </c>
      <c r="J173" s="326" t="e">
        <f t="shared" si="63"/>
        <v>#VALUE!</v>
      </c>
      <c r="K173" s="326" t="e">
        <f t="shared" si="63"/>
        <v>#VALUE!</v>
      </c>
      <c r="N173" s="327" t="e">
        <f>IF(ABS(N13-N157)&lt;0.01,1,0)</f>
        <v>#VALUE!</v>
      </c>
    </row>
    <row r="174" spans="1:39" s="324" customFormat="1" ht="0.65" hidden="1" customHeight="1">
      <c r="A174" s="324" t="e">
        <f t="shared" si="54"/>
        <v>#VALUE!</v>
      </c>
      <c r="N174" s="328"/>
      <c r="AI174" s="326">
        <v>1E-4</v>
      </c>
      <c r="AJ174" s="326" t="s">
        <v>244</v>
      </c>
      <c r="AK174" s="326"/>
    </row>
    <row r="175" spans="1:39" s="324" customFormat="1" ht="0.65" hidden="1" customHeight="1">
      <c r="A175" s="324" t="e">
        <f t="shared" si="54"/>
        <v>#VALUE!</v>
      </c>
      <c r="N175" s="328"/>
      <c r="P175" s="326" t="e">
        <f>IF(ABS(P15-P159)&lt;0.01,1,0)</f>
        <v>#VALUE!</v>
      </c>
      <c r="AC175" s="324" t="s">
        <v>463</v>
      </c>
      <c r="AD175" s="326" t="s">
        <v>208</v>
      </c>
      <c r="AG175" s="326" t="s">
        <v>210</v>
      </c>
      <c r="AH175" s="326" t="s">
        <v>209</v>
      </c>
      <c r="AI175" s="326" t="s">
        <v>206</v>
      </c>
      <c r="AJ175" s="326" t="s">
        <v>245</v>
      </c>
      <c r="AK175" s="326" t="s">
        <v>206</v>
      </c>
      <c r="AL175" s="324" t="s">
        <v>205</v>
      </c>
    </row>
    <row r="176" spans="1:39" s="324" customFormat="1" ht="0.65" hidden="1" customHeight="1">
      <c r="A176" s="324" t="e">
        <f t="shared" si="54"/>
        <v>#VALUE!</v>
      </c>
      <c r="N176" s="328"/>
      <c r="P176" s="326" t="e">
        <f>IF(ABS(P16-P160)&lt;0.000001,1,0)</f>
        <v>#VALUE!</v>
      </c>
      <c r="AA176" s="324">
        <f>1+AA175</f>
        <v>1</v>
      </c>
      <c r="AB176" s="326" t="str">
        <f>IF(AC176="b","C",IF(AI176="","B",IF(AK176="","D","C")))</f>
        <v>C</v>
      </c>
      <c r="AC176" s="326" t="str">
        <f>IF(N10="","b","")</f>
        <v>b</v>
      </c>
      <c r="AD176" s="326" t="str">
        <f>IF(AE176-AE175=1,"*","")</f>
        <v>*</v>
      </c>
      <c r="AE176" s="327">
        <f>AE175+IF(AC176="b",1,COUNTIF(AK176,"ERROR"))</f>
        <v>1</v>
      </c>
      <c r="AF176" s="324" t="e">
        <f t="shared" ref="AF176:AF224" si="64">VLOOKUP($A176,$A$231:$AP$1595,AF$54,FALSE)</f>
        <v>#VALUE!</v>
      </c>
      <c r="AG176" s="328">
        <f>N10</f>
        <v>0</v>
      </c>
      <c r="AH176" s="328" t="e">
        <f t="shared" ref="AH176:AH224" si="65">VLOOKUP($A176,$A$231:$AP$1595,AH$54,FALSE)</f>
        <v>#VALUE!</v>
      </c>
      <c r="AI176" s="324" t="e">
        <f>IF(ABS(AG176-AH176)&lt;$AI$174,"","ERROR")</f>
        <v>#VALUE!</v>
      </c>
      <c r="AJ176" s="328" t="e">
        <f t="shared" ref="AJ176:AJ185" si="66">AH176</f>
        <v>#VALUE!</v>
      </c>
      <c r="AK176" s="328" t="e">
        <f>IF(ABS(AG176-AJ176)&lt;$AI$174,"","ERROR")</f>
        <v>#VALUE!</v>
      </c>
      <c r="AL176" s="324" t="str">
        <f>IF(AD176="*","El desembolso inicial es erróneo","")</f>
        <v>El desembolso inicial es erróneo</v>
      </c>
      <c r="AM176" s="326" t="str">
        <f>IF(AC176="","",AC176)</f>
        <v>b</v>
      </c>
    </row>
    <row r="177" spans="1:39" s="324" customFormat="1" ht="0.65" hidden="1" customHeight="1">
      <c r="A177" s="324" t="e">
        <f t="shared" si="54"/>
        <v>#VALUE!</v>
      </c>
      <c r="N177" s="328"/>
      <c r="AA177" s="324">
        <f t="shared" ref="AA177:AA224" si="67">1+AA176</f>
        <v>2</v>
      </c>
      <c r="AB177" s="326" t="str">
        <f t="shared" ref="AB177:AB224" si="68">IF(AC177="b","C",IF(AI177="","B",IF(AK177="","D","C")))</f>
        <v>C</v>
      </c>
      <c r="AC177" s="326" t="str">
        <f>IF(H5="","b","")</f>
        <v>b</v>
      </c>
      <c r="AD177" s="326" t="str">
        <f t="shared" ref="AD177:AD224" si="69">IF(AE177-AE176=1,"*","")</f>
        <v>*</v>
      </c>
      <c r="AE177" s="327">
        <f t="shared" ref="AE177:AE224" si="70">AE176+IF(AC177="b",1,COUNTIF(AK177,"ERROR"))</f>
        <v>2</v>
      </c>
      <c r="AF177" s="324" t="e">
        <f t="shared" si="64"/>
        <v>#VALUE!</v>
      </c>
      <c r="AG177" s="328">
        <f>H5</f>
        <v>0</v>
      </c>
      <c r="AH177" s="328" t="e">
        <f t="shared" si="65"/>
        <v>#VALUE!</v>
      </c>
      <c r="AI177" s="324" t="e">
        <f t="shared" ref="AI177:AI224" si="71">IF(ABS(AG177-AH177)&lt;$AI$174,"","ERROR")</f>
        <v>#VALUE!</v>
      </c>
      <c r="AJ177" s="328" t="e">
        <f t="shared" si="66"/>
        <v>#VALUE!</v>
      </c>
      <c r="AK177" s="328" t="e">
        <f t="shared" ref="AK177:AK224" si="72">IF(ABS(AG177-AJ177)&lt;$AI$174,"","ERROR")</f>
        <v>#VALUE!</v>
      </c>
      <c r="AL177" s="324" t="str">
        <f>IF(AD177="*","Las ventas incrementales no respetan el principio de devengo","")</f>
        <v>Las ventas incrementales no respetan el principio de devengo</v>
      </c>
      <c r="AM177" s="326" t="str">
        <f t="shared" ref="AM177:AM224" si="73">IF(AC177="","",AC177)</f>
        <v>b</v>
      </c>
    </row>
    <row r="178" spans="1:39" s="324" customFormat="1" ht="0.65" hidden="1" customHeight="1">
      <c r="A178" s="324" t="e">
        <f t="shared" si="54"/>
        <v>#VALUE!</v>
      </c>
      <c r="G178" s="324" t="s">
        <v>411</v>
      </c>
      <c r="H178" s="326" t="e">
        <f>SUM(H164:P177)</f>
        <v>#VALUE!</v>
      </c>
      <c r="N178" s="328"/>
      <c r="AA178" s="324">
        <f t="shared" si="67"/>
        <v>3</v>
      </c>
      <c r="AB178" s="326" t="str">
        <f t="shared" si="68"/>
        <v>C</v>
      </c>
      <c r="AC178" s="326" t="str">
        <f>IF(H6="","b","")</f>
        <v>b</v>
      </c>
      <c r="AD178" s="326" t="str">
        <f t="shared" si="69"/>
        <v>*</v>
      </c>
      <c r="AE178" s="327">
        <f t="shared" si="70"/>
        <v>3</v>
      </c>
      <c r="AF178" s="324" t="e">
        <f t="shared" si="64"/>
        <v>#VALUE!</v>
      </c>
      <c r="AG178" s="328">
        <f>H6</f>
        <v>0</v>
      </c>
      <c r="AH178" s="328" t="e">
        <f t="shared" si="65"/>
        <v>#VALUE!</v>
      </c>
      <c r="AI178" s="324" t="e">
        <f t="shared" si="71"/>
        <v>#VALUE!</v>
      </c>
      <c r="AJ178" s="328" t="e">
        <f t="shared" si="66"/>
        <v>#VALUE!</v>
      </c>
      <c r="AK178" s="328" t="e">
        <f t="shared" si="72"/>
        <v>#VALUE!</v>
      </c>
      <c r="AL178" s="324" t="str">
        <f>IF(AD178="*","Las ventas incrementales no respetan el principio de devengo","")</f>
        <v>Las ventas incrementales no respetan el principio de devengo</v>
      </c>
      <c r="AM178" s="326" t="str">
        <f t="shared" si="73"/>
        <v>b</v>
      </c>
    </row>
    <row r="179" spans="1:39" s="324" customFormat="1" ht="0.65" hidden="1" customHeight="1">
      <c r="A179" s="324" t="e">
        <f t="shared" si="54"/>
        <v>#VALUE!</v>
      </c>
      <c r="G179" s="324" t="s">
        <v>412</v>
      </c>
      <c r="N179" s="328"/>
      <c r="AA179" s="324">
        <f t="shared" si="67"/>
        <v>4</v>
      </c>
      <c r="AB179" s="326" t="str">
        <f t="shared" si="68"/>
        <v>C</v>
      </c>
      <c r="AC179" s="326" t="str">
        <f>IF(H7="","b","")</f>
        <v>b</v>
      </c>
      <c r="AD179" s="326" t="str">
        <f t="shared" si="69"/>
        <v>*</v>
      </c>
      <c r="AE179" s="327">
        <f t="shared" si="70"/>
        <v>4</v>
      </c>
      <c r="AF179" s="324" t="e">
        <f t="shared" si="64"/>
        <v>#VALUE!</v>
      </c>
      <c r="AG179" s="328">
        <f>H7</f>
        <v>0</v>
      </c>
      <c r="AH179" s="328" t="e">
        <f t="shared" si="65"/>
        <v>#VALUE!</v>
      </c>
      <c r="AI179" s="324" t="e">
        <f t="shared" si="71"/>
        <v>#VALUE!</v>
      </c>
      <c r="AJ179" s="328" t="e">
        <f t="shared" si="66"/>
        <v>#VALUE!</v>
      </c>
      <c r="AK179" s="328" t="e">
        <f t="shared" si="72"/>
        <v>#VALUE!</v>
      </c>
      <c r="AL179" s="324" t="str">
        <f>IF(AD179="*","Las ventas incrementales no respetan el principio de devengo","")</f>
        <v>Las ventas incrementales no respetan el principio de devengo</v>
      </c>
      <c r="AM179" s="326" t="str">
        <f t="shared" si="73"/>
        <v>b</v>
      </c>
    </row>
    <row r="180" spans="1:39" s="324" customFormat="1" ht="0.65" hidden="1" customHeight="1">
      <c r="A180" s="324" t="e">
        <f t="shared" si="54"/>
        <v>#VALUE!</v>
      </c>
      <c r="N180" s="328"/>
      <c r="AA180" s="324">
        <f t="shared" si="67"/>
        <v>5</v>
      </c>
      <c r="AB180" s="326" t="str">
        <f t="shared" si="68"/>
        <v>C</v>
      </c>
      <c r="AC180" s="326" t="str">
        <f>IF(I5="","b","")</f>
        <v>b</v>
      </c>
      <c r="AD180" s="326" t="str">
        <f t="shared" si="69"/>
        <v>*</v>
      </c>
      <c r="AE180" s="327">
        <f t="shared" si="70"/>
        <v>5</v>
      </c>
      <c r="AF180" s="324" t="e">
        <f t="shared" si="64"/>
        <v>#VALUE!</v>
      </c>
      <c r="AG180" s="328">
        <f>I5</f>
        <v>0</v>
      </c>
      <c r="AH180" s="328" t="e">
        <f t="shared" si="65"/>
        <v>#VALUE!</v>
      </c>
      <c r="AI180" s="324" t="e">
        <f t="shared" si="71"/>
        <v>#VALUE!</v>
      </c>
      <c r="AJ180" s="328" t="e">
        <f t="shared" si="66"/>
        <v>#VALUE!</v>
      </c>
      <c r="AK180" s="328" t="e">
        <f t="shared" si="72"/>
        <v>#VALUE!</v>
      </c>
      <c r="AL180" s="324" t="str">
        <f>IF(AD180="*","Los costes operativos con desembolso incrementales no respetan el principio de devengo","")</f>
        <v>Los costes operativos con desembolso incrementales no respetan el principio de devengo</v>
      </c>
      <c r="AM180" s="326" t="str">
        <f t="shared" si="73"/>
        <v>b</v>
      </c>
    </row>
    <row r="181" spans="1:39" s="324" customFormat="1" ht="0.65" hidden="1" customHeight="1">
      <c r="A181" s="324" t="e">
        <f t="shared" si="54"/>
        <v>#VALUE!</v>
      </c>
      <c r="N181" s="328"/>
      <c r="AA181" s="324">
        <f t="shared" si="67"/>
        <v>6</v>
      </c>
      <c r="AB181" s="326" t="str">
        <f t="shared" si="68"/>
        <v>C</v>
      </c>
      <c r="AC181" s="326" t="str">
        <f t="shared" ref="AC181:AC182" si="74">IF(I6="","b","")</f>
        <v>b</v>
      </c>
      <c r="AD181" s="326" t="str">
        <f t="shared" si="69"/>
        <v>*</v>
      </c>
      <c r="AE181" s="327">
        <f t="shared" si="70"/>
        <v>6</v>
      </c>
      <c r="AF181" s="324" t="e">
        <f t="shared" si="64"/>
        <v>#VALUE!</v>
      </c>
      <c r="AG181" s="328">
        <f>I6</f>
        <v>0</v>
      </c>
      <c r="AH181" s="328" t="e">
        <f t="shared" si="65"/>
        <v>#VALUE!</v>
      </c>
      <c r="AI181" s="324" t="e">
        <f t="shared" si="71"/>
        <v>#VALUE!</v>
      </c>
      <c r="AJ181" s="328" t="e">
        <f t="shared" si="66"/>
        <v>#VALUE!</v>
      </c>
      <c r="AK181" s="328" t="e">
        <f t="shared" si="72"/>
        <v>#VALUE!</v>
      </c>
      <c r="AL181" s="324" t="str">
        <f>IF(AD181="*","Los costes operativos con desembolso incrementales no respetan el principio de devengo","")</f>
        <v>Los costes operativos con desembolso incrementales no respetan el principio de devengo</v>
      </c>
      <c r="AM181" s="326" t="str">
        <f t="shared" si="73"/>
        <v>b</v>
      </c>
    </row>
    <row r="182" spans="1:39" s="324" customFormat="1" ht="0.65" hidden="1" customHeight="1">
      <c r="A182" s="324" t="e">
        <f t="shared" si="54"/>
        <v>#VALUE!</v>
      </c>
      <c r="N182" s="328"/>
      <c r="AA182" s="324">
        <f t="shared" si="67"/>
        <v>7</v>
      </c>
      <c r="AB182" s="326" t="str">
        <f t="shared" si="68"/>
        <v>C</v>
      </c>
      <c r="AC182" s="326" t="str">
        <f t="shared" si="74"/>
        <v>b</v>
      </c>
      <c r="AD182" s="326" t="str">
        <f t="shared" si="69"/>
        <v>*</v>
      </c>
      <c r="AE182" s="327">
        <f t="shared" si="70"/>
        <v>7</v>
      </c>
      <c r="AF182" s="324" t="e">
        <f t="shared" si="64"/>
        <v>#VALUE!</v>
      </c>
      <c r="AG182" s="328">
        <f>I7</f>
        <v>0</v>
      </c>
      <c r="AH182" s="328" t="e">
        <f t="shared" si="65"/>
        <v>#VALUE!</v>
      </c>
      <c r="AI182" s="324" t="e">
        <f t="shared" si="71"/>
        <v>#VALUE!</v>
      </c>
      <c r="AJ182" s="328" t="e">
        <f t="shared" si="66"/>
        <v>#VALUE!</v>
      </c>
      <c r="AK182" s="328" t="e">
        <f t="shared" si="72"/>
        <v>#VALUE!</v>
      </c>
      <c r="AL182" s="324" t="str">
        <f>IF(AD182="*","Los costes operativos con desembolso incrementales no respetan el principio de devengo","")</f>
        <v>Los costes operativos con desembolso incrementales no respetan el principio de devengo</v>
      </c>
      <c r="AM182" s="326" t="str">
        <f t="shared" si="73"/>
        <v>b</v>
      </c>
    </row>
    <row r="183" spans="1:39" s="324" customFormat="1" ht="0.65" hidden="1" customHeight="1">
      <c r="A183" s="324" t="e">
        <f t="shared" si="54"/>
        <v>#VALUE!</v>
      </c>
      <c r="G183" s="326" t="s">
        <v>0</v>
      </c>
      <c r="H183" s="326" t="s">
        <v>69</v>
      </c>
      <c r="I183" s="326" t="s">
        <v>70</v>
      </c>
      <c r="J183" s="326" t="s">
        <v>71</v>
      </c>
      <c r="K183" s="326" t="s">
        <v>72</v>
      </c>
      <c r="L183" s="326" t="s">
        <v>73</v>
      </c>
      <c r="M183" s="326" t="s">
        <v>74</v>
      </c>
      <c r="N183" s="327" t="s">
        <v>75</v>
      </c>
      <c r="O183" s="326" t="s">
        <v>80</v>
      </c>
      <c r="P183" s="326" t="s">
        <v>1</v>
      </c>
      <c r="AA183" s="324">
        <f t="shared" si="67"/>
        <v>8</v>
      </c>
      <c r="AB183" s="326" t="str">
        <f t="shared" si="68"/>
        <v>C</v>
      </c>
      <c r="AC183" s="326" t="str">
        <f>IF(J5="","b","")</f>
        <v>b</v>
      </c>
      <c r="AD183" s="326" t="str">
        <f t="shared" si="69"/>
        <v>*</v>
      </c>
      <c r="AE183" s="327">
        <f t="shared" si="70"/>
        <v>8</v>
      </c>
      <c r="AF183" s="324" t="e">
        <f t="shared" si="64"/>
        <v>#VALUE!</v>
      </c>
      <c r="AG183" s="328">
        <f>J5</f>
        <v>0</v>
      </c>
      <c r="AH183" s="328" t="e">
        <f t="shared" si="65"/>
        <v>#VALUE!</v>
      </c>
      <c r="AI183" s="324" t="e">
        <f t="shared" si="71"/>
        <v>#VALUE!</v>
      </c>
      <c r="AJ183" s="328" t="e">
        <f t="shared" si="66"/>
        <v>#VALUE!</v>
      </c>
      <c r="AK183" s="328" t="e">
        <f t="shared" si="72"/>
        <v>#VALUE!</v>
      </c>
      <c r="AL183" s="324" t="str">
        <f>IF(AD183="*","La amortización incremental es errónea","")</f>
        <v>La amortización incremental es errónea</v>
      </c>
      <c r="AM183" s="326" t="str">
        <f t="shared" si="73"/>
        <v>b</v>
      </c>
    </row>
    <row r="184" spans="1:39" s="324" customFormat="1" ht="0.65" hidden="1" customHeight="1">
      <c r="A184" s="324" t="e">
        <f t="shared" si="54"/>
        <v>#VALUE!</v>
      </c>
      <c r="G184" s="326">
        <v>2021</v>
      </c>
      <c r="H184" s="326"/>
      <c r="I184" s="326"/>
      <c r="J184" s="326"/>
      <c r="K184" s="326"/>
      <c r="L184" s="326"/>
      <c r="M184" s="326"/>
      <c r="N184" s="327"/>
      <c r="O184" s="326"/>
      <c r="P184" s="326" t="e">
        <f>VLOOKUP(P57,$AA$176:$AB$224,2,FALSE)</f>
        <v>#VALUE!</v>
      </c>
      <c r="AA184" s="324">
        <f t="shared" si="67"/>
        <v>9</v>
      </c>
      <c r="AB184" s="326" t="str">
        <f t="shared" si="68"/>
        <v>C</v>
      </c>
      <c r="AC184" s="326" t="str">
        <f t="shared" ref="AC184:AC185" si="75">IF(J6="","b","")</f>
        <v>b</v>
      </c>
      <c r="AD184" s="326" t="str">
        <f t="shared" si="69"/>
        <v>*</v>
      </c>
      <c r="AE184" s="327">
        <f t="shared" si="70"/>
        <v>9</v>
      </c>
      <c r="AF184" s="324" t="e">
        <f t="shared" si="64"/>
        <v>#VALUE!</v>
      </c>
      <c r="AG184" s="328">
        <f>J6</f>
        <v>0</v>
      </c>
      <c r="AH184" s="328" t="e">
        <f t="shared" si="65"/>
        <v>#VALUE!</v>
      </c>
      <c r="AI184" s="324" t="e">
        <f t="shared" si="71"/>
        <v>#VALUE!</v>
      </c>
      <c r="AJ184" s="328" t="e">
        <f t="shared" si="66"/>
        <v>#VALUE!</v>
      </c>
      <c r="AK184" s="328" t="e">
        <f t="shared" si="72"/>
        <v>#VALUE!</v>
      </c>
      <c r="AL184" s="324" t="str">
        <f>IF(AD184="*","La amortización incremental es errónea","")</f>
        <v>La amortización incremental es errónea</v>
      </c>
      <c r="AM184" s="326" t="str">
        <f t="shared" si="73"/>
        <v>b</v>
      </c>
    </row>
    <row r="185" spans="1:39" s="324" customFormat="1" ht="0.65" hidden="1" customHeight="1">
      <c r="A185" s="324" t="e">
        <f t="shared" si="54"/>
        <v>#VALUE!</v>
      </c>
      <c r="G185" s="326">
        <v>2022</v>
      </c>
      <c r="H185" s="326" t="e">
        <f>VLOOKUP(H58,$AA$176:$AB$224,2,FALSE)</f>
        <v>#VALUE!</v>
      </c>
      <c r="I185" s="326" t="e">
        <f t="shared" ref="I185:P185" si="76">VLOOKUP(I58,$AA$176:$AB$224,2,FALSE)</f>
        <v>#VALUE!</v>
      </c>
      <c r="J185" s="326" t="e">
        <f t="shared" si="76"/>
        <v>#VALUE!</v>
      </c>
      <c r="K185" s="326" t="e">
        <f t="shared" si="76"/>
        <v>#VALUE!</v>
      </c>
      <c r="L185" s="326" t="e">
        <f t="shared" si="76"/>
        <v>#VALUE!</v>
      </c>
      <c r="M185" s="326" t="e">
        <f t="shared" si="76"/>
        <v>#VALUE!</v>
      </c>
      <c r="N185" s="327" t="e">
        <f t="shared" si="76"/>
        <v>#VALUE!</v>
      </c>
      <c r="O185" s="326" t="e">
        <f t="shared" si="76"/>
        <v>#VALUE!</v>
      </c>
      <c r="P185" s="326" t="e">
        <f t="shared" si="76"/>
        <v>#VALUE!</v>
      </c>
      <c r="AA185" s="324">
        <f t="shared" si="67"/>
        <v>10</v>
      </c>
      <c r="AB185" s="326" t="str">
        <f t="shared" si="68"/>
        <v>C</v>
      </c>
      <c r="AC185" s="326" t="str">
        <f t="shared" si="75"/>
        <v>b</v>
      </c>
      <c r="AD185" s="326" t="str">
        <f t="shared" si="69"/>
        <v>*</v>
      </c>
      <c r="AE185" s="327">
        <f t="shared" si="70"/>
        <v>10</v>
      </c>
      <c r="AF185" s="324" t="e">
        <f t="shared" si="64"/>
        <v>#VALUE!</v>
      </c>
      <c r="AG185" s="328">
        <f>J7</f>
        <v>0</v>
      </c>
      <c r="AH185" s="328" t="e">
        <f t="shared" si="65"/>
        <v>#VALUE!</v>
      </c>
      <c r="AI185" s="324" t="e">
        <f t="shared" si="71"/>
        <v>#VALUE!</v>
      </c>
      <c r="AJ185" s="328" t="e">
        <f t="shared" si="66"/>
        <v>#VALUE!</v>
      </c>
      <c r="AK185" s="328" t="e">
        <f t="shared" si="72"/>
        <v>#VALUE!</v>
      </c>
      <c r="AL185" s="324" t="str">
        <f>IF(AD185="*","La amortización incremental es errónea","")</f>
        <v>La amortización incremental es errónea</v>
      </c>
      <c r="AM185" s="326" t="str">
        <f t="shared" si="73"/>
        <v>b</v>
      </c>
    </row>
    <row r="186" spans="1:39" s="324" customFormat="1" ht="0.65" hidden="1" customHeight="1">
      <c r="A186" s="324" t="e">
        <f t="shared" si="54"/>
        <v>#VALUE!</v>
      </c>
      <c r="G186" s="326">
        <v>2023</v>
      </c>
      <c r="H186" s="326" t="e">
        <f t="shared" ref="H186:P187" si="77">VLOOKUP(H59,$AA$176:$AB$224,2,FALSE)</f>
        <v>#VALUE!</v>
      </c>
      <c r="I186" s="326" t="e">
        <f t="shared" si="77"/>
        <v>#VALUE!</v>
      </c>
      <c r="J186" s="326" t="e">
        <f t="shared" si="77"/>
        <v>#VALUE!</v>
      </c>
      <c r="K186" s="326" t="e">
        <f t="shared" si="77"/>
        <v>#VALUE!</v>
      </c>
      <c r="L186" s="326" t="e">
        <f t="shared" si="77"/>
        <v>#VALUE!</v>
      </c>
      <c r="M186" s="326" t="e">
        <f t="shared" si="77"/>
        <v>#VALUE!</v>
      </c>
      <c r="N186" s="327" t="e">
        <f t="shared" si="77"/>
        <v>#VALUE!</v>
      </c>
      <c r="O186" s="326" t="e">
        <f t="shared" si="77"/>
        <v>#VALUE!</v>
      </c>
      <c r="P186" s="326" t="e">
        <f t="shared" si="77"/>
        <v>#VALUE!</v>
      </c>
      <c r="AA186" s="324">
        <f t="shared" si="67"/>
        <v>11</v>
      </c>
      <c r="AB186" s="326" t="str">
        <f t="shared" si="68"/>
        <v>C</v>
      </c>
      <c r="AC186" s="326" t="str">
        <f>IF(K5="","b","")</f>
        <v>b</v>
      </c>
      <c r="AD186" s="326" t="str">
        <f t="shared" si="69"/>
        <v>*</v>
      </c>
      <c r="AE186" s="327">
        <f t="shared" si="70"/>
        <v>11</v>
      </c>
      <c r="AF186" s="324" t="e">
        <f t="shared" si="64"/>
        <v>#VALUE!</v>
      </c>
      <c r="AG186" s="328">
        <f>K5</f>
        <v>0</v>
      </c>
      <c r="AH186" s="328" t="e">
        <f t="shared" si="65"/>
        <v>#VALUE!</v>
      </c>
      <c r="AI186" s="324" t="e">
        <f t="shared" si="71"/>
        <v>#VALUE!</v>
      </c>
      <c r="AJ186" s="328">
        <f>AG177-AG180-AG183</f>
        <v>0</v>
      </c>
      <c r="AK186" s="328" t="str">
        <f t="shared" si="72"/>
        <v/>
      </c>
      <c r="AL186" s="324" t="str">
        <f>IF(AD186="*","Deberías haber restado de las ventas incrementales los costes operativos incrementales con desembolso y las amortizaciones","")</f>
        <v>Deberías haber restado de las ventas incrementales los costes operativos incrementales con desembolso y las amortizaciones</v>
      </c>
      <c r="AM186" s="326" t="str">
        <f t="shared" si="73"/>
        <v>b</v>
      </c>
    </row>
    <row r="187" spans="1:39" s="324" customFormat="1" ht="0.65" hidden="1" customHeight="1">
      <c r="A187" s="324" t="e">
        <f t="shared" si="54"/>
        <v>#VALUE!</v>
      </c>
      <c r="G187" s="326">
        <v>2024</v>
      </c>
      <c r="H187" s="326" t="e">
        <f t="shared" si="77"/>
        <v>#VALUE!</v>
      </c>
      <c r="I187" s="326" t="e">
        <f t="shared" si="77"/>
        <v>#VALUE!</v>
      </c>
      <c r="J187" s="326" t="e">
        <f t="shared" si="77"/>
        <v>#VALUE!</v>
      </c>
      <c r="K187" s="326" t="e">
        <f t="shared" si="77"/>
        <v>#VALUE!</v>
      </c>
      <c r="L187" s="326" t="e">
        <f t="shared" si="77"/>
        <v>#VALUE!</v>
      </c>
      <c r="M187" s="326" t="e">
        <f t="shared" si="77"/>
        <v>#VALUE!</v>
      </c>
      <c r="N187" s="327" t="e">
        <f t="shared" si="77"/>
        <v>#VALUE!</v>
      </c>
      <c r="O187" s="326" t="e">
        <f t="shared" si="77"/>
        <v>#VALUE!</v>
      </c>
      <c r="P187" s="326" t="e">
        <f t="shared" si="77"/>
        <v>#VALUE!</v>
      </c>
      <c r="AA187" s="324">
        <f t="shared" si="67"/>
        <v>12</v>
      </c>
      <c r="AB187" s="326" t="str">
        <f t="shared" si="68"/>
        <v>C</v>
      </c>
      <c r="AC187" s="326" t="str">
        <f t="shared" ref="AC187:AC188" si="78">IF(K6="","b","")</f>
        <v>b</v>
      </c>
      <c r="AD187" s="326" t="str">
        <f t="shared" si="69"/>
        <v>*</v>
      </c>
      <c r="AE187" s="327">
        <f t="shared" si="70"/>
        <v>12</v>
      </c>
      <c r="AF187" s="324" t="e">
        <f t="shared" si="64"/>
        <v>#VALUE!</v>
      </c>
      <c r="AG187" s="328">
        <f>K6</f>
        <v>0</v>
      </c>
      <c r="AH187" s="328" t="e">
        <f t="shared" si="65"/>
        <v>#VALUE!</v>
      </c>
      <c r="AI187" s="324" t="e">
        <f t="shared" si="71"/>
        <v>#VALUE!</v>
      </c>
      <c r="AJ187" s="328">
        <f>AG178-AG181-AG184</f>
        <v>0</v>
      </c>
      <c r="AK187" s="328" t="str">
        <f t="shared" si="72"/>
        <v/>
      </c>
      <c r="AL187" s="324" t="str">
        <f>IF(AD187="*","Deberías haber restado de las ventas incrementales los costes operativos incrementales con desembolso y las amortizaciones","")</f>
        <v>Deberías haber restado de las ventas incrementales los costes operativos incrementales con desembolso y las amortizaciones</v>
      </c>
      <c r="AM187" s="326" t="str">
        <f t="shared" si="73"/>
        <v>b</v>
      </c>
    </row>
    <row r="188" spans="1:39" s="324" customFormat="1" ht="0.65" hidden="1" customHeight="1">
      <c r="A188" s="324" t="e">
        <f t="shared" si="54"/>
        <v>#VALUE!</v>
      </c>
      <c r="G188" s="326"/>
      <c r="H188" s="326"/>
      <c r="I188" s="326"/>
      <c r="J188" s="326"/>
      <c r="K188" s="326"/>
      <c r="L188" s="326"/>
      <c r="M188" s="326"/>
      <c r="N188" s="327"/>
      <c r="O188" s="326"/>
      <c r="P188" s="326"/>
      <c r="AA188" s="324">
        <f t="shared" si="67"/>
        <v>13</v>
      </c>
      <c r="AB188" s="326" t="str">
        <f t="shared" si="68"/>
        <v>C</v>
      </c>
      <c r="AC188" s="326" t="str">
        <f t="shared" si="78"/>
        <v>b</v>
      </c>
      <c r="AD188" s="326" t="str">
        <f t="shared" si="69"/>
        <v>*</v>
      </c>
      <c r="AE188" s="327">
        <f t="shared" si="70"/>
        <v>13</v>
      </c>
      <c r="AF188" s="324" t="e">
        <f t="shared" si="64"/>
        <v>#VALUE!</v>
      </c>
      <c r="AG188" s="328">
        <f>K7</f>
        <v>0</v>
      </c>
      <c r="AH188" s="328" t="e">
        <f t="shared" si="65"/>
        <v>#VALUE!</v>
      </c>
      <c r="AI188" s="324" t="e">
        <f t="shared" si="71"/>
        <v>#VALUE!</v>
      </c>
      <c r="AJ188" s="328">
        <f>AG179-AG182-AG185</f>
        <v>0</v>
      </c>
      <c r="AK188" s="328" t="str">
        <f t="shared" si="72"/>
        <v/>
      </c>
      <c r="AL188" s="324" t="str">
        <f>IF(AD188="*","Deberías haber restado de las ventas incrementales los costes operativos incrementales con desembolso y las amortizaciones","")</f>
        <v>Deberías haber restado de las ventas incrementales los costes operativos incrementales con desembolso y las amortizaciones</v>
      </c>
      <c r="AM188" s="326" t="str">
        <f t="shared" si="73"/>
        <v>b</v>
      </c>
    </row>
    <row r="189" spans="1:39" s="324" customFormat="1" ht="0.65" hidden="1" customHeight="1">
      <c r="A189" s="324" t="e">
        <f t="shared" si="54"/>
        <v>#VALUE!</v>
      </c>
      <c r="G189" s="326" t="s">
        <v>0</v>
      </c>
      <c r="H189" s="326" t="s">
        <v>76</v>
      </c>
      <c r="I189" s="326" t="s">
        <v>77</v>
      </c>
      <c r="J189" s="326" t="s">
        <v>78</v>
      </c>
      <c r="K189" s="326" t="s">
        <v>79</v>
      </c>
      <c r="L189" s="326"/>
      <c r="M189" s="326"/>
      <c r="N189" s="327"/>
      <c r="O189" s="326"/>
      <c r="P189" s="326"/>
      <c r="AA189" s="324">
        <f t="shared" si="67"/>
        <v>14</v>
      </c>
      <c r="AB189" s="326" t="str">
        <f t="shared" si="68"/>
        <v>C</v>
      </c>
      <c r="AC189" s="326" t="str">
        <f>IF(L5="","b","")</f>
        <v>b</v>
      </c>
      <c r="AD189" s="326" t="str">
        <f t="shared" si="69"/>
        <v>*</v>
      </c>
      <c r="AE189" s="327">
        <f t="shared" si="70"/>
        <v>14</v>
      </c>
      <c r="AF189" s="324" t="e">
        <f t="shared" si="64"/>
        <v>#VALUE!</v>
      </c>
      <c r="AG189" s="328">
        <f>L5</f>
        <v>0</v>
      </c>
      <c r="AH189" s="328" t="e">
        <f t="shared" si="65"/>
        <v>#VALUE!</v>
      </c>
      <c r="AI189" s="324" t="e">
        <f t="shared" si="71"/>
        <v>#VALUE!</v>
      </c>
      <c r="AJ189" s="328" t="e">
        <f>$D$22*AG186</f>
        <v>#VALUE!</v>
      </c>
      <c r="AK189" s="328" t="e">
        <f t="shared" si="72"/>
        <v>#VALUE!</v>
      </c>
      <c r="AL189" s="324" t="str">
        <f>IF(AD189="*","Deberías haber aplicado el tipo impositivo al BAII incremental del año en cuestión (con su signo)","")</f>
        <v>Deberías haber aplicado el tipo impositivo al BAII incremental del año en cuestión (con su signo)</v>
      </c>
      <c r="AM189" s="326" t="str">
        <f t="shared" si="73"/>
        <v>b</v>
      </c>
    </row>
    <row r="190" spans="1:39" s="324" customFormat="1" ht="0.65" hidden="1" customHeight="1">
      <c r="A190" s="324" t="e">
        <f t="shared" si="54"/>
        <v>#VALUE!</v>
      </c>
      <c r="G190" s="326">
        <v>2021</v>
      </c>
      <c r="H190" s="326"/>
      <c r="I190" s="326"/>
      <c r="J190" s="326"/>
      <c r="K190" s="326"/>
      <c r="L190" s="326"/>
      <c r="M190" s="326" t="s">
        <v>456</v>
      </c>
      <c r="N190" s="327" t="e">
        <f t="shared" ref="N190:N193" si="79">VLOOKUP(N63,$AA$176:$AB$224,2,FALSE)</f>
        <v>#VALUE!</v>
      </c>
      <c r="O190" s="326" t="s">
        <v>124</v>
      </c>
      <c r="P190" s="326" t="e">
        <f t="shared" ref="P190:P192" si="80">VLOOKUP(P63,$AA$176:$AB$224,2,FALSE)</f>
        <v>#VALUE!</v>
      </c>
      <c r="AA190" s="324">
        <f t="shared" si="67"/>
        <v>15</v>
      </c>
      <c r="AB190" s="326" t="str">
        <f t="shared" si="68"/>
        <v>C</v>
      </c>
      <c r="AC190" s="326" t="str">
        <f t="shared" ref="AC190:AC191" si="81">IF(L6="","b","")</f>
        <v>b</v>
      </c>
      <c r="AD190" s="326" t="str">
        <f t="shared" si="69"/>
        <v>*</v>
      </c>
      <c r="AE190" s="327">
        <f t="shared" si="70"/>
        <v>15</v>
      </c>
      <c r="AF190" s="324" t="e">
        <f t="shared" si="64"/>
        <v>#VALUE!</v>
      </c>
      <c r="AG190" s="328">
        <f>L6</f>
        <v>0</v>
      </c>
      <c r="AH190" s="328" t="e">
        <f t="shared" si="65"/>
        <v>#VALUE!</v>
      </c>
      <c r="AI190" s="324" t="e">
        <f t="shared" si="71"/>
        <v>#VALUE!</v>
      </c>
      <c r="AJ190" s="328" t="e">
        <f>$D$22*AG187</f>
        <v>#VALUE!</v>
      </c>
      <c r="AK190" s="328" t="e">
        <f t="shared" si="72"/>
        <v>#VALUE!</v>
      </c>
      <c r="AL190" s="324" t="str">
        <f>IF(AD190="*","Deberías haber aplicado el tipo impositivo al BAII incremental del año en cuestión (con su signo)","")</f>
        <v>Deberías haber aplicado el tipo impositivo al BAII incremental del año en cuestión (con su signo)</v>
      </c>
      <c r="AM190" s="326" t="str">
        <f t="shared" si="73"/>
        <v>b</v>
      </c>
    </row>
    <row r="191" spans="1:39" s="324" customFormat="1" ht="0.65" hidden="1" customHeight="1">
      <c r="A191" s="324" t="e">
        <f t="shared" si="54"/>
        <v>#VALUE!</v>
      </c>
      <c r="G191" s="326">
        <v>2022</v>
      </c>
      <c r="H191" s="326" t="e">
        <f t="shared" ref="H191:K193" si="82">VLOOKUP(H64,$AA$176:$AB$224,2,FALSE)</f>
        <v>#VALUE!</v>
      </c>
      <c r="I191" s="326" t="e">
        <f t="shared" si="82"/>
        <v>#VALUE!</v>
      </c>
      <c r="J191" s="326" t="e">
        <f t="shared" si="82"/>
        <v>#VALUE!</v>
      </c>
      <c r="K191" s="326" t="e">
        <f t="shared" si="82"/>
        <v>#VALUE!</v>
      </c>
      <c r="L191" s="326"/>
      <c r="M191" s="326" t="s">
        <v>457</v>
      </c>
      <c r="N191" s="327" t="e">
        <f t="shared" si="79"/>
        <v>#VALUE!</v>
      </c>
      <c r="O191" s="326" t="s">
        <v>125</v>
      </c>
      <c r="P191" s="326" t="e">
        <f t="shared" si="80"/>
        <v>#VALUE!</v>
      </c>
      <c r="AA191" s="324">
        <f t="shared" si="67"/>
        <v>16</v>
      </c>
      <c r="AB191" s="326" t="str">
        <f t="shared" si="68"/>
        <v>C</v>
      </c>
      <c r="AC191" s="326" t="str">
        <f t="shared" si="81"/>
        <v>b</v>
      </c>
      <c r="AD191" s="326" t="str">
        <f t="shared" si="69"/>
        <v>*</v>
      </c>
      <c r="AE191" s="327">
        <f t="shared" si="70"/>
        <v>16</v>
      </c>
      <c r="AF191" s="324" t="e">
        <f t="shared" si="64"/>
        <v>#VALUE!</v>
      </c>
      <c r="AG191" s="328">
        <f>L7</f>
        <v>0</v>
      </c>
      <c r="AH191" s="328" t="e">
        <f t="shared" si="65"/>
        <v>#VALUE!</v>
      </c>
      <c r="AI191" s="324" t="e">
        <f t="shared" si="71"/>
        <v>#VALUE!</v>
      </c>
      <c r="AJ191" s="328" t="e">
        <f>$D$22*AG188</f>
        <v>#VALUE!</v>
      </c>
      <c r="AK191" s="328" t="e">
        <f t="shared" si="72"/>
        <v>#VALUE!</v>
      </c>
      <c r="AL191" s="324" t="str">
        <f>IF(AD191="*","Deberías haber aplicado el tipo impositivo al BAII incremental del año en cuestión (con su signo)","")</f>
        <v>Deberías haber aplicado el tipo impositivo al BAII incremental del año en cuestión (con su signo)</v>
      </c>
      <c r="AM191" s="326" t="str">
        <f t="shared" si="73"/>
        <v>b</v>
      </c>
    </row>
    <row r="192" spans="1:39" s="324" customFormat="1" ht="0.65" hidden="1" customHeight="1">
      <c r="A192" s="324" t="e">
        <f t="shared" si="54"/>
        <v>#VALUE!</v>
      </c>
      <c r="G192" s="326">
        <v>2023</v>
      </c>
      <c r="H192" s="326" t="e">
        <f t="shared" si="82"/>
        <v>#VALUE!</v>
      </c>
      <c r="I192" s="326" t="e">
        <f t="shared" si="82"/>
        <v>#VALUE!</v>
      </c>
      <c r="J192" s="326" t="e">
        <f t="shared" si="82"/>
        <v>#VALUE!</v>
      </c>
      <c r="K192" s="326" t="e">
        <f t="shared" si="82"/>
        <v>#VALUE!</v>
      </c>
      <c r="L192" s="326"/>
      <c r="M192" s="326" t="s">
        <v>458</v>
      </c>
      <c r="N192" s="327" t="e">
        <f t="shared" si="79"/>
        <v>#VALUE!</v>
      </c>
      <c r="O192" s="326" t="s">
        <v>126</v>
      </c>
      <c r="P192" s="326" t="e">
        <f t="shared" si="80"/>
        <v>#VALUE!</v>
      </c>
      <c r="AA192" s="324">
        <f t="shared" si="67"/>
        <v>17</v>
      </c>
      <c r="AB192" s="326" t="str">
        <f t="shared" si="68"/>
        <v>C</v>
      </c>
      <c r="AC192" s="326" t="str">
        <f>IF(M5="","b","")</f>
        <v>b</v>
      </c>
      <c r="AD192" s="326" t="str">
        <f t="shared" si="69"/>
        <v>*</v>
      </c>
      <c r="AE192" s="327">
        <f t="shared" si="70"/>
        <v>17</v>
      </c>
      <c r="AF192" s="324" t="e">
        <f t="shared" si="64"/>
        <v>#VALUE!</v>
      </c>
      <c r="AG192" s="328">
        <f>M5</f>
        <v>0</v>
      </c>
      <c r="AH192" s="328" t="e">
        <f t="shared" si="65"/>
        <v>#VALUE!</v>
      </c>
      <c r="AI192" s="324" t="e">
        <f t="shared" si="71"/>
        <v>#VALUE!</v>
      </c>
      <c r="AJ192" s="328">
        <f>AG186-AG189</f>
        <v>0</v>
      </c>
      <c r="AK192" s="328" t="str">
        <f t="shared" si="72"/>
        <v/>
      </c>
      <c r="AL192" s="324" t="str">
        <f>IF(AD192="*","Deberías haber restado, con su signo, el aumento de impuestos del incremento de BAII","")</f>
        <v>Deberías haber restado, con su signo, el aumento de impuestos del incremento de BAII</v>
      </c>
      <c r="AM192" s="326" t="str">
        <f t="shared" si="73"/>
        <v>b</v>
      </c>
    </row>
    <row r="193" spans="1:39" s="324" customFormat="1" ht="0.65" hidden="1" customHeight="1">
      <c r="A193" s="324" t="e">
        <f t="shared" si="54"/>
        <v>#VALUE!</v>
      </c>
      <c r="G193" s="326">
        <v>2024</v>
      </c>
      <c r="H193" s="326" t="e">
        <f t="shared" si="82"/>
        <v>#VALUE!</v>
      </c>
      <c r="I193" s="326" t="e">
        <f t="shared" si="82"/>
        <v>#VALUE!</v>
      </c>
      <c r="J193" s="326" t="e">
        <f t="shared" si="82"/>
        <v>#VALUE!</v>
      </c>
      <c r="K193" s="326" t="e">
        <f t="shared" si="82"/>
        <v>#VALUE!</v>
      </c>
      <c r="L193" s="326"/>
      <c r="M193" s="326" t="s">
        <v>459</v>
      </c>
      <c r="N193" s="327" t="e">
        <f t="shared" si="79"/>
        <v>#VALUE!</v>
      </c>
      <c r="O193" s="326"/>
      <c r="P193" s="326"/>
      <c r="AA193" s="324">
        <f t="shared" si="67"/>
        <v>18</v>
      </c>
      <c r="AB193" s="326" t="str">
        <f t="shared" si="68"/>
        <v>C</v>
      </c>
      <c r="AC193" s="326" t="str">
        <f t="shared" ref="AC193:AC194" si="83">IF(M6="","b","")</f>
        <v>b</v>
      </c>
      <c r="AD193" s="326" t="str">
        <f t="shared" si="69"/>
        <v>*</v>
      </c>
      <c r="AE193" s="327">
        <f t="shared" si="70"/>
        <v>18</v>
      </c>
      <c r="AF193" s="324" t="e">
        <f t="shared" si="64"/>
        <v>#VALUE!</v>
      </c>
      <c r="AG193" s="328">
        <f>M6</f>
        <v>0</v>
      </c>
      <c r="AH193" s="328" t="e">
        <f t="shared" si="65"/>
        <v>#VALUE!</v>
      </c>
      <c r="AI193" s="324" t="e">
        <f t="shared" si="71"/>
        <v>#VALUE!</v>
      </c>
      <c r="AJ193" s="328">
        <f>AG187-AG190</f>
        <v>0</v>
      </c>
      <c r="AK193" s="328" t="str">
        <f t="shared" si="72"/>
        <v/>
      </c>
      <c r="AL193" s="324" t="str">
        <f>IF(AD193="*","Deberías haber restado, con su signo, el aumento de impuestos del incremento de BAII","")</f>
        <v>Deberías haber restado, con su signo, el aumento de impuestos del incremento de BAII</v>
      </c>
      <c r="AM193" s="326" t="str">
        <f t="shared" si="73"/>
        <v>b</v>
      </c>
    </row>
    <row r="194" spans="1:39" s="324" customFormat="1" ht="0.65" hidden="1" customHeight="1">
      <c r="A194" s="324" t="e">
        <f t="shared" si="54"/>
        <v>#VALUE!</v>
      </c>
      <c r="G194" s="326"/>
      <c r="H194" s="326"/>
      <c r="I194" s="326"/>
      <c r="J194" s="326"/>
      <c r="K194" s="326"/>
      <c r="L194" s="326"/>
      <c r="M194" s="326"/>
      <c r="N194" s="327"/>
      <c r="O194" s="326"/>
      <c r="P194" s="326"/>
      <c r="AA194" s="324">
        <f t="shared" si="67"/>
        <v>19</v>
      </c>
      <c r="AB194" s="326" t="str">
        <f t="shared" si="68"/>
        <v>C</v>
      </c>
      <c r="AC194" s="326" t="str">
        <f t="shared" si="83"/>
        <v>b</v>
      </c>
      <c r="AD194" s="326" t="str">
        <f t="shared" si="69"/>
        <v>*</v>
      </c>
      <c r="AE194" s="327">
        <f t="shared" si="70"/>
        <v>19</v>
      </c>
      <c r="AF194" s="324" t="e">
        <f t="shared" si="64"/>
        <v>#VALUE!</v>
      </c>
      <c r="AG194" s="328">
        <f>M7</f>
        <v>0</v>
      </c>
      <c r="AH194" s="328" t="e">
        <f t="shared" si="65"/>
        <v>#VALUE!</v>
      </c>
      <c r="AI194" s="324" t="e">
        <f t="shared" si="71"/>
        <v>#VALUE!</v>
      </c>
      <c r="AJ194" s="328">
        <f>AG188-AG191</f>
        <v>0</v>
      </c>
      <c r="AK194" s="328" t="str">
        <f t="shared" si="72"/>
        <v/>
      </c>
      <c r="AL194" s="324" t="str">
        <f>IF(AD194="*","Deberías haber restado, con su signo, el aumento de impuestos del incremento de BAII","")</f>
        <v>Deberías haber restado, con su signo, el aumento de impuestos del incremento de BAII</v>
      </c>
      <c r="AM194" s="326" t="str">
        <f t="shared" si="73"/>
        <v>b</v>
      </c>
    </row>
    <row r="195" spans="1:39" s="324" customFormat="1" ht="0.65" hidden="1" customHeight="1">
      <c r="A195" s="324" t="e">
        <f t="shared" si="54"/>
        <v>#VALUE!</v>
      </c>
      <c r="G195" s="326"/>
      <c r="H195" s="326"/>
      <c r="I195" s="326"/>
      <c r="J195" s="326"/>
      <c r="K195" s="326"/>
      <c r="L195" s="326"/>
      <c r="M195" s="326"/>
      <c r="N195" s="327"/>
      <c r="O195" s="326" t="s">
        <v>13</v>
      </c>
      <c r="P195" s="326" t="e">
        <f t="shared" ref="P195:P196" si="84">VLOOKUP(P68,$AA$176:$AB$224,2,FALSE)</f>
        <v>#VALUE!</v>
      </c>
      <c r="AA195" s="324">
        <f t="shared" si="67"/>
        <v>20</v>
      </c>
      <c r="AB195" s="326" t="str">
        <f t="shared" si="68"/>
        <v>C</v>
      </c>
      <c r="AC195" s="326" t="str">
        <f>IF(N5="","b","")</f>
        <v>b</v>
      </c>
      <c r="AD195" s="326" t="str">
        <f t="shared" si="69"/>
        <v>*</v>
      </c>
      <c r="AE195" s="327">
        <f t="shared" si="70"/>
        <v>20</v>
      </c>
      <c r="AF195" s="324" t="e">
        <f t="shared" si="64"/>
        <v>#VALUE!</v>
      </c>
      <c r="AG195" s="328">
        <f>N5</f>
        <v>0</v>
      </c>
      <c r="AH195" s="328" t="e">
        <f t="shared" si="65"/>
        <v>#VALUE!</v>
      </c>
      <c r="AI195" s="324" t="e">
        <f t="shared" si="71"/>
        <v>#VALUE!</v>
      </c>
      <c r="AJ195" s="328">
        <f>AG192+AG183</f>
        <v>0</v>
      </c>
      <c r="AK195" s="328" t="str">
        <f t="shared" si="72"/>
        <v/>
      </c>
      <c r="AL195" s="324" t="str">
        <f>IF(AD195="*","Deberías haber sumado, con su signo, la amortización incremental al incremento de BAIdI","")</f>
        <v>Deberías haber sumado, con su signo, la amortización incremental al incremento de BAIdI</v>
      </c>
      <c r="AM195" s="326" t="str">
        <f t="shared" si="73"/>
        <v>b</v>
      </c>
    </row>
    <row r="196" spans="1:39" s="324" customFormat="1" ht="0.65" hidden="1" customHeight="1">
      <c r="A196" s="324" t="e">
        <f t="shared" si="54"/>
        <v>#VALUE!</v>
      </c>
      <c r="G196" s="326"/>
      <c r="H196" s="326"/>
      <c r="I196" s="326"/>
      <c r="J196" s="326"/>
      <c r="K196" s="326"/>
      <c r="L196" s="326"/>
      <c r="M196" s="326"/>
      <c r="N196" s="326"/>
      <c r="O196" s="326" t="s">
        <v>28</v>
      </c>
      <c r="P196" s="326" t="e">
        <f t="shared" si="84"/>
        <v>#VALUE!</v>
      </c>
      <c r="AA196" s="324">
        <f t="shared" si="67"/>
        <v>21</v>
      </c>
      <c r="AB196" s="326" t="str">
        <f t="shared" si="68"/>
        <v>C</v>
      </c>
      <c r="AC196" s="326" t="str">
        <f t="shared" ref="AC196:AC197" si="85">IF(N6="","b","")</f>
        <v>b</v>
      </c>
      <c r="AD196" s="326" t="str">
        <f t="shared" si="69"/>
        <v>*</v>
      </c>
      <c r="AE196" s="327">
        <f t="shared" si="70"/>
        <v>21</v>
      </c>
      <c r="AF196" s="324" t="e">
        <f t="shared" si="64"/>
        <v>#VALUE!</v>
      </c>
      <c r="AG196" s="328">
        <f>N6</f>
        <v>0</v>
      </c>
      <c r="AH196" s="328" t="e">
        <f t="shared" si="65"/>
        <v>#VALUE!</v>
      </c>
      <c r="AI196" s="324" t="e">
        <f t="shared" si="71"/>
        <v>#VALUE!</v>
      </c>
      <c r="AJ196" s="328">
        <f>AG193+AG184</f>
        <v>0</v>
      </c>
      <c r="AK196" s="328" t="str">
        <f t="shared" si="72"/>
        <v/>
      </c>
      <c r="AL196" s="324" t="str">
        <f>IF(AD196="*","Deberías haber sumado, con su signo, la amortización incremental al incremento de BAIdI","")</f>
        <v>Deberías haber sumado, con su signo, la amortización incremental al incremento de BAIdI</v>
      </c>
      <c r="AM196" s="326" t="str">
        <f t="shared" si="73"/>
        <v>b</v>
      </c>
    </row>
    <row r="197" spans="1:39" s="324" customFormat="1" ht="0.65" hidden="1" customHeight="1">
      <c r="A197" s="324" t="e">
        <f t="shared" ref="A197:A225" si="86">1+A196</f>
        <v>#VALUE!</v>
      </c>
      <c r="G197" s="326"/>
      <c r="H197" s="326"/>
      <c r="I197" s="326"/>
      <c r="J197" s="326"/>
      <c r="K197" s="326"/>
      <c r="L197" s="326"/>
      <c r="M197" s="326"/>
      <c r="N197" s="326"/>
      <c r="O197" s="326" t="s">
        <v>29</v>
      </c>
      <c r="P197" s="326"/>
      <c r="AA197" s="324">
        <f t="shared" si="67"/>
        <v>22</v>
      </c>
      <c r="AB197" s="326" t="str">
        <f t="shared" si="68"/>
        <v>C</v>
      </c>
      <c r="AC197" s="326" t="str">
        <f t="shared" si="85"/>
        <v>b</v>
      </c>
      <c r="AD197" s="326" t="str">
        <f t="shared" si="69"/>
        <v>*</v>
      </c>
      <c r="AE197" s="327">
        <f t="shared" si="70"/>
        <v>22</v>
      </c>
      <c r="AF197" s="324" t="e">
        <f t="shared" si="64"/>
        <v>#VALUE!</v>
      </c>
      <c r="AG197" s="328">
        <f>N7</f>
        <v>0</v>
      </c>
      <c r="AH197" s="328" t="e">
        <f t="shared" si="65"/>
        <v>#VALUE!</v>
      </c>
      <c r="AI197" s="324" t="e">
        <f t="shared" si="71"/>
        <v>#VALUE!</v>
      </c>
      <c r="AJ197" s="328">
        <f>AG194+AG185</f>
        <v>0</v>
      </c>
      <c r="AK197" s="328" t="str">
        <f t="shared" si="72"/>
        <v/>
      </c>
      <c r="AL197" s="324" t="str">
        <f>IF(AD197="*","Deberías haber sumado, con su signo, la amortización incremental al incremento de BAIdI","")</f>
        <v>Deberías haber sumado, con su signo, la amortización incremental al incremento de BAIdI</v>
      </c>
      <c r="AM197" s="326" t="str">
        <f t="shared" si="73"/>
        <v>b</v>
      </c>
    </row>
    <row r="198" spans="1:39" s="324" customFormat="1" ht="0.65" hidden="1" customHeight="1">
      <c r="A198" s="324" t="e">
        <f t="shared" si="86"/>
        <v>#VALUE!</v>
      </c>
      <c r="G198" s="326"/>
      <c r="H198" s="326"/>
      <c r="I198" s="326"/>
      <c r="J198" s="326"/>
      <c r="K198" s="326"/>
      <c r="L198" s="326"/>
      <c r="M198" s="326"/>
      <c r="N198" s="326"/>
      <c r="O198" s="326" t="s">
        <v>30</v>
      </c>
      <c r="P198" s="326"/>
      <c r="AA198" s="324">
        <f t="shared" si="67"/>
        <v>23</v>
      </c>
      <c r="AB198" s="326" t="str">
        <f t="shared" si="68"/>
        <v>C</v>
      </c>
      <c r="AC198" s="326" t="str">
        <f>IF(H11="","b","")</f>
        <v>b</v>
      </c>
      <c r="AD198" s="326" t="str">
        <f t="shared" si="69"/>
        <v>*</v>
      </c>
      <c r="AE198" s="327">
        <f t="shared" si="70"/>
        <v>23</v>
      </c>
      <c r="AF198" s="324" t="e">
        <f t="shared" si="64"/>
        <v>#VALUE!</v>
      </c>
      <c r="AG198" s="328">
        <f>H11</f>
        <v>0</v>
      </c>
      <c r="AH198" s="328" t="e">
        <f t="shared" si="65"/>
        <v>#VALUE!</v>
      </c>
      <c r="AI198" s="324" t="e">
        <f t="shared" si="71"/>
        <v>#VALUE!</v>
      </c>
      <c r="AJ198" s="328" t="e">
        <f>AG177/360*$D$13</f>
        <v>#VALUE!</v>
      </c>
      <c r="AK198" s="328" t="e">
        <f t="shared" si="72"/>
        <v>#VALUE!</v>
      </c>
      <c r="AL198" s="324" t="e">
        <f>IF(AD198="*",CONCATENATE("Deberías haber dividido las ventas incrementales entre 360 y multiplicado el resultado por el número de días de plazo de cobro (",$D$13," días)"),"")</f>
        <v>#VALUE!</v>
      </c>
      <c r="AM198" s="326" t="str">
        <f t="shared" si="73"/>
        <v>b</v>
      </c>
    </row>
    <row r="199" spans="1:39" s="324" customFormat="1" ht="0.65" hidden="1" customHeight="1">
      <c r="A199" s="324" t="e">
        <f t="shared" si="86"/>
        <v>#VALUE!</v>
      </c>
      <c r="AA199" s="324">
        <f t="shared" si="67"/>
        <v>24</v>
      </c>
      <c r="AB199" s="326" t="str">
        <f t="shared" si="68"/>
        <v>C</v>
      </c>
      <c r="AC199" s="326" t="str">
        <f t="shared" ref="AC199:AC200" si="87">IF(H12="","b","")</f>
        <v>b</v>
      </c>
      <c r="AD199" s="326" t="str">
        <f t="shared" si="69"/>
        <v>*</v>
      </c>
      <c r="AE199" s="327">
        <f t="shared" si="70"/>
        <v>24</v>
      </c>
      <c r="AF199" s="324" t="e">
        <f t="shared" si="64"/>
        <v>#VALUE!</v>
      </c>
      <c r="AG199" s="328">
        <f>H12</f>
        <v>0</v>
      </c>
      <c r="AH199" s="328" t="e">
        <f t="shared" si="65"/>
        <v>#VALUE!</v>
      </c>
      <c r="AI199" s="324" t="e">
        <f t="shared" si="71"/>
        <v>#VALUE!</v>
      </c>
      <c r="AJ199" s="328" t="e">
        <f>AG178/360*$D$13</f>
        <v>#VALUE!</v>
      </c>
      <c r="AK199" s="328" t="e">
        <f t="shared" si="72"/>
        <v>#VALUE!</v>
      </c>
      <c r="AL199" s="324" t="e">
        <f>IF(AD199="*",CONCATENATE("Deberías haber dividido las ventas incrementales entre 360 y multiplicado el resultado por el número de días de plazo de cobro (",$D$13," días)"),"")</f>
        <v>#VALUE!</v>
      </c>
      <c r="AM199" s="326" t="str">
        <f t="shared" si="73"/>
        <v>b</v>
      </c>
    </row>
    <row r="200" spans="1:39" s="324" customFormat="1" ht="0.65" hidden="1" customHeight="1">
      <c r="A200" s="324" t="e">
        <f t="shared" si="86"/>
        <v>#VALUE!</v>
      </c>
      <c r="AA200" s="324">
        <f t="shared" si="67"/>
        <v>25</v>
      </c>
      <c r="AB200" s="326" t="str">
        <f t="shared" si="68"/>
        <v>C</v>
      </c>
      <c r="AC200" s="326" t="str">
        <f t="shared" si="87"/>
        <v>b</v>
      </c>
      <c r="AD200" s="326" t="str">
        <f t="shared" si="69"/>
        <v>*</v>
      </c>
      <c r="AE200" s="327">
        <f t="shared" si="70"/>
        <v>25</v>
      </c>
      <c r="AF200" s="324" t="e">
        <f t="shared" si="64"/>
        <v>#VALUE!</v>
      </c>
      <c r="AG200" s="328">
        <f>H13</f>
        <v>0</v>
      </c>
      <c r="AH200" s="328" t="e">
        <f t="shared" si="65"/>
        <v>#VALUE!</v>
      </c>
      <c r="AI200" s="324" t="e">
        <f t="shared" si="71"/>
        <v>#VALUE!</v>
      </c>
      <c r="AJ200" s="328" t="e">
        <f>AG179/360*$D$13</f>
        <v>#VALUE!</v>
      </c>
      <c r="AK200" s="328" t="e">
        <f t="shared" si="72"/>
        <v>#VALUE!</v>
      </c>
      <c r="AL200" s="324" t="e">
        <f>IF(AD200="*",CONCATENATE("Deberías haber dividido las ventas incrementales entre 360 y multiplicado el resultado por el número de días de plazo de cobro (",$D$13," días)"),"")</f>
        <v>#VALUE!</v>
      </c>
      <c r="AM200" s="326" t="str">
        <f t="shared" si="73"/>
        <v>b</v>
      </c>
    </row>
    <row r="201" spans="1:39" s="324" customFormat="1" ht="0.65" hidden="1" customHeight="1">
      <c r="A201" s="324" t="e">
        <f t="shared" si="86"/>
        <v>#VALUE!</v>
      </c>
      <c r="AA201" s="324">
        <f t="shared" si="67"/>
        <v>26</v>
      </c>
      <c r="AB201" s="326" t="str">
        <f t="shared" si="68"/>
        <v>C</v>
      </c>
      <c r="AC201" s="326" t="str">
        <f>IF(I11="","b","")</f>
        <v>b</v>
      </c>
      <c r="AD201" s="326" t="str">
        <f t="shared" si="69"/>
        <v>*</v>
      </c>
      <c r="AE201" s="327">
        <f t="shared" si="70"/>
        <v>26</v>
      </c>
      <c r="AF201" s="324" t="e">
        <f t="shared" si="64"/>
        <v>#VALUE!</v>
      </c>
      <c r="AG201" s="328">
        <f>I11</f>
        <v>0</v>
      </c>
      <c r="AH201" s="328" t="e">
        <f t="shared" si="65"/>
        <v>#VALUE!</v>
      </c>
      <c r="AI201" s="324" t="e">
        <f t="shared" si="71"/>
        <v>#VALUE!</v>
      </c>
      <c r="AJ201" s="328" t="e">
        <f>AG180/360*$D$14</f>
        <v>#VALUE!</v>
      </c>
      <c r="AK201" s="328" t="e">
        <f t="shared" si="72"/>
        <v>#VALUE!</v>
      </c>
      <c r="AL201" s="324" t="e">
        <f>IF(AD201="*",CONCATENATE("Deberías haber dividido los costes operativos incrementales con desembolso entre 360 y multiplicado el resultado por el número de días de plazo de pago (",$D$14," días)"),"")</f>
        <v>#VALUE!</v>
      </c>
      <c r="AM201" s="326" t="str">
        <f t="shared" si="73"/>
        <v>b</v>
      </c>
    </row>
    <row r="202" spans="1:39" s="324" customFormat="1" ht="0.65" hidden="1" customHeight="1">
      <c r="A202" s="324" t="e">
        <f t="shared" si="86"/>
        <v>#VALUE!</v>
      </c>
      <c r="AA202" s="324">
        <f t="shared" si="67"/>
        <v>27</v>
      </c>
      <c r="AB202" s="326" t="str">
        <f t="shared" si="68"/>
        <v>C</v>
      </c>
      <c r="AC202" s="326" t="str">
        <f t="shared" ref="AC202:AC203" si="88">IF(I12="","b","")</f>
        <v>b</v>
      </c>
      <c r="AD202" s="326" t="str">
        <f t="shared" si="69"/>
        <v>*</v>
      </c>
      <c r="AE202" s="327">
        <f t="shared" si="70"/>
        <v>27</v>
      </c>
      <c r="AF202" s="324" t="e">
        <f t="shared" si="64"/>
        <v>#VALUE!</v>
      </c>
      <c r="AG202" s="328">
        <f>I12</f>
        <v>0</v>
      </c>
      <c r="AH202" s="328" t="e">
        <f t="shared" si="65"/>
        <v>#VALUE!</v>
      </c>
      <c r="AI202" s="324" t="e">
        <f t="shared" si="71"/>
        <v>#VALUE!</v>
      </c>
      <c r="AJ202" s="328" t="e">
        <f>AG181/360*$D$14</f>
        <v>#VALUE!</v>
      </c>
      <c r="AK202" s="328" t="e">
        <f t="shared" si="72"/>
        <v>#VALUE!</v>
      </c>
      <c r="AL202" s="324" t="e">
        <f>IF(AD202="*",CONCATENATE("Deberías haber dividido los costes operativos incrementales con desembolso entre 360 y multiplicado el resultado por el número de días de plazo de pago (",$D$14," días)"),"")</f>
        <v>#VALUE!</v>
      </c>
      <c r="AM202" s="326" t="str">
        <f t="shared" si="73"/>
        <v>b</v>
      </c>
    </row>
    <row r="203" spans="1:39" s="324" customFormat="1" ht="0.65" hidden="1" customHeight="1">
      <c r="A203" s="324" t="e">
        <f t="shared" si="86"/>
        <v>#VALUE!</v>
      </c>
      <c r="AA203" s="324">
        <f t="shared" si="67"/>
        <v>28</v>
      </c>
      <c r="AB203" s="326" t="str">
        <f t="shared" si="68"/>
        <v>C</v>
      </c>
      <c r="AC203" s="326" t="str">
        <f t="shared" si="88"/>
        <v>b</v>
      </c>
      <c r="AD203" s="326" t="str">
        <f t="shared" si="69"/>
        <v>*</v>
      </c>
      <c r="AE203" s="327">
        <f t="shared" si="70"/>
        <v>28</v>
      </c>
      <c r="AF203" s="324" t="e">
        <f t="shared" si="64"/>
        <v>#VALUE!</v>
      </c>
      <c r="AG203" s="328">
        <f>I13</f>
        <v>0</v>
      </c>
      <c r="AH203" s="328" t="e">
        <f t="shared" si="65"/>
        <v>#VALUE!</v>
      </c>
      <c r="AI203" s="324" t="e">
        <f t="shared" si="71"/>
        <v>#VALUE!</v>
      </c>
      <c r="AJ203" s="328" t="e">
        <f>AG182/360*$D$14</f>
        <v>#VALUE!</v>
      </c>
      <c r="AK203" s="328" t="e">
        <f t="shared" si="72"/>
        <v>#VALUE!</v>
      </c>
      <c r="AL203" s="324" t="e">
        <f>IF(AD203="*",CONCATENATE("Deberías haber dividido los costes operativos incrementales con desembolso entre 360 y multiplicado el resultado por el número de días de plazo de pago (",$D$14," días)"),"")</f>
        <v>#VALUE!</v>
      </c>
      <c r="AM203" s="326" t="str">
        <f t="shared" si="73"/>
        <v>b</v>
      </c>
    </row>
    <row r="204" spans="1:39" s="324" customFormat="1" ht="0.65" hidden="1" customHeight="1">
      <c r="A204" s="324" t="e">
        <f t="shared" si="86"/>
        <v>#VALUE!</v>
      </c>
      <c r="AA204" s="324">
        <f t="shared" si="67"/>
        <v>29</v>
      </c>
      <c r="AB204" s="326" t="str">
        <f t="shared" si="68"/>
        <v>C</v>
      </c>
      <c r="AC204" s="326" t="str">
        <f>IF(J11="","b","")</f>
        <v>b</v>
      </c>
      <c r="AD204" s="326" t="str">
        <f t="shared" si="69"/>
        <v>*</v>
      </c>
      <c r="AE204" s="327">
        <f t="shared" si="70"/>
        <v>29</v>
      </c>
      <c r="AF204" s="324" t="e">
        <f t="shared" si="64"/>
        <v>#VALUE!</v>
      </c>
      <c r="AG204" s="328">
        <f>J11</f>
        <v>0</v>
      </c>
      <c r="AH204" s="328" t="e">
        <f t="shared" si="65"/>
        <v>#VALUE!</v>
      </c>
      <c r="AI204" s="324" t="e">
        <f t="shared" si="71"/>
        <v>#VALUE!</v>
      </c>
      <c r="AJ204" s="328">
        <f>AG198-AG201</f>
        <v>0</v>
      </c>
      <c r="AK204" s="328" t="str">
        <f t="shared" si="72"/>
        <v/>
      </c>
      <c r="AL204" s="324" t="str">
        <f>IF(AD204="*","Deberías haber restado, son su signo, el incremento de Proveedores del aumento de Clientes","")</f>
        <v>Deberías haber restado, son su signo, el incremento de Proveedores del aumento de Clientes</v>
      </c>
      <c r="AM204" s="326" t="str">
        <f t="shared" si="73"/>
        <v>b</v>
      </c>
    </row>
    <row r="205" spans="1:39" s="324" customFormat="1" ht="0.65" hidden="1" customHeight="1">
      <c r="A205" s="324" t="e">
        <f t="shared" si="86"/>
        <v>#VALUE!</v>
      </c>
      <c r="AA205" s="324">
        <f t="shared" si="67"/>
        <v>30</v>
      </c>
      <c r="AB205" s="326" t="str">
        <f t="shared" si="68"/>
        <v>C</v>
      </c>
      <c r="AC205" s="326" t="str">
        <f t="shared" ref="AC205:AC206" si="89">IF(J12="","b","")</f>
        <v>b</v>
      </c>
      <c r="AD205" s="326" t="str">
        <f t="shared" si="69"/>
        <v>*</v>
      </c>
      <c r="AE205" s="327">
        <f t="shared" si="70"/>
        <v>30</v>
      </c>
      <c r="AF205" s="324" t="e">
        <f t="shared" si="64"/>
        <v>#VALUE!</v>
      </c>
      <c r="AG205" s="328">
        <f>J12</f>
        <v>0</v>
      </c>
      <c r="AH205" s="328" t="e">
        <f t="shared" si="65"/>
        <v>#VALUE!</v>
      </c>
      <c r="AI205" s="324" t="e">
        <f t="shared" si="71"/>
        <v>#VALUE!</v>
      </c>
      <c r="AJ205" s="328">
        <f>AG199-AG202</f>
        <v>0</v>
      </c>
      <c r="AK205" s="328" t="str">
        <f t="shared" si="72"/>
        <v/>
      </c>
      <c r="AL205" s="324" t="str">
        <f>IF(AD205="*","Deberías haber restado, son su signo, el incremento de Proveedores del aumento de Clientes","")</f>
        <v>Deberías haber restado, son su signo, el incremento de Proveedores del aumento de Clientes</v>
      </c>
      <c r="AM205" s="326" t="str">
        <f t="shared" si="73"/>
        <v>b</v>
      </c>
    </row>
    <row r="206" spans="1:39" s="324" customFormat="1" ht="0.65" hidden="1" customHeight="1">
      <c r="A206" s="324" t="e">
        <f t="shared" si="86"/>
        <v>#VALUE!</v>
      </c>
      <c r="AA206" s="324">
        <f t="shared" si="67"/>
        <v>31</v>
      </c>
      <c r="AB206" s="326" t="str">
        <f t="shared" si="68"/>
        <v>C</v>
      </c>
      <c r="AC206" s="326" t="str">
        <f t="shared" si="89"/>
        <v>b</v>
      </c>
      <c r="AD206" s="326" t="str">
        <f t="shared" si="69"/>
        <v>*</v>
      </c>
      <c r="AE206" s="327">
        <f t="shared" si="70"/>
        <v>31</v>
      </c>
      <c r="AF206" s="324" t="e">
        <f t="shared" si="64"/>
        <v>#VALUE!</v>
      </c>
      <c r="AG206" s="328">
        <f>J13</f>
        <v>0</v>
      </c>
      <c r="AH206" s="328" t="e">
        <f t="shared" si="65"/>
        <v>#VALUE!</v>
      </c>
      <c r="AI206" s="324" t="e">
        <f t="shared" si="71"/>
        <v>#VALUE!</v>
      </c>
      <c r="AJ206" s="328">
        <f>AG200-AG203</f>
        <v>0</v>
      </c>
      <c r="AK206" s="328" t="str">
        <f t="shared" si="72"/>
        <v/>
      </c>
      <c r="AL206" s="324" t="str">
        <f>IF(AD206="*","Deberías haber restado, son su signo, el incremento de Proveedores del aumento de Clientes","")</f>
        <v>Deberías haber restado, son su signo, el incremento de Proveedores del aumento de Clientes</v>
      </c>
      <c r="AM206" s="326" t="str">
        <f t="shared" si="73"/>
        <v>b</v>
      </c>
    </row>
    <row r="207" spans="1:39" s="324" customFormat="1" ht="0.65" hidden="1" customHeight="1">
      <c r="A207" s="324" t="e">
        <f t="shared" si="86"/>
        <v>#VALUE!</v>
      </c>
      <c r="AA207" s="324">
        <f t="shared" si="67"/>
        <v>32</v>
      </c>
      <c r="AB207" s="326" t="str">
        <f t="shared" si="68"/>
        <v>C</v>
      </c>
      <c r="AC207" s="326" t="str">
        <f>IF(K11="","b","")</f>
        <v>b</v>
      </c>
      <c r="AD207" s="326" t="str">
        <f t="shared" si="69"/>
        <v>*</v>
      </c>
      <c r="AE207" s="327">
        <f t="shared" si="70"/>
        <v>32</v>
      </c>
      <c r="AF207" s="324" t="e">
        <f t="shared" si="64"/>
        <v>#VALUE!</v>
      </c>
      <c r="AG207" s="328">
        <f>K11</f>
        <v>0</v>
      </c>
      <c r="AH207" s="328" t="e">
        <f t="shared" si="65"/>
        <v>#VALUE!</v>
      </c>
      <c r="AI207" s="324" t="e">
        <f t="shared" si="71"/>
        <v>#VALUE!</v>
      </c>
      <c r="AJ207" s="328">
        <f>AG204</f>
        <v>0</v>
      </c>
      <c r="AK207" s="328" t="str">
        <f t="shared" si="72"/>
        <v/>
      </c>
      <c r="AL207" s="324" t="str">
        <f>IF(AD207="*","La inversión en fondo de maniobra del primer año debería coincidir con el saldo que aporta el proyecto, ya que en el desembolso inicial no hay inversión en dicho concepto (FM)","")</f>
        <v>La inversión en fondo de maniobra del primer año debería coincidir con el saldo que aporta el proyecto, ya que en el desembolso inicial no hay inversión en dicho concepto (FM)</v>
      </c>
      <c r="AM207" s="326" t="str">
        <f t="shared" si="73"/>
        <v>b</v>
      </c>
    </row>
    <row r="208" spans="1:39" s="324" customFormat="1" ht="0.65" hidden="1" customHeight="1">
      <c r="A208" s="324" t="e">
        <f t="shared" si="86"/>
        <v>#VALUE!</v>
      </c>
      <c r="AA208" s="324">
        <f t="shared" si="67"/>
        <v>33</v>
      </c>
      <c r="AB208" s="326" t="str">
        <f t="shared" si="68"/>
        <v>C</v>
      </c>
      <c r="AC208" s="326" t="str">
        <f t="shared" ref="AC208:AC209" si="90">IF(K12="","b","")</f>
        <v>b</v>
      </c>
      <c r="AD208" s="326" t="str">
        <f t="shared" si="69"/>
        <v>*</v>
      </c>
      <c r="AE208" s="327">
        <f t="shared" si="70"/>
        <v>33</v>
      </c>
      <c r="AF208" s="324" t="e">
        <f t="shared" si="64"/>
        <v>#VALUE!</v>
      </c>
      <c r="AG208" s="328">
        <f>K12</f>
        <v>0</v>
      </c>
      <c r="AH208" s="328" t="e">
        <f t="shared" si="65"/>
        <v>#VALUE!</v>
      </c>
      <c r="AI208" s="324" t="e">
        <f t="shared" si="71"/>
        <v>#VALUE!</v>
      </c>
      <c r="AJ208" s="328">
        <f>AG205-AG204</f>
        <v>0</v>
      </c>
      <c r="AK208" s="328" t="str">
        <f t="shared" si="72"/>
        <v/>
      </c>
      <c r="AL208" s="324" t="str">
        <f>IF(AD208="*","Deberías haber restado del saldo de fondo de maniobra que aporta el proyecto en este año el que aportó el año anterior","")</f>
        <v>Deberías haber restado del saldo de fondo de maniobra que aporta el proyecto en este año el que aportó el año anterior</v>
      </c>
      <c r="AM208" s="326" t="str">
        <f t="shared" si="73"/>
        <v>b</v>
      </c>
    </row>
    <row r="209" spans="1:39" s="324" customFormat="1" ht="0.65" hidden="1" customHeight="1">
      <c r="A209" s="324" t="e">
        <f t="shared" si="86"/>
        <v>#VALUE!</v>
      </c>
      <c r="AA209" s="324">
        <f t="shared" si="67"/>
        <v>34</v>
      </c>
      <c r="AB209" s="326" t="str">
        <f t="shared" si="68"/>
        <v>C</v>
      </c>
      <c r="AC209" s="326" t="str">
        <f t="shared" si="90"/>
        <v>b</v>
      </c>
      <c r="AD209" s="326" t="str">
        <f t="shared" si="69"/>
        <v>*</v>
      </c>
      <c r="AE209" s="327">
        <f t="shared" si="70"/>
        <v>34</v>
      </c>
      <c r="AF209" s="324" t="e">
        <f t="shared" si="64"/>
        <v>#VALUE!</v>
      </c>
      <c r="AG209" s="328">
        <f>K13</f>
        <v>0</v>
      </c>
      <c r="AH209" s="328" t="e">
        <f t="shared" si="65"/>
        <v>#VALUE!</v>
      </c>
      <c r="AI209" s="324" t="e">
        <f t="shared" si="71"/>
        <v>#VALUE!</v>
      </c>
      <c r="AJ209" s="328">
        <f>AG206-AG205</f>
        <v>0</v>
      </c>
      <c r="AK209" s="328" t="str">
        <f t="shared" si="72"/>
        <v/>
      </c>
      <c r="AL209" s="324" t="str">
        <f>IF(AD209="*","Deberías haber restado del saldo de fondo de maniobra que aporta el proyecto en este año el que aportó el año anterior","")</f>
        <v>Deberías haber restado del saldo de fondo de maniobra que aporta el proyecto en este año el que aportó el año anterior</v>
      </c>
      <c r="AM209" s="326" t="str">
        <f t="shared" si="73"/>
        <v>b</v>
      </c>
    </row>
    <row r="210" spans="1:39" s="324" customFormat="1" ht="0.65" hidden="1" customHeight="1">
      <c r="A210" s="324" t="e">
        <f t="shared" si="86"/>
        <v>#VALUE!</v>
      </c>
      <c r="AA210" s="324">
        <f t="shared" si="67"/>
        <v>35</v>
      </c>
      <c r="AB210" s="326" t="str">
        <f t="shared" si="68"/>
        <v>C</v>
      </c>
      <c r="AC210" s="326" t="str">
        <f>IF(O5="","b","")</f>
        <v>b</v>
      </c>
      <c r="AD210" s="326" t="str">
        <f t="shared" si="69"/>
        <v>*</v>
      </c>
      <c r="AE210" s="327">
        <f t="shared" si="70"/>
        <v>35</v>
      </c>
      <c r="AF210" s="324" t="e">
        <f t="shared" si="64"/>
        <v>#VALUE!</v>
      </c>
      <c r="AG210" s="328">
        <f>O5</f>
        <v>0</v>
      </c>
      <c r="AH210" s="328" t="e">
        <f t="shared" si="65"/>
        <v>#VALUE!</v>
      </c>
      <c r="AI210" s="324" t="e">
        <f t="shared" si="71"/>
        <v>#VALUE!</v>
      </c>
      <c r="AJ210" s="328">
        <f>AG195-AG207</f>
        <v>0</v>
      </c>
      <c r="AK210" s="328" t="str">
        <f t="shared" si="72"/>
        <v/>
      </c>
      <c r="AL210" s="324" t="str">
        <f>IF(AD210="*","Deberías haber restado, con su signo, la inversión en fondo de maniobra de la generación de fondos operativa incremental","")</f>
        <v>Deberías haber restado, con su signo, la inversión en fondo de maniobra de la generación de fondos operativa incremental</v>
      </c>
      <c r="AM210" s="326" t="str">
        <f t="shared" si="73"/>
        <v>b</v>
      </c>
    </row>
    <row r="211" spans="1:39" s="324" customFormat="1" ht="0.65" hidden="1" customHeight="1">
      <c r="A211" s="324" t="e">
        <f t="shared" si="86"/>
        <v>#VALUE!</v>
      </c>
      <c r="AA211" s="324">
        <f t="shared" si="67"/>
        <v>36</v>
      </c>
      <c r="AB211" s="326" t="str">
        <f t="shared" si="68"/>
        <v>C</v>
      </c>
      <c r="AC211" s="326" t="str">
        <f t="shared" ref="AC211:AC212" si="91">IF(O6="","b","")</f>
        <v>b</v>
      </c>
      <c r="AD211" s="326" t="str">
        <f t="shared" si="69"/>
        <v>*</v>
      </c>
      <c r="AE211" s="327">
        <f t="shared" si="70"/>
        <v>36</v>
      </c>
      <c r="AF211" s="324" t="e">
        <f t="shared" si="64"/>
        <v>#VALUE!</v>
      </c>
      <c r="AG211" s="328">
        <f>O6</f>
        <v>0</v>
      </c>
      <c r="AH211" s="328" t="e">
        <f t="shared" si="65"/>
        <v>#VALUE!</v>
      </c>
      <c r="AI211" s="324" t="e">
        <f t="shared" si="71"/>
        <v>#VALUE!</v>
      </c>
      <c r="AJ211" s="328">
        <f>AG196-AG208</f>
        <v>0</v>
      </c>
      <c r="AK211" s="328" t="str">
        <f t="shared" si="72"/>
        <v/>
      </c>
      <c r="AL211" s="324" t="str">
        <f>IF(AD211="*","Deberías haber restado, con su signo, la inversión en fondo de maniobra de la generación de fondos operativa incremental","")</f>
        <v>Deberías haber restado, con su signo, la inversión en fondo de maniobra de la generación de fondos operativa incremental</v>
      </c>
      <c r="AM211" s="326" t="str">
        <f t="shared" si="73"/>
        <v>b</v>
      </c>
    </row>
    <row r="212" spans="1:39" s="324" customFormat="1" ht="0.65" hidden="1" customHeight="1">
      <c r="A212" s="324" t="e">
        <f t="shared" si="86"/>
        <v>#VALUE!</v>
      </c>
      <c r="AA212" s="324">
        <f t="shared" si="67"/>
        <v>37</v>
      </c>
      <c r="AB212" s="326" t="str">
        <f t="shared" si="68"/>
        <v>C</v>
      </c>
      <c r="AC212" s="326" t="str">
        <f t="shared" si="91"/>
        <v>b</v>
      </c>
      <c r="AD212" s="326" t="str">
        <f t="shared" si="69"/>
        <v>*</v>
      </c>
      <c r="AE212" s="327">
        <f t="shared" si="70"/>
        <v>37</v>
      </c>
      <c r="AF212" s="324" t="e">
        <f t="shared" si="64"/>
        <v>#VALUE!</v>
      </c>
      <c r="AG212" s="328">
        <f>O7</f>
        <v>0</v>
      </c>
      <c r="AH212" s="328" t="e">
        <f t="shared" si="65"/>
        <v>#VALUE!</v>
      </c>
      <c r="AI212" s="324" t="e">
        <f t="shared" si="71"/>
        <v>#VALUE!</v>
      </c>
      <c r="AJ212" s="328">
        <f>AG197-AG209</f>
        <v>0</v>
      </c>
      <c r="AK212" s="328" t="str">
        <f t="shared" si="72"/>
        <v/>
      </c>
      <c r="AL212" s="324" t="str">
        <f>IF(AD212="*","Deberías haber restado, con su signo, la inversión en fondo de maniobra de la generación de fondos operativa incremental","")</f>
        <v>Deberías haber restado, con su signo, la inversión en fondo de maniobra de la generación de fondos operativa incremental</v>
      </c>
      <c r="AM212" s="326" t="str">
        <f t="shared" si="73"/>
        <v>b</v>
      </c>
    </row>
    <row r="213" spans="1:39" s="324" customFormat="1" ht="0.65" hidden="1" customHeight="1">
      <c r="A213" s="324" t="e">
        <f t="shared" si="86"/>
        <v>#VALUE!</v>
      </c>
      <c r="AA213" s="324">
        <f t="shared" si="67"/>
        <v>38</v>
      </c>
      <c r="AB213" s="326" t="str">
        <f t="shared" si="68"/>
        <v>C</v>
      </c>
      <c r="AC213" s="326" t="str">
        <f>IF(N11="","b","")</f>
        <v>b</v>
      </c>
      <c r="AD213" s="326" t="str">
        <f t="shared" si="69"/>
        <v>*</v>
      </c>
      <c r="AE213" s="327">
        <f t="shared" si="70"/>
        <v>38</v>
      </c>
      <c r="AF213" s="324" t="e">
        <f t="shared" si="64"/>
        <v>#VALUE!</v>
      </c>
      <c r="AG213" s="328">
        <f>N11</f>
        <v>0</v>
      </c>
      <c r="AH213" s="328" t="e">
        <f t="shared" si="65"/>
        <v>#VALUE!</v>
      </c>
      <c r="AI213" s="324" t="e">
        <f t="shared" si="71"/>
        <v>#VALUE!</v>
      </c>
      <c r="AJ213" s="328" t="e">
        <f>AH213</f>
        <v>#VALUE!</v>
      </c>
      <c r="AK213" s="328" t="e">
        <f t="shared" si="72"/>
        <v>#VALUE!</v>
      </c>
      <c r="AL213" s="324" t="str">
        <f>IF(AD213="*","El valor residual por liquidación de activo fijo es incorrecto","")</f>
        <v>El valor residual por liquidación de activo fijo es incorrecto</v>
      </c>
      <c r="AM213" s="326" t="str">
        <f t="shared" si="73"/>
        <v>b</v>
      </c>
    </row>
    <row r="214" spans="1:39" s="324" customFormat="1" ht="0.65" hidden="1" customHeight="1">
      <c r="A214" s="324" t="e">
        <f t="shared" si="86"/>
        <v>#VALUE!</v>
      </c>
      <c r="AA214" s="324">
        <f t="shared" si="67"/>
        <v>39</v>
      </c>
      <c r="AB214" s="326" t="str">
        <f t="shared" si="68"/>
        <v>C</v>
      </c>
      <c r="AC214" s="326" t="str">
        <f t="shared" ref="AC214:AC215" si="92">IF(N12="","b","")</f>
        <v>b</v>
      </c>
      <c r="AD214" s="326" t="str">
        <f t="shared" si="69"/>
        <v>*</v>
      </c>
      <c r="AE214" s="327">
        <f t="shared" si="70"/>
        <v>39</v>
      </c>
      <c r="AF214" s="324" t="e">
        <f t="shared" si="64"/>
        <v>#VALUE!</v>
      </c>
      <c r="AG214" s="328">
        <f>N12</f>
        <v>0</v>
      </c>
      <c r="AH214" s="328" t="e">
        <f t="shared" si="65"/>
        <v>#VALUE!</v>
      </c>
      <c r="AI214" s="324" t="e">
        <f t="shared" si="71"/>
        <v>#VALUE!</v>
      </c>
      <c r="AJ214" s="328">
        <f>AG206</f>
        <v>0</v>
      </c>
      <c r="AK214" s="328" t="str">
        <f t="shared" si="72"/>
        <v/>
      </c>
      <c r="AL214" s="324" t="str">
        <f>IF(AD214="*","El valor residual por liquidación de FM debería coincidir con el saldo que el proyecto aporta el último año de vida útil del proyecto","")</f>
        <v>El valor residual por liquidación de FM debería coincidir con el saldo que el proyecto aporta el último año de vida útil del proyecto</v>
      </c>
      <c r="AM214" s="326" t="str">
        <f t="shared" si="73"/>
        <v>b</v>
      </c>
    </row>
    <row r="215" spans="1:39" s="324" customFormat="1" ht="0.65" hidden="1" customHeight="1">
      <c r="A215" s="324" t="e">
        <f t="shared" si="86"/>
        <v>#VALUE!</v>
      </c>
      <c r="AA215" s="324">
        <f t="shared" si="67"/>
        <v>40</v>
      </c>
      <c r="AB215" s="326" t="str">
        <f t="shared" si="68"/>
        <v>C</v>
      </c>
      <c r="AC215" s="326" t="str">
        <f t="shared" si="92"/>
        <v>b</v>
      </c>
      <c r="AD215" s="326" t="str">
        <f t="shared" si="69"/>
        <v>*</v>
      </c>
      <c r="AE215" s="327">
        <f t="shared" si="70"/>
        <v>40</v>
      </c>
      <c r="AF215" s="324" t="e">
        <f t="shared" si="64"/>
        <v>#VALUE!</v>
      </c>
      <c r="AG215" s="328">
        <f>N13</f>
        <v>0</v>
      </c>
      <c r="AH215" s="328" t="e">
        <f t="shared" si="65"/>
        <v>#VALUE!</v>
      </c>
      <c r="AI215" s="324" t="e">
        <f t="shared" si="71"/>
        <v>#VALUE!</v>
      </c>
      <c r="AJ215" s="328">
        <f>AG213+AG214</f>
        <v>0</v>
      </c>
      <c r="AK215" s="328" t="str">
        <f t="shared" si="72"/>
        <v/>
      </c>
      <c r="AL215" s="324" t="str">
        <f>IF(AD215="*","Deberías sumar, con su signo, los valores residuales correspondientes a activo fijo y fondo de maniobra","")</f>
        <v>Deberías sumar, con su signo, los valores residuales correspondientes a activo fijo y fondo de maniobra</v>
      </c>
      <c r="AM215" s="326" t="str">
        <f t="shared" si="73"/>
        <v>b</v>
      </c>
    </row>
    <row r="216" spans="1:39" s="324" customFormat="1" ht="0.65" hidden="1" customHeight="1">
      <c r="A216" s="324" t="e">
        <f t="shared" si="86"/>
        <v>#VALUE!</v>
      </c>
      <c r="AA216" s="324">
        <f t="shared" si="67"/>
        <v>41</v>
      </c>
      <c r="AB216" s="326" t="str">
        <f t="shared" si="68"/>
        <v>C</v>
      </c>
      <c r="AC216" s="326" t="str">
        <f>IF(P4="","b","")</f>
        <v>b</v>
      </c>
      <c r="AD216" s="326" t="str">
        <f t="shared" si="69"/>
        <v>*</v>
      </c>
      <c r="AE216" s="327">
        <f t="shared" si="70"/>
        <v>41</v>
      </c>
      <c r="AF216" s="324" t="e">
        <f t="shared" si="64"/>
        <v>#VALUE!</v>
      </c>
      <c r="AG216" s="328">
        <f>P4</f>
        <v>0</v>
      </c>
      <c r="AH216" s="328" t="e">
        <f t="shared" si="65"/>
        <v>#VALUE!</v>
      </c>
      <c r="AI216" s="324" t="e">
        <f t="shared" si="71"/>
        <v>#VALUE!</v>
      </c>
      <c r="AJ216" s="328">
        <f>-AG176</f>
        <v>0</v>
      </c>
      <c r="AK216" s="328" t="str">
        <f t="shared" si="72"/>
        <v/>
      </c>
      <c r="AL216" s="324" t="str">
        <f>IF(AD216="*","La tesorería de inversión del momento cero debería coincidir con el cálculo realizado de desembolso inicial","")</f>
        <v>La tesorería de inversión del momento cero debería coincidir con el cálculo realizado de desembolso inicial</v>
      </c>
      <c r="AM216" s="326" t="str">
        <f t="shared" si="73"/>
        <v>b</v>
      </c>
    </row>
    <row r="217" spans="1:39" s="324" customFormat="1" ht="0.65" hidden="1" customHeight="1">
      <c r="A217" s="324" t="e">
        <f t="shared" si="86"/>
        <v>#VALUE!</v>
      </c>
      <c r="AA217" s="324">
        <f t="shared" si="67"/>
        <v>42</v>
      </c>
      <c r="AB217" s="326" t="str">
        <f t="shared" si="68"/>
        <v>C</v>
      </c>
      <c r="AC217" s="326" t="str">
        <f t="shared" ref="AC217:AC219" si="93">IF(P5="","b","")</f>
        <v>b</v>
      </c>
      <c r="AD217" s="326" t="str">
        <f t="shared" si="69"/>
        <v>*</v>
      </c>
      <c r="AE217" s="327">
        <f t="shared" si="70"/>
        <v>42</v>
      </c>
      <c r="AF217" s="324" t="e">
        <f t="shared" si="64"/>
        <v>#VALUE!</v>
      </c>
      <c r="AG217" s="328">
        <f>P5</f>
        <v>0</v>
      </c>
      <c r="AH217" s="328" t="e">
        <f t="shared" si="65"/>
        <v>#VALUE!</v>
      </c>
      <c r="AI217" s="324" t="e">
        <f t="shared" si="71"/>
        <v>#VALUE!</v>
      </c>
      <c r="AJ217" s="328">
        <f>AG210</f>
        <v>0</v>
      </c>
      <c r="AK217" s="328" t="str">
        <f t="shared" si="72"/>
        <v/>
      </c>
      <c r="AL217" s="324" t="str">
        <f>IF(AD217="*","La tesorería de inversión del año debería coincidir con la diferencia entre la generación de fondos operativa y la inversión necesaria en fondo de maniobra (todas ellas incrementales)","")</f>
        <v>La tesorería de inversión del año debería coincidir con la diferencia entre la generación de fondos operativa y la inversión necesaria en fondo de maniobra (todas ellas incrementales)</v>
      </c>
      <c r="AM217" s="326" t="str">
        <f t="shared" si="73"/>
        <v>b</v>
      </c>
    </row>
    <row r="218" spans="1:39" s="324" customFormat="1" ht="0.65" hidden="1" customHeight="1">
      <c r="A218" s="324" t="e">
        <f t="shared" si="86"/>
        <v>#VALUE!</v>
      </c>
      <c r="AA218" s="324">
        <f t="shared" si="67"/>
        <v>43</v>
      </c>
      <c r="AB218" s="326" t="str">
        <f t="shared" si="68"/>
        <v>C</v>
      </c>
      <c r="AC218" s="326" t="str">
        <f t="shared" si="93"/>
        <v>b</v>
      </c>
      <c r="AD218" s="326" t="str">
        <f t="shared" si="69"/>
        <v>*</v>
      </c>
      <c r="AE218" s="327">
        <f t="shared" si="70"/>
        <v>43</v>
      </c>
      <c r="AF218" s="324" t="e">
        <f t="shared" si="64"/>
        <v>#VALUE!</v>
      </c>
      <c r="AG218" s="328">
        <f>P6</f>
        <v>0</v>
      </c>
      <c r="AH218" s="328" t="e">
        <f t="shared" si="65"/>
        <v>#VALUE!</v>
      </c>
      <c r="AI218" s="324" t="e">
        <f t="shared" si="71"/>
        <v>#VALUE!</v>
      </c>
      <c r="AJ218" s="328">
        <f>AG211</f>
        <v>0</v>
      </c>
      <c r="AK218" s="328" t="str">
        <f t="shared" si="72"/>
        <v/>
      </c>
      <c r="AL218" s="324" t="str">
        <f>IF(AD218="*","La tesorería de inversión del año debería coincidir con la diferencia entre la generación de fondos operativa y la inversión necesaria en fondo de maniobra (todas ellas incrementales)","")</f>
        <v>La tesorería de inversión del año debería coincidir con la diferencia entre la generación de fondos operativa y la inversión necesaria en fondo de maniobra (todas ellas incrementales)</v>
      </c>
      <c r="AM218" s="326" t="str">
        <f t="shared" si="73"/>
        <v>b</v>
      </c>
    </row>
    <row r="219" spans="1:39" s="324" customFormat="1" ht="0.65" hidden="1" customHeight="1">
      <c r="A219" s="324" t="e">
        <f t="shared" si="86"/>
        <v>#VALUE!</v>
      </c>
      <c r="AA219" s="324">
        <f t="shared" si="67"/>
        <v>44</v>
      </c>
      <c r="AB219" s="326" t="str">
        <f t="shared" si="68"/>
        <v>C</v>
      </c>
      <c r="AC219" s="326" t="str">
        <f t="shared" si="93"/>
        <v>b</v>
      </c>
      <c r="AD219" s="326" t="str">
        <f t="shared" si="69"/>
        <v>*</v>
      </c>
      <c r="AE219" s="327">
        <f t="shared" si="70"/>
        <v>44</v>
      </c>
      <c r="AF219" s="324" t="e">
        <f t="shared" si="64"/>
        <v>#VALUE!</v>
      </c>
      <c r="AG219" s="328">
        <f>P7</f>
        <v>0</v>
      </c>
      <c r="AH219" s="328" t="e">
        <f t="shared" si="65"/>
        <v>#VALUE!</v>
      </c>
      <c r="AI219" s="324" t="e">
        <f t="shared" si="71"/>
        <v>#VALUE!</v>
      </c>
      <c r="AJ219" s="328">
        <f>AG212+AG215</f>
        <v>0</v>
      </c>
      <c r="AK219" s="328" t="str">
        <f t="shared" si="72"/>
        <v/>
      </c>
      <c r="AL219" s="324" t="str">
        <f>IF(AD219="*","Al final de la vida útil del proyecto, la tesorería de inversión del año debería coincidir con la diferencia entre la generación"&amp;" de fondos operativa y la inversión necesaria en fondo de maniobra (todas ellas incrementales) más el valor residual incremental","")</f>
        <v>Al final de la vida útil del proyecto, la tesorería de inversión del año debería coincidir con la diferencia entre la generación de fondos operativa y la inversión necesaria en fondo de maniobra (todas ellas incrementales) más el valor residual incremental</v>
      </c>
      <c r="AM219" s="326" t="str">
        <f t="shared" si="73"/>
        <v>b</v>
      </c>
    </row>
    <row r="220" spans="1:39" s="324" customFormat="1" ht="0.65" hidden="1" customHeight="1">
      <c r="A220" s="324" t="e">
        <f t="shared" si="86"/>
        <v>#VALUE!</v>
      </c>
      <c r="AA220" s="324">
        <f t="shared" si="67"/>
        <v>45</v>
      </c>
      <c r="AB220" s="326" t="str">
        <f t="shared" si="68"/>
        <v>C</v>
      </c>
      <c r="AC220" s="326" t="str">
        <f>IF(P10="","b","")</f>
        <v>b</v>
      </c>
      <c r="AD220" s="326" t="str">
        <f t="shared" si="69"/>
        <v>*</v>
      </c>
      <c r="AE220" s="327">
        <f t="shared" si="70"/>
        <v>45</v>
      </c>
      <c r="AF220" s="324" t="e">
        <f t="shared" si="64"/>
        <v>#VALUE!</v>
      </c>
      <c r="AG220" s="329">
        <f>P10</f>
        <v>0</v>
      </c>
      <c r="AH220" s="329" t="e">
        <f t="shared" si="65"/>
        <v>#VALUE!</v>
      </c>
      <c r="AI220" s="324" t="e">
        <f t="shared" si="71"/>
        <v>#VALUE!</v>
      </c>
      <c r="AJ220" s="329" t="e">
        <f>AH220</f>
        <v>#VALUE!</v>
      </c>
      <c r="AK220" s="328" t="e">
        <f t="shared" si="72"/>
        <v>#VALUE!</v>
      </c>
      <c r="AL220" s="324" t="str">
        <f>IF(AD220="*","El coste de los fondos ajenos es incorrecto","")</f>
        <v>El coste de los fondos ajenos es incorrecto</v>
      </c>
      <c r="AM220" s="326" t="str">
        <f t="shared" si="73"/>
        <v>b</v>
      </c>
    </row>
    <row r="221" spans="1:39" s="324" customFormat="1" ht="0.65" hidden="1" customHeight="1">
      <c r="A221" s="324" t="e">
        <f t="shared" si="86"/>
        <v>#VALUE!</v>
      </c>
      <c r="AA221" s="324">
        <f t="shared" si="67"/>
        <v>46</v>
      </c>
      <c r="AB221" s="326" t="str">
        <f t="shared" si="68"/>
        <v>C</v>
      </c>
      <c r="AC221" s="326" t="str">
        <f t="shared" ref="AC221:AC222" si="94">IF(P11="","b","")</f>
        <v>b</v>
      </c>
      <c r="AD221" s="326" t="str">
        <f t="shared" si="69"/>
        <v>*</v>
      </c>
      <c r="AE221" s="327">
        <f t="shared" si="70"/>
        <v>46</v>
      </c>
      <c r="AF221" s="324" t="e">
        <f t="shared" si="64"/>
        <v>#VALUE!</v>
      </c>
      <c r="AG221" s="329">
        <f>P11</f>
        <v>0</v>
      </c>
      <c r="AH221" s="329" t="e">
        <f t="shared" si="65"/>
        <v>#VALUE!</v>
      </c>
      <c r="AI221" s="324" t="e">
        <f t="shared" si="71"/>
        <v>#VALUE!</v>
      </c>
      <c r="AJ221" s="329" t="e">
        <f>AH221</f>
        <v>#VALUE!</v>
      </c>
      <c r="AK221" s="328" t="e">
        <f t="shared" si="72"/>
        <v>#VALUE!</v>
      </c>
      <c r="AL221" s="324" t="str">
        <f>IF(AD221="*","El coste de los fondos propios es incorrecto","")</f>
        <v>El coste de los fondos propios es incorrecto</v>
      </c>
      <c r="AM221" s="326" t="str">
        <f t="shared" si="73"/>
        <v>b</v>
      </c>
    </row>
    <row r="222" spans="1:39" s="324" customFormat="1" ht="0.65" hidden="1" customHeight="1">
      <c r="A222" s="324" t="e">
        <f t="shared" si="86"/>
        <v>#VALUE!</v>
      </c>
      <c r="AA222" s="324">
        <f t="shared" si="67"/>
        <v>47</v>
      </c>
      <c r="AB222" s="326" t="str">
        <f t="shared" si="68"/>
        <v>C</v>
      </c>
      <c r="AC222" s="326" t="str">
        <f t="shared" si="94"/>
        <v>b</v>
      </c>
      <c r="AD222" s="326" t="str">
        <f t="shared" si="69"/>
        <v>*</v>
      </c>
      <c r="AE222" s="327">
        <f t="shared" si="70"/>
        <v>47</v>
      </c>
      <c r="AF222" s="324" t="e">
        <f t="shared" si="64"/>
        <v>#VALUE!</v>
      </c>
      <c r="AG222" s="329">
        <f>P12</f>
        <v>0</v>
      </c>
      <c r="AH222" s="329" t="e">
        <f t="shared" si="65"/>
        <v>#VALUE!</v>
      </c>
      <c r="AI222" s="324" t="e">
        <f t="shared" si="71"/>
        <v>#VALUE!</v>
      </c>
      <c r="AJ222" s="324" t="e">
        <f>(AG220*D28+AG221*D29)/(D28+D29)</f>
        <v>#VALUE!</v>
      </c>
      <c r="AK222" s="328" t="e">
        <f t="shared" si="72"/>
        <v>#VALUE!</v>
      </c>
      <c r="AL222" s="324" t="str">
        <f>IF(AD222="*","Las ponderaciones dadas a tus estimaciones de coste de los fondos ajenos y propios son incorrectas","")</f>
        <v>Las ponderaciones dadas a tus estimaciones de coste de los fondos ajenos y propios son incorrectas</v>
      </c>
      <c r="AM222" s="326" t="str">
        <f t="shared" si="73"/>
        <v>b</v>
      </c>
    </row>
    <row r="223" spans="1:39" s="324" customFormat="1" ht="0.65" hidden="1" customHeight="1">
      <c r="A223" s="324" t="e">
        <f t="shared" si="86"/>
        <v>#VALUE!</v>
      </c>
      <c r="AA223" s="324">
        <f t="shared" si="67"/>
        <v>48</v>
      </c>
      <c r="AB223" s="326" t="str">
        <f t="shared" si="68"/>
        <v>C</v>
      </c>
      <c r="AC223" s="326" t="str">
        <f>IF(P15="","b","")</f>
        <v>b</v>
      </c>
      <c r="AD223" s="326" t="str">
        <f t="shared" si="69"/>
        <v>*</v>
      </c>
      <c r="AE223" s="327">
        <f t="shared" si="70"/>
        <v>48</v>
      </c>
      <c r="AF223" s="324" t="e">
        <f t="shared" si="64"/>
        <v>#VALUE!</v>
      </c>
      <c r="AG223" s="328">
        <f>P15</f>
        <v>0</v>
      </c>
      <c r="AH223" s="328" t="e">
        <f t="shared" si="65"/>
        <v>#VALUE!</v>
      </c>
      <c r="AI223" s="324" t="e">
        <f t="shared" si="71"/>
        <v>#VALUE!</v>
      </c>
      <c r="AJ223" s="328">
        <f>NPV(AG222,AG217:AG219)+AG216</f>
        <v>0</v>
      </c>
      <c r="AK223" s="328" t="str">
        <f t="shared" si="72"/>
        <v/>
      </c>
      <c r="AL223" s="324" t="str">
        <f>IF(AD223="*","El VAN que se obtendría a partir de tus resultados de flujos de caja y de coste de los fondos es distinto del calculado","")</f>
        <v>El VAN que se obtendría a partir de tus resultados de flujos de caja y de coste de los fondos es distinto del calculado</v>
      </c>
      <c r="AM223" s="326" t="str">
        <f t="shared" si="73"/>
        <v>b</v>
      </c>
    </row>
    <row r="224" spans="1:39" s="324" customFormat="1" ht="0.65" hidden="1" customHeight="1">
      <c r="A224" s="324" t="e">
        <f t="shared" si="86"/>
        <v>#VALUE!</v>
      </c>
      <c r="AA224" s="324">
        <f t="shared" si="67"/>
        <v>49</v>
      </c>
      <c r="AB224" s="326" t="str">
        <f t="shared" si="68"/>
        <v>C</v>
      </c>
      <c r="AC224" s="326" t="str">
        <f t="shared" ref="AC224" si="95">IF(P16="","b","")</f>
        <v>b</v>
      </c>
      <c r="AD224" s="326" t="str">
        <f t="shared" si="69"/>
        <v>*</v>
      </c>
      <c r="AE224" s="327">
        <f t="shared" si="70"/>
        <v>49</v>
      </c>
      <c r="AF224" s="324" t="e">
        <f t="shared" si="64"/>
        <v>#VALUE!</v>
      </c>
      <c r="AG224" s="329">
        <f>P16</f>
        <v>0</v>
      </c>
      <c r="AH224" s="329" t="e">
        <f t="shared" si="65"/>
        <v>#VALUE!</v>
      </c>
      <c r="AI224" s="324" t="e">
        <f t="shared" si="71"/>
        <v>#VALUE!</v>
      </c>
      <c r="AJ224" s="329" t="e">
        <f>IRR(AG216:AG219)</f>
        <v>#NUM!</v>
      </c>
      <c r="AK224" s="328" t="e">
        <f t="shared" si="72"/>
        <v>#NUM!</v>
      </c>
      <c r="AL224" s="324" t="str">
        <f>IF(AD224="*","La TRI que se obtendría a partir de tu estimación de tesorería de inversión aportada por el proyecto es distinta de la calculada","")</f>
        <v>La TRI que se obtendría a partir de tu estimación de tesorería de inversión aportada por el proyecto es distinta de la calculada</v>
      </c>
      <c r="AM224" s="326" t="str">
        <f t="shared" si="73"/>
        <v>b</v>
      </c>
    </row>
    <row r="225" spans="1:37" s="324" customFormat="1" ht="0.65" hidden="1" customHeight="1">
      <c r="A225" s="324" t="e">
        <f t="shared" si="86"/>
        <v>#VALUE!</v>
      </c>
      <c r="AH225" s="330" t="s">
        <v>207</v>
      </c>
      <c r="AI225" s="326">
        <f>COUNTIF(AI176:AI224,"ERROR")</f>
        <v>0</v>
      </c>
      <c r="AJ225" s="330" t="s">
        <v>207</v>
      </c>
      <c r="AK225" s="326">
        <f>COUNTIF(AK176:AK224,"ERROR")</f>
        <v>0</v>
      </c>
    </row>
    <row r="226" spans="1:37" s="324" customFormat="1" ht="0.65" hidden="1" customHeight="1"/>
    <row r="227" spans="1:37" s="324" customFormat="1" ht="0.65" hidden="1" customHeight="1"/>
    <row r="228" spans="1:37" s="324" customFormat="1" ht="0.65" hidden="1" customHeight="1"/>
    <row r="229" spans="1:37" s="324" customFormat="1" ht="0.65" hidden="1" customHeight="1"/>
    <row r="230" spans="1:37" s="324" customFormat="1" ht="0.65" hidden="1" customHeight="1"/>
    <row r="231" spans="1:37" s="324" customFormat="1" ht="0.65" hidden="1" customHeight="1">
      <c r="B231" s="324" t="s">
        <v>19</v>
      </c>
      <c r="D231" s="324" t="s">
        <v>336</v>
      </c>
      <c r="E231" s="324">
        <v>1</v>
      </c>
    </row>
    <row r="232" spans="1:37" s="324" customFormat="1" ht="0.65" hidden="1" customHeight="1">
      <c r="B232" s="324" t="s">
        <v>3951</v>
      </c>
      <c r="D232" s="324" t="s">
        <v>336</v>
      </c>
      <c r="E232" s="324" t="s">
        <v>486</v>
      </c>
      <c r="H232" s="324" t="s">
        <v>55</v>
      </c>
      <c r="I232" s="324" t="s">
        <v>55</v>
      </c>
      <c r="J232" s="324" t="s">
        <v>55</v>
      </c>
      <c r="K232" s="324" t="s">
        <v>55</v>
      </c>
      <c r="L232" s="324" t="s">
        <v>55</v>
      </c>
      <c r="M232" s="324" t="s">
        <v>55</v>
      </c>
      <c r="N232" s="324" t="s">
        <v>55</v>
      </c>
      <c r="O232" s="324" t="s">
        <v>55</v>
      </c>
      <c r="P232" s="324" t="s">
        <v>55</v>
      </c>
    </row>
    <row r="233" spans="1:37" s="324" customFormat="1" ht="0.65" hidden="1" customHeight="1">
      <c r="A233" s="324">
        <v>1001</v>
      </c>
      <c r="C233" s="324" t="s">
        <v>5</v>
      </c>
      <c r="D233" s="324">
        <v>2022</v>
      </c>
      <c r="G233" s="324" t="s">
        <v>0</v>
      </c>
      <c r="H233" s="324" t="s">
        <v>69</v>
      </c>
      <c r="I233" s="324" t="s">
        <v>70</v>
      </c>
      <c r="J233" s="324" t="s">
        <v>71</v>
      </c>
      <c r="K233" s="324" t="s">
        <v>72</v>
      </c>
      <c r="L233" s="324" t="s">
        <v>73</v>
      </c>
      <c r="M233" s="324" t="s">
        <v>74</v>
      </c>
      <c r="N233" s="324" t="s">
        <v>75</v>
      </c>
      <c r="O233" s="324" t="s">
        <v>80</v>
      </c>
      <c r="P233" s="324" t="s">
        <v>1</v>
      </c>
      <c r="U233" s="324" t="s">
        <v>151</v>
      </c>
      <c r="AD233" s="324" t="s">
        <v>455</v>
      </c>
    </row>
    <row r="234" spans="1:37" s="324" customFormat="1" ht="0.65" hidden="1" customHeight="1">
      <c r="A234" s="324">
        <v>1002</v>
      </c>
      <c r="G234" s="324">
        <v>2022</v>
      </c>
      <c r="H234" s="324">
        <v>0</v>
      </c>
      <c r="I234" s="324">
        <v>0</v>
      </c>
      <c r="J234" s="324">
        <v>0</v>
      </c>
      <c r="K234" s="324">
        <v>0</v>
      </c>
      <c r="L234" s="324">
        <v>0</v>
      </c>
      <c r="M234" s="324">
        <v>0</v>
      </c>
      <c r="N234" s="324">
        <v>0</v>
      </c>
      <c r="O234" s="324">
        <v>0</v>
      </c>
      <c r="P234" s="324">
        <v>-825000</v>
      </c>
      <c r="AD234" s="324" t="s">
        <v>487</v>
      </c>
    </row>
    <row r="235" spans="1:37" s="324" customFormat="1" ht="0.65" hidden="1" customHeight="1">
      <c r="A235" s="324">
        <v>1003</v>
      </c>
      <c r="C235" s="324" t="s">
        <v>32</v>
      </c>
      <c r="G235" s="324">
        <v>2023</v>
      </c>
      <c r="H235" s="324">
        <v>420000</v>
      </c>
      <c r="I235" s="324">
        <v>300000</v>
      </c>
      <c r="J235" s="324">
        <v>50000</v>
      </c>
      <c r="K235" s="324">
        <v>70000</v>
      </c>
      <c r="L235" s="324">
        <v>17500</v>
      </c>
      <c r="M235" s="324">
        <v>52500</v>
      </c>
      <c r="N235" s="324">
        <v>102500</v>
      </c>
      <c r="O235" s="324">
        <v>47500</v>
      </c>
      <c r="P235" s="324">
        <v>47500</v>
      </c>
      <c r="U235" s="324" t="s">
        <v>152</v>
      </c>
      <c r="Z235" s="324" t="s">
        <v>176</v>
      </c>
      <c r="AA235" s="324">
        <v>-210381.05281541136</v>
      </c>
      <c r="AF235" s="324" t="s">
        <v>247</v>
      </c>
    </row>
    <row r="236" spans="1:37" s="324" customFormat="1" ht="0.65" hidden="1" customHeight="1">
      <c r="A236" s="324">
        <v>1004</v>
      </c>
      <c r="C236" s="324" t="s">
        <v>488</v>
      </c>
      <c r="D236" s="324">
        <v>1000000</v>
      </c>
      <c r="E236" s="324" t="s">
        <v>55</v>
      </c>
      <c r="G236" s="324">
        <v>2024</v>
      </c>
      <c r="H236" s="324">
        <v>420000</v>
      </c>
      <c r="I236" s="324">
        <v>300000</v>
      </c>
      <c r="J236" s="324">
        <v>50000</v>
      </c>
      <c r="K236" s="324">
        <v>70000</v>
      </c>
      <c r="L236" s="324">
        <v>17500</v>
      </c>
      <c r="M236" s="324">
        <v>52500</v>
      </c>
      <c r="N236" s="324">
        <v>102500</v>
      </c>
      <c r="O236" s="324">
        <v>102500</v>
      </c>
      <c r="P236" s="324">
        <v>102500</v>
      </c>
      <c r="Y236" s="324" t="s">
        <v>139</v>
      </c>
      <c r="Z236" s="324" t="s">
        <v>174</v>
      </c>
      <c r="AF236" s="324" t="s">
        <v>248</v>
      </c>
    </row>
    <row r="237" spans="1:37" s="324" customFormat="1" ht="0.65" hidden="1" customHeight="1">
      <c r="A237" s="324">
        <v>1005</v>
      </c>
      <c r="C237" s="324" t="s">
        <v>6</v>
      </c>
      <c r="D237" s="324">
        <v>10</v>
      </c>
      <c r="G237" s="324">
        <v>2025</v>
      </c>
      <c r="H237" s="324">
        <v>420000</v>
      </c>
      <c r="I237" s="324">
        <v>300000</v>
      </c>
      <c r="J237" s="324">
        <v>100000</v>
      </c>
      <c r="K237" s="324">
        <v>20000</v>
      </c>
      <c r="L237" s="324">
        <v>5000</v>
      </c>
      <c r="M237" s="324">
        <v>15000</v>
      </c>
      <c r="N237" s="324">
        <v>115000</v>
      </c>
      <c r="O237" s="324">
        <v>115000</v>
      </c>
      <c r="P237" s="324">
        <v>570000</v>
      </c>
      <c r="T237" s="324" t="s">
        <v>187</v>
      </c>
      <c r="V237" s="324" t="s">
        <v>180</v>
      </c>
      <c r="X237" s="324" t="s">
        <v>177</v>
      </c>
      <c r="Y237" s="324" t="s">
        <v>173</v>
      </c>
      <c r="Z237" s="324" t="s">
        <v>175</v>
      </c>
      <c r="AA237" s="324" t="s">
        <v>172</v>
      </c>
      <c r="AD237" s="324" t="s">
        <v>177</v>
      </c>
      <c r="AE237" s="324" t="s">
        <v>246</v>
      </c>
      <c r="AF237" s="324" t="s">
        <v>249</v>
      </c>
      <c r="AG237" s="324" t="s">
        <v>462</v>
      </c>
    </row>
    <row r="238" spans="1:37" s="324" customFormat="1" ht="0.65" hidden="1" customHeight="1">
      <c r="A238" s="324">
        <v>1006</v>
      </c>
      <c r="C238" s="324" t="s">
        <v>489</v>
      </c>
      <c r="D238" s="324">
        <v>400000</v>
      </c>
      <c r="H238" s="324" t="s">
        <v>55</v>
      </c>
      <c r="I238" s="324" t="s">
        <v>55</v>
      </c>
      <c r="J238" s="324" t="s">
        <v>55</v>
      </c>
      <c r="K238" s="324" t="s">
        <v>55</v>
      </c>
      <c r="T238" s="324">
        <v>1</v>
      </c>
      <c r="U238" s="324" t="s">
        <v>153</v>
      </c>
      <c r="V238" s="324" t="s">
        <v>178</v>
      </c>
      <c r="W238" s="324" t="s">
        <v>55</v>
      </c>
      <c r="X238" s="324" t="s">
        <v>6</v>
      </c>
      <c r="Y238" s="324">
        <v>10</v>
      </c>
      <c r="Z238" s="324">
        <v>15</v>
      </c>
      <c r="AA238" s="324">
        <v>-211665.67031845078</v>
      </c>
      <c r="AB238" s="324" t="s">
        <v>55</v>
      </c>
      <c r="AC238" s="324">
        <v>1</v>
      </c>
      <c r="AD238" s="324" t="s">
        <v>55</v>
      </c>
      <c r="AE238" s="324" t="s">
        <v>55</v>
      </c>
      <c r="AF238" s="324" t="s">
        <v>55</v>
      </c>
      <c r="AG238" s="324" t="s">
        <v>55</v>
      </c>
    </row>
    <row r="239" spans="1:37" s="324" customFormat="1" ht="0.65" hidden="1" customHeight="1">
      <c r="A239" s="324">
        <v>1007</v>
      </c>
      <c r="G239" s="324" t="s">
        <v>0</v>
      </c>
      <c r="H239" s="324" t="s">
        <v>76</v>
      </c>
      <c r="I239" s="324" t="s">
        <v>77</v>
      </c>
      <c r="J239" s="324" t="s">
        <v>78</v>
      </c>
      <c r="K239" s="324" t="s">
        <v>79</v>
      </c>
      <c r="N239" s="324" t="s">
        <v>55</v>
      </c>
      <c r="P239" s="324" t="s">
        <v>55</v>
      </c>
      <c r="T239" s="324">
        <v>2</v>
      </c>
      <c r="U239" s="324" t="s">
        <v>154</v>
      </c>
      <c r="V239" s="324" t="s">
        <v>178</v>
      </c>
      <c r="W239" s="324" t="s">
        <v>55</v>
      </c>
      <c r="X239" s="324" t="s">
        <v>488</v>
      </c>
      <c r="Y239" s="324">
        <v>1000000</v>
      </c>
      <c r="Z239" s="324">
        <v>1100000</v>
      </c>
      <c r="AA239" s="324">
        <v>-289005.18548869202</v>
      </c>
      <c r="AB239" s="324" t="s">
        <v>55</v>
      </c>
    </row>
    <row r="240" spans="1:37" s="324" customFormat="1" ht="0.65" hidden="1" customHeight="1">
      <c r="A240" s="324">
        <v>1008</v>
      </c>
      <c r="C240" s="324" t="s">
        <v>34</v>
      </c>
      <c r="D240" s="324">
        <v>420000</v>
      </c>
      <c r="G240" s="324">
        <v>2022</v>
      </c>
      <c r="H240" s="324">
        <v>0</v>
      </c>
      <c r="I240" s="324">
        <v>0</v>
      </c>
      <c r="J240" s="324">
        <v>0</v>
      </c>
      <c r="K240" s="324">
        <v>0</v>
      </c>
      <c r="M240" s="324" t="s">
        <v>490</v>
      </c>
      <c r="N240" s="324">
        <v>825000</v>
      </c>
      <c r="O240" s="324" t="s">
        <v>124</v>
      </c>
      <c r="P240" s="324">
        <v>3.7499999999999999E-2</v>
      </c>
      <c r="T240" s="324">
        <v>3</v>
      </c>
      <c r="U240" s="324" t="s">
        <v>155</v>
      </c>
      <c r="V240" s="324" t="s">
        <v>178</v>
      </c>
      <c r="W240" s="324" t="s">
        <v>55</v>
      </c>
      <c r="X240" s="324" t="s">
        <v>489</v>
      </c>
      <c r="Y240" s="324">
        <v>400000</v>
      </c>
      <c r="Z240" s="324">
        <v>360000</v>
      </c>
      <c r="AA240" s="324">
        <v>-235569.63130638041</v>
      </c>
      <c r="AB240" s="324" t="s">
        <v>55</v>
      </c>
      <c r="AC240" s="324">
        <v>2</v>
      </c>
      <c r="AD240" s="324" t="s">
        <v>55</v>
      </c>
      <c r="AE240" s="324" t="s">
        <v>55</v>
      </c>
      <c r="AF240" s="324" t="s">
        <v>55</v>
      </c>
      <c r="AG240" s="324" t="s">
        <v>55</v>
      </c>
    </row>
    <row r="241" spans="1:33" s="324" customFormat="1" ht="0.65" hidden="1" customHeight="1">
      <c r="A241" s="324">
        <v>1009</v>
      </c>
      <c r="C241" s="324" t="s">
        <v>35</v>
      </c>
      <c r="D241" s="324">
        <v>300000</v>
      </c>
      <c r="G241" s="324">
        <v>2023</v>
      </c>
      <c r="H241" s="324">
        <v>105000</v>
      </c>
      <c r="I241" s="324">
        <v>50000</v>
      </c>
      <c r="J241" s="324">
        <v>55000</v>
      </c>
      <c r="K241" s="324">
        <v>55000</v>
      </c>
      <c r="M241" s="324" t="s">
        <v>491</v>
      </c>
      <c r="N241" s="324">
        <v>400000</v>
      </c>
      <c r="O241" s="324" t="s">
        <v>125</v>
      </c>
      <c r="P241" s="324">
        <v>8.249999999999999E-2</v>
      </c>
      <c r="T241" s="324">
        <v>4</v>
      </c>
      <c r="U241" s="324" t="s">
        <v>156</v>
      </c>
      <c r="V241" s="324" t="s">
        <v>179</v>
      </c>
      <c r="W241" s="324" t="s">
        <v>55</v>
      </c>
      <c r="X241" s="324" t="s">
        <v>492</v>
      </c>
      <c r="Y241" s="324">
        <v>200000</v>
      </c>
      <c r="Z241" s="324">
        <v>220000.00000000003</v>
      </c>
      <c r="AA241" s="324">
        <v>-195381.05281541133</v>
      </c>
      <c r="AB241" s="324" t="s">
        <v>55</v>
      </c>
    </row>
    <row r="242" spans="1:33" s="324" customFormat="1" ht="0.65" hidden="1" customHeight="1">
      <c r="A242" s="324">
        <v>1010</v>
      </c>
      <c r="G242" s="324">
        <v>2024</v>
      </c>
      <c r="H242" s="324">
        <v>105000</v>
      </c>
      <c r="I242" s="324">
        <v>50000</v>
      </c>
      <c r="J242" s="324">
        <v>55000</v>
      </c>
      <c r="K242" s="324">
        <v>0</v>
      </c>
      <c r="M242" s="324" t="s">
        <v>493</v>
      </c>
      <c r="N242" s="324">
        <v>55000</v>
      </c>
      <c r="O242" s="324" t="s">
        <v>126</v>
      </c>
      <c r="P242" s="324">
        <v>5.9999999999999991E-2</v>
      </c>
      <c r="T242" s="324">
        <v>5</v>
      </c>
      <c r="U242" s="324" t="s">
        <v>157</v>
      </c>
      <c r="V242" s="324" t="s">
        <v>178</v>
      </c>
      <c r="W242" s="324" t="s">
        <v>55</v>
      </c>
      <c r="X242" s="324" t="s">
        <v>6</v>
      </c>
      <c r="Y242" s="324">
        <v>2</v>
      </c>
      <c r="Z242" s="324">
        <v>1</v>
      </c>
      <c r="AA242" s="324">
        <v>-211048.55014542205</v>
      </c>
      <c r="AB242" s="324" t="s">
        <v>55</v>
      </c>
      <c r="AC242" s="324">
        <v>3</v>
      </c>
      <c r="AD242" s="324" t="s">
        <v>55</v>
      </c>
      <c r="AE242" s="324" t="s">
        <v>55</v>
      </c>
      <c r="AF242" s="324" t="s">
        <v>55</v>
      </c>
      <c r="AG242" s="324" t="s">
        <v>55</v>
      </c>
    </row>
    <row r="243" spans="1:33" s="324" customFormat="1" ht="0.65" hidden="1" customHeight="1">
      <c r="A243" s="324">
        <v>1011</v>
      </c>
      <c r="C243" s="324" t="s">
        <v>7</v>
      </c>
      <c r="D243" s="324">
        <v>90</v>
      </c>
      <c r="G243" s="324">
        <v>2025</v>
      </c>
      <c r="H243" s="324">
        <v>105000</v>
      </c>
      <c r="I243" s="324">
        <v>50000</v>
      </c>
      <c r="J243" s="324">
        <v>55000</v>
      </c>
      <c r="K243" s="324">
        <v>0</v>
      </c>
      <c r="M243" s="324" t="s">
        <v>494</v>
      </c>
      <c r="N243" s="324">
        <v>455000</v>
      </c>
      <c r="T243" s="324">
        <v>6</v>
      </c>
      <c r="U243" s="324" t="s">
        <v>158</v>
      </c>
      <c r="V243" s="324" t="s">
        <v>179</v>
      </c>
      <c r="W243" s="324" t="s">
        <v>55</v>
      </c>
      <c r="X243" s="324" t="s">
        <v>495</v>
      </c>
      <c r="Y243" s="324">
        <v>100000</v>
      </c>
      <c r="Z243" s="324">
        <v>110000.00000000001</v>
      </c>
      <c r="AA243" s="324">
        <v>-210172.79364844802</v>
      </c>
      <c r="AB243" s="324" t="s">
        <v>55</v>
      </c>
    </row>
    <row r="244" spans="1:33" s="324" customFormat="1" ht="0.65" hidden="1" customHeight="1">
      <c r="A244" s="324">
        <v>1012</v>
      </c>
      <c r="C244" s="324" t="s">
        <v>8</v>
      </c>
      <c r="D244" s="324">
        <v>60</v>
      </c>
      <c r="T244" s="324">
        <v>7</v>
      </c>
      <c r="U244" s="324" t="s">
        <v>159</v>
      </c>
      <c r="V244" s="324" t="s">
        <v>178</v>
      </c>
      <c r="W244" s="324" t="s">
        <v>55</v>
      </c>
      <c r="X244" s="324" t="s">
        <v>492</v>
      </c>
      <c r="Y244" s="324">
        <v>200000</v>
      </c>
      <c r="Z244" s="324">
        <v>180000</v>
      </c>
      <c r="AA244" s="324">
        <v>-225381.05281541136</v>
      </c>
      <c r="AB244" s="324" t="s">
        <v>55</v>
      </c>
      <c r="AC244" s="324">
        <v>4</v>
      </c>
      <c r="AD244" s="324" t="s">
        <v>55</v>
      </c>
      <c r="AE244" s="324" t="s">
        <v>55</v>
      </c>
      <c r="AF244" s="324" t="s">
        <v>55</v>
      </c>
      <c r="AG244" s="324" t="s">
        <v>55</v>
      </c>
    </row>
    <row r="245" spans="1:33" s="324" customFormat="1" ht="0.65" hidden="1" customHeight="1">
      <c r="A245" s="324">
        <v>1013</v>
      </c>
      <c r="O245" s="324" t="s">
        <v>13</v>
      </c>
      <c r="P245" s="324">
        <v>-210381.05281541136</v>
      </c>
      <c r="T245" s="324">
        <v>8</v>
      </c>
      <c r="U245" s="324" t="s">
        <v>160</v>
      </c>
      <c r="V245" s="324" t="s">
        <v>178</v>
      </c>
      <c r="W245" s="324" t="s">
        <v>55</v>
      </c>
      <c r="X245" s="324" t="s">
        <v>489</v>
      </c>
      <c r="Y245" s="324">
        <v>100000</v>
      </c>
      <c r="Z245" s="324">
        <v>110000.00000000001</v>
      </c>
      <c r="AA245" s="324">
        <v>-216678.19743815361</v>
      </c>
      <c r="AB245" s="324" t="s">
        <v>55</v>
      </c>
    </row>
    <row r="246" spans="1:33" s="324" customFormat="1" ht="0.65" hidden="1" customHeight="1">
      <c r="A246" s="324">
        <v>1014</v>
      </c>
      <c r="C246" s="324" t="s">
        <v>33</v>
      </c>
      <c r="O246" s="324" t="s">
        <v>28</v>
      </c>
      <c r="P246" s="324">
        <v>-4.8576778446782765E-2</v>
      </c>
      <c r="T246" s="324">
        <v>9</v>
      </c>
      <c r="U246" s="324" t="s">
        <v>161</v>
      </c>
      <c r="V246" s="324" t="s">
        <v>179</v>
      </c>
      <c r="W246" s="324" t="s">
        <v>55</v>
      </c>
      <c r="X246" s="324" t="s">
        <v>34</v>
      </c>
      <c r="Y246" s="324">
        <v>420000</v>
      </c>
      <c r="Z246" s="324">
        <v>462000.00000000006</v>
      </c>
      <c r="AA246" s="324">
        <v>-127270.83431288904</v>
      </c>
      <c r="AB246" s="324" t="s">
        <v>55</v>
      </c>
      <c r="AC246" s="324">
        <v>5</v>
      </c>
      <c r="AD246" s="324" t="s">
        <v>55</v>
      </c>
      <c r="AE246" s="324" t="s">
        <v>55</v>
      </c>
      <c r="AF246" s="324" t="s">
        <v>55</v>
      </c>
      <c r="AG246" s="324" t="s">
        <v>55</v>
      </c>
    </row>
    <row r="247" spans="1:33" s="324" customFormat="1" ht="0.65" hidden="1" customHeight="1">
      <c r="A247" s="324">
        <v>1015</v>
      </c>
      <c r="C247" s="324" t="s">
        <v>492</v>
      </c>
      <c r="D247" s="324">
        <v>200000</v>
      </c>
      <c r="K247" s="324" t="s">
        <v>127</v>
      </c>
      <c r="L247" s="324" t="s">
        <v>36</v>
      </c>
      <c r="M247" s="324" t="s">
        <v>55</v>
      </c>
      <c r="T247" s="324">
        <v>10</v>
      </c>
      <c r="U247" s="324" t="s">
        <v>162</v>
      </c>
      <c r="V247" s="324" t="s">
        <v>178</v>
      </c>
      <c r="W247" s="324" t="s">
        <v>55</v>
      </c>
      <c r="X247" s="324" t="s">
        <v>7</v>
      </c>
      <c r="Y247" s="324">
        <v>90</v>
      </c>
      <c r="Z247" s="324">
        <v>120</v>
      </c>
      <c r="AA247" s="324">
        <v>-214013.24583380911</v>
      </c>
      <c r="AB247" s="324" t="s">
        <v>55</v>
      </c>
    </row>
    <row r="248" spans="1:33" s="324" customFormat="1" ht="0.65" hidden="1" customHeight="1">
      <c r="A248" s="324">
        <v>1016</v>
      </c>
      <c r="C248" s="324" t="s">
        <v>495</v>
      </c>
      <c r="D248" s="324">
        <v>100000</v>
      </c>
      <c r="E248" s="324" t="s">
        <v>55</v>
      </c>
      <c r="K248" s="324" t="s">
        <v>496</v>
      </c>
      <c r="L248" s="324" t="s">
        <v>424</v>
      </c>
      <c r="T248" s="324">
        <v>11</v>
      </c>
      <c r="U248" s="324" t="s">
        <v>163</v>
      </c>
      <c r="V248" s="324" t="s">
        <v>179</v>
      </c>
      <c r="W248" s="324" t="s">
        <v>55</v>
      </c>
      <c r="X248" s="324" t="s">
        <v>35</v>
      </c>
      <c r="Y248" s="324">
        <v>300000</v>
      </c>
      <c r="Z248" s="324">
        <v>270000</v>
      </c>
      <c r="AA248" s="324">
        <v>-150757.16866943854</v>
      </c>
      <c r="AB248" s="324" t="s">
        <v>55</v>
      </c>
      <c r="AC248" s="324">
        <v>6</v>
      </c>
      <c r="AD248" s="324" t="s">
        <v>55</v>
      </c>
      <c r="AE248" s="324" t="s">
        <v>55</v>
      </c>
      <c r="AF248" s="324" t="s">
        <v>55</v>
      </c>
      <c r="AG248" s="324" t="s">
        <v>55</v>
      </c>
    </row>
    <row r="249" spans="1:33" s="324" customFormat="1" ht="0.65" hidden="1" customHeight="1">
      <c r="A249" s="324">
        <v>1017</v>
      </c>
      <c r="C249" s="324" t="s">
        <v>6</v>
      </c>
      <c r="D249" s="324">
        <v>2</v>
      </c>
      <c r="K249" s="324" t="s">
        <v>410</v>
      </c>
      <c r="L249" s="324">
        <v>0</v>
      </c>
      <c r="M249" s="324" t="s">
        <v>337</v>
      </c>
      <c r="T249" s="324">
        <v>12</v>
      </c>
      <c r="U249" s="324" t="s">
        <v>164</v>
      </c>
      <c r="V249" s="324" t="s">
        <v>178</v>
      </c>
      <c r="W249" s="324" t="s">
        <v>55</v>
      </c>
      <c r="X249" s="324" t="s">
        <v>8</v>
      </c>
      <c r="Y249" s="324">
        <v>60</v>
      </c>
      <c r="Z249" s="324">
        <v>30</v>
      </c>
      <c r="AA249" s="324">
        <v>-212975.47639998115</v>
      </c>
      <c r="AB249" s="324" t="s">
        <v>55</v>
      </c>
    </row>
    <row r="250" spans="1:33" s="324" customFormat="1" ht="0.65" hidden="1" customHeight="1">
      <c r="A250" s="324">
        <v>1018</v>
      </c>
      <c r="C250" s="324" t="s">
        <v>489</v>
      </c>
      <c r="D250" s="324">
        <v>100000</v>
      </c>
      <c r="N250" s="324" t="s">
        <v>55</v>
      </c>
      <c r="T250" s="324">
        <v>13</v>
      </c>
      <c r="U250" s="324" t="s">
        <v>165</v>
      </c>
      <c r="V250" s="324" t="s">
        <v>178</v>
      </c>
      <c r="W250" s="324" t="s">
        <v>55</v>
      </c>
      <c r="X250" s="324" t="s">
        <v>10</v>
      </c>
      <c r="Y250" s="324">
        <v>350000</v>
      </c>
      <c r="Z250" s="324">
        <v>385000.00000000006</v>
      </c>
      <c r="AA250" s="324">
        <v>-213312.74465488936</v>
      </c>
      <c r="AB250" s="324" t="s">
        <v>55</v>
      </c>
      <c r="AC250" s="324">
        <v>7</v>
      </c>
      <c r="AD250" s="324" t="s">
        <v>55</v>
      </c>
      <c r="AE250" s="324" t="s">
        <v>55</v>
      </c>
      <c r="AF250" s="324" t="s">
        <v>55</v>
      </c>
      <c r="AG250" s="324" t="s">
        <v>55</v>
      </c>
    </row>
    <row r="251" spans="1:33" s="324" customFormat="1" ht="0.65" hidden="1" customHeight="1">
      <c r="A251" s="324">
        <v>1019</v>
      </c>
      <c r="K251" s="324" t="s">
        <v>413</v>
      </c>
      <c r="L251" s="324">
        <v>33</v>
      </c>
      <c r="M251" s="324" t="s">
        <v>55</v>
      </c>
      <c r="T251" s="324">
        <v>14</v>
      </c>
      <c r="U251" s="324" t="s">
        <v>166</v>
      </c>
      <c r="V251" s="324" t="s">
        <v>179</v>
      </c>
      <c r="W251" s="324" t="s">
        <v>55</v>
      </c>
      <c r="X251" s="324" t="s">
        <v>12</v>
      </c>
      <c r="Y251" s="324">
        <v>2.2499999999999999E-2</v>
      </c>
      <c r="Z251" s="324">
        <v>1.2499999999999999E-2</v>
      </c>
      <c r="AA251" s="324">
        <v>-202465.14212207831</v>
      </c>
      <c r="AB251" s="324" t="s">
        <v>55</v>
      </c>
    </row>
    <row r="252" spans="1:33" s="324" customFormat="1" ht="0.65" hidden="1" customHeight="1">
      <c r="A252" s="324">
        <v>1020</v>
      </c>
      <c r="C252" s="324" t="s">
        <v>4</v>
      </c>
      <c r="D252" s="324">
        <v>0.25</v>
      </c>
      <c r="K252" s="324" t="s">
        <v>479</v>
      </c>
      <c r="N252" s="324" t="s">
        <v>466</v>
      </c>
      <c r="T252" s="324">
        <v>15</v>
      </c>
      <c r="U252" s="324" t="s">
        <v>167</v>
      </c>
      <c r="V252" s="324" t="s">
        <v>178</v>
      </c>
      <c r="W252" s="324" t="s">
        <v>55</v>
      </c>
      <c r="X252" s="324" t="s">
        <v>11</v>
      </c>
      <c r="Y252" s="324">
        <v>420000</v>
      </c>
      <c r="Z252" s="324">
        <v>462000.00000000006</v>
      </c>
      <c r="AA252" s="324">
        <v>-215062.2492872072</v>
      </c>
      <c r="AB252" s="324" t="s">
        <v>55</v>
      </c>
      <c r="AC252" s="324">
        <v>8</v>
      </c>
      <c r="AD252" s="324" t="s">
        <v>55</v>
      </c>
      <c r="AE252" s="324" t="s">
        <v>55</v>
      </c>
      <c r="AF252" s="324" t="s">
        <v>55</v>
      </c>
      <c r="AG252" s="324" t="s">
        <v>55</v>
      </c>
    </row>
    <row r="253" spans="1:33" s="324" customFormat="1" ht="0.65" hidden="1" customHeight="1">
      <c r="A253" s="324">
        <v>1021</v>
      </c>
      <c r="D253" s="324" t="s">
        <v>9</v>
      </c>
      <c r="K253" s="324" t="s">
        <v>409</v>
      </c>
      <c r="L253" s="324" t="s">
        <v>38</v>
      </c>
      <c r="M253" s="324" t="s">
        <v>55</v>
      </c>
      <c r="N253" s="324" t="s">
        <v>467</v>
      </c>
      <c r="O253" s="324" t="s">
        <v>468</v>
      </c>
      <c r="T253" s="324">
        <v>16</v>
      </c>
      <c r="U253" s="324" t="s">
        <v>168</v>
      </c>
      <c r="V253" s="324" t="s">
        <v>181</v>
      </c>
      <c r="W253" s="324" t="s">
        <v>55</v>
      </c>
      <c r="X253" s="324" t="s">
        <v>3</v>
      </c>
      <c r="Y253" s="324">
        <v>7000000</v>
      </c>
      <c r="Z253" s="324">
        <v>7700000.0000000009</v>
      </c>
      <c r="AA253" s="324">
        <v>-207570.40876629759</v>
      </c>
      <c r="AB253" s="324" t="s">
        <v>55</v>
      </c>
    </row>
    <row r="254" spans="1:33" s="324" customFormat="1" ht="0.65" hidden="1" customHeight="1">
      <c r="A254" s="324">
        <v>1022</v>
      </c>
      <c r="N254" s="324" t="s">
        <v>469</v>
      </c>
      <c r="O254" s="324" t="s">
        <v>470</v>
      </c>
      <c r="T254" s="324">
        <v>17</v>
      </c>
      <c r="U254" s="324" t="s">
        <v>169</v>
      </c>
      <c r="V254" s="324" t="s">
        <v>178</v>
      </c>
      <c r="W254" s="324" t="s">
        <v>55</v>
      </c>
      <c r="X254" s="324" t="s">
        <v>2</v>
      </c>
      <c r="Y254" s="324">
        <v>7000000</v>
      </c>
      <c r="Z254" s="324">
        <v>3500000</v>
      </c>
      <c r="AA254" s="324">
        <v>-227677.7133251988</v>
      </c>
      <c r="AB254" s="324" t="s">
        <v>55</v>
      </c>
      <c r="AC254" s="324">
        <v>9</v>
      </c>
      <c r="AD254" s="324" t="s">
        <v>55</v>
      </c>
      <c r="AE254" s="324" t="s">
        <v>55</v>
      </c>
      <c r="AF254" s="324" t="s">
        <v>55</v>
      </c>
      <c r="AG254" s="324" t="s">
        <v>55</v>
      </c>
    </row>
    <row r="255" spans="1:33" s="324" customFormat="1" ht="0.65" hidden="1" customHeight="1">
      <c r="A255" s="324">
        <v>1023</v>
      </c>
      <c r="C255" s="324" t="s">
        <v>10</v>
      </c>
      <c r="D255" s="324">
        <v>350000</v>
      </c>
      <c r="N255" s="324" t="s">
        <v>471</v>
      </c>
      <c r="O255" s="324" t="s">
        <v>472</v>
      </c>
      <c r="T255" s="324">
        <v>18</v>
      </c>
      <c r="U255" s="324" t="s">
        <v>170</v>
      </c>
      <c r="V255" s="324" t="s">
        <v>181</v>
      </c>
      <c r="W255" s="324" t="s">
        <v>55</v>
      </c>
      <c r="X255" s="324" t="s">
        <v>4</v>
      </c>
      <c r="Y255" s="324">
        <v>0.25</v>
      </c>
      <c r="Z255" s="324">
        <v>0.3</v>
      </c>
      <c r="AA255" s="324">
        <v>-203834.30797272711</v>
      </c>
      <c r="AB255" s="324" t="s">
        <v>55</v>
      </c>
    </row>
    <row r="256" spans="1:33" s="324" customFormat="1" ht="0.65" hidden="1" customHeight="1">
      <c r="A256" s="324">
        <v>1024</v>
      </c>
      <c r="C256" s="324" t="s">
        <v>11</v>
      </c>
      <c r="D256" s="324">
        <v>420000</v>
      </c>
      <c r="I256" s="324" t="s">
        <v>320</v>
      </c>
      <c r="K256" s="324" t="s">
        <v>497</v>
      </c>
      <c r="L256" s="324" t="s">
        <v>498</v>
      </c>
      <c r="M256" s="324" t="s">
        <v>55</v>
      </c>
      <c r="T256" s="324">
        <v>19</v>
      </c>
      <c r="U256" s="324" t="s">
        <v>171</v>
      </c>
      <c r="V256" s="324" t="s">
        <v>181</v>
      </c>
      <c r="W256" s="324" t="s">
        <v>55</v>
      </c>
      <c r="X256" s="324" t="s">
        <v>14</v>
      </c>
      <c r="Y256" s="324" t="s">
        <v>16</v>
      </c>
      <c r="Z256" s="324">
        <v>4</v>
      </c>
      <c r="AA256" s="324">
        <v>-160716.78013038752</v>
      </c>
      <c r="AB256" s="324" t="s">
        <v>55</v>
      </c>
      <c r="AC256" s="324">
        <v>10</v>
      </c>
      <c r="AD256" s="324" t="s">
        <v>55</v>
      </c>
      <c r="AE256" s="324" t="s">
        <v>55</v>
      </c>
      <c r="AF256" s="324" t="s">
        <v>55</v>
      </c>
      <c r="AG256" s="324" t="s">
        <v>55</v>
      </c>
    </row>
    <row r="257" spans="1:33" s="324" customFormat="1" ht="0.65" hidden="1" customHeight="1">
      <c r="A257" s="324">
        <v>1025</v>
      </c>
      <c r="C257" s="324" t="s">
        <v>12</v>
      </c>
      <c r="D257" s="324">
        <v>2.2499999999999999E-2</v>
      </c>
    </row>
    <row r="258" spans="1:33" s="324" customFormat="1" ht="0.65" hidden="1" customHeight="1">
      <c r="A258" s="324">
        <v>1026</v>
      </c>
      <c r="C258" s="324" t="s">
        <v>2</v>
      </c>
      <c r="D258" s="324">
        <v>7000000</v>
      </c>
      <c r="I258" s="324" t="s">
        <v>318</v>
      </c>
      <c r="K258" s="324" t="s">
        <v>497</v>
      </c>
      <c r="L258" s="324" t="s">
        <v>498</v>
      </c>
      <c r="M258" s="324" t="s">
        <v>499</v>
      </c>
      <c r="AC258" s="324">
        <v>11</v>
      </c>
      <c r="AD258" s="324" t="s">
        <v>55</v>
      </c>
      <c r="AE258" s="324" t="s">
        <v>55</v>
      </c>
      <c r="AF258" s="324" t="s">
        <v>55</v>
      </c>
      <c r="AG258" s="324" t="s">
        <v>55</v>
      </c>
    </row>
    <row r="259" spans="1:33" s="324" customFormat="1" ht="0.65" hidden="1" customHeight="1">
      <c r="A259" s="324">
        <v>1027</v>
      </c>
      <c r="C259" s="324" t="s">
        <v>3</v>
      </c>
      <c r="D259" s="324">
        <v>7000000</v>
      </c>
      <c r="U259" s="324" t="s">
        <v>127</v>
      </c>
      <c r="V259" s="324" t="s">
        <v>36</v>
      </c>
      <c r="W259" s="324" t="s">
        <v>55</v>
      </c>
    </row>
    <row r="260" spans="1:33" s="324" customFormat="1" ht="0.65" hidden="1" customHeight="1">
      <c r="A260" s="324">
        <v>1028</v>
      </c>
      <c r="AC260" s="324">
        <v>12</v>
      </c>
      <c r="AD260" s="324" t="s">
        <v>55</v>
      </c>
      <c r="AE260" s="324" t="s">
        <v>55</v>
      </c>
      <c r="AF260" s="324" t="s">
        <v>55</v>
      </c>
      <c r="AG260" s="324" t="s">
        <v>55</v>
      </c>
    </row>
    <row r="261" spans="1:33" s="324" customFormat="1" ht="0.65" hidden="1" customHeight="1">
      <c r="A261" s="324">
        <v>1029</v>
      </c>
      <c r="C261" s="324" t="s">
        <v>14</v>
      </c>
      <c r="D261" s="324" t="s">
        <v>16</v>
      </c>
      <c r="V261" s="324">
        <v>0</v>
      </c>
    </row>
    <row r="262" spans="1:33" s="324" customFormat="1" ht="0.65" hidden="1" customHeight="1">
      <c r="A262" s="324">
        <v>1030</v>
      </c>
      <c r="G262" s="324" t="s">
        <v>128</v>
      </c>
      <c r="M262" s="324" t="s">
        <v>500</v>
      </c>
      <c r="AC262" s="324">
        <v>13</v>
      </c>
      <c r="AD262" s="324" t="s">
        <v>55</v>
      </c>
      <c r="AE262" s="324" t="s">
        <v>55</v>
      </c>
      <c r="AF262" s="324" t="s">
        <v>55</v>
      </c>
      <c r="AG262" s="324" t="s">
        <v>55</v>
      </c>
    </row>
    <row r="263" spans="1:33" s="324" customFormat="1" ht="0.65" hidden="1" customHeight="1">
      <c r="A263" s="324">
        <v>1031</v>
      </c>
      <c r="B263" s="324" t="s">
        <v>460</v>
      </c>
      <c r="F263" s="324">
        <v>1</v>
      </c>
      <c r="I263" s="324" t="s">
        <v>129</v>
      </c>
      <c r="J263" s="324">
        <v>1</v>
      </c>
      <c r="K263" s="324" t="s">
        <v>501</v>
      </c>
      <c r="U263" s="324" t="s">
        <v>204</v>
      </c>
      <c r="V263" s="324">
        <v>12</v>
      </c>
      <c r="W263" s="324" t="s">
        <v>55</v>
      </c>
    </row>
    <row r="264" spans="1:33" s="324" customFormat="1" ht="0.65" hidden="1" customHeight="1">
      <c r="A264" s="324">
        <v>1032</v>
      </c>
      <c r="F264" s="324">
        <v>1.5</v>
      </c>
      <c r="I264" s="324" t="s">
        <v>138</v>
      </c>
      <c r="J264" s="324">
        <v>1.5</v>
      </c>
      <c r="K264" s="324" t="s">
        <v>502</v>
      </c>
      <c r="Z264" s="324" t="s">
        <v>291</v>
      </c>
      <c r="AC264" s="324">
        <v>14</v>
      </c>
      <c r="AD264" s="324" t="s">
        <v>55</v>
      </c>
      <c r="AE264" s="324" t="s">
        <v>55</v>
      </c>
      <c r="AF264" s="324" t="s">
        <v>55</v>
      </c>
      <c r="AG264" s="324" t="s">
        <v>55</v>
      </c>
    </row>
    <row r="265" spans="1:33" s="324" customFormat="1" ht="0.65" hidden="1" customHeight="1">
      <c r="A265" s="324">
        <v>1033</v>
      </c>
      <c r="F265" s="324">
        <v>1.5</v>
      </c>
      <c r="I265" s="324" t="s">
        <v>130</v>
      </c>
      <c r="J265" s="324">
        <v>1.5</v>
      </c>
      <c r="K265" s="324" t="s">
        <v>502</v>
      </c>
      <c r="W265" s="324" t="s">
        <v>139</v>
      </c>
      <c r="X265" s="324" t="s">
        <v>174</v>
      </c>
      <c r="Z265" s="324" t="s">
        <v>503</v>
      </c>
      <c r="AA265" s="324">
        <v>-2594.4235845698167</v>
      </c>
      <c r="AB265" s="324">
        <v>-2594.4235845698167</v>
      </c>
    </row>
    <row r="266" spans="1:33" s="324" customFormat="1" ht="0.65" hidden="1" customHeight="1">
      <c r="A266" s="324">
        <v>1034</v>
      </c>
      <c r="F266" s="324">
        <v>1</v>
      </c>
      <c r="I266" s="324" t="s">
        <v>131</v>
      </c>
      <c r="J266" s="324">
        <v>1</v>
      </c>
      <c r="K266" s="324" t="s">
        <v>501</v>
      </c>
      <c r="V266" s="324" t="s">
        <v>177</v>
      </c>
      <c r="W266" s="324" t="s">
        <v>173</v>
      </c>
      <c r="X266" s="324" t="s">
        <v>175</v>
      </c>
      <c r="Z266" s="324">
        <v>-2594.4235845698167</v>
      </c>
      <c r="AA266" s="324">
        <v>-2594.4235845698167</v>
      </c>
      <c r="AB266" s="324">
        <v>-2594.4235845698167</v>
      </c>
      <c r="AC266" s="324">
        <v>15</v>
      </c>
      <c r="AD266" s="324" t="s">
        <v>55</v>
      </c>
      <c r="AE266" s="324" t="s">
        <v>55</v>
      </c>
      <c r="AF266" s="324" t="s">
        <v>55</v>
      </c>
      <c r="AG266" s="324" t="s">
        <v>55</v>
      </c>
    </row>
    <row r="267" spans="1:33" s="324" customFormat="1" ht="0.65" hidden="1" customHeight="1">
      <c r="A267" s="324">
        <v>1035</v>
      </c>
      <c r="F267" s="324">
        <v>1</v>
      </c>
      <c r="I267" s="324" t="s">
        <v>132</v>
      </c>
      <c r="J267" s="324">
        <v>1</v>
      </c>
      <c r="K267" s="324" t="s">
        <v>501</v>
      </c>
      <c r="T267" s="324">
        <v>12</v>
      </c>
      <c r="U267" s="324" t="s">
        <v>164</v>
      </c>
      <c r="V267" s="324" t="s">
        <v>8</v>
      </c>
      <c r="W267" s="324">
        <v>60</v>
      </c>
      <c r="X267" s="324">
        <v>30</v>
      </c>
      <c r="Z267" s="324">
        <v>-2594.4235845698167</v>
      </c>
      <c r="AA267" s="324">
        <v>-2594.4235845698167</v>
      </c>
      <c r="AB267" s="324">
        <v>-2594.4235845698167</v>
      </c>
    </row>
    <row r="268" spans="1:33" s="324" customFormat="1" ht="0.65" hidden="1" customHeight="1">
      <c r="A268" s="324">
        <v>1036</v>
      </c>
      <c r="F268" s="324">
        <v>0.5</v>
      </c>
      <c r="I268" s="324" t="s">
        <v>133</v>
      </c>
      <c r="J268" s="324">
        <v>0.5</v>
      </c>
      <c r="K268" s="324" t="s">
        <v>504</v>
      </c>
      <c r="V268" s="324" t="s">
        <v>13</v>
      </c>
      <c r="W268" s="324">
        <v>-210381.05281541136</v>
      </c>
      <c r="X268" s="324">
        <v>-212975.47639998142</v>
      </c>
      <c r="Z268" s="324">
        <v>-2594.4235845698167</v>
      </c>
      <c r="AA268" s="324">
        <v>-2594.4235845698167</v>
      </c>
      <c r="AB268" s="324">
        <v>-2594.4235845698167</v>
      </c>
      <c r="AC268" s="324">
        <v>16</v>
      </c>
      <c r="AD268" s="324" t="s">
        <v>55</v>
      </c>
      <c r="AE268" s="324" t="s">
        <v>55</v>
      </c>
      <c r="AF268" s="324" t="s">
        <v>55</v>
      </c>
      <c r="AG268" s="324" t="s">
        <v>55</v>
      </c>
    </row>
    <row r="269" spans="1:33" s="324" customFormat="1" ht="0.65" hidden="1" customHeight="1">
      <c r="A269" s="324">
        <v>1037</v>
      </c>
      <c r="F269" s="324">
        <v>0.5</v>
      </c>
      <c r="I269" s="324" t="s">
        <v>134</v>
      </c>
      <c r="J269" s="324">
        <v>0.5</v>
      </c>
      <c r="K269" s="324" t="s">
        <v>504</v>
      </c>
      <c r="V269" s="324" t="s">
        <v>505</v>
      </c>
      <c r="X269" s="324">
        <v>-2594.4235845698167</v>
      </c>
      <c r="Z269" s="324">
        <v>-2594.4235845698167</v>
      </c>
      <c r="AA269" s="324">
        <v>-2594.4235845698167</v>
      </c>
      <c r="AB269" s="324">
        <v>-2594.4235845698167</v>
      </c>
    </row>
    <row r="270" spans="1:33" s="324" customFormat="1" ht="0.65" hidden="1" customHeight="1">
      <c r="A270" s="324">
        <v>1038</v>
      </c>
      <c r="F270" s="324">
        <v>1</v>
      </c>
      <c r="I270" s="324" t="s">
        <v>135</v>
      </c>
      <c r="J270" s="324">
        <v>1</v>
      </c>
      <c r="K270" s="324" t="s">
        <v>501</v>
      </c>
      <c r="Z270" s="324">
        <v>-2594.4235845698167</v>
      </c>
      <c r="AA270" s="324">
        <v>-2594.4235845698167</v>
      </c>
      <c r="AB270" s="324">
        <v>-2594.4235845698167</v>
      </c>
      <c r="AC270" s="324">
        <v>17</v>
      </c>
      <c r="AD270" s="324" t="s">
        <v>55</v>
      </c>
      <c r="AE270" s="324" t="s">
        <v>55</v>
      </c>
      <c r="AF270" s="324" t="s">
        <v>55</v>
      </c>
      <c r="AG270" s="324" t="s">
        <v>55</v>
      </c>
    </row>
    <row r="271" spans="1:33" s="324" customFormat="1" ht="0.65" hidden="1" customHeight="1">
      <c r="A271" s="324">
        <v>1039</v>
      </c>
      <c r="F271" s="324">
        <v>0.5</v>
      </c>
      <c r="I271" s="324" t="s">
        <v>13</v>
      </c>
      <c r="J271" s="324">
        <v>0.5</v>
      </c>
      <c r="K271" s="324" t="s">
        <v>504</v>
      </c>
    </row>
    <row r="272" spans="1:33" s="324" customFormat="1" ht="0.65" hidden="1" customHeight="1">
      <c r="A272" s="324">
        <v>1040</v>
      </c>
      <c r="F272" s="324">
        <v>0.5</v>
      </c>
      <c r="I272" s="324" t="s">
        <v>28</v>
      </c>
      <c r="J272" s="324">
        <v>0.5</v>
      </c>
      <c r="K272" s="324" t="s">
        <v>504</v>
      </c>
      <c r="U272" s="324" t="s">
        <v>196</v>
      </c>
      <c r="AC272" s="324">
        <v>18</v>
      </c>
      <c r="AD272" s="324" t="s">
        <v>55</v>
      </c>
      <c r="AE272" s="324" t="s">
        <v>55</v>
      </c>
      <c r="AF272" s="324" t="s">
        <v>55</v>
      </c>
      <c r="AG272" s="324" t="s">
        <v>55</v>
      </c>
    </row>
    <row r="273" spans="1:42" s="324" customFormat="1" ht="0.65" hidden="1" customHeight="1">
      <c r="A273" s="324">
        <v>1041</v>
      </c>
      <c r="F273" s="324">
        <v>1</v>
      </c>
      <c r="I273" s="324" t="s">
        <v>136</v>
      </c>
      <c r="J273" s="324">
        <v>1</v>
      </c>
      <c r="K273" s="324" t="s">
        <v>501</v>
      </c>
    </row>
    <row r="274" spans="1:42" s="324" customFormat="1" ht="0.65" hidden="1" customHeight="1">
      <c r="A274" s="324">
        <v>1042</v>
      </c>
      <c r="F274" s="324">
        <v>10</v>
      </c>
      <c r="I274" s="324" t="s">
        <v>137</v>
      </c>
      <c r="J274" s="324">
        <v>10</v>
      </c>
      <c r="K274" s="324" t="s">
        <v>506</v>
      </c>
      <c r="AC274" s="324">
        <v>19</v>
      </c>
      <c r="AD274" s="324" t="s">
        <v>55</v>
      </c>
      <c r="AE274" s="324" t="s">
        <v>55</v>
      </c>
      <c r="AF274" s="324" t="s">
        <v>55</v>
      </c>
      <c r="AG274" s="324" t="s">
        <v>55</v>
      </c>
    </row>
    <row r="275" spans="1:42" s="324" customFormat="1" ht="0.65" hidden="1" customHeight="1">
      <c r="A275" s="324">
        <v>1043</v>
      </c>
    </row>
    <row r="276" spans="1:42" s="324" customFormat="1" ht="0.65" hidden="1" customHeight="1">
      <c r="A276" s="324">
        <v>1044</v>
      </c>
      <c r="AC276" s="324">
        <v>20</v>
      </c>
      <c r="AD276" s="324" t="s">
        <v>55</v>
      </c>
      <c r="AE276" s="324" t="s">
        <v>55</v>
      </c>
      <c r="AF276" s="324" t="s">
        <v>55</v>
      </c>
      <c r="AG276" s="324" t="s">
        <v>55</v>
      </c>
    </row>
    <row r="277" spans="1:42" s="324" customFormat="1" ht="0.65" hidden="1" customHeight="1">
      <c r="A277" s="324">
        <v>1045</v>
      </c>
    </row>
    <row r="278" spans="1:42" s="324" customFormat="1" ht="0.65" hidden="1" customHeight="1">
      <c r="A278" s="324">
        <v>1046</v>
      </c>
    </row>
    <row r="279" spans="1:42" s="324" customFormat="1" ht="0.65" hidden="1" customHeight="1">
      <c r="A279" s="324">
        <v>1047</v>
      </c>
      <c r="G279" s="324">
        <v>1</v>
      </c>
      <c r="H279" s="324">
        <v>2</v>
      </c>
      <c r="I279" s="324">
        <v>3</v>
      </c>
      <c r="J279" s="324">
        <v>4</v>
      </c>
      <c r="K279" s="324">
        <v>5</v>
      </c>
      <c r="L279" s="324">
        <v>6</v>
      </c>
      <c r="M279" s="324">
        <v>7</v>
      </c>
      <c r="N279" s="324">
        <v>8</v>
      </c>
      <c r="O279" s="324">
        <v>9</v>
      </c>
      <c r="P279" s="324">
        <v>10</v>
      </c>
    </row>
    <row r="280" spans="1:42" s="324" customFormat="1" ht="0.65" hidden="1" customHeight="1">
      <c r="A280" s="324">
        <v>1048</v>
      </c>
      <c r="G280" s="324" t="s">
        <v>212</v>
      </c>
      <c r="H280" s="324" t="s">
        <v>213</v>
      </c>
      <c r="I280" s="324" t="s">
        <v>214</v>
      </c>
      <c r="J280" s="324" t="s">
        <v>215</v>
      </c>
      <c r="K280" s="324" t="s">
        <v>216</v>
      </c>
      <c r="L280" s="324" t="s">
        <v>218</v>
      </c>
      <c r="M280" s="324" t="s">
        <v>219</v>
      </c>
      <c r="N280" s="324" t="s">
        <v>220</v>
      </c>
      <c r="O280" s="324" t="s">
        <v>221</v>
      </c>
      <c r="P280" s="324" t="s">
        <v>222</v>
      </c>
    </row>
    <row r="281" spans="1:42" s="324" customFormat="1" ht="0.65" hidden="1" customHeight="1">
      <c r="A281" s="324">
        <v>1049</v>
      </c>
      <c r="G281" s="324">
        <v>55000</v>
      </c>
      <c r="H281" s="324">
        <v>110000</v>
      </c>
      <c r="I281" s="324" t="s">
        <v>55</v>
      </c>
      <c r="J281" s="324" t="s">
        <v>55</v>
      </c>
      <c r="K281" s="324" t="s">
        <v>55</v>
      </c>
      <c r="L281" s="324" t="s">
        <v>55</v>
      </c>
      <c r="M281" s="324" t="s">
        <v>55</v>
      </c>
      <c r="N281" s="324" t="s">
        <v>55</v>
      </c>
      <c r="O281" s="324" t="s">
        <v>499</v>
      </c>
      <c r="P281" s="324" t="s">
        <v>507</v>
      </c>
    </row>
    <row r="282" spans="1:42" s="324" customFormat="1" ht="0.65" hidden="1" customHeight="1">
      <c r="A282" s="324">
        <v>1050</v>
      </c>
      <c r="G282" s="324" t="s">
        <v>267</v>
      </c>
      <c r="H282" s="324" t="s">
        <v>268</v>
      </c>
      <c r="I282" s="324" t="s">
        <v>55</v>
      </c>
      <c r="J282" s="324" t="s">
        <v>55</v>
      </c>
      <c r="K282" s="324" t="s">
        <v>55</v>
      </c>
      <c r="L282" s="324" t="s">
        <v>55</v>
      </c>
      <c r="M282" s="324" t="s">
        <v>55</v>
      </c>
      <c r="N282" s="324" t="s">
        <v>55</v>
      </c>
      <c r="O282" s="324" t="s">
        <v>55</v>
      </c>
      <c r="P282" s="324" t="s">
        <v>55</v>
      </c>
    </row>
    <row r="283" spans="1:42" s="324" customFormat="1" ht="0.65" hidden="1" customHeight="1">
      <c r="A283" s="324">
        <v>1051</v>
      </c>
    </row>
    <row r="284" spans="1:42" s="324" customFormat="1" ht="0.65" hidden="1" customHeight="1">
      <c r="A284" s="324">
        <v>1052</v>
      </c>
      <c r="B284" s="324">
        <v>2</v>
      </c>
      <c r="C284" s="324">
        <v>3</v>
      </c>
      <c r="D284" s="324">
        <v>4</v>
      </c>
      <c r="E284" s="324">
        <v>5</v>
      </c>
      <c r="F284" s="324">
        <v>6</v>
      </c>
      <c r="G284" s="324">
        <v>7</v>
      </c>
      <c r="H284" s="324">
        <v>8</v>
      </c>
      <c r="I284" s="324">
        <v>9</v>
      </c>
      <c r="J284" s="324">
        <v>10</v>
      </c>
      <c r="K284" s="324">
        <v>11</v>
      </c>
      <c r="L284" s="324">
        <v>12</v>
      </c>
      <c r="M284" s="324">
        <v>13</v>
      </c>
      <c r="N284" s="324">
        <v>14</v>
      </c>
      <c r="O284" s="324">
        <v>15</v>
      </c>
      <c r="P284" s="324">
        <v>16</v>
      </c>
      <c r="Q284" s="324">
        <v>17</v>
      </c>
      <c r="R284" s="324">
        <v>18</v>
      </c>
      <c r="S284" s="324">
        <v>19</v>
      </c>
      <c r="T284" s="324">
        <v>20</v>
      </c>
      <c r="U284" s="324">
        <v>21</v>
      </c>
      <c r="V284" s="324">
        <v>22</v>
      </c>
      <c r="W284" s="324">
        <v>23</v>
      </c>
      <c r="X284" s="324">
        <v>24</v>
      </c>
      <c r="Y284" s="324">
        <v>25</v>
      </c>
      <c r="Z284" s="324">
        <v>26</v>
      </c>
      <c r="AA284" s="324">
        <v>27</v>
      </c>
      <c r="AB284" s="324">
        <v>28</v>
      </c>
      <c r="AC284" s="324">
        <v>29</v>
      </c>
      <c r="AD284" s="324">
        <v>30</v>
      </c>
      <c r="AE284" s="324">
        <v>31</v>
      </c>
      <c r="AF284" s="324">
        <v>32</v>
      </c>
      <c r="AG284" s="324">
        <v>33</v>
      </c>
      <c r="AH284" s="324">
        <v>34</v>
      </c>
      <c r="AI284" s="324">
        <v>35</v>
      </c>
      <c r="AJ284" s="324">
        <v>36</v>
      </c>
      <c r="AK284" s="324">
        <v>37</v>
      </c>
      <c r="AL284" s="324">
        <v>38</v>
      </c>
      <c r="AM284" s="324">
        <v>39</v>
      </c>
      <c r="AN284" s="324">
        <v>40</v>
      </c>
      <c r="AO284" s="324">
        <v>41</v>
      </c>
      <c r="AP284" s="324">
        <v>42</v>
      </c>
    </row>
    <row r="285" spans="1:42" s="324" customFormat="1" ht="0.65" hidden="1" customHeight="1">
      <c r="A285" s="324">
        <v>1053</v>
      </c>
    </row>
    <row r="286" spans="1:42" s="324" customFormat="1" ht="0.65" hidden="1" customHeight="1">
      <c r="A286" s="324">
        <v>1054</v>
      </c>
      <c r="B286" s="324">
        <v>1000000</v>
      </c>
      <c r="C286" s="324">
        <v>1000000</v>
      </c>
      <c r="D286" s="324">
        <v>1</v>
      </c>
      <c r="G286" s="324" t="s">
        <v>0</v>
      </c>
      <c r="H286" s="324" t="s">
        <v>69</v>
      </c>
      <c r="I286" s="324" t="s">
        <v>70</v>
      </c>
      <c r="J286" s="324" t="s">
        <v>71</v>
      </c>
      <c r="K286" s="324" t="s">
        <v>72</v>
      </c>
      <c r="L286" s="324" t="s">
        <v>73</v>
      </c>
      <c r="M286" s="324" t="s">
        <v>74</v>
      </c>
      <c r="N286" s="324" t="s">
        <v>75</v>
      </c>
      <c r="O286" s="324" t="s">
        <v>80</v>
      </c>
      <c r="P286" s="324" t="s">
        <v>1</v>
      </c>
    </row>
    <row r="287" spans="1:42" s="324" customFormat="1" ht="0.65" hidden="1" customHeight="1">
      <c r="A287" s="324">
        <v>1055</v>
      </c>
      <c r="B287" s="324">
        <v>10</v>
      </c>
      <c r="C287" s="324">
        <v>10</v>
      </c>
      <c r="D287" s="324">
        <v>1</v>
      </c>
      <c r="G287" s="324">
        <v>2022</v>
      </c>
      <c r="P287" s="324">
        <v>41</v>
      </c>
    </row>
    <row r="288" spans="1:42" s="324" customFormat="1" ht="0.65" hidden="1" customHeight="1">
      <c r="A288" s="324">
        <v>1056</v>
      </c>
      <c r="B288" s="324">
        <v>400000</v>
      </c>
      <c r="C288" s="324">
        <v>400000</v>
      </c>
      <c r="D288" s="324">
        <v>1</v>
      </c>
      <c r="G288" s="324">
        <v>2023</v>
      </c>
      <c r="H288" s="324">
        <v>2</v>
      </c>
      <c r="I288" s="324">
        <v>5</v>
      </c>
      <c r="J288" s="324">
        <v>8</v>
      </c>
      <c r="K288" s="324">
        <v>11</v>
      </c>
      <c r="L288" s="324">
        <v>14</v>
      </c>
      <c r="M288" s="324">
        <v>17</v>
      </c>
      <c r="N288" s="324">
        <v>20</v>
      </c>
      <c r="O288" s="324">
        <v>35</v>
      </c>
      <c r="P288" s="324">
        <v>42</v>
      </c>
    </row>
    <row r="289" spans="1:16" s="324" customFormat="1" ht="0.65" hidden="1" customHeight="1">
      <c r="A289" s="324">
        <v>1057</v>
      </c>
      <c r="G289" s="324">
        <v>2024</v>
      </c>
      <c r="H289" s="324">
        <v>3</v>
      </c>
      <c r="I289" s="324">
        <v>6</v>
      </c>
      <c r="J289" s="324">
        <v>9</v>
      </c>
      <c r="K289" s="324">
        <v>12</v>
      </c>
      <c r="L289" s="324">
        <v>15</v>
      </c>
      <c r="M289" s="324">
        <v>18</v>
      </c>
      <c r="N289" s="324">
        <v>21</v>
      </c>
      <c r="O289" s="324">
        <v>36</v>
      </c>
      <c r="P289" s="324">
        <v>43</v>
      </c>
    </row>
    <row r="290" spans="1:16" s="324" customFormat="1" ht="0.65" hidden="1" customHeight="1">
      <c r="A290" s="324">
        <v>1058</v>
      </c>
      <c r="B290" s="324">
        <v>420000</v>
      </c>
      <c r="C290" s="324">
        <v>420000</v>
      </c>
      <c r="D290" s="324">
        <v>1</v>
      </c>
      <c r="G290" s="324">
        <v>2025</v>
      </c>
      <c r="H290" s="324">
        <v>4</v>
      </c>
      <c r="I290" s="324">
        <v>7</v>
      </c>
      <c r="J290" s="324">
        <v>10</v>
      </c>
      <c r="K290" s="324">
        <v>13</v>
      </c>
      <c r="L290" s="324">
        <v>16</v>
      </c>
      <c r="M290" s="324">
        <v>19</v>
      </c>
      <c r="N290" s="324">
        <v>22</v>
      </c>
      <c r="O290" s="324">
        <v>37</v>
      </c>
      <c r="P290" s="324">
        <v>44</v>
      </c>
    </row>
    <row r="291" spans="1:16" s="324" customFormat="1" ht="0.65" hidden="1" customHeight="1">
      <c r="A291" s="324">
        <v>1059</v>
      </c>
      <c r="B291" s="324">
        <v>300000</v>
      </c>
      <c r="C291" s="324">
        <v>300000</v>
      </c>
      <c r="D291" s="324">
        <v>1</v>
      </c>
    </row>
    <row r="292" spans="1:16" s="324" customFormat="1" ht="0.65" hidden="1" customHeight="1">
      <c r="A292" s="324">
        <v>1060</v>
      </c>
      <c r="G292" s="324" t="s">
        <v>0</v>
      </c>
      <c r="H292" s="324" t="s">
        <v>76</v>
      </c>
      <c r="I292" s="324" t="s">
        <v>77</v>
      </c>
      <c r="J292" s="324" t="s">
        <v>78</v>
      </c>
      <c r="K292" s="324" t="s">
        <v>79</v>
      </c>
    </row>
    <row r="293" spans="1:16" s="324" customFormat="1" ht="0.65" hidden="1" customHeight="1">
      <c r="A293" s="324">
        <v>1061</v>
      </c>
      <c r="B293" s="324">
        <v>90</v>
      </c>
      <c r="C293" s="324">
        <v>90</v>
      </c>
      <c r="D293" s="324">
        <v>1</v>
      </c>
      <c r="G293" s="324">
        <v>2022</v>
      </c>
      <c r="M293" s="324" t="s">
        <v>490</v>
      </c>
      <c r="N293" s="324">
        <v>1</v>
      </c>
      <c r="O293" s="324" t="s">
        <v>124</v>
      </c>
      <c r="P293" s="324">
        <v>45</v>
      </c>
    </row>
    <row r="294" spans="1:16" s="324" customFormat="1" ht="0.65" hidden="1" customHeight="1">
      <c r="A294" s="324">
        <v>1062</v>
      </c>
      <c r="B294" s="324">
        <v>60</v>
      </c>
      <c r="C294" s="324">
        <v>60</v>
      </c>
      <c r="D294" s="324">
        <v>1</v>
      </c>
      <c r="G294" s="324">
        <v>2023</v>
      </c>
      <c r="H294" s="324">
        <v>23</v>
      </c>
      <c r="I294" s="324">
        <v>26</v>
      </c>
      <c r="J294" s="324">
        <v>29</v>
      </c>
      <c r="K294" s="324">
        <v>32</v>
      </c>
      <c r="M294" s="324" t="s">
        <v>491</v>
      </c>
      <c r="N294" s="324">
        <v>38</v>
      </c>
      <c r="O294" s="324" t="s">
        <v>125</v>
      </c>
      <c r="P294" s="324">
        <v>46</v>
      </c>
    </row>
    <row r="295" spans="1:16" s="324" customFormat="1" ht="0.65" hidden="1" customHeight="1">
      <c r="A295" s="324">
        <v>1063</v>
      </c>
      <c r="G295" s="324">
        <v>2024</v>
      </c>
      <c r="H295" s="324">
        <v>24</v>
      </c>
      <c r="I295" s="324">
        <v>27</v>
      </c>
      <c r="J295" s="324">
        <v>30</v>
      </c>
      <c r="K295" s="324">
        <v>33</v>
      </c>
      <c r="M295" s="324" t="s">
        <v>493</v>
      </c>
      <c r="N295" s="324">
        <v>39</v>
      </c>
      <c r="O295" s="324" t="s">
        <v>126</v>
      </c>
      <c r="P295" s="324">
        <v>47</v>
      </c>
    </row>
    <row r="296" spans="1:16" s="324" customFormat="1" ht="0.65" hidden="1" customHeight="1">
      <c r="A296" s="324">
        <v>1064</v>
      </c>
      <c r="G296" s="324">
        <v>2025</v>
      </c>
      <c r="H296" s="324">
        <v>25</v>
      </c>
      <c r="I296" s="324">
        <v>28</v>
      </c>
      <c r="J296" s="324">
        <v>31</v>
      </c>
      <c r="K296" s="324">
        <v>34</v>
      </c>
      <c r="M296" s="324" t="s">
        <v>494</v>
      </c>
      <c r="N296" s="324">
        <v>40</v>
      </c>
    </row>
    <row r="297" spans="1:16" s="324" customFormat="1" ht="0.65" hidden="1" customHeight="1">
      <c r="A297" s="324">
        <v>1065</v>
      </c>
      <c r="B297" s="324">
        <v>200000</v>
      </c>
      <c r="C297" s="324">
        <v>200000</v>
      </c>
      <c r="D297" s="324">
        <v>1</v>
      </c>
    </row>
    <row r="298" spans="1:16" s="324" customFormat="1" ht="0.65" hidden="1" customHeight="1">
      <c r="A298" s="324">
        <v>1066</v>
      </c>
      <c r="B298" s="324">
        <v>100000</v>
      </c>
      <c r="C298" s="324">
        <v>100000</v>
      </c>
      <c r="D298" s="324">
        <v>1</v>
      </c>
      <c r="O298" s="324" t="s">
        <v>13</v>
      </c>
      <c r="P298" s="324">
        <v>48</v>
      </c>
    </row>
    <row r="299" spans="1:16" s="324" customFormat="1" ht="0.65" hidden="1" customHeight="1">
      <c r="A299" s="324">
        <v>1067</v>
      </c>
      <c r="B299" s="324">
        <v>2</v>
      </c>
      <c r="C299" s="324">
        <v>2</v>
      </c>
      <c r="D299" s="324">
        <v>1</v>
      </c>
      <c r="O299" s="324" t="s">
        <v>28</v>
      </c>
      <c r="P299" s="324">
        <v>49</v>
      </c>
    </row>
    <row r="300" spans="1:16" s="324" customFormat="1" ht="0.65" hidden="1" customHeight="1">
      <c r="A300" s="324">
        <v>1068</v>
      </c>
      <c r="B300" s="324">
        <v>100000</v>
      </c>
      <c r="C300" s="324">
        <v>100000</v>
      </c>
      <c r="D300" s="324">
        <v>1</v>
      </c>
      <c r="O300" s="324" t="s">
        <v>29</v>
      </c>
      <c r="P300" s="324">
        <v>50</v>
      </c>
    </row>
    <row r="301" spans="1:16" s="324" customFormat="1" ht="0.65" hidden="1" customHeight="1">
      <c r="A301" s="324">
        <v>1069</v>
      </c>
      <c r="O301" s="324" t="s">
        <v>30</v>
      </c>
      <c r="P301" s="324">
        <v>51</v>
      </c>
    </row>
    <row r="302" spans="1:16" s="324" customFormat="1" ht="0.65" hidden="1" customHeight="1">
      <c r="A302" s="324">
        <v>1070</v>
      </c>
      <c r="B302" s="324">
        <v>0.25</v>
      </c>
      <c r="C302" s="324">
        <v>0.25</v>
      </c>
      <c r="D302" s="324">
        <v>1</v>
      </c>
    </row>
    <row r="303" spans="1:16" s="324" customFormat="1" ht="0.65" hidden="1" customHeight="1">
      <c r="A303" s="324">
        <v>1071</v>
      </c>
    </row>
    <row r="304" spans="1:16" s="324" customFormat="1" ht="0.65" hidden="1" customHeight="1">
      <c r="A304" s="324">
        <v>1072</v>
      </c>
    </row>
    <row r="305" spans="1:31" s="324" customFormat="1" ht="0.65" hidden="1" customHeight="1">
      <c r="A305" s="324">
        <v>1073</v>
      </c>
      <c r="B305" s="324">
        <v>350000</v>
      </c>
      <c r="C305" s="324">
        <v>350000</v>
      </c>
      <c r="D305" s="324">
        <v>1</v>
      </c>
    </row>
    <row r="306" spans="1:31" s="324" customFormat="1" ht="0.65" hidden="1" customHeight="1">
      <c r="A306" s="324">
        <v>1074</v>
      </c>
      <c r="B306" s="324">
        <v>420000</v>
      </c>
      <c r="C306" s="324">
        <v>420000</v>
      </c>
      <c r="D306" s="324">
        <v>1</v>
      </c>
      <c r="K306" s="324" t="s">
        <v>475</v>
      </c>
      <c r="M306" s="324" t="s">
        <v>212</v>
      </c>
      <c r="N306" s="324" t="s">
        <v>213</v>
      </c>
      <c r="O306" s="324" t="s">
        <v>214</v>
      </c>
      <c r="P306" s="324" t="s">
        <v>215</v>
      </c>
      <c r="Q306" s="324" t="s">
        <v>216</v>
      </c>
      <c r="R306" s="324" t="s">
        <v>218</v>
      </c>
      <c r="S306" s="324" t="s">
        <v>219</v>
      </c>
      <c r="T306" s="324" t="s">
        <v>220</v>
      </c>
      <c r="U306" s="324" t="s">
        <v>473</v>
      </c>
      <c r="V306" s="324" t="s">
        <v>474</v>
      </c>
      <c r="X306" s="324" t="s">
        <v>223</v>
      </c>
      <c r="Y306" s="324" t="s">
        <v>224</v>
      </c>
      <c r="Z306" s="324" t="s">
        <v>225</v>
      </c>
      <c r="AA306" s="324" t="s">
        <v>226</v>
      </c>
      <c r="AB306" s="324" t="s">
        <v>227</v>
      </c>
      <c r="AC306" s="324" t="s">
        <v>228</v>
      </c>
      <c r="AD306" s="324" t="s">
        <v>229</v>
      </c>
      <c r="AE306" s="324" t="s">
        <v>230</v>
      </c>
    </row>
    <row r="307" spans="1:31" s="324" customFormat="1" ht="0.65" hidden="1" customHeight="1">
      <c r="A307" s="324">
        <v>1075</v>
      </c>
      <c r="B307" s="324">
        <v>2.2499999999999999E-2</v>
      </c>
      <c r="C307" s="324">
        <v>2.2499999999999999E-2</v>
      </c>
      <c r="D307" s="324">
        <v>1</v>
      </c>
      <c r="F307" s="324">
        <v>1</v>
      </c>
      <c r="G307" s="324">
        <v>1</v>
      </c>
      <c r="H307" s="324" t="s">
        <v>490</v>
      </c>
      <c r="I307" s="324">
        <v>825000</v>
      </c>
      <c r="J307" s="324">
        <v>825000</v>
      </c>
      <c r="K307" s="324" t="s">
        <v>508</v>
      </c>
      <c r="M307" s="324">
        <v>1000000</v>
      </c>
      <c r="N307" s="324">
        <v>800000</v>
      </c>
      <c r="O307" s="324">
        <v>775000</v>
      </c>
      <c r="P307" s="324">
        <v>1200000</v>
      </c>
      <c r="U307" s="324" t="s">
        <v>508</v>
      </c>
      <c r="V307" s="324" t="s">
        <v>509</v>
      </c>
      <c r="X307" s="324" t="s">
        <v>231</v>
      </c>
      <c r="Y307" s="324" t="s">
        <v>250</v>
      </c>
      <c r="Z307" s="324" t="s">
        <v>251</v>
      </c>
      <c r="AA307" s="324" t="s">
        <v>232</v>
      </c>
    </row>
    <row r="308" spans="1:31" s="324" customFormat="1" ht="0.65" hidden="1" customHeight="1">
      <c r="A308" s="324">
        <v>1076</v>
      </c>
      <c r="B308" s="324">
        <v>7000000</v>
      </c>
      <c r="C308" s="324">
        <v>7000000</v>
      </c>
      <c r="D308" s="324">
        <v>1</v>
      </c>
      <c r="F308" s="324">
        <v>1</v>
      </c>
      <c r="G308" s="324">
        <v>2</v>
      </c>
      <c r="H308" s="324" t="s">
        <v>510</v>
      </c>
      <c r="I308" s="324">
        <v>420000</v>
      </c>
      <c r="J308" s="324">
        <v>420000</v>
      </c>
      <c r="K308" s="324" t="s">
        <v>511</v>
      </c>
      <c r="M308" s="324">
        <v>315000</v>
      </c>
      <c r="N308" s="324">
        <v>105000</v>
      </c>
      <c r="U308" s="324" t="s">
        <v>511</v>
      </c>
      <c r="V308" s="324" t="s">
        <v>512</v>
      </c>
      <c r="X308" s="324" t="s">
        <v>233</v>
      </c>
    </row>
    <row r="309" spans="1:31" s="324" customFormat="1" ht="0.65" hidden="1" customHeight="1">
      <c r="A309" s="324">
        <v>1077</v>
      </c>
      <c r="B309" s="324">
        <v>7000000</v>
      </c>
      <c r="C309" s="324">
        <v>7000000</v>
      </c>
      <c r="D309" s="324">
        <v>1</v>
      </c>
      <c r="F309" s="324">
        <v>1</v>
      </c>
      <c r="G309" s="324">
        <v>3</v>
      </c>
      <c r="H309" s="324" t="s">
        <v>513</v>
      </c>
      <c r="I309" s="324">
        <v>420000</v>
      </c>
      <c r="J309" s="324">
        <v>420000</v>
      </c>
      <c r="K309" s="324" t="s">
        <v>511</v>
      </c>
      <c r="M309" s="324">
        <v>315000</v>
      </c>
      <c r="N309" s="324">
        <v>105000</v>
      </c>
      <c r="O309" s="324">
        <v>840000</v>
      </c>
      <c r="U309" s="324" t="s">
        <v>511</v>
      </c>
      <c r="V309" s="324" t="s">
        <v>514</v>
      </c>
      <c r="X309" s="324" t="s">
        <v>233</v>
      </c>
      <c r="Y309" s="324" t="s">
        <v>252</v>
      </c>
      <c r="Z309" s="324" t="s">
        <v>234</v>
      </c>
    </row>
    <row r="310" spans="1:31" s="324" customFormat="1" ht="0.65" hidden="1" customHeight="1">
      <c r="A310" s="324">
        <v>1078</v>
      </c>
      <c r="F310" s="324">
        <v>1</v>
      </c>
      <c r="G310" s="324">
        <v>4</v>
      </c>
      <c r="H310" s="324" t="s">
        <v>515</v>
      </c>
      <c r="I310" s="324">
        <v>420000</v>
      </c>
      <c r="J310" s="324">
        <v>420000</v>
      </c>
      <c r="K310" s="324" t="s">
        <v>511</v>
      </c>
      <c r="M310" s="324">
        <v>315000</v>
      </c>
      <c r="N310" s="324">
        <v>105000</v>
      </c>
      <c r="O310" s="324">
        <v>1260000</v>
      </c>
      <c r="U310" s="324" t="s">
        <v>511</v>
      </c>
      <c r="V310" s="324" t="s">
        <v>516</v>
      </c>
      <c r="X310" s="324" t="s">
        <v>233</v>
      </c>
      <c r="Y310" s="324" t="s">
        <v>252</v>
      </c>
      <c r="Z310" s="324" t="s">
        <v>235</v>
      </c>
    </row>
    <row r="311" spans="1:31" s="324" customFormat="1" ht="0.65" hidden="1" customHeight="1">
      <c r="A311" s="324">
        <v>1079</v>
      </c>
      <c r="C311" s="324" t="s">
        <v>422</v>
      </c>
      <c r="D311" s="324">
        <v>28</v>
      </c>
      <c r="F311" s="324">
        <v>1</v>
      </c>
      <c r="G311" s="324">
        <v>5</v>
      </c>
      <c r="H311" s="324" t="s">
        <v>517</v>
      </c>
      <c r="I311" s="324">
        <v>300000</v>
      </c>
      <c r="J311" s="324">
        <v>300000</v>
      </c>
      <c r="K311" s="324" t="s">
        <v>518</v>
      </c>
      <c r="M311" s="324">
        <v>250000</v>
      </c>
      <c r="N311" s="324">
        <v>50000</v>
      </c>
      <c r="U311" s="324" t="s">
        <v>518</v>
      </c>
      <c r="V311" s="324" t="s">
        <v>519</v>
      </c>
      <c r="X311" s="324" t="s">
        <v>236</v>
      </c>
      <c r="Y311" s="324" t="s">
        <v>253</v>
      </c>
    </row>
    <row r="312" spans="1:31" s="324" customFormat="1" ht="0.65" hidden="1" customHeight="1">
      <c r="A312" s="324">
        <v>1080</v>
      </c>
      <c r="C312" s="324" t="s">
        <v>423</v>
      </c>
      <c r="D312" s="324" t="s">
        <v>520</v>
      </c>
      <c r="F312" s="324">
        <v>1</v>
      </c>
      <c r="G312" s="324">
        <v>6</v>
      </c>
      <c r="H312" s="324" t="s">
        <v>521</v>
      </c>
      <c r="I312" s="324">
        <v>300000</v>
      </c>
      <c r="J312" s="324">
        <v>300000</v>
      </c>
      <c r="K312" s="324" t="s">
        <v>518</v>
      </c>
      <c r="M312" s="324">
        <v>250000</v>
      </c>
      <c r="N312" s="324">
        <v>50000</v>
      </c>
      <c r="O312" s="324">
        <v>600000</v>
      </c>
      <c r="U312" s="324" t="s">
        <v>518</v>
      </c>
      <c r="V312" s="324" t="s">
        <v>522</v>
      </c>
      <c r="X312" s="324" t="s">
        <v>236</v>
      </c>
      <c r="Y312" s="324" t="s">
        <v>253</v>
      </c>
      <c r="Z312" s="324" t="s">
        <v>237</v>
      </c>
    </row>
    <row r="313" spans="1:31" s="324" customFormat="1" ht="0.65" hidden="1" customHeight="1">
      <c r="A313" s="324">
        <v>1081</v>
      </c>
      <c r="F313" s="324">
        <v>1</v>
      </c>
      <c r="G313" s="324">
        <v>7</v>
      </c>
      <c r="H313" s="324" t="s">
        <v>523</v>
      </c>
      <c r="I313" s="324">
        <v>300000</v>
      </c>
      <c r="J313" s="324">
        <v>300000</v>
      </c>
      <c r="K313" s="324" t="s">
        <v>518</v>
      </c>
      <c r="M313" s="324">
        <v>250000</v>
      </c>
      <c r="N313" s="324">
        <v>50000</v>
      </c>
      <c r="O313" s="324">
        <v>900000</v>
      </c>
      <c r="U313" s="324" t="s">
        <v>518</v>
      </c>
      <c r="V313" s="324" t="s">
        <v>524</v>
      </c>
      <c r="X313" s="324" t="s">
        <v>236</v>
      </c>
      <c r="Y313" s="324" t="s">
        <v>253</v>
      </c>
      <c r="Z313" s="324" t="s">
        <v>238</v>
      </c>
    </row>
    <row r="314" spans="1:31" s="324" customFormat="1" ht="0.65" hidden="1" customHeight="1">
      <c r="A314" s="324">
        <v>1082</v>
      </c>
      <c r="B314" s="324">
        <v>2022</v>
      </c>
      <c r="C314" s="324">
        <v>2022</v>
      </c>
      <c r="D314" s="324">
        <v>1</v>
      </c>
      <c r="F314" s="324">
        <v>1</v>
      </c>
      <c r="G314" s="324">
        <v>8</v>
      </c>
      <c r="H314" s="324" t="s">
        <v>525</v>
      </c>
      <c r="I314" s="324">
        <v>50000</v>
      </c>
      <c r="J314" s="324">
        <v>50000</v>
      </c>
      <c r="K314" s="324" t="s">
        <v>526</v>
      </c>
      <c r="M314" s="324">
        <v>100000</v>
      </c>
      <c r="N314" s="324">
        <v>150000</v>
      </c>
      <c r="O314" s="324">
        <v>0</v>
      </c>
      <c r="P314" s="324">
        <v>-50000</v>
      </c>
      <c r="U314" s="324" t="s">
        <v>526</v>
      </c>
      <c r="V314" s="324" t="s">
        <v>527</v>
      </c>
      <c r="X314" s="324" t="s">
        <v>239</v>
      </c>
      <c r="Y314" s="324" t="s">
        <v>240</v>
      </c>
      <c r="Z314" s="324" t="s">
        <v>241</v>
      </c>
      <c r="AA314" s="324" t="s">
        <v>242</v>
      </c>
    </row>
    <row r="315" spans="1:31" s="324" customFormat="1" ht="0.65" hidden="1" customHeight="1">
      <c r="A315" s="324">
        <v>1083</v>
      </c>
      <c r="B315" s="324">
        <v>2023</v>
      </c>
      <c r="C315" s="324">
        <v>2023</v>
      </c>
      <c r="D315" s="324">
        <v>1</v>
      </c>
      <c r="F315" s="324">
        <v>1</v>
      </c>
      <c r="G315" s="324">
        <v>9</v>
      </c>
      <c r="H315" s="324" t="s">
        <v>528</v>
      </c>
      <c r="I315" s="324">
        <v>50000</v>
      </c>
      <c r="J315" s="324">
        <v>50000</v>
      </c>
      <c r="K315" s="324" t="s">
        <v>526</v>
      </c>
      <c r="M315" s="324">
        <v>100000</v>
      </c>
      <c r="N315" s="324">
        <v>150000</v>
      </c>
      <c r="O315" s="324">
        <v>0</v>
      </c>
      <c r="P315" s="324">
        <v>-50000</v>
      </c>
      <c r="U315" s="324" t="s">
        <v>526</v>
      </c>
      <c r="V315" s="324" t="s">
        <v>529</v>
      </c>
      <c r="X315" s="324" t="s">
        <v>239</v>
      </c>
      <c r="Y315" s="324" t="s">
        <v>240</v>
      </c>
      <c r="Z315" s="324" t="s">
        <v>241</v>
      </c>
      <c r="AA315" s="324" t="s">
        <v>242</v>
      </c>
    </row>
    <row r="316" spans="1:31" s="324" customFormat="1" ht="0.65" hidden="1" customHeight="1">
      <c r="A316" s="324">
        <v>1084</v>
      </c>
      <c r="B316" s="324">
        <v>2024</v>
      </c>
      <c r="C316" s="324">
        <v>2024</v>
      </c>
      <c r="D316" s="324">
        <v>1</v>
      </c>
      <c r="F316" s="324">
        <v>1</v>
      </c>
      <c r="G316" s="324">
        <v>10</v>
      </c>
      <c r="H316" s="324" t="s">
        <v>530</v>
      </c>
      <c r="I316" s="324">
        <v>100000</v>
      </c>
      <c r="J316" s="324">
        <v>100000</v>
      </c>
      <c r="K316" s="324" t="s">
        <v>531</v>
      </c>
      <c r="M316" s="324">
        <v>100000</v>
      </c>
      <c r="N316" s="324">
        <v>150000</v>
      </c>
      <c r="O316" s="324">
        <v>0</v>
      </c>
      <c r="P316" s="324">
        <v>-50000</v>
      </c>
      <c r="Q316" s="324">
        <v>50000</v>
      </c>
      <c r="U316" s="324" t="s">
        <v>531</v>
      </c>
      <c r="V316" s="324" t="s">
        <v>532</v>
      </c>
      <c r="X316" s="324" t="s">
        <v>239</v>
      </c>
      <c r="Y316" s="324" t="s">
        <v>240</v>
      </c>
      <c r="Z316" s="324" t="s">
        <v>241</v>
      </c>
      <c r="AA316" s="324" t="s">
        <v>242</v>
      </c>
      <c r="AB316" s="324" t="s">
        <v>254</v>
      </c>
    </row>
    <row r="317" spans="1:31" s="324" customFormat="1" ht="0.65" hidden="1" customHeight="1">
      <c r="A317" s="324">
        <v>1085</v>
      </c>
      <c r="B317" s="324">
        <v>2025</v>
      </c>
      <c r="C317" s="324">
        <v>2025</v>
      </c>
      <c r="D317" s="324">
        <v>1</v>
      </c>
      <c r="F317" s="324">
        <v>1</v>
      </c>
      <c r="G317" s="324">
        <v>11</v>
      </c>
      <c r="H317" s="324" t="s">
        <v>533</v>
      </c>
      <c r="I317" s="324">
        <v>70000</v>
      </c>
      <c r="J317" s="324">
        <v>70000</v>
      </c>
      <c r="K317" s="324" t="s">
        <v>534</v>
      </c>
      <c r="M317" s="324">
        <v>170000</v>
      </c>
      <c r="N317" s="324">
        <v>120000</v>
      </c>
      <c r="O317" s="324">
        <v>670000</v>
      </c>
      <c r="U317" s="324" t="s">
        <v>534</v>
      </c>
      <c r="V317" s="324" t="s">
        <v>535</v>
      </c>
      <c r="X317" s="324" t="s">
        <v>243</v>
      </c>
      <c r="Y317" s="324" t="s">
        <v>255</v>
      </c>
      <c r="Z317" s="324" t="s">
        <v>341</v>
      </c>
    </row>
    <row r="318" spans="1:31" s="324" customFormat="1" ht="0.65" hidden="1" customHeight="1">
      <c r="A318" s="324">
        <v>1086</v>
      </c>
      <c r="F318" s="324">
        <v>1</v>
      </c>
      <c r="G318" s="324">
        <v>12</v>
      </c>
      <c r="H318" s="324" t="s">
        <v>536</v>
      </c>
      <c r="I318" s="324">
        <v>70000</v>
      </c>
      <c r="J318" s="324">
        <v>70000</v>
      </c>
      <c r="K318" s="324" t="s">
        <v>534</v>
      </c>
      <c r="M318" s="324">
        <v>170000</v>
      </c>
      <c r="N318" s="324">
        <v>120000</v>
      </c>
      <c r="O318" s="324">
        <v>670000</v>
      </c>
      <c r="U318" s="324" t="s">
        <v>534</v>
      </c>
      <c r="V318" s="324" t="s">
        <v>537</v>
      </c>
      <c r="X318" s="324" t="s">
        <v>243</v>
      </c>
      <c r="Y318" s="324" t="s">
        <v>255</v>
      </c>
      <c r="Z318" s="324" t="s">
        <v>341</v>
      </c>
    </row>
    <row r="319" spans="1:31" s="324" customFormat="1" ht="0.65" hidden="1" customHeight="1">
      <c r="A319" s="324">
        <v>1087</v>
      </c>
      <c r="F319" s="324">
        <v>1</v>
      </c>
      <c r="G319" s="324">
        <v>13</v>
      </c>
      <c r="H319" s="324" t="s">
        <v>538</v>
      </c>
      <c r="I319" s="324">
        <v>20000</v>
      </c>
      <c r="J319" s="324">
        <v>20000</v>
      </c>
      <c r="K319" s="324" t="s">
        <v>539</v>
      </c>
      <c r="M319" s="324">
        <v>170000</v>
      </c>
      <c r="N319" s="324">
        <v>120000</v>
      </c>
      <c r="O319" s="324">
        <v>620000</v>
      </c>
      <c r="U319" s="324" t="s">
        <v>539</v>
      </c>
      <c r="V319" s="324" t="s">
        <v>540</v>
      </c>
      <c r="X319" s="324" t="s">
        <v>243</v>
      </c>
      <c r="Y319" s="324" t="s">
        <v>255</v>
      </c>
      <c r="Z319" s="324" t="s">
        <v>341</v>
      </c>
    </row>
    <row r="320" spans="1:31" s="324" customFormat="1" ht="0.65" hidden="1" customHeight="1">
      <c r="A320" s="324">
        <v>1088</v>
      </c>
      <c r="B320" s="324">
        <v>2022</v>
      </c>
      <c r="C320" s="324">
        <v>2022</v>
      </c>
      <c r="D320" s="324">
        <v>1</v>
      </c>
      <c r="F320" s="324">
        <v>1</v>
      </c>
      <c r="G320" s="324">
        <v>14</v>
      </c>
      <c r="H320" s="324" t="s">
        <v>541</v>
      </c>
      <c r="I320" s="324">
        <v>17500</v>
      </c>
      <c r="J320" s="324">
        <v>17500</v>
      </c>
      <c r="K320" s="324" t="s">
        <v>542</v>
      </c>
      <c r="M320" s="324">
        <v>0</v>
      </c>
      <c r="N320" s="324">
        <v>21000</v>
      </c>
      <c r="O320" s="324">
        <v>52500</v>
      </c>
      <c r="U320" s="324" t="s">
        <v>542</v>
      </c>
      <c r="V320" s="324" t="s">
        <v>543</v>
      </c>
      <c r="X320" s="324" t="s">
        <v>279</v>
      </c>
      <c r="Y320" s="324" t="s">
        <v>280</v>
      </c>
      <c r="Z320" s="324" t="s">
        <v>342</v>
      </c>
    </row>
    <row r="321" spans="1:26" s="324" customFormat="1" ht="0.65" hidden="1" customHeight="1">
      <c r="A321" s="324">
        <v>1089</v>
      </c>
      <c r="B321" s="324">
        <v>2023</v>
      </c>
      <c r="C321" s="324">
        <v>2023</v>
      </c>
      <c r="D321" s="324">
        <v>1</v>
      </c>
      <c r="F321" s="324">
        <v>1</v>
      </c>
      <c r="G321" s="324">
        <v>15</v>
      </c>
      <c r="H321" s="324" t="s">
        <v>544</v>
      </c>
      <c r="I321" s="324">
        <v>17500</v>
      </c>
      <c r="J321" s="324">
        <v>17500</v>
      </c>
      <c r="K321" s="324" t="s">
        <v>542</v>
      </c>
      <c r="M321" s="324">
        <v>0</v>
      </c>
      <c r="N321" s="324">
        <v>21000</v>
      </c>
      <c r="O321" s="324">
        <v>52500</v>
      </c>
      <c r="U321" s="324" t="s">
        <v>542</v>
      </c>
      <c r="V321" s="324" t="s">
        <v>545</v>
      </c>
      <c r="X321" s="324" t="s">
        <v>279</v>
      </c>
      <c r="Y321" s="324" t="s">
        <v>280</v>
      </c>
      <c r="Z321" s="324" t="s">
        <v>342</v>
      </c>
    </row>
    <row r="322" spans="1:26" s="324" customFormat="1" ht="0.65" hidden="1" customHeight="1">
      <c r="A322" s="324">
        <v>1090</v>
      </c>
      <c r="B322" s="324">
        <v>2024</v>
      </c>
      <c r="C322" s="324">
        <v>2024</v>
      </c>
      <c r="D322" s="324">
        <v>1</v>
      </c>
      <c r="F322" s="324">
        <v>1</v>
      </c>
      <c r="G322" s="324">
        <v>16</v>
      </c>
      <c r="H322" s="324" t="s">
        <v>546</v>
      </c>
      <c r="I322" s="324">
        <v>5000</v>
      </c>
      <c r="J322" s="324">
        <v>5000</v>
      </c>
      <c r="K322" s="324" t="s">
        <v>547</v>
      </c>
      <c r="M322" s="324">
        <v>0</v>
      </c>
      <c r="N322" s="324">
        <v>6000</v>
      </c>
      <c r="O322" s="324">
        <v>15000</v>
      </c>
      <c r="U322" s="324" t="s">
        <v>547</v>
      </c>
      <c r="V322" s="324" t="s">
        <v>548</v>
      </c>
      <c r="X322" s="324" t="s">
        <v>279</v>
      </c>
      <c r="Y322" s="324" t="s">
        <v>280</v>
      </c>
      <c r="Z322" s="324" t="s">
        <v>342</v>
      </c>
    </row>
    <row r="323" spans="1:26" s="324" customFormat="1" ht="0.65" hidden="1" customHeight="1">
      <c r="A323" s="324">
        <v>1091</v>
      </c>
      <c r="B323" s="324">
        <v>2025</v>
      </c>
      <c r="C323" s="324">
        <v>2025</v>
      </c>
      <c r="D323" s="324">
        <v>1</v>
      </c>
      <c r="F323" s="324">
        <v>1</v>
      </c>
      <c r="G323" s="324">
        <v>17</v>
      </c>
      <c r="H323" s="324" t="s">
        <v>549</v>
      </c>
      <c r="I323" s="324">
        <v>52500</v>
      </c>
      <c r="J323" s="324">
        <v>52500</v>
      </c>
      <c r="K323" s="324" t="s">
        <v>550</v>
      </c>
      <c r="M323" s="324">
        <v>87500</v>
      </c>
      <c r="U323" s="324" t="s">
        <v>550</v>
      </c>
      <c r="V323" s="324" t="s">
        <v>551</v>
      </c>
      <c r="X323" s="324" t="s">
        <v>256</v>
      </c>
    </row>
    <row r="324" spans="1:26" s="324" customFormat="1" ht="0.65" hidden="1" customHeight="1">
      <c r="A324" s="324">
        <v>1092</v>
      </c>
      <c r="F324" s="324">
        <v>1</v>
      </c>
      <c r="G324" s="324">
        <v>18</v>
      </c>
      <c r="H324" s="324" t="s">
        <v>552</v>
      </c>
      <c r="I324" s="324">
        <v>52500</v>
      </c>
      <c r="J324" s="324">
        <v>52500</v>
      </c>
      <c r="K324" s="324" t="s">
        <v>550</v>
      </c>
      <c r="M324" s="324">
        <v>87500</v>
      </c>
      <c r="U324" s="324" t="s">
        <v>550</v>
      </c>
      <c r="V324" s="324" t="s">
        <v>553</v>
      </c>
      <c r="X324" s="324" t="s">
        <v>256</v>
      </c>
    </row>
    <row r="325" spans="1:26" s="324" customFormat="1" ht="0.65" hidden="1" customHeight="1">
      <c r="A325" s="324">
        <v>1093</v>
      </c>
      <c r="B325" s="324">
        <v>0</v>
      </c>
      <c r="C325" s="324">
        <v>0</v>
      </c>
      <c r="D325" s="324">
        <v>1</v>
      </c>
      <c r="F325" s="324">
        <v>1</v>
      </c>
      <c r="G325" s="324">
        <v>19</v>
      </c>
      <c r="H325" s="324" t="s">
        <v>554</v>
      </c>
      <c r="I325" s="324">
        <v>15000</v>
      </c>
      <c r="J325" s="324">
        <v>15000</v>
      </c>
      <c r="K325" s="324" t="s">
        <v>555</v>
      </c>
      <c r="M325" s="324">
        <v>25000</v>
      </c>
      <c r="U325" s="324" t="s">
        <v>555</v>
      </c>
      <c r="V325" s="324" t="s">
        <v>556</v>
      </c>
      <c r="X325" s="324" t="s">
        <v>256</v>
      </c>
    </row>
    <row r="326" spans="1:26" s="324" customFormat="1" ht="0.65" hidden="1" customHeight="1">
      <c r="A326" s="324">
        <v>1094</v>
      </c>
      <c r="B326" s="324">
        <v>0</v>
      </c>
      <c r="C326" s="324">
        <v>0</v>
      </c>
      <c r="D326" s="324">
        <v>1</v>
      </c>
      <c r="F326" s="324">
        <v>1</v>
      </c>
      <c r="G326" s="324">
        <v>20</v>
      </c>
      <c r="H326" s="324" t="s">
        <v>557</v>
      </c>
      <c r="I326" s="324">
        <v>102500</v>
      </c>
      <c r="J326" s="324">
        <v>102500</v>
      </c>
      <c r="K326" s="324" t="s">
        <v>558</v>
      </c>
      <c r="M326" s="324">
        <v>52500</v>
      </c>
      <c r="N326" s="324">
        <v>2500</v>
      </c>
      <c r="U326" s="324" t="s">
        <v>558</v>
      </c>
      <c r="V326" s="324" t="s">
        <v>559</v>
      </c>
      <c r="X326" s="324" t="s">
        <v>257</v>
      </c>
      <c r="Y326" s="324" t="s">
        <v>258</v>
      </c>
    </row>
    <row r="327" spans="1:26" s="324" customFormat="1" ht="0.65" hidden="1" customHeight="1">
      <c r="A327" s="324">
        <v>1095</v>
      </c>
      <c r="B327" s="324">
        <v>0</v>
      </c>
      <c r="C327" s="324">
        <v>0</v>
      </c>
      <c r="D327" s="324">
        <v>1</v>
      </c>
      <c r="F327" s="324">
        <v>1</v>
      </c>
      <c r="G327" s="324">
        <v>21</v>
      </c>
      <c r="H327" s="324" t="s">
        <v>560</v>
      </c>
      <c r="I327" s="324">
        <v>102500</v>
      </c>
      <c r="J327" s="324">
        <v>102500</v>
      </c>
      <c r="K327" s="324" t="s">
        <v>558</v>
      </c>
      <c r="M327" s="324">
        <v>52500</v>
      </c>
      <c r="N327" s="324">
        <v>2500</v>
      </c>
      <c r="U327" s="324" t="s">
        <v>558</v>
      </c>
      <c r="V327" s="324" t="s">
        <v>561</v>
      </c>
      <c r="X327" s="324" t="s">
        <v>257</v>
      </c>
      <c r="Y327" s="324" t="s">
        <v>258</v>
      </c>
    </row>
    <row r="328" spans="1:26" s="324" customFormat="1" ht="0.65" hidden="1" customHeight="1">
      <c r="A328" s="324">
        <v>1096</v>
      </c>
      <c r="F328" s="324">
        <v>1</v>
      </c>
      <c r="G328" s="324">
        <v>22</v>
      </c>
      <c r="H328" s="324" t="s">
        <v>562</v>
      </c>
      <c r="I328" s="324">
        <v>115000</v>
      </c>
      <c r="J328" s="324">
        <v>115000</v>
      </c>
      <c r="K328" s="324" t="s">
        <v>563</v>
      </c>
      <c r="M328" s="324">
        <v>15000</v>
      </c>
      <c r="N328" s="324">
        <v>-85000</v>
      </c>
      <c r="U328" s="324" t="s">
        <v>563</v>
      </c>
      <c r="V328" s="324" t="s">
        <v>564</v>
      </c>
      <c r="X328" s="324" t="s">
        <v>257</v>
      </c>
      <c r="Y328" s="324" t="s">
        <v>258</v>
      </c>
    </row>
    <row r="329" spans="1:26" s="324" customFormat="1" ht="0.65" hidden="1" customHeight="1">
      <c r="A329" s="324">
        <v>1097</v>
      </c>
      <c r="F329" s="324">
        <v>1</v>
      </c>
      <c r="G329" s="324">
        <v>23</v>
      </c>
      <c r="H329" s="324" t="s">
        <v>565</v>
      </c>
      <c r="I329" s="324">
        <v>105000</v>
      </c>
      <c r="J329" s="324">
        <v>105000</v>
      </c>
      <c r="K329" s="324" t="s">
        <v>566</v>
      </c>
      <c r="M329" s="324">
        <v>315000</v>
      </c>
      <c r="N329" s="324">
        <v>70000</v>
      </c>
      <c r="O329" s="324">
        <v>420000</v>
      </c>
      <c r="U329" s="324" t="s">
        <v>566</v>
      </c>
      <c r="V329" s="324" t="s">
        <v>567</v>
      </c>
      <c r="X329" s="324" t="s">
        <v>259</v>
      </c>
      <c r="Y329" s="324" t="s">
        <v>260</v>
      </c>
      <c r="Z329" s="324" t="s">
        <v>343</v>
      </c>
    </row>
    <row r="330" spans="1:26" s="324" customFormat="1" ht="0.65" hidden="1" customHeight="1">
      <c r="A330" s="324">
        <v>1098</v>
      </c>
      <c r="F330" s="324">
        <v>1</v>
      </c>
      <c r="G330" s="324">
        <v>24</v>
      </c>
      <c r="H330" s="324" t="s">
        <v>568</v>
      </c>
      <c r="I330" s="324">
        <v>105000</v>
      </c>
      <c r="J330" s="324">
        <v>105000</v>
      </c>
      <c r="K330" s="324" t="s">
        <v>566</v>
      </c>
      <c r="M330" s="324">
        <v>315000</v>
      </c>
      <c r="N330" s="324">
        <v>70000</v>
      </c>
      <c r="O330" s="324">
        <v>210000</v>
      </c>
      <c r="U330" s="324" t="s">
        <v>566</v>
      </c>
      <c r="V330" s="324" t="s">
        <v>569</v>
      </c>
      <c r="X330" s="324" t="s">
        <v>259</v>
      </c>
      <c r="Y330" s="324" t="s">
        <v>260</v>
      </c>
      <c r="Z330" s="324" t="s">
        <v>261</v>
      </c>
    </row>
    <row r="331" spans="1:26" s="324" customFormat="1" ht="0.65" hidden="1" customHeight="1">
      <c r="A331" s="324">
        <v>1099</v>
      </c>
      <c r="F331" s="324">
        <v>1</v>
      </c>
      <c r="G331" s="324">
        <v>25</v>
      </c>
      <c r="H331" s="324" t="s">
        <v>570</v>
      </c>
      <c r="I331" s="324">
        <v>105000</v>
      </c>
      <c r="J331" s="324">
        <v>105000</v>
      </c>
      <c r="K331" s="324" t="s">
        <v>566</v>
      </c>
      <c r="M331" s="324">
        <v>315000</v>
      </c>
      <c r="N331" s="324">
        <v>70000</v>
      </c>
      <c r="O331" s="324">
        <v>315000</v>
      </c>
      <c r="U331" s="324" t="s">
        <v>566</v>
      </c>
      <c r="V331" s="324" t="s">
        <v>571</v>
      </c>
      <c r="X331" s="324" t="s">
        <v>259</v>
      </c>
      <c r="Y331" s="324" t="s">
        <v>260</v>
      </c>
      <c r="Z331" s="324" t="s">
        <v>261</v>
      </c>
    </row>
    <row r="332" spans="1:26" s="324" customFormat="1" ht="0.65" hidden="1" customHeight="1">
      <c r="A332" s="324">
        <v>1100</v>
      </c>
      <c r="F332" s="324">
        <v>1</v>
      </c>
      <c r="G332" s="324">
        <v>26</v>
      </c>
      <c r="H332" s="324" t="s">
        <v>572</v>
      </c>
      <c r="I332" s="324">
        <v>50000</v>
      </c>
      <c r="J332" s="324">
        <v>50000</v>
      </c>
      <c r="K332" s="324" t="s">
        <v>573</v>
      </c>
      <c r="M332" s="324">
        <v>250000</v>
      </c>
      <c r="N332" s="324">
        <v>75000</v>
      </c>
      <c r="O332" s="324">
        <v>300000</v>
      </c>
      <c r="U332" s="324" t="s">
        <v>573</v>
      </c>
      <c r="V332" s="324" t="s">
        <v>574</v>
      </c>
      <c r="X332" s="324" t="s">
        <v>262</v>
      </c>
      <c r="Y332" s="324" t="s">
        <v>263</v>
      </c>
      <c r="Z332" s="324" t="s">
        <v>344</v>
      </c>
    </row>
    <row r="333" spans="1:26" s="324" customFormat="1" ht="0.65" hidden="1" customHeight="1">
      <c r="A333" s="324">
        <v>1101</v>
      </c>
      <c r="F333" s="324">
        <v>1</v>
      </c>
      <c r="G333" s="324">
        <v>27</v>
      </c>
      <c r="H333" s="324" t="s">
        <v>575</v>
      </c>
      <c r="I333" s="324">
        <v>50000</v>
      </c>
      <c r="J333" s="324">
        <v>50000</v>
      </c>
      <c r="K333" s="324" t="s">
        <v>573</v>
      </c>
      <c r="M333" s="324">
        <v>250000</v>
      </c>
      <c r="N333" s="324">
        <v>75000</v>
      </c>
      <c r="O333" s="324">
        <v>100000</v>
      </c>
      <c r="U333" s="324" t="s">
        <v>573</v>
      </c>
      <c r="V333" s="324" t="s">
        <v>576</v>
      </c>
      <c r="X333" s="324" t="s">
        <v>262</v>
      </c>
      <c r="Y333" s="324" t="s">
        <v>263</v>
      </c>
      <c r="Z333" s="324" t="s">
        <v>264</v>
      </c>
    </row>
    <row r="334" spans="1:26" s="324" customFormat="1" ht="0.65" hidden="1" customHeight="1">
      <c r="A334" s="324">
        <v>1102</v>
      </c>
      <c r="F334" s="324">
        <v>1</v>
      </c>
      <c r="G334" s="324">
        <v>28</v>
      </c>
      <c r="H334" s="324" t="s">
        <v>577</v>
      </c>
      <c r="I334" s="324">
        <v>50000</v>
      </c>
      <c r="J334" s="324">
        <v>50000</v>
      </c>
      <c r="K334" s="324" t="s">
        <v>573</v>
      </c>
      <c r="M334" s="324">
        <v>250000</v>
      </c>
      <c r="N334" s="324">
        <v>75000</v>
      </c>
      <c r="O334" s="324">
        <v>150000</v>
      </c>
      <c r="U334" s="324" t="s">
        <v>573</v>
      </c>
      <c r="V334" s="324" t="s">
        <v>578</v>
      </c>
      <c r="X334" s="324" t="s">
        <v>262</v>
      </c>
      <c r="Y334" s="324" t="s">
        <v>263</v>
      </c>
      <c r="Z334" s="324" t="s">
        <v>264</v>
      </c>
    </row>
    <row r="335" spans="1:26" s="324" customFormat="1" ht="0.65" hidden="1" customHeight="1">
      <c r="A335" s="324">
        <v>1103</v>
      </c>
      <c r="F335" s="324">
        <v>1</v>
      </c>
      <c r="G335" s="324">
        <v>29</v>
      </c>
      <c r="H335" s="324" t="s">
        <v>579</v>
      </c>
      <c r="I335" s="324">
        <v>55000</v>
      </c>
      <c r="J335" s="324">
        <v>55000</v>
      </c>
      <c r="K335" s="324" t="s">
        <v>580</v>
      </c>
      <c r="M335" s="324">
        <v>155000</v>
      </c>
      <c r="N335" s="324">
        <v>0</v>
      </c>
      <c r="O335" s="324">
        <v>105000</v>
      </c>
      <c r="U335" s="324" t="s">
        <v>580</v>
      </c>
      <c r="V335" s="324" t="s">
        <v>581</v>
      </c>
      <c r="X335" s="324" t="s">
        <v>265</v>
      </c>
      <c r="Y335" s="324" t="s">
        <v>266</v>
      </c>
      <c r="Z335" s="324" t="s">
        <v>281</v>
      </c>
    </row>
    <row r="336" spans="1:26" s="324" customFormat="1" ht="0.65" hidden="1" customHeight="1">
      <c r="A336" s="324">
        <v>1104</v>
      </c>
      <c r="F336" s="324">
        <v>1</v>
      </c>
      <c r="G336" s="324">
        <v>30</v>
      </c>
      <c r="H336" s="324" t="s">
        <v>582</v>
      </c>
      <c r="I336" s="324">
        <v>55000</v>
      </c>
      <c r="J336" s="324">
        <v>55000</v>
      </c>
      <c r="K336" s="324" t="s">
        <v>580</v>
      </c>
      <c r="M336" s="324">
        <v>155000</v>
      </c>
      <c r="N336" s="324">
        <v>0</v>
      </c>
      <c r="O336" s="324">
        <v>105000</v>
      </c>
      <c r="U336" s="324" t="s">
        <v>580</v>
      </c>
      <c r="V336" s="324" t="s">
        <v>583</v>
      </c>
      <c r="X336" s="324" t="s">
        <v>265</v>
      </c>
      <c r="Y336" s="324" t="s">
        <v>266</v>
      </c>
      <c r="Z336" s="324" t="s">
        <v>281</v>
      </c>
    </row>
    <row r="337" spans="1:28" s="324" customFormat="1" ht="0.65" hidden="1" customHeight="1">
      <c r="A337" s="324">
        <v>1105</v>
      </c>
      <c r="F337" s="324">
        <v>1</v>
      </c>
      <c r="G337" s="324">
        <v>31</v>
      </c>
      <c r="H337" s="324" t="s">
        <v>584</v>
      </c>
      <c r="I337" s="324">
        <v>55000</v>
      </c>
      <c r="J337" s="324">
        <v>55000</v>
      </c>
      <c r="K337" s="324" t="s">
        <v>580</v>
      </c>
      <c r="M337" s="324">
        <v>155000</v>
      </c>
      <c r="N337" s="324">
        <v>0</v>
      </c>
      <c r="O337" s="324">
        <v>105000</v>
      </c>
      <c r="U337" s="324" t="s">
        <v>580</v>
      </c>
      <c r="V337" s="324" t="s">
        <v>585</v>
      </c>
      <c r="X337" s="324" t="s">
        <v>265</v>
      </c>
      <c r="Y337" s="324" t="s">
        <v>266</v>
      </c>
      <c r="Z337" s="324" t="s">
        <v>281</v>
      </c>
    </row>
    <row r="338" spans="1:28" s="324" customFormat="1" ht="0.65" hidden="1" customHeight="1">
      <c r="A338" s="324">
        <v>1106</v>
      </c>
      <c r="F338" s="324">
        <v>1</v>
      </c>
      <c r="G338" s="324">
        <v>32</v>
      </c>
      <c r="H338" s="324" t="s">
        <v>586</v>
      </c>
      <c r="I338" s="324">
        <v>55000</v>
      </c>
      <c r="J338" s="324">
        <v>55000</v>
      </c>
      <c r="K338" s="324" t="s">
        <v>587</v>
      </c>
      <c r="U338" s="324" t="s">
        <v>587</v>
      </c>
      <c r="V338" s="324" t="s">
        <v>588</v>
      </c>
    </row>
    <row r="339" spans="1:28" s="324" customFormat="1" ht="0.65" hidden="1" customHeight="1">
      <c r="A339" s="324">
        <v>1107</v>
      </c>
      <c r="F339" s="324">
        <v>1</v>
      </c>
      <c r="G339" s="324">
        <v>33</v>
      </c>
      <c r="H339" s="324" t="s">
        <v>589</v>
      </c>
      <c r="I339" s="324">
        <v>0</v>
      </c>
      <c r="J339" s="324">
        <v>0</v>
      </c>
      <c r="K339" s="324" t="s">
        <v>499</v>
      </c>
      <c r="M339" s="324">
        <v>55000</v>
      </c>
      <c r="N339" s="324">
        <v>110000</v>
      </c>
      <c r="U339" s="324" t="s">
        <v>499</v>
      </c>
      <c r="V339" s="324" t="s">
        <v>507</v>
      </c>
      <c r="X339" s="324" t="s">
        <v>267</v>
      </c>
      <c r="Y339" s="324" t="s">
        <v>268</v>
      </c>
    </row>
    <row r="340" spans="1:28" s="324" customFormat="1" ht="0.65" hidden="1" customHeight="1">
      <c r="A340" s="324">
        <v>1108</v>
      </c>
      <c r="F340" s="324">
        <v>1</v>
      </c>
      <c r="G340" s="324">
        <v>34</v>
      </c>
      <c r="H340" s="324" t="s">
        <v>590</v>
      </c>
      <c r="I340" s="324">
        <v>0</v>
      </c>
      <c r="J340" s="324">
        <v>0</v>
      </c>
      <c r="K340" s="324" t="s">
        <v>499</v>
      </c>
      <c r="M340" s="324">
        <v>55000</v>
      </c>
      <c r="N340" s="324">
        <v>110000</v>
      </c>
      <c r="U340" s="324" t="s">
        <v>499</v>
      </c>
      <c r="V340" s="324" t="s">
        <v>591</v>
      </c>
      <c r="X340" s="324" t="s">
        <v>267</v>
      </c>
      <c r="Y340" s="324" t="s">
        <v>268</v>
      </c>
    </row>
    <row r="341" spans="1:28" s="324" customFormat="1" ht="0.65" hidden="1" customHeight="1">
      <c r="A341" s="324">
        <v>1109</v>
      </c>
      <c r="F341" s="324">
        <v>1</v>
      </c>
      <c r="G341" s="324">
        <v>35</v>
      </c>
      <c r="H341" s="324" t="s">
        <v>592</v>
      </c>
      <c r="I341" s="324">
        <v>47500</v>
      </c>
      <c r="J341" s="324">
        <v>47500</v>
      </c>
      <c r="K341" s="324" t="s">
        <v>593</v>
      </c>
      <c r="M341" s="324">
        <v>157500</v>
      </c>
      <c r="N341" s="324">
        <v>102500</v>
      </c>
      <c r="U341" s="324" t="s">
        <v>593</v>
      </c>
      <c r="V341" s="324" t="s">
        <v>594</v>
      </c>
      <c r="X341" s="324" t="s">
        <v>269</v>
      </c>
      <c r="Y341" s="324" t="s">
        <v>282</v>
      </c>
    </row>
    <row r="342" spans="1:28" s="324" customFormat="1" ht="0.65" hidden="1" customHeight="1">
      <c r="A342" s="324">
        <v>1110</v>
      </c>
      <c r="F342" s="324">
        <v>1</v>
      </c>
      <c r="G342" s="324">
        <v>36</v>
      </c>
      <c r="H342" s="324" t="s">
        <v>595</v>
      </c>
      <c r="I342" s="324">
        <v>102500</v>
      </c>
      <c r="J342" s="324">
        <v>102500</v>
      </c>
      <c r="K342" s="324" t="s">
        <v>596</v>
      </c>
      <c r="M342" s="324">
        <v>47500</v>
      </c>
      <c r="U342" s="324" t="s">
        <v>596</v>
      </c>
      <c r="V342" s="324" t="s">
        <v>597</v>
      </c>
      <c r="X342" s="324" t="s">
        <v>270</v>
      </c>
    </row>
    <row r="343" spans="1:28" s="324" customFormat="1" ht="0.65" hidden="1" customHeight="1">
      <c r="A343" s="324">
        <v>1111</v>
      </c>
      <c r="F343" s="324">
        <v>1</v>
      </c>
      <c r="G343" s="324">
        <v>37</v>
      </c>
      <c r="H343" s="324" t="s">
        <v>598</v>
      </c>
      <c r="I343" s="324">
        <v>115000</v>
      </c>
      <c r="J343" s="324">
        <v>115000</v>
      </c>
      <c r="K343" s="324" t="s">
        <v>599</v>
      </c>
      <c r="M343" s="324">
        <v>60000</v>
      </c>
      <c r="U343" s="324" t="s">
        <v>599</v>
      </c>
      <c r="V343" s="324" t="s">
        <v>600</v>
      </c>
      <c r="X343" s="324" t="s">
        <v>270</v>
      </c>
    </row>
    <row r="344" spans="1:28" s="324" customFormat="1" ht="0.65" hidden="1" customHeight="1">
      <c r="A344" s="324">
        <v>1112</v>
      </c>
      <c r="F344" s="324">
        <v>1</v>
      </c>
      <c r="G344" s="324">
        <v>38</v>
      </c>
      <c r="H344" s="324" t="s">
        <v>491</v>
      </c>
      <c r="I344" s="324">
        <v>400000</v>
      </c>
      <c r="J344" s="324">
        <v>400000</v>
      </c>
      <c r="K344" s="324" t="s">
        <v>601</v>
      </c>
      <c r="M344" s="324">
        <v>300000</v>
      </c>
      <c r="N344" s="324">
        <v>225000</v>
      </c>
      <c r="O344" s="324">
        <v>455000</v>
      </c>
      <c r="P344" s="324">
        <v>475000</v>
      </c>
      <c r="Q344" s="324">
        <v>325000</v>
      </c>
      <c r="U344" s="324" t="s">
        <v>601</v>
      </c>
      <c r="V344" s="324" t="s">
        <v>602</v>
      </c>
      <c r="X344" s="324" t="s">
        <v>271</v>
      </c>
      <c r="Y344" s="324" t="s">
        <v>272</v>
      </c>
      <c r="Z344" s="324" t="s">
        <v>273</v>
      </c>
      <c r="AA344" s="324" t="s">
        <v>283</v>
      </c>
      <c r="AB344" s="324" t="s">
        <v>345</v>
      </c>
    </row>
    <row r="345" spans="1:28" s="324" customFormat="1" ht="0.65" hidden="1" customHeight="1">
      <c r="A345" s="324">
        <v>1113</v>
      </c>
      <c r="F345" s="324">
        <v>1</v>
      </c>
      <c r="G345" s="324">
        <v>39</v>
      </c>
      <c r="H345" s="324" t="s">
        <v>493</v>
      </c>
      <c r="I345" s="324">
        <v>55000</v>
      </c>
      <c r="J345" s="324">
        <v>55000</v>
      </c>
      <c r="K345" s="324" t="s">
        <v>603</v>
      </c>
      <c r="M345" s="324">
        <v>0</v>
      </c>
      <c r="U345" s="324" t="s">
        <v>603</v>
      </c>
      <c r="V345" s="324" t="s">
        <v>604</v>
      </c>
      <c r="X345" s="324" t="s">
        <v>289</v>
      </c>
    </row>
    <row r="346" spans="1:28" s="324" customFormat="1" ht="0.65" hidden="1" customHeight="1">
      <c r="A346" s="324">
        <v>1114</v>
      </c>
      <c r="F346" s="324">
        <v>1</v>
      </c>
      <c r="G346" s="324">
        <v>40</v>
      </c>
      <c r="H346" s="324" t="s">
        <v>494</v>
      </c>
      <c r="I346" s="324">
        <v>455000</v>
      </c>
      <c r="J346" s="324">
        <v>455000</v>
      </c>
      <c r="K346" s="324" t="s">
        <v>605</v>
      </c>
      <c r="M346" s="324">
        <v>345000</v>
      </c>
      <c r="N346" s="324">
        <v>400000</v>
      </c>
      <c r="O346" s="324">
        <v>55000</v>
      </c>
      <c r="U346" s="324" t="s">
        <v>605</v>
      </c>
      <c r="V346" s="324" t="s">
        <v>606</v>
      </c>
      <c r="X346" s="324" t="s">
        <v>274</v>
      </c>
      <c r="Y346" s="324" t="s">
        <v>284</v>
      </c>
      <c r="Z346" s="324" t="s">
        <v>285</v>
      </c>
    </row>
    <row r="347" spans="1:28" s="324" customFormat="1" ht="0.65" hidden="1" customHeight="1">
      <c r="A347" s="324">
        <v>1115</v>
      </c>
      <c r="F347" s="324">
        <v>1</v>
      </c>
      <c r="G347" s="324">
        <v>41</v>
      </c>
      <c r="H347" s="324" t="s">
        <v>607</v>
      </c>
      <c r="I347" s="324">
        <v>-825000</v>
      </c>
      <c r="J347" s="324">
        <v>-825000</v>
      </c>
      <c r="K347" s="324" t="s">
        <v>608</v>
      </c>
      <c r="M347" s="324">
        <v>825000</v>
      </c>
      <c r="U347" s="324" t="s">
        <v>608</v>
      </c>
      <c r="V347" s="324" t="s">
        <v>609</v>
      </c>
      <c r="X347" s="324" t="s">
        <v>275</v>
      </c>
    </row>
    <row r="348" spans="1:28" s="324" customFormat="1" ht="0.65" hidden="1" customHeight="1">
      <c r="A348" s="324">
        <v>1116</v>
      </c>
      <c r="F348" s="324">
        <v>1</v>
      </c>
      <c r="G348" s="324">
        <v>42</v>
      </c>
      <c r="H348" s="324" t="s">
        <v>610</v>
      </c>
      <c r="I348" s="324">
        <v>47500</v>
      </c>
      <c r="J348" s="324">
        <v>47500</v>
      </c>
      <c r="K348" s="324" t="s">
        <v>593</v>
      </c>
      <c r="U348" s="324" t="s">
        <v>593</v>
      </c>
      <c r="V348" s="324" t="s">
        <v>594</v>
      </c>
    </row>
    <row r="349" spans="1:28" s="324" customFormat="1" ht="0.65" hidden="1" customHeight="1">
      <c r="A349" s="324">
        <v>1117</v>
      </c>
      <c r="F349" s="324">
        <v>1</v>
      </c>
      <c r="G349" s="324">
        <v>43</v>
      </c>
      <c r="H349" s="324" t="s">
        <v>611</v>
      </c>
      <c r="I349" s="324">
        <v>102500</v>
      </c>
      <c r="J349" s="324">
        <v>102500</v>
      </c>
      <c r="K349" s="324" t="s">
        <v>596</v>
      </c>
      <c r="U349" s="324" t="s">
        <v>596</v>
      </c>
      <c r="V349" s="324" t="s">
        <v>597</v>
      </c>
    </row>
    <row r="350" spans="1:28" s="324" customFormat="1" ht="0.65" hidden="1" customHeight="1">
      <c r="A350" s="324">
        <v>1118</v>
      </c>
      <c r="F350" s="324">
        <v>1</v>
      </c>
      <c r="G350" s="324">
        <v>44</v>
      </c>
      <c r="H350" s="324" t="s">
        <v>612</v>
      </c>
      <c r="I350" s="324">
        <v>570000</v>
      </c>
      <c r="J350" s="324">
        <v>570000</v>
      </c>
      <c r="K350" s="324" t="s">
        <v>613</v>
      </c>
      <c r="M350" s="324">
        <v>115000</v>
      </c>
      <c r="N350" s="324">
        <v>-340000</v>
      </c>
      <c r="U350" s="324" t="s">
        <v>613</v>
      </c>
      <c r="V350" s="324" t="s">
        <v>614</v>
      </c>
      <c r="X350" s="324" t="s">
        <v>276</v>
      </c>
      <c r="Y350" s="324" t="s">
        <v>346</v>
      </c>
    </row>
    <row r="351" spans="1:28" s="324" customFormat="1" ht="0.65" hidden="1" customHeight="1">
      <c r="A351" s="324">
        <v>1119</v>
      </c>
      <c r="F351" s="324">
        <v>1</v>
      </c>
      <c r="G351" s="324">
        <v>45</v>
      </c>
      <c r="H351" s="324" t="s">
        <v>414</v>
      </c>
      <c r="I351" s="324">
        <v>3.7499999999999999E-2</v>
      </c>
      <c r="J351" s="324">
        <v>3.7499999999999999E-2</v>
      </c>
      <c r="K351" s="324" t="s">
        <v>615</v>
      </c>
      <c r="M351" s="324">
        <v>0.05</v>
      </c>
      <c r="N351" s="324">
        <v>350000</v>
      </c>
      <c r="O351" s="324">
        <v>1.2500000000000001E-2</v>
      </c>
      <c r="P351" s="324">
        <v>6.25E-2</v>
      </c>
      <c r="U351" s="324" t="s">
        <v>615</v>
      </c>
      <c r="V351" s="324" t="s">
        <v>616</v>
      </c>
      <c r="X351" s="324" t="s">
        <v>277</v>
      </c>
      <c r="Y351" s="324" t="s">
        <v>347</v>
      </c>
      <c r="Z351" s="324" t="s">
        <v>348</v>
      </c>
      <c r="AA351" s="324" t="s">
        <v>349</v>
      </c>
    </row>
    <row r="352" spans="1:28" s="324" customFormat="1" ht="0.65" hidden="1" customHeight="1">
      <c r="A352" s="324">
        <v>1120</v>
      </c>
      <c r="F352" s="324">
        <v>1</v>
      </c>
      <c r="G352" s="324">
        <v>46</v>
      </c>
      <c r="H352" s="324" t="s">
        <v>415</v>
      </c>
      <c r="I352" s="324">
        <v>8.249999999999999E-2</v>
      </c>
      <c r="J352" s="324">
        <v>8.249999999999999E-2</v>
      </c>
      <c r="K352" s="324" t="s">
        <v>617</v>
      </c>
      <c r="M352" s="324">
        <v>0.06</v>
      </c>
      <c r="N352" s="324">
        <v>420000</v>
      </c>
      <c r="O352" s="324">
        <v>3.7499999999999999E-2</v>
      </c>
      <c r="U352" s="324" t="s">
        <v>617</v>
      </c>
      <c r="V352" s="324" t="s">
        <v>618</v>
      </c>
      <c r="X352" s="324" t="s">
        <v>278</v>
      </c>
      <c r="Y352" s="324" t="s">
        <v>350</v>
      </c>
      <c r="Z352" s="324" t="s">
        <v>351</v>
      </c>
    </row>
    <row r="353" spans="1:28" s="324" customFormat="1" ht="0.65" hidden="1" customHeight="1">
      <c r="A353" s="324">
        <v>1121</v>
      </c>
      <c r="F353" s="324">
        <v>1</v>
      </c>
      <c r="G353" s="324">
        <v>47</v>
      </c>
      <c r="H353" s="324" t="s">
        <v>416</v>
      </c>
      <c r="I353" s="324">
        <v>0.06</v>
      </c>
      <c r="J353" s="324">
        <v>5.9999999999999991E-2</v>
      </c>
      <c r="K353" s="324" t="s">
        <v>619</v>
      </c>
      <c r="U353" s="324" t="s">
        <v>619</v>
      </c>
      <c r="V353" s="324" t="s">
        <v>620</v>
      </c>
    </row>
    <row r="354" spans="1:28" s="324" customFormat="1" ht="0.65" hidden="1" customHeight="1">
      <c r="A354" s="324">
        <v>1122</v>
      </c>
      <c r="F354" s="324">
        <v>1</v>
      </c>
      <c r="G354" s="324">
        <v>48</v>
      </c>
      <c r="H354" s="324" t="s">
        <v>13</v>
      </c>
      <c r="I354" s="324">
        <v>-210381.05281541136</v>
      </c>
      <c r="J354" s="324">
        <v>-210381.05281541136</v>
      </c>
      <c r="K354" s="324" t="s">
        <v>621</v>
      </c>
      <c r="M354" s="324">
        <v>-173592.745200573</v>
      </c>
      <c r="N354" s="324">
        <v>-244291.67773685686</v>
      </c>
      <c r="O354" s="324">
        <v>-198472.6913352939</v>
      </c>
      <c r="P354" s="324">
        <v>614618.94718458864</v>
      </c>
      <c r="Q354" s="324">
        <v>1439618.9471845888</v>
      </c>
      <c r="U354" s="324" t="s">
        <v>621</v>
      </c>
      <c r="V354" s="324" t="s">
        <v>622</v>
      </c>
      <c r="X354" s="324" t="s">
        <v>286</v>
      </c>
      <c r="Y354" s="324" t="s">
        <v>287</v>
      </c>
      <c r="Z354" s="324" t="s">
        <v>288</v>
      </c>
      <c r="AA354" s="324" t="s">
        <v>352</v>
      </c>
      <c r="AB354" s="324" t="s">
        <v>353</v>
      </c>
    </row>
    <row r="355" spans="1:28" s="324" customFormat="1" ht="0.65" hidden="1" customHeight="1">
      <c r="A355" s="324">
        <v>1123</v>
      </c>
      <c r="F355" s="324">
        <v>1</v>
      </c>
      <c r="G355" s="324">
        <v>49</v>
      </c>
      <c r="H355" s="324" t="s">
        <v>28</v>
      </c>
      <c r="I355" s="324">
        <v>-4.8576778446782765E-2</v>
      </c>
      <c r="J355" s="324">
        <v>-4.8576778446782765E-2</v>
      </c>
      <c r="K355" s="324" t="s">
        <v>623</v>
      </c>
      <c r="U355" s="324" t="s">
        <v>623</v>
      </c>
      <c r="V355" s="324" t="s">
        <v>624</v>
      </c>
    </row>
    <row r="356" spans="1:28" s="324" customFormat="1" ht="0.65" hidden="1" customHeight="1">
      <c r="A356" s="324">
        <v>1124</v>
      </c>
      <c r="M356" s="324">
        <v>1</v>
      </c>
      <c r="N356" s="324">
        <v>2</v>
      </c>
      <c r="O356" s="324">
        <v>3</v>
      </c>
      <c r="P356" s="324">
        <v>4</v>
      </c>
      <c r="Q356" s="324">
        <v>5</v>
      </c>
      <c r="R356" s="324">
        <v>6</v>
      </c>
      <c r="S356" s="324">
        <v>7</v>
      </c>
      <c r="T356" s="324">
        <v>8</v>
      </c>
      <c r="U356" s="324">
        <v>9</v>
      </c>
      <c r="V356" s="324">
        <v>10</v>
      </c>
    </row>
    <row r="357" spans="1:28" s="324" customFormat="1" ht="0.65" hidden="1" customHeight="1">
      <c r="A357" s="324">
        <v>1125</v>
      </c>
    </row>
    <row r="358" spans="1:28" s="324" customFormat="1" ht="0.65" hidden="1" customHeight="1">
      <c r="A358" s="324">
        <v>1126</v>
      </c>
    </row>
    <row r="359" spans="1:28" s="324" customFormat="1" ht="0.65" hidden="1" customHeight="1">
      <c r="A359" s="324">
        <v>1127</v>
      </c>
      <c r="K359" s="324" t="s">
        <v>211</v>
      </c>
    </row>
    <row r="360" spans="1:28" s="324" customFormat="1" ht="0.65" hidden="1" customHeight="1">
      <c r="A360" s="324">
        <v>1128</v>
      </c>
    </row>
    <row r="361" spans="1:28" s="324" customFormat="1" ht="0.65" hidden="1" customHeight="1">
      <c r="A361" s="324">
        <v>1129</v>
      </c>
    </row>
    <row r="362" spans="1:28" s="324" customFormat="1" ht="0.65" hidden="1" customHeight="1">
      <c r="A362" s="324">
        <v>1130</v>
      </c>
    </row>
    <row r="363" spans="1:28" s="324" customFormat="1" ht="0.65" hidden="1" customHeight="1">
      <c r="A363" s="324">
        <v>1131</v>
      </c>
    </row>
    <row r="364" spans="1:28" s="324" customFormat="1" ht="0.65" hidden="1" customHeight="1">
      <c r="A364" s="324">
        <v>1132</v>
      </c>
    </row>
    <row r="365" spans="1:28" s="324" customFormat="1" ht="0.65" hidden="1" customHeight="1">
      <c r="A365" s="324">
        <v>1133</v>
      </c>
    </row>
    <row r="366" spans="1:28" s="324" customFormat="1" ht="0.65" hidden="1" customHeight="1">
      <c r="A366" s="324">
        <v>1134</v>
      </c>
    </row>
    <row r="367" spans="1:28" s="324" customFormat="1" ht="0.65" hidden="1" customHeight="1">
      <c r="A367" s="324">
        <v>1135</v>
      </c>
    </row>
    <row r="368" spans="1:28" s="324" customFormat="1" ht="0.65" hidden="1" customHeight="1">
      <c r="A368" s="324">
        <v>1136</v>
      </c>
    </row>
    <row r="369" spans="1:32" s="324" customFormat="1" ht="0.65" hidden="1" customHeight="1">
      <c r="A369" s="324">
        <v>1137</v>
      </c>
    </row>
    <row r="370" spans="1:32" s="324" customFormat="1" ht="0.65" hidden="1" customHeight="1">
      <c r="A370" s="324">
        <v>1138</v>
      </c>
    </row>
    <row r="371" spans="1:32" s="324" customFormat="1" ht="0.65" hidden="1" customHeight="1">
      <c r="A371" s="324">
        <v>1139</v>
      </c>
    </row>
    <row r="372" spans="1:32" s="324" customFormat="1" ht="0.65" hidden="1" customHeight="1">
      <c r="A372" s="324">
        <v>1140</v>
      </c>
    </row>
    <row r="373" spans="1:32" s="324" customFormat="1" ht="0.65" hidden="1" customHeight="1">
      <c r="A373" s="324">
        <v>1141</v>
      </c>
    </row>
    <row r="374" spans="1:32" s="324" customFormat="1" ht="0.65" hidden="1" customHeight="1">
      <c r="A374" s="324">
        <v>1142</v>
      </c>
    </row>
    <row r="375" spans="1:32" s="324" customFormat="1" ht="0.65" hidden="1" customHeight="1">
      <c r="A375" s="324">
        <v>1143</v>
      </c>
    </row>
    <row r="376" spans="1:32" s="324" customFormat="1" ht="0.65" hidden="1" customHeight="1">
      <c r="A376" s="324">
        <v>1144</v>
      </c>
      <c r="U376" s="324" t="s">
        <v>625</v>
      </c>
    </row>
    <row r="377" spans="1:32" s="324" customFormat="1" ht="0.65" hidden="1" customHeight="1">
      <c r="A377" s="324">
        <v>1145</v>
      </c>
      <c r="G377" s="324" t="s">
        <v>0</v>
      </c>
      <c r="H377" s="324" t="s">
        <v>69</v>
      </c>
      <c r="I377" s="324" t="s">
        <v>70</v>
      </c>
      <c r="J377" s="324" t="s">
        <v>71</v>
      </c>
      <c r="K377" s="324" t="s">
        <v>72</v>
      </c>
      <c r="L377" s="324" t="s">
        <v>73</v>
      </c>
      <c r="M377" s="324" t="s">
        <v>74</v>
      </c>
      <c r="N377" s="324" t="s">
        <v>75</v>
      </c>
      <c r="O377" s="324" t="s">
        <v>80</v>
      </c>
      <c r="P377" s="324" t="s">
        <v>1</v>
      </c>
      <c r="V377" s="324" t="s">
        <v>182</v>
      </c>
      <c r="W377" s="324" t="s">
        <v>183</v>
      </c>
      <c r="X377" s="324" t="s">
        <v>184</v>
      </c>
      <c r="Y377" s="324" t="s">
        <v>185</v>
      </c>
    </row>
    <row r="378" spans="1:32" s="324" customFormat="1" ht="0.65" hidden="1" customHeight="1">
      <c r="A378" s="324">
        <v>1146</v>
      </c>
      <c r="G378" s="324">
        <v>2022</v>
      </c>
      <c r="H378" s="324">
        <v>0</v>
      </c>
      <c r="I378" s="324">
        <v>0</v>
      </c>
      <c r="J378" s="324">
        <v>0</v>
      </c>
      <c r="K378" s="324">
        <v>0</v>
      </c>
      <c r="L378" s="324">
        <v>0</v>
      </c>
      <c r="M378" s="324">
        <v>0</v>
      </c>
      <c r="N378" s="324">
        <v>0</v>
      </c>
      <c r="O378" s="324">
        <v>0</v>
      </c>
      <c r="P378" s="324">
        <v>-825000</v>
      </c>
      <c r="T378" s="324">
        <v>1</v>
      </c>
      <c r="U378" s="324" t="s">
        <v>153</v>
      </c>
      <c r="V378" s="324" t="s">
        <v>178</v>
      </c>
      <c r="W378" s="324">
        <v>-211665.67031845101</v>
      </c>
      <c r="X378" s="324">
        <v>-1284.6175030396553</v>
      </c>
      <c r="Y378" s="324">
        <v>-1284.6175030394224</v>
      </c>
      <c r="AA378" s="324" t="s">
        <v>188</v>
      </c>
      <c r="AB378" s="324" t="s">
        <v>626</v>
      </c>
      <c r="AD378" s="324">
        <v>-825000</v>
      </c>
      <c r="AE378" s="324">
        <v>-210381.05281541136</v>
      </c>
      <c r="AF378" s="324">
        <v>-825000</v>
      </c>
    </row>
    <row r="379" spans="1:32" s="324" customFormat="1" ht="0.65" hidden="1" customHeight="1">
      <c r="A379" s="324">
        <v>1147</v>
      </c>
      <c r="G379" s="324">
        <v>2023</v>
      </c>
      <c r="H379" s="324">
        <v>420000</v>
      </c>
      <c r="I379" s="324">
        <v>300000</v>
      </c>
      <c r="J379" s="324">
        <v>50000</v>
      </c>
      <c r="K379" s="324">
        <v>70000</v>
      </c>
      <c r="L379" s="324">
        <v>17500</v>
      </c>
      <c r="M379" s="324">
        <v>52500</v>
      </c>
      <c r="N379" s="324">
        <v>102500</v>
      </c>
      <c r="O379" s="324">
        <v>47500</v>
      </c>
      <c r="P379" s="324">
        <v>47500</v>
      </c>
      <c r="T379" s="324">
        <v>2</v>
      </c>
      <c r="U379" s="324" t="s">
        <v>154</v>
      </c>
      <c r="V379" s="324" t="s">
        <v>178</v>
      </c>
      <c r="W379" s="324">
        <v>-289005.18548869214</v>
      </c>
      <c r="X379" s="324">
        <v>-78624.132673280779</v>
      </c>
      <c r="Y379" s="324">
        <v>-78624.132673280634</v>
      </c>
      <c r="AA379" s="324" t="s">
        <v>197</v>
      </c>
      <c r="AB379" s="324" t="s">
        <v>627</v>
      </c>
      <c r="AD379" s="324">
        <v>47500</v>
      </c>
      <c r="AF379" s="324">
        <v>47500</v>
      </c>
    </row>
    <row r="380" spans="1:32" s="324" customFormat="1" ht="0.65" hidden="1" customHeight="1">
      <c r="A380" s="324">
        <v>1148</v>
      </c>
      <c r="G380" s="324">
        <v>2024</v>
      </c>
      <c r="H380" s="324">
        <v>420000</v>
      </c>
      <c r="I380" s="324">
        <v>300000</v>
      </c>
      <c r="J380" s="324">
        <v>50000</v>
      </c>
      <c r="K380" s="324">
        <v>70000</v>
      </c>
      <c r="L380" s="324">
        <v>17500</v>
      </c>
      <c r="M380" s="324">
        <v>52500</v>
      </c>
      <c r="N380" s="324">
        <v>102500</v>
      </c>
      <c r="O380" s="324">
        <v>102500</v>
      </c>
      <c r="P380" s="324">
        <v>102500</v>
      </c>
      <c r="T380" s="324">
        <v>3</v>
      </c>
      <c r="U380" s="324" t="s">
        <v>155</v>
      </c>
      <c r="V380" s="324" t="s">
        <v>178</v>
      </c>
      <c r="W380" s="324">
        <v>-235569.6313063805</v>
      </c>
      <c r="X380" s="324">
        <v>-25188.578490969143</v>
      </c>
      <c r="Y380" s="324">
        <v>-25188.578490969048</v>
      </c>
      <c r="AA380" s="324" t="s">
        <v>191</v>
      </c>
      <c r="AB380" s="324" t="s">
        <v>628</v>
      </c>
      <c r="AD380" s="324">
        <v>102500</v>
      </c>
      <c r="AF380" s="324">
        <v>102500</v>
      </c>
    </row>
    <row r="381" spans="1:32" s="324" customFormat="1" ht="0.65" hidden="1" customHeight="1">
      <c r="A381" s="324">
        <v>1149</v>
      </c>
      <c r="G381" s="324">
        <v>2025</v>
      </c>
      <c r="H381" s="324">
        <v>420000</v>
      </c>
      <c r="I381" s="324">
        <v>300000</v>
      </c>
      <c r="J381" s="324">
        <v>100000</v>
      </c>
      <c r="K381" s="324">
        <v>20000</v>
      </c>
      <c r="L381" s="324">
        <v>5000</v>
      </c>
      <c r="M381" s="324">
        <v>15000</v>
      </c>
      <c r="N381" s="324">
        <v>115000</v>
      </c>
      <c r="O381" s="324">
        <v>115000</v>
      </c>
      <c r="P381" s="324">
        <v>570000</v>
      </c>
      <c r="T381" s="324">
        <v>4</v>
      </c>
      <c r="U381" s="324" t="s">
        <v>156</v>
      </c>
      <c r="V381" s="324" t="s">
        <v>179</v>
      </c>
      <c r="W381" s="324">
        <v>-195381.05281541136</v>
      </c>
      <c r="X381" s="324">
        <v>15000</v>
      </c>
      <c r="Y381" s="324">
        <v>15000.000000000022</v>
      </c>
      <c r="AA381" s="324" t="s">
        <v>198</v>
      </c>
      <c r="AB381" s="324" t="s">
        <v>629</v>
      </c>
      <c r="AD381" s="324">
        <v>570000</v>
      </c>
      <c r="AF381" s="324">
        <v>570000</v>
      </c>
    </row>
    <row r="382" spans="1:32" s="324" customFormat="1" ht="0.65" hidden="1" customHeight="1">
      <c r="A382" s="324">
        <v>1150</v>
      </c>
      <c r="T382" s="324">
        <v>5</v>
      </c>
      <c r="U382" s="324" t="s">
        <v>157</v>
      </c>
      <c r="V382" s="324" t="s">
        <v>178</v>
      </c>
      <c r="W382" s="324">
        <v>-211048.55014542211</v>
      </c>
      <c r="X382" s="324">
        <v>-667.49733001075219</v>
      </c>
      <c r="Y382" s="324">
        <v>-667.49733001067943</v>
      </c>
      <c r="AA382" s="324" t="s">
        <v>192</v>
      </c>
      <c r="AB382" s="324" t="s">
        <v>630</v>
      </c>
      <c r="AD382" s="324">
        <v>5.9999999999999991E-2</v>
      </c>
      <c r="AF382" s="324">
        <v>5.9999999999999991E-2</v>
      </c>
    </row>
    <row r="383" spans="1:32" s="324" customFormat="1" ht="0.65" hidden="1" customHeight="1">
      <c r="A383" s="324">
        <v>1151</v>
      </c>
      <c r="G383" s="324" t="s">
        <v>0</v>
      </c>
      <c r="H383" s="324" t="s">
        <v>76</v>
      </c>
      <c r="I383" s="324" t="s">
        <v>77</v>
      </c>
      <c r="J383" s="324" t="s">
        <v>78</v>
      </c>
      <c r="K383" s="324" t="s">
        <v>79</v>
      </c>
      <c r="T383" s="324">
        <v>6</v>
      </c>
      <c r="U383" s="324" t="s">
        <v>158</v>
      </c>
      <c r="V383" s="324" t="s">
        <v>179</v>
      </c>
      <c r="W383" s="324">
        <v>-210172.79364844807</v>
      </c>
      <c r="X383" s="324">
        <v>208.25916696328204</v>
      </c>
      <c r="Y383" s="324">
        <v>208.25916696333297</v>
      </c>
      <c r="AA383" s="324" t="s">
        <v>193</v>
      </c>
      <c r="AB383" s="324" t="s">
        <v>631</v>
      </c>
      <c r="AD383" s="324">
        <v>-210381.05281541136</v>
      </c>
      <c r="AF383" s="324">
        <v>-210381.05281541136</v>
      </c>
    </row>
    <row r="384" spans="1:32" s="324" customFormat="1" ht="0.65" hidden="1" customHeight="1">
      <c r="A384" s="324">
        <v>1152</v>
      </c>
      <c r="G384" s="324">
        <v>2022</v>
      </c>
      <c r="H384" s="324">
        <v>0</v>
      </c>
      <c r="I384" s="324">
        <v>0</v>
      </c>
      <c r="J384" s="324">
        <v>0</v>
      </c>
      <c r="K384" s="324">
        <v>0</v>
      </c>
      <c r="M384" s="324" t="s">
        <v>490</v>
      </c>
      <c r="N384" s="324">
        <v>825000</v>
      </c>
      <c r="O384" s="324" t="s">
        <v>124</v>
      </c>
      <c r="P384" s="324">
        <v>3.7499999999999999E-2</v>
      </c>
      <c r="T384" s="324">
        <v>7</v>
      </c>
      <c r="U384" s="324" t="s">
        <v>159</v>
      </c>
      <c r="V384" s="324" t="s">
        <v>178</v>
      </c>
      <c r="W384" s="324">
        <v>-225381.05281541136</v>
      </c>
      <c r="X384" s="324">
        <v>-15000</v>
      </c>
      <c r="Y384" s="324">
        <v>-15000</v>
      </c>
      <c r="AA384" s="324" t="s">
        <v>194</v>
      </c>
      <c r="AB384" s="324" t="s">
        <v>632</v>
      </c>
      <c r="AF384" s="324">
        <v>-210381.05281541136</v>
      </c>
    </row>
    <row r="385" spans="1:30" s="324" customFormat="1" ht="0.65" hidden="1" customHeight="1">
      <c r="A385" s="324">
        <v>1153</v>
      </c>
      <c r="G385" s="324">
        <v>2023</v>
      </c>
      <c r="H385" s="324">
        <v>105000</v>
      </c>
      <c r="I385" s="324">
        <v>50000</v>
      </c>
      <c r="J385" s="324">
        <v>55000</v>
      </c>
      <c r="K385" s="324">
        <v>55000</v>
      </c>
      <c r="M385" s="324" t="s">
        <v>491</v>
      </c>
      <c r="N385" s="324">
        <v>400000</v>
      </c>
      <c r="O385" s="324" t="s">
        <v>125</v>
      </c>
      <c r="P385" s="324">
        <v>8.249999999999999E-2</v>
      </c>
      <c r="T385" s="324">
        <v>8</v>
      </c>
      <c r="U385" s="324" t="s">
        <v>160</v>
      </c>
      <c r="V385" s="324" t="s">
        <v>178</v>
      </c>
      <c r="W385" s="324">
        <v>-216678.19743815367</v>
      </c>
      <c r="X385" s="324">
        <v>-6297.1446227423148</v>
      </c>
      <c r="Y385" s="324">
        <v>-6297.1446227422712</v>
      </c>
      <c r="AA385" s="324" t="s">
        <v>195</v>
      </c>
      <c r="AB385" s="324" t="s">
        <v>633</v>
      </c>
    </row>
    <row r="386" spans="1:30" s="324" customFormat="1" ht="0.65" hidden="1" customHeight="1">
      <c r="A386" s="324">
        <v>1154</v>
      </c>
      <c r="G386" s="324">
        <v>2024</v>
      </c>
      <c r="H386" s="324">
        <v>105000</v>
      </c>
      <c r="I386" s="324">
        <v>50000</v>
      </c>
      <c r="J386" s="324">
        <v>55000</v>
      </c>
      <c r="K386" s="324">
        <v>0</v>
      </c>
      <c r="M386" s="324" t="s">
        <v>493</v>
      </c>
      <c r="N386" s="324">
        <v>55000</v>
      </c>
      <c r="O386" s="324" t="s">
        <v>126</v>
      </c>
      <c r="P386" s="324">
        <v>0.06</v>
      </c>
      <c r="T386" s="324">
        <v>9</v>
      </c>
      <c r="U386" s="324" t="s">
        <v>161</v>
      </c>
      <c r="V386" s="324" t="s">
        <v>179</v>
      </c>
      <c r="W386" s="324">
        <v>-127270.83431288914</v>
      </c>
      <c r="X386" s="324">
        <v>83110.218502522213</v>
      </c>
      <c r="Y386" s="324">
        <v>83110.218502522315</v>
      </c>
      <c r="AA386" s="324" t="s">
        <v>199</v>
      </c>
      <c r="AB386" s="324" t="s">
        <v>634</v>
      </c>
      <c r="AD386" s="324">
        <v>-825000</v>
      </c>
    </row>
    <row r="387" spans="1:30" s="324" customFormat="1" ht="0.65" hidden="1" customHeight="1">
      <c r="A387" s="324">
        <v>1155</v>
      </c>
      <c r="G387" s="324">
        <v>2025</v>
      </c>
      <c r="H387" s="324">
        <v>105000</v>
      </c>
      <c r="I387" s="324">
        <v>50000</v>
      </c>
      <c r="J387" s="324">
        <v>55000</v>
      </c>
      <c r="K387" s="324">
        <v>0</v>
      </c>
      <c r="M387" s="324" t="s">
        <v>494</v>
      </c>
      <c r="N387" s="324">
        <v>455000</v>
      </c>
      <c r="T387" s="324">
        <v>10</v>
      </c>
      <c r="U387" s="324" t="s">
        <v>162</v>
      </c>
      <c r="V387" s="324" t="s">
        <v>178</v>
      </c>
      <c r="W387" s="324">
        <v>-214013.24583380925</v>
      </c>
      <c r="X387" s="324">
        <v>-3632.1930183978984</v>
      </c>
      <c r="Y387" s="324">
        <v>-3632.193018397742</v>
      </c>
      <c r="AA387" s="324" t="s">
        <v>200</v>
      </c>
      <c r="AB387" s="324" t="s">
        <v>635</v>
      </c>
      <c r="AD387" s="324">
        <v>47500</v>
      </c>
    </row>
    <row r="388" spans="1:30" s="324" customFormat="1" ht="0.65" hidden="1" customHeight="1">
      <c r="A388" s="324">
        <v>1156</v>
      </c>
      <c r="T388" s="324">
        <v>11</v>
      </c>
      <c r="U388" s="324" t="s">
        <v>163</v>
      </c>
      <c r="V388" s="324" t="s">
        <v>179</v>
      </c>
      <c r="W388" s="324">
        <v>-150757.16866943857</v>
      </c>
      <c r="X388" s="324">
        <v>59623.884145972785</v>
      </c>
      <c r="Y388" s="324">
        <v>59623.884145972843</v>
      </c>
      <c r="AA388" s="324" t="s">
        <v>201</v>
      </c>
      <c r="AB388" s="324" t="s">
        <v>636</v>
      </c>
      <c r="AD388" s="324">
        <v>102500</v>
      </c>
    </row>
    <row r="389" spans="1:30" s="324" customFormat="1" ht="0.65" hidden="1" customHeight="1">
      <c r="A389" s="324">
        <v>1157</v>
      </c>
      <c r="O389" s="324" t="s">
        <v>13</v>
      </c>
      <c r="P389" s="324">
        <v>-210381.05281541136</v>
      </c>
      <c r="T389" s="324">
        <v>12</v>
      </c>
      <c r="U389" s="324" t="s">
        <v>164</v>
      </c>
      <c r="V389" s="324" t="s">
        <v>178</v>
      </c>
      <c r="W389" s="324">
        <v>-212975.47639998142</v>
      </c>
      <c r="X389" s="324">
        <v>-2594.4235845700605</v>
      </c>
      <c r="Y389" s="324">
        <v>-2594.4235845698167</v>
      </c>
      <c r="AA389" s="324" t="s">
        <v>196</v>
      </c>
      <c r="AB389" s="324" t="s">
        <v>503</v>
      </c>
      <c r="AD389" s="324">
        <v>115000</v>
      </c>
    </row>
    <row r="390" spans="1:30" s="324" customFormat="1" ht="0.65" hidden="1" customHeight="1">
      <c r="A390" s="324">
        <v>1158</v>
      </c>
      <c r="O390" s="324" t="s">
        <v>28</v>
      </c>
      <c r="P390" s="324">
        <v>-4.8576778446782765E-2</v>
      </c>
      <c r="T390" s="324">
        <v>13</v>
      </c>
      <c r="U390" s="324" t="s">
        <v>165</v>
      </c>
      <c r="V390" s="324" t="s">
        <v>178</v>
      </c>
      <c r="W390" s="324">
        <v>-213312.74465488957</v>
      </c>
      <c r="X390" s="324">
        <v>-2931.6918394782115</v>
      </c>
      <c r="Y390" s="324">
        <v>-2931.6918394780114</v>
      </c>
      <c r="Z390" s="324">
        <v>6.1874999999999999E-2</v>
      </c>
      <c r="AA390" s="324" t="s">
        <v>202</v>
      </c>
      <c r="AB390" s="324" t="s">
        <v>637</v>
      </c>
      <c r="AD390" s="324">
        <v>545000</v>
      </c>
    </row>
    <row r="391" spans="1:30" s="324" customFormat="1" ht="0.65" hidden="1" customHeight="1">
      <c r="A391" s="324">
        <v>1159</v>
      </c>
      <c r="O391" s="324" t="s">
        <v>29</v>
      </c>
      <c r="P391" s="324">
        <v>-0.25500733674595316</v>
      </c>
      <c r="T391" s="324">
        <v>14</v>
      </c>
      <c r="U391" s="324" t="s">
        <v>166</v>
      </c>
      <c r="V391" s="324" t="s">
        <v>179</v>
      </c>
      <c r="W391" s="324">
        <v>-202465.14212207857</v>
      </c>
      <c r="X391" s="324">
        <v>7915.9106933327857</v>
      </c>
      <c r="Y391" s="324">
        <v>7915.9106933330258</v>
      </c>
      <c r="Z391" s="324">
        <v>5.5E-2</v>
      </c>
      <c r="AA391" s="324" t="s">
        <v>189</v>
      </c>
      <c r="AB391" s="324" t="s">
        <v>638</v>
      </c>
      <c r="AD391" s="324">
        <v>5.9999999999999991E-2</v>
      </c>
    </row>
    <row r="392" spans="1:30" s="324" customFormat="1" ht="0.65" hidden="1" customHeight="1">
      <c r="A392" s="324">
        <v>1160</v>
      </c>
      <c r="O392" s="324" t="s">
        <v>30</v>
      </c>
      <c r="P392" s="324" t="s">
        <v>639</v>
      </c>
      <c r="T392" s="324">
        <v>15</v>
      </c>
      <c r="U392" s="324" t="s">
        <v>167</v>
      </c>
      <c r="V392" s="324" t="s">
        <v>178</v>
      </c>
      <c r="W392" s="324">
        <v>-215062.24928720738</v>
      </c>
      <c r="X392" s="324">
        <v>-4681.1964717960218</v>
      </c>
      <c r="Y392" s="324">
        <v>-4681.1964717958326</v>
      </c>
      <c r="Z392" s="324">
        <v>6.3E-2</v>
      </c>
      <c r="AA392" s="324" t="s">
        <v>190</v>
      </c>
      <c r="AB392" s="324" t="s">
        <v>640</v>
      </c>
      <c r="AD392" s="324">
        <v>-160716.78013038763</v>
      </c>
    </row>
    <row r="393" spans="1:30" s="324" customFormat="1" ht="0.65" hidden="1" customHeight="1">
      <c r="A393" s="324">
        <v>1161</v>
      </c>
      <c r="T393" s="324">
        <v>16</v>
      </c>
      <c r="U393" s="324" t="s">
        <v>168</v>
      </c>
      <c r="V393" s="324" t="s">
        <v>181</v>
      </c>
      <c r="W393" s="324">
        <v>-207570.40876629774</v>
      </c>
      <c r="X393" s="324">
        <v>2810.6440491136163</v>
      </c>
      <c r="Y393" s="324">
        <v>2810.6440491137669</v>
      </c>
      <c r="Z393" s="324">
        <v>5.8214285714285705E-2</v>
      </c>
      <c r="AA393" s="324" t="s">
        <v>427</v>
      </c>
      <c r="AB393" s="324" t="s">
        <v>641</v>
      </c>
      <c r="AD393" s="324">
        <v>-160716.78013038763</v>
      </c>
    </row>
    <row r="394" spans="1:30" s="324" customFormat="1" ht="0.65" hidden="1" customHeight="1">
      <c r="A394" s="324">
        <v>1162</v>
      </c>
      <c r="P394" s="324">
        <v>1</v>
      </c>
      <c r="T394" s="324">
        <v>17</v>
      </c>
      <c r="U394" s="324" t="s">
        <v>169</v>
      </c>
      <c r="V394" s="324" t="s">
        <v>178</v>
      </c>
      <c r="W394" s="324">
        <v>-227677.71332519897</v>
      </c>
      <c r="X394" s="324">
        <v>-17296.660509787616</v>
      </c>
      <c r="Y394" s="324">
        <v>-17296.660509787427</v>
      </c>
      <c r="Z394" s="324">
        <v>7.1249999999999994E-2</v>
      </c>
      <c r="AA394" s="324" t="s">
        <v>425</v>
      </c>
      <c r="AB394" s="324" t="s">
        <v>642</v>
      </c>
    </row>
    <row r="395" spans="1:30" s="324" customFormat="1" ht="0.65" hidden="1" customHeight="1">
      <c r="A395" s="324">
        <v>1163</v>
      </c>
      <c r="H395" s="324">
        <v>1</v>
      </c>
      <c r="I395" s="324">
        <v>1</v>
      </c>
      <c r="J395" s="324">
        <v>1</v>
      </c>
      <c r="K395" s="324">
        <v>1</v>
      </c>
      <c r="L395" s="324">
        <v>1</v>
      </c>
      <c r="M395" s="324">
        <v>1</v>
      </c>
      <c r="N395" s="324">
        <v>1</v>
      </c>
      <c r="O395" s="324">
        <v>1</v>
      </c>
      <c r="P395" s="324">
        <v>1</v>
      </c>
      <c r="T395" s="324">
        <v>18</v>
      </c>
      <c r="U395" s="324" t="s">
        <v>170</v>
      </c>
      <c r="V395" s="324" t="s">
        <v>181</v>
      </c>
      <c r="W395" s="324">
        <v>-203834.30797272723</v>
      </c>
      <c r="X395" s="324">
        <v>6546.7448426841293</v>
      </c>
      <c r="Y395" s="324">
        <v>6546.7448426843366</v>
      </c>
      <c r="Z395" s="324">
        <v>5.874999999999999E-2</v>
      </c>
      <c r="AA395" s="324" t="s">
        <v>203</v>
      </c>
      <c r="AB395" s="324" t="s">
        <v>643</v>
      </c>
    </row>
    <row r="396" spans="1:30" s="324" customFormat="1" ht="0.65" hidden="1" customHeight="1">
      <c r="A396" s="324">
        <v>1164</v>
      </c>
      <c r="H396" s="324">
        <v>1</v>
      </c>
      <c r="I396" s="324">
        <v>1</v>
      </c>
      <c r="J396" s="324">
        <v>1</v>
      </c>
      <c r="K396" s="324">
        <v>1</v>
      </c>
      <c r="L396" s="324">
        <v>1</v>
      </c>
      <c r="M396" s="324">
        <v>1</v>
      </c>
      <c r="N396" s="324">
        <v>1</v>
      </c>
      <c r="O396" s="324">
        <v>1</v>
      </c>
      <c r="P396" s="324">
        <v>1</v>
      </c>
      <c r="T396" s="324">
        <v>19</v>
      </c>
      <c r="U396" s="324" t="s">
        <v>171</v>
      </c>
      <c r="V396" s="324" t="s">
        <v>181</v>
      </c>
      <c r="W396" s="324">
        <v>-160716.78013038763</v>
      </c>
      <c r="X396" s="324">
        <v>49664.272685023723</v>
      </c>
      <c r="Y396" s="324">
        <v>49664.27268502384</v>
      </c>
      <c r="AA396" s="324" t="s">
        <v>426</v>
      </c>
      <c r="AB396" s="324" t="s">
        <v>644</v>
      </c>
    </row>
    <row r="397" spans="1:30" s="324" customFormat="1" ht="0.65" hidden="1" customHeight="1">
      <c r="A397" s="324">
        <v>1165</v>
      </c>
      <c r="H397" s="324">
        <v>1</v>
      </c>
      <c r="I397" s="324">
        <v>1</v>
      </c>
      <c r="J397" s="324">
        <v>1</v>
      </c>
      <c r="K397" s="324">
        <v>1</v>
      </c>
      <c r="L397" s="324">
        <v>1</v>
      </c>
      <c r="M397" s="324">
        <v>1</v>
      </c>
      <c r="N397" s="324">
        <v>1</v>
      </c>
      <c r="O397" s="324">
        <v>1</v>
      </c>
      <c r="P397" s="324">
        <v>1</v>
      </c>
    </row>
    <row r="398" spans="1:30" s="324" customFormat="1" ht="0.65" hidden="1" customHeight="1">
      <c r="A398" s="324">
        <v>1166</v>
      </c>
    </row>
    <row r="399" spans="1:30" s="324" customFormat="1" ht="0.65" hidden="1" customHeight="1">
      <c r="A399" s="324">
        <v>1167</v>
      </c>
      <c r="X399" s="324" t="s">
        <v>186</v>
      </c>
      <c r="Y399" s="324">
        <v>-2.5029294192790985E-9</v>
      </c>
    </row>
    <row r="400" spans="1:30" s="324" customFormat="1" ht="0.65" hidden="1" customHeight="1">
      <c r="A400" s="324">
        <v>1168</v>
      </c>
      <c r="N400" s="324">
        <v>1</v>
      </c>
      <c r="P400" s="324">
        <v>1</v>
      </c>
    </row>
    <row r="401" spans="1:39" s="324" customFormat="1" ht="0.65" hidden="1" customHeight="1">
      <c r="A401" s="324">
        <v>1169</v>
      </c>
      <c r="H401" s="324">
        <v>1</v>
      </c>
      <c r="I401" s="324">
        <v>1</v>
      </c>
      <c r="J401" s="324">
        <v>1</v>
      </c>
      <c r="K401" s="324">
        <v>1</v>
      </c>
      <c r="N401" s="324">
        <v>1</v>
      </c>
      <c r="P401" s="324">
        <v>1</v>
      </c>
    </row>
    <row r="402" spans="1:39" s="324" customFormat="1" ht="0.65" hidden="1" customHeight="1">
      <c r="A402" s="324">
        <v>1170</v>
      </c>
      <c r="H402" s="324">
        <v>1</v>
      </c>
      <c r="I402" s="324">
        <v>1</v>
      </c>
      <c r="J402" s="324">
        <v>1</v>
      </c>
      <c r="K402" s="324">
        <v>1</v>
      </c>
      <c r="N402" s="324">
        <v>1</v>
      </c>
      <c r="P402" s="324">
        <v>1</v>
      </c>
    </row>
    <row r="403" spans="1:39" s="324" customFormat="1" ht="0.65" hidden="1" customHeight="1">
      <c r="A403" s="324">
        <v>1171</v>
      </c>
      <c r="H403" s="324">
        <v>1</v>
      </c>
      <c r="I403" s="324">
        <v>1</v>
      </c>
      <c r="J403" s="324">
        <v>1</v>
      </c>
      <c r="K403" s="324">
        <v>1</v>
      </c>
      <c r="N403" s="324">
        <v>1</v>
      </c>
    </row>
    <row r="404" spans="1:39" s="324" customFormat="1" ht="0.65" hidden="1" customHeight="1">
      <c r="A404" s="324">
        <v>1172</v>
      </c>
      <c r="AI404" s="324">
        <v>1E-4</v>
      </c>
      <c r="AJ404" s="324" t="s">
        <v>244</v>
      </c>
    </row>
    <row r="405" spans="1:39" s="324" customFormat="1" ht="0.65" hidden="1" customHeight="1">
      <c r="A405" s="324">
        <v>1173</v>
      </c>
      <c r="P405" s="324">
        <v>1</v>
      </c>
      <c r="AC405" s="324" t="s">
        <v>463</v>
      </c>
      <c r="AD405" s="324" t="s">
        <v>208</v>
      </c>
      <c r="AG405" s="324" t="s">
        <v>210</v>
      </c>
      <c r="AH405" s="324" t="s">
        <v>209</v>
      </c>
      <c r="AI405" s="324" t="s">
        <v>206</v>
      </c>
      <c r="AJ405" s="324" t="s">
        <v>245</v>
      </c>
      <c r="AK405" s="324" t="s">
        <v>206</v>
      </c>
      <c r="AL405" s="324" t="s">
        <v>205</v>
      </c>
    </row>
    <row r="406" spans="1:39" s="324" customFormat="1" ht="0.65" hidden="1" customHeight="1">
      <c r="A406" s="324">
        <v>1174</v>
      </c>
      <c r="P406" s="324">
        <v>1</v>
      </c>
      <c r="AA406" s="324">
        <v>1</v>
      </c>
      <c r="AB406" s="324" t="s">
        <v>645</v>
      </c>
      <c r="AC406" s="324" t="s">
        <v>55</v>
      </c>
      <c r="AD406" s="324" t="s">
        <v>55</v>
      </c>
      <c r="AE406" s="324">
        <v>0</v>
      </c>
      <c r="AF406" s="324" t="s">
        <v>490</v>
      </c>
      <c r="AG406" s="324">
        <v>825000</v>
      </c>
      <c r="AH406" s="324">
        <v>825000</v>
      </c>
      <c r="AI406" s="324" t="s">
        <v>55</v>
      </c>
      <c r="AJ406" s="324">
        <v>825000</v>
      </c>
      <c r="AK406" s="324" t="s">
        <v>55</v>
      </c>
      <c r="AL406" s="324" t="s">
        <v>55</v>
      </c>
      <c r="AM406" s="324" t="s">
        <v>55</v>
      </c>
    </row>
    <row r="407" spans="1:39" s="324" customFormat="1" ht="0.65" hidden="1" customHeight="1">
      <c r="A407" s="324">
        <v>1175</v>
      </c>
      <c r="AA407" s="324">
        <v>2</v>
      </c>
      <c r="AB407" s="324" t="s">
        <v>645</v>
      </c>
      <c r="AC407" s="324" t="s">
        <v>55</v>
      </c>
      <c r="AD407" s="324" t="s">
        <v>55</v>
      </c>
      <c r="AE407" s="324">
        <v>0</v>
      </c>
      <c r="AF407" s="324" t="s">
        <v>510</v>
      </c>
      <c r="AG407" s="324">
        <v>420000</v>
      </c>
      <c r="AH407" s="324">
        <v>420000</v>
      </c>
      <c r="AI407" s="324" t="s">
        <v>55</v>
      </c>
      <c r="AJ407" s="324">
        <v>420000</v>
      </c>
      <c r="AK407" s="324" t="s">
        <v>55</v>
      </c>
      <c r="AL407" s="324" t="s">
        <v>55</v>
      </c>
      <c r="AM407" s="324" t="s">
        <v>55</v>
      </c>
    </row>
    <row r="408" spans="1:39" s="324" customFormat="1" ht="0.65" hidden="1" customHeight="1">
      <c r="A408" s="324">
        <v>1176</v>
      </c>
      <c r="G408" s="324" t="s">
        <v>411</v>
      </c>
      <c r="H408" s="324">
        <v>49</v>
      </c>
      <c r="AA408" s="324">
        <v>3</v>
      </c>
      <c r="AB408" s="324" t="s">
        <v>645</v>
      </c>
      <c r="AC408" s="324" t="s">
        <v>55</v>
      </c>
      <c r="AD408" s="324" t="s">
        <v>55</v>
      </c>
      <c r="AE408" s="324">
        <v>0</v>
      </c>
      <c r="AF408" s="324" t="s">
        <v>513</v>
      </c>
      <c r="AG408" s="324">
        <v>420000</v>
      </c>
      <c r="AH408" s="324">
        <v>420000</v>
      </c>
      <c r="AI408" s="324" t="s">
        <v>55</v>
      </c>
      <c r="AJ408" s="324">
        <v>420000</v>
      </c>
      <c r="AK408" s="324" t="s">
        <v>55</v>
      </c>
      <c r="AL408" s="324" t="s">
        <v>55</v>
      </c>
      <c r="AM408" s="324" t="s">
        <v>55</v>
      </c>
    </row>
    <row r="409" spans="1:39" s="324" customFormat="1" ht="0.65" hidden="1" customHeight="1">
      <c r="A409" s="324">
        <v>1177</v>
      </c>
      <c r="G409" s="324" t="s">
        <v>412</v>
      </c>
      <c r="AA409" s="324">
        <v>4</v>
      </c>
      <c r="AB409" s="324" t="s">
        <v>645</v>
      </c>
      <c r="AC409" s="324" t="s">
        <v>55</v>
      </c>
      <c r="AD409" s="324" t="s">
        <v>55</v>
      </c>
      <c r="AE409" s="324">
        <v>0</v>
      </c>
      <c r="AF409" s="324" t="s">
        <v>515</v>
      </c>
      <c r="AG409" s="324">
        <v>420000</v>
      </c>
      <c r="AH409" s="324">
        <v>420000</v>
      </c>
      <c r="AI409" s="324" t="s">
        <v>55</v>
      </c>
      <c r="AJ409" s="324">
        <v>420000</v>
      </c>
      <c r="AK409" s="324" t="s">
        <v>55</v>
      </c>
      <c r="AL409" s="324" t="s">
        <v>55</v>
      </c>
      <c r="AM409" s="324" t="s">
        <v>55</v>
      </c>
    </row>
    <row r="410" spans="1:39" s="324" customFormat="1" ht="0.65" hidden="1" customHeight="1">
      <c r="A410" s="324">
        <v>1178</v>
      </c>
      <c r="AA410" s="324">
        <v>5</v>
      </c>
      <c r="AB410" s="324" t="s">
        <v>645</v>
      </c>
      <c r="AC410" s="324" t="s">
        <v>55</v>
      </c>
      <c r="AD410" s="324" t="s">
        <v>55</v>
      </c>
      <c r="AE410" s="324">
        <v>0</v>
      </c>
      <c r="AF410" s="324" t="s">
        <v>517</v>
      </c>
      <c r="AG410" s="324">
        <v>300000</v>
      </c>
      <c r="AH410" s="324">
        <v>300000</v>
      </c>
      <c r="AI410" s="324" t="s">
        <v>55</v>
      </c>
      <c r="AJ410" s="324">
        <v>300000</v>
      </c>
      <c r="AK410" s="324" t="s">
        <v>55</v>
      </c>
      <c r="AL410" s="324" t="s">
        <v>55</v>
      </c>
      <c r="AM410" s="324" t="s">
        <v>55</v>
      </c>
    </row>
    <row r="411" spans="1:39" s="324" customFormat="1" ht="0.65" hidden="1" customHeight="1">
      <c r="A411" s="324">
        <v>1179</v>
      </c>
      <c r="AA411" s="324">
        <v>6</v>
      </c>
      <c r="AB411" s="324" t="s">
        <v>645</v>
      </c>
      <c r="AC411" s="324" t="s">
        <v>55</v>
      </c>
      <c r="AD411" s="324" t="s">
        <v>55</v>
      </c>
      <c r="AE411" s="324">
        <v>0</v>
      </c>
      <c r="AF411" s="324" t="s">
        <v>521</v>
      </c>
      <c r="AG411" s="324">
        <v>300000</v>
      </c>
      <c r="AH411" s="324">
        <v>300000</v>
      </c>
      <c r="AI411" s="324" t="s">
        <v>55</v>
      </c>
      <c r="AJ411" s="324">
        <v>300000</v>
      </c>
      <c r="AK411" s="324" t="s">
        <v>55</v>
      </c>
      <c r="AL411" s="324" t="s">
        <v>55</v>
      </c>
      <c r="AM411" s="324" t="s">
        <v>55</v>
      </c>
    </row>
    <row r="412" spans="1:39" s="324" customFormat="1" ht="0.65" hidden="1" customHeight="1">
      <c r="A412" s="324">
        <v>1180</v>
      </c>
      <c r="AA412" s="324">
        <v>7</v>
      </c>
      <c r="AB412" s="324" t="s">
        <v>645</v>
      </c>
      <c r="AC412" s="324" t="s">
        <v>55</v>
      </c>
      <c r="AD412" s="324" t="s">
        <v>55</v>
      </c>
      <c r="AE412" s="324">
        <v>0</v>
      </c>
      <c r="AF412" s="324" t="s">
        <v>523</v>
      </c>
      <c r="AG412" s="324">
        <v>300000</v>
      </c>
      <c r="AH412" s="324">
        <v>300000</v>
      </c>
      <c r="AI412" s="324" t="s">
        <v>55</v>
      </c>
      <c r="AJ412" s="324">
        <v>300000</v>
      </c>
      <c r="AK412" s="324" t="s">
        <v>55</v>
      </c>
      <c r="AL412" s="324" t="s">
        <v>55</v>
      </c>
      <c r="AM412" s="324" t="s">
        <v>55</v>
      </c>
    </row>
    <row r="413" spans="1:39" s="324" customFormat="1" ht="0.65" hidden="1" customHeight="1">
      <c r="A413" s="324">
        <v>1181</v>
      </c>
      <c r="G413" s="324" t="s">
        <v>0</v>
      </c>
      <c r="H413" s="324" t="s">
        <v>69</v>
      </c>
      <c r="I413" s="324" t="s">
        <v>70</v>
      </c>
      <c r="J413" s="324" t="s">
        <v>71</v>
      </c>
      <c r="K413" s="324" t="s">
        <v>72</v>
      </c>
      <c r="L413" s="324" t="s">
        <v>73</v>
      </c>
      <c r="M413" s="324" t="s">
        <v>74</v>
      </c>
      <c r="N413" s="324" t="s">
        <v>75</v>
      </c>
      <c r="O413" s="324" t="s">
        <v>80</v>
      </c>
      <c r="P413" s="324" t="s">
        <v>1</v>
      </c>
      <c r="AA413" s="324">
        <v>8</v>
      </c>
      <c r="AB413" s="324" t="s">
        <v>645</v>
      </c>
      <c r="AC413" s="324" t="s">
        <v>55</v>
      </c>
      <c r="AD413" s="324" t="s">
        <v>55</v>
      </c>
      <c r="AE413" s="324">
        <v>0</v>
      </c>
      <c r="AF413" s="324" t="s">
        <v>525</v>
      </c>
      <c r="AG413" s="324">
        <v>50000</v>
      </c>
      <c r="AH413" s="324">
        <v>50000</v>
      </c>
      <c r="AI413" s="324" t="s">
        <v>55</v>
      </c>
      <c r="AJ413" s="324">
        <v>50000</v>
      </c>
      <c r="AK413" s="324" t="s">
        <v>55</v>
      </c>
      <c r="AL413" s="324" t="s">
        <v>55</v>
      </c>
      <c r="AM413" s="324" t="s">
        <v>55</v>
      </c>
    </row>
    <row r="414" spans="1:39" s="324" customFormat="1" ht="0.65" hidden="1" customHeight="1">
      <c r="A414" s="324">
        <v>1182</v>
      </c>
      <c r="G414" s="324">
        <v>2021</v>
      </c>
      <c r="P414" s="324" t="s">
        <v>645</v>
      </c>
      <c r="AA414" s="324">
        <v>9</v>
      </c>
      <c r="AB414" s="324" t="s">
        <v>645</v>
      </c>
      <c r="AC414" s="324" t="s">
        <v>55</v>
      </c>
      <c r="AD414" s="324" t="s">
        <v>55</v>
      </c>
      <c r="AE414" s="324">
        <v>0</v>
      </c>
      <c r="AF414" s="324" t="s">
        <v>528</v>
      </c>
      <c r="AG414" s="324">
        <v>50000</v>
      </c>
      <c r="AH414" s="324">
        <v>50000</v>
      </c>
      <c r="AI414" s="324" t="s">
        <v>55</v>
      </c>
      <c r="AJ414" s="324">
        <v>50000</v>
      </c>
      <c r="AK414" s="324" t="s">
        <v>55</v>
      </c>
      <c r="AL414" s="324" t="s">
        <v>55</v>
      </c>
      <c r="AM414" s="324" t="s">
        <v>55</v>
      </c>
    </row>
    <row r="415" spans="1:39" s="324" customFormat="1" ht="0.65" hidden="1" customHeight="1">
      <c r="A415" s="324">
        <v>1183</v>
      </c>
      <c r="G415" s="324">
        <v>2022</v>
      </c>
      <c r="H415" s="324" t="s">
        <v>645</v>
      </c>
      <c r="I415" s="324" t="s">
        <v>645</v>
      </c>
      <c r="J415" s="324" t="s">
        <v>645</v>
      </c>
      <c r="K415" s="324" t="s">
        <v>645</v>
      </c>
      <c r="L415" s="324" t="s">
        <v>645</v>
      </c>
      <c r="M415" s="324" t="s">
        <v>645</v>
      </c>
      <c r="N415" s="324" t="s">
        <v>645</v>
      </c>
      <c r="O415" s="324" t="s">
        <v>645</v>
      </c>
      <c r="P415" s="324" t="s">
        <v>645</v>
      </c>
      <c r="AA415" s="324">
        <v>10</v>
      </c>
      <c r="AB415" s="324" t="s">
        <v>645</v>
      </c>
      <c r="AC415" s="324" t="s">
        <v>55</v>
      </c>
      <c r="AD415" s="324" t="s">
        <v>55</v>
      </c>
      <c r="AE415" s="324">
        <v>0</v>
      </c>
      <c r="AF415" s="324" t="s">
        <v>530</v>
      </c>
      <c r="AG415" s="324">
        <v>100000</v>
      </c>
      <c r="AH415" s="324">
        <v>100000</v>
      </c>
      <c r="AI415" s="324" t="s">
        <v>55</v>
      </c>
      <c r="AJ415" s="324">
        <v>100000</v>
      </c>
      <c r="AK415" s="324" t="s">
        <v>55</v>
      </c>
      <c r="AL415" s="324" t="s">
        <v>55</v>
      </c>
      <c r="AM415" s="324" t="s">
        <v>55</v>
      </c>
    </row>
    <row r="416" spans="1:39" s="324" customFormat="1" ht="0.65" hidden="1" customHeight="1">
      <c r="A416" s="324">
        <v>1184</v>
      </c>
      <c r="G416" s="324">
        <v>2023</v>
      </c>
      <c r="H416" s="324" t="s">
        <v>645</v>
      </c>
      <c r="I416" s="324" t="s">
        <v>645</v>
      </c>
      <c r="J416" s="324" t="s">
        <v>645</v>
      </c>
      <c r="K416" s="324" t="s">
        <v>645</v>
      </c>
      <c r="L416" s="324" t="s">
        <v>645</v>
      </c>
      <c r="M416" s="324" t="s">
        <v>645</v>
      </c>
      <c r="N416" s="324" t="s">
        <v>645</v>
      </c>
      <c r="O416" s="324" t="s">
        <v>645</v>
      </c>
      <c r="P416" s="324" t="s">
        <v>645</v>
      </c>
      <c r="AA416" s="324">
        <v>11</v>
      </c>
      <c r="AB416" s="324" t="s">
        <v>645</v>
      </c>
      <c r="AC416" s="324" t="s">
        <v>55</v>
      </c>
      <c r="AD416" s="324" t="s">
        <v>55</v>
      </c>
      <c r="AE416" s="324">
        <v>0</v>
      </c>
      <c r="AF416" s="324" t="s">
        <v>533</v>
      </c>
      <c r="AG416" s="324">
        <v>70000</v>
      </c>
      <c r="AH416" s="324">
        <v>70000</v>
      </c>
      <c r="AI416" s="324" t="s">
        <v>55</v>
      </c>
      <c r="AJ416" s="324">
        <v>70000</v>
      </c>
      <c r="AK416" s="324" t="s">
        <v>55</v>
      </c>
      <c r="AL416" s="324" t="s">
        <v>55</v>
      </c>
      <c r="AM416" s="324" t="s">
        <v>55</v>
      </c>
    </row>
    <row r="417" spans="1:39" s="324" customFormat="1" ht="0.65" hidden="1" customHeight="1">
      <c r="A417" s="324">
        <v>1185</v>
      </c>
      <c r="G417" s="324">
        <v>2024</v>
      </c>
      <c r="H417" s="324" t="s">
        <v>645</v>
      </c>
      <c r="I417" s="324" t="s">
        <v>645</v>
      </c>
      <c r="J417" s="324" t="s">
        <v>645</v>
      </c>
      <c r="K417" s="324" t="s">
        <v>645</v>
      </c>
      <c r="L417" s="324" t="s">
        <v>645</v>
      </c>
      <c r="M417" s="324" t="s">
        <v>645</v>
      </c>
      <c r="N417" s="324" t="s">
        <v>645</v>
      </c>
      <c r="O417" s="324" t="s">
        <v>645</v>
      </c>
      <c r="P417" s="324" t="s">
        <v>645</v>
      </c>
      <c r="AA417" s="324">
        <v>12</v>
      </c>
      <c r="AB417" s="324" t="s">
        <v>645</v>
      </c>
      <c r="AC417" s="324" t="s">
        <v>55</v>
      </c>
      <c r="AD417" s="324" t="s">
        <v>55</v>
      </c>
      <c r="AE417" s="324">
        <v>0</v>
      </c>
      <c r="AF417" s="324" t="s">
        <v>536</v>
      </c>
      <c r="AG417" s="324">
        <v>70000</v>
      </c>
      <c r="AH417" s="324">
        <v>70000</v>
      </c>
      <c r="AI417" s="324" t="s">
        <v>55</v>
      </c>
      <c r="AJ417" s="324">
        <v>70000</v>
      </c>
      <c r="AK417" s="324" t="s">
        <v>55</v>
      </c>
      <c r="AL417" s="324" t="s">
        <v>55</v>
      </c>
      <c r="AM417" s="324" t="s">
        <v>55</v>
      </c>
    </row>
    <row r="418" spans="1:39" s="324" customFormat="1" ht="0.65" hidden="1" customHeight="1">
      <c r="A418" s="324">
        <v>1186</v>
      </c>
      <c r="AA418" s="324">
        <v>13</v>
      </c>
      <c r="AB418" s="324" t="s">
        <v>645</v>
      </c>
      <c r="AC418" s="324" t="s">
        <v>55</v>
      </c>
      <c r="AD418" s="324" t="s">
        <v>55</v>
      </c>
      <c r="AE418" s="324">
        <v>0</v>
      </c>
      <c r="AF418" s="324" t="s">
        <v>538</v>
      </c>
      <c r="AG418" s="324">
        <v>20000</v>
      </c>
      <c r="AH418" s="324">
        <v>20000</v>
      </c>
      <c r="AI418" s="324" t="s">
        <v>55</v>
      </c>
      <c r="AJ418" s="324">
        <v>20000</v>
      </c>
      <c r="AK418" s="324" t="s">
        <v>55</v>
      </c>
      <c r="AL418" s="324" t="s">
        <v>55</v>
      </c>
      <c r="AM418" s="324" t="s">
        <v>55</v>
      </c>
    </row>
    <row r="419" spans="1:39" s="324" customFormat="1" ht="0.65" hidden="1" customHeight="1">
      <c r="A419" s="324">
        <v>1187</v>
      </c>
      <c r="G419" s="324" t="s">
        <v>0</v>
      </c>
      <c r="H419" s="324" t="s">
        <v>76</v>
      </c>
      <c r="I419" s="324" t="s">
        <v>77</v>
      </c>
      <c r="J419" s="324" t="s">
        <v>78</v>
      </c>
      <c r="K419" s="324" t="s">
        <v>79</v>
      </c>
      <c r="AA419" s="324">
        <v>14</v>
      </c>
      <c r="AB419" s="324" t="s">
        <v>645</v>
      </c>
      <c r="AC419" s="324" t="s">
        <v>55</v>
      </c>
      <c r="AD419" s="324" t="s">
        <v>55</v>
      </c>
      <c r="AE419" s="324">
        <v>0</v>
      </c>
      <c r="AF419" s="324" t="s">
        <v>541</v>
      </c>
      <c r="AG419" s="324">
        <v>17500</v>
      </c>
      <c r="AH419" s="324">
        <v>17500</v>
      </c>
      <c r="AI419" s="324" t="s">
        <v>55</v>
      </c>
      <c r="AJ419" s="324">
        <v>17500</v>
      </c>
      <c r="AK419" s="324" t="s">
        <v>55</v>
      </c>
      <c r="AL419" s="324" t="s">
        <v>55</v>
      </c>
      <c r="AM419" s="324" t="s">
        <v>55</v>
      </c>
    </row>
    <row r="420" spans="1:39" s="324" customFormat="1" ht="0.65" hidden="1" customHeight="1">
      <c r="A420" s="324">
        <v>1188</v>
      </c>
      <c r="G420" s="324">
        <v>2021</v>
      </c>
      <c r="M420" s="324" t="s">
        <v>456</v>
      </c>
      <c r="N420" s="324" t="s">
        <v>645</v>
      </c>
      <c r="O420" s="324" t="s">
        <v>124</v>
      </c>
      <c r="P420" s="324" t="s">
        <v>645</v>
      </c>
      <c r="AA420" s="324">
        <v>15</v>
      </c>
      <c r="AB420" s="324" t="s">
        <v>645</v>
      </c>
      <c r="AC420" s="324" t="s">
        <v>55</v>
      </c>
      <c r="AD420" s="324" t="s">
        <v>55</v>
      </c>
      <c r="AE420" s="324">
        <v>0</v>
      </c>
      <c r="AF420" s="324" t="s">
        <v>544</v>
      </c>
      <c r="AG420" s="324">
        <v>17500</v>
      </c>
      <c r="AH420" s="324">
        <v>17500</v>
      </c>
      <c r="AI420" s="324" t="s">
        <v>55</v>
      </c>
      <c r="AJ420" s="324">
        <v>17500</v>
      </c>
      <c r="AK420" s="324" t="s">
        <v>55</v>
      </c>
      <c r="AL420" s="324" t="s">
        <v>55</v>
      </c>
      <c r="AM420" s="324" t="s">
        <v>55</v>
      </c>
    </row>
    <row r="421" spans="1:39" s="324" customFormat="1" ht="0.65" hidden="1" customHeight="1">
      <c r="A421" s="324">
        <v>1189</v>
      </c>
      <c r="G421" s="324">
        <v>2022</v>
      </c>
      <c r="H421" s="324" t="s">
        <v>645</v>
      </c>
      <c r="I421" s="324" t="s">
        <v>645</v>
      </c>
      <c r="J421" s="324" t="s">
        <v>645</v>
      </c>
      <c r="K421" s="324" t="s">
        <v>645</v>
      </c>
      <c r="M421" s="324" t="s">
        <v>457</v>
      </c>
      <c r="N421" s="324" t="s">
        <v>645</v>
      </c>
      <c r="O421" s="324" t="s">
        <v>125</v>
      </c>
      <c r="P421" s="324" t="s">
        <v>645</v>
      </c>
      <c r="AA421" s="324">
        <v>16</v>
      </c>
      <c r="AB421" s="324" t="s">
        <v>645</v>
      </c>
      <c r="AC421" s="324" t="s">
        <v>55</v>
      </c>
      <c r="AD421" s="324" t="s">
        <v>55</v>
      </c>
      <c r="AE421" s="324">
        <v>0</v>
      </c>
      <c r="AF421" s="324" t="s">
        <v>546</v>
      </c>
      <c r="AG421" s="324">
        <v>5000</v>
      </c>
      <c r="AH421" s="324">
        <v>5000</v>
      </c>
      <c r="AI421" s="324" t="s">
        <v>55</v>
      </c>
      <c r="AJ421" s="324">
        <v>5000</v>
      </c>
      <c r="AK421" s="324" t="s">
        <v>55</v>
      </c>
      <c r="AL421" s="324" t="s">
        <v>55</v>
      </c>
      <c r="AM421" s="324" t="s">
        <v>55</v>
      </c>
    </row>
    <row r="422" spans="1:39" s="324" customFormat="1" ht="0.65" hidden="1" customHeight="1">
      <c r="A422" s="324">
        <v>1190</v>
      </c>
      <c r="G422" s="324">
        <v>2023</v>
      </c>
      <c r="H422" s="324" t="s">
        <v>645</v>
      </c>
      <c r="I422" s="324" t="s">
        <v>645</v>
      </c>
      <c r="J422" s="324" t="s">
        <v>645</v>
      </c>
      <c r="K422" s="324" t="s">
        <v>645</v>
      </c>
      <c r="M422" s="324" t="s">
        <v>458</v>
      </c>
      <c r="N422" s="324" t="s">
        <v>645</v>
      </c>
      <c r="O422" s="324" t="s">
        <v>126</v>
      </c>
      <c r="P422" s="324" t="s">
        <v>645</v>
      </c>
      <c r="AA422" s="324">
        <v>17</v>
      </c>
      <c r="AB422" s="324" t="s">
        <v>645</v>
      </c>
      <c r="AC422" s="324" t="s">
        <v>55</v>
      </c>
      <c r="AD422" s="324" t="s">
        <v>55</v>
      </c>
      <c r="AE422" s="324">
        <v>0</v>
      </c>
      <c r="AF422" s="324" t="s">
        <v>549</v>
      </c>
      <c r="AG422" s="324">
        <v>52500</v>
      </c>
      <c r="AH422" s="324">
        <v>52500</v>
      </c>
      <c r="AI422" s="324" t="s">
        <v>55</v>
      </c>
      <c r="AJ422" s="324">
        <v>52500</v>
      </c>
      <c r="AK422" s="324" t="s">
        <v>55</v>
      </c>
      <c r="AL422" s="324" t="s">
        <v>55</v>
      </c>
      <c r="AM422" s="324" t="s">
        <v>55</v>
      </c>
    </row>
    <row r="423" spans="1:39" s="324" customFormat="1" ht="0.65" hidden="1" customHeight="1">
      <c r="A423" s="324">
        <v>1191</v>
      </c>
      <c r="G423" s="324">
        <v>2024</v>
      </c>
      <c r="H423" s="324" t="s">
        <v>645</v>
      </c>
      <c r="I423" s="324" t="s">
        <v>645</v>
      </c>
      <c r="J423" s="324" t="s">
        <v>645</v>
      </c>
      <c r="K423" s="324" t="s">
        <v>645</v>
      </c>
      <c r="M423" s="324" t="s">
        <v>459</v>
      </c>
      <c r="N423" s="324" t="s">
        <v>645</v>
      </c>
      <c r="AA423" s="324">
        <v>18</v>
      </c>
      <c r="AB423" s="324" t="s">
        <v>645</v>
      </c>
      <c r="AC423" s="324" t="s">
        <v>55</v>
      </c>
      <c r="AD423" s="324" t="s">
        <v>55</v>
      </c>
      <c r="AE423" s="324">
        <v>0</v>
      </c>
      <c r="AF423" s="324" t="s">
        <v>552</v>
      </c>
      <c r="AG423" s="324">
        <v>52500</v>
      </c>
      <c r="AH423" s="324">
        <v>52500</v>
      </c>
      <c r="AI423" s="324" t="s">
        <v>55</v>
      </c>
      <c r="AJ423" s="324">
        <v>52500</v>
      </c>
      <c r="AK423" s="324" t="s">
        <v>55</v>
      </c>
      <c r="AL423" s="324" t="s">
        <v>55</v>
      </c>
      <c r="AM423" s="324" t="s">
        <v>55</v>
      </c>
    </row>
    <row r="424" spans="1:39" s="324" customFormat="1" ht="0.65" hidden="1" customHeight="1">
      <c r="A424" s="324">
        <v>1192</v>
      </c>
      <c r="AA424" s="324">
        <v>19</v>
      </c>
      <c r="AB424" s="324" t="s">
        <v>645</v>
      </c>
      <c r="AC424" s="324" t="s">
        <v>55</v>
      </c>
      <c r="AD424" s="324" t="s">
        <v>55</v>
      </c>
      <c r="AE424" s="324">
        <v>0</v>
      </c>
      <c r="AF424" s="324" t="s">
        <v>554</v>
      </c>
      <c r="AG424" s="324">
        <v>15000</v>
      </c>
      <c r="AH424" s="324">
        <v>15000</v>
      </c>
      <c r="AI424" s="324" t="s">
        <v>55</v>
      </c>
      <c r="AJ424" s="324">
        <v>15000</v>
      </c>
      <c r="AK424" s="324" t="s">
        <v>55</v>
      </c>
      <c r="AL424" s="324" t="s">
        <v>55</v>
      </c>
      <c r="AM424" s="324" t="s">
        <v>55</v>
      </c>
    </row>
    <row r="425" spans="1:39" s="324" customFormat="1" ht="0.65" hidden="1" customHeight="1">
      <c r="A425" s="324">
        <v>1193</v>
      </c>
      <c r="O425" s="324" t="s">
        <v>13</v>
      </c>
      <c r="P425" s="324" t="s">
        <v>645</v>
      </c>
      <c r="AA425" s="324">
        <v>20</v>
      </c>
      <c r="AB425" s="324" t="s">
        <v>645</v>
      </c>
      <c r="AC425" s="324" t="s">
        <v>55</v>
      </c>
      <c r="AD425" s="324" t="s">
        <v>55</v>
      </c>
      <c r="AE425" s="324">
        <v>0</v>
      </c>
      <c r="AF425" s="324" t="s">
        <v>557</v>
      </c>
      <c r="AG425" s="324">
        <v>102500</v>
      </c>
      <c r="AH425" s="324">
        <v>102500</v>
      </c>
      <c r="AI425" s="324" t="s">
        <v>55</v>
      </c>
      <c r="AJ425" s="324">
        <v>102500</v>
      </c>
      <c r="AK425" s="324" t="s">
        <v>55</v>
      </c>
      <c r="AL425" s="324" t="s">
        <v>55</v>
      </c>
      <c r="AM425" s="324" t="s">
        <v>55</v>
      </c>
    </row>
    <row r="426" spans="1:39" s="324" customFormat="1" ht="0.65" hidden="1" customHeight="1">
      <c r="A426" s="324">
        <v>1194</v>
      </c>
      <c r="O426" s="324" t="s">
        <v>28</v>
      </c>
      <c r="P426" s="324" t="s">
        <v>645</v>
      </c>
      <c r="AA426" s="324">
        <v>21</v>
      </c>
      <c r="AB426" s="324" t="s">
        <v>645</v>
      </c>
      <c r="AC426" s="324" t="s">
        <v>55</v>
      </c>
      <c r="AD426" s="324" t="s">
        <v>55</v>
      </c>
      <c r="AE426" s="324">
        <v>0</v>
      </c>
      <c r="AF426" s="324" t="s">
        <v>560</v>
      </c>
      <c r="AG426" s="324">
        <v>102500</v>
      </c>
      <c r="AH426" s="324">
        <v>102500</v>
      </c>
      <c r="AI426" s="324" t="s">
        <v>55</v>
      </c>
      <c r="AJ426" s="324">
        <v>102500</v>
      </c>
      <c r="AK426" s="324" t="s">
        <v>55</v>
      </c>
      <c r="AL426" s="324" t="s">
        <v>55</v>
      </c>
      <c r="AM426" s="324" t="s">
        <v>55</v>
      </c>
    </row>
    <row r="427" spans="1:39" s="324" customFormat="1" ht="0.65" hidden="1" customHeight="1">
      <c r="A427" s="324">
        <v>1195</v>
      </c>
      <c r="O427" s="324" t="s">
        <v>29</v>
      </c>
      <c r="AA427" s="324">
        <v>22</v>
      </c>
      <c r="AB427" s="324" t="s">
        <v>645</v>
      </c>
      <c r="AC427" s="324" t="s">
        <v>55</v>
      </c>
      <c r="AD427" s="324" t="s">
        <v>55</v>
      </c>
      <c r="AE427" s="324">
        <v>0</v>
      </c>
      <c r="AF427" s="324" t="s">
        <v>562</v>
      </c>
      <c r="AG427" s="324">
        <v>115000</v>
      </c>
      <c r="AH427" s="324">
        <v>115000</v>
      </c>
      <c r="AI427" s="324" t="s">
        <v>55</v>
      </c>
      <c r="AJ427" s="324">
        <v>115000</v>
      </c>
      <c r="AK427" s="324" t="s">
        <v>55</v>
      </c>
      <c r="AL427" s="324" t="s">
        <v>55</v>
      </c>
      <c r="AM427" s="324" t="s">
        <v>55</v>
      </c>
    </row>
    <row r="428" spans="1:39" s="324" customFormat="1" ht="0.65" hidden="1" customHeight="1">
      <c r="A428" s="324">
        <v>1196</v>
      </c>
      <c r="O428" s="324" t="s">
        <v>30</v>
      </c>
      <c r="AA428" s="324">
        <v>23</v>
      </c>
      <c r="AB428" s="324" t="s">
        <v>645</v>
      </c>
      <c r="AC428" s="324" t="s">
        <v>55</v>
      </c>
      <c r="AD428" s="324" t="s">
        <v>55</v>
      </c>
      <c r="AE428" s="324">
        <v>0</v>
      </c>
      <c r="AF428" s="324" t="s">
        <v>565</v>
      </c>
      <c r="AG428" s="324">
        <v>105000</v>
      </c>
      <c r="AH428" s="324">
        <v>105000</v>
      </c>
      <c r="AI428" s="324" t="s">
        <v>55</v>
      </c>
      <c r="AJ428" s="324">
        <v>105000</v>
      </c>
      <c r="AK428" s="324" t="s">
        <v>55</v>
      </c>
      <c r="AL428" s="324" t="s">
        <v>55</v>
      </c>
      <c r="AM428" s="324" t="s">
        <v>55</v>
      </c>
    </row>
    <row r="429" spans="1:39" s="324" customFormat="1" ht="0.65" hidden="1" customHeight="1">
      <c r="A429" s="324">
        <v>1197</v>
      </c>
      <c r="AA429" s="324">
        <v>24</v>
      </c>
      <c r="AB429" s="324" t="s">
        <v>645</v>
      </c>
      <c r="AC429" s="324" t="s">
        <v>55</v>
      </c>
      <c r="AD429" s="324" t="s">
        <v>55</v>
      </c>
      <c r="AE429" s="324">
        <v>0</v>
      </c>
      <c r="AF429" s="324" t="s">
        <v>568</v>
      </c>
      <c r="AG429" s="324">
        <v>105000</v>
      </c>
      <c r="AH429" s="324">
        <v>105000</v>
      </c>
      <c r="AI429" s="324" t="s">
        <v>55</v>
      </c>
      <c r="AJ429" s="324">
        <v>105000</v>
      </c>
      <c r="AK429" s="324" t="s">
        <v>55</v>
      </c>
      <c r="AL429" s="324" t="s">
        <v>55</v>
      </c>
      <c r="AM429" s="324" t="s">
        <v>55</v>
      </c>
    </row>
    <row r="430" spans="1:39" s="324" customFormat="1" ht="0.65" hidden="1" customHeight="1">
      <c r="A430" s="324">
        <v>1198</v>
      </c>
      <c r="AA430" s="324">
        <v>25</v>
      </c>
      <c r="AB430" s="324" t="s">
        <v>645</v>
      </c>
      <c r="AC430" s="324" t="s">
        <v>55</v>
      </c>
      <c r="AD430" s="324" t="s">
        <v>55</v>
      </c>
      <c r="AE430" s="324">
        <v>0</v>
      </c>
      <c r="AF430" s="324" t="s">
        <v>570</v>
      </c>
      <c r="AG430" s="324">
        <v>105000</v>
      </c>
      <c r="AH430" s="324">
        <v>105000</v>
      </c>
      <c r="AI430" s="324" t="s">
        <v>55</v>
      </c>
      <c r="AJ430" s="324">
        <v>105000</v>
      </c>
      <c r="AK430" s="324" t="s">
        <v>55</v>
      </c>
      <c r="AL430" s="324" t="s">
        <v>55</v>
      </c>
      <c r="AM430" s="324" t="s">
        <v>55</v>
      </c>
    </row>
    <row r="431" spans="1:39" s="324" customFormat="1" ht="0.65" hidden="1" customHeight="1">
      <c r="A431" s="324">
        <v>1199</v>
      </c>
      <c r="AA431" s="324">
        <v>26</v>
      </c>
      <c r="AB431" s="324" t="s">
        <v>645</v>
      </c>
      <c r="AC431" s="324" t="s">
        <v>55</v>
      </c>
      <c r="AD431" s="324" t="s">
        <v>55</v>
      </c>
      <c r="AE431" s="324">
        <v>0</v>
      </c>
      <c r="AF431" s="324" t="s">
        <v>572</v>
      </c>
      <c r="AG431" s="324">
        <v>50000</v>
      </c>
      <c r="AH431" s="324">
        <v>50000</v>
      </c>
      <c r="AI431" s="324" t="s">
        <v>55</v>
      </c>
      <c r="AJ431" s="324">
        <v>50000</v>
      </c>
      <c r="AK431" s="324" t="s">
        <v>55</v>
      </c>
      <c r="AL431" s="324" t="s">
        <v>55</v>
      </c>
      <c r="AM431" s="324" t="s">
        <v>55</v>
      </c>
    </row>
    <row r="432" spans="1:39" s="324" customFormat="1" ht="0.65" hidden="1" customHeight="1">
      <c r="A432" s="324">
        <v>1200</v>
      </c>
      <c r="AA432" s="324">
        <v>27</v>
      </c>
      <c r="AB432" s="324" t="s">
        <v>645</v>
      </c>
      <c r="AC432" s="324" t="s">
        <v>55</v>
      </c>
      <c r="AD432" s="324" t="s">
        <v>55</v>
      </c>
      <c r="AE432" s="324">
        <v>0</v>
      </c>
      <c r="AF432" s="324" t="s">
        <v>575</v>
      </c>
      <c r="AG432" s="324">
        <v>50000</v>
      </c>
      <c r="AH432" s="324">
        <v>50000</v>
      </c>
      <c r="AI432" s="324" t="s">
        <v>55</v>
      </c>
      <c r="AJ432" s="324">
        <v>50000</v>
      </c>
      <c r="AK432" s="324" t="s">
        <v>55</v>
      </c>
      <c r="AL432" s="324" t="s">
        <v>55</v>
      </c>
      <c r="AM432" s="324" t="s">
        <v>55</v>
      </c>
    </row>
    <row r="433" spans="1:39" s="324" customFormat="1" ht="0.65" hidden="1" customHeight="1">
      <c r="A433" s="324">
        <v>1201</v>
      </c>
      <c r="AA433" s="324">
        <v>28</v>
      </c>
      <c r="AB433" s="324" t="s">
        <v>645</v>
      </c>
      <c r="AC433" s="324" t="s">
        <v>55</v>
      </c>
      <c r="AD433" s="324" t="s">
        <v>55</v>
      </c>
      <c r="AE433" s="324">
        <v>0</v>
      </c>
      <c r="AF433" s="324" t="s">
        <v>577</v>
      </c>
      <c r="AG433" s="324">
        <v>50000</v>
      </c>
      <c r="AH433" s="324">
        <v>50000</v>
      </c>
      <c r="AI433" s="324" t="s">
        <v>55</v>
      </c>
      <c r="AJ433" s="324">
        <v>50000</v>
      </c>
      <c r="AK433" s="324" t="s">
        <v>55</v>
      </c>
      <c r="AL433" s="324" t="s">
        <v>55</v>
      </c>
      <c r="AM433" s="324" t="s">
        <v>55</v>
      </c>
    </row>
    <row r="434" spans="1:39" s="324" customFormat="1" ht="0.65" hidden="1" customHeight="1">
      <c r="A434" s="324">
        <v>1202</v>
      </c>
      <c r="AA434" s="324">
        <v>29</v>
      </c>
      <c r="AB434" s="324" t="s">
        <v>645</v>
      </c>
      <c r="AC434" s="324" t="s">
        <v>55</v>
      </c>
      <c r="AD434" s="324" t="s">
        <v>55</v>
      </c>
      <c r="AE434" s="324">
        <v>0</v>
      </c>
      <c r="AF434" s="324" t="s">
        <v>579</v>
      </c>
      <c r="AG434" s="324">
        <v>55000</v>
      </c>
      <c r="AH434" s="324">
        <v>55000</v>
      </c>
      <c r="AI434" s="324" t="s">
        <v>55</v>
      </c>
      <c r="AJ434" s="324">
        <v>55000</v>
      </c>
      <c r="AK434" s="324" t="s">
        <v>55</v>
      </c>
      <c r="AL434" s="324" t="s">
        <v>55</v>
      </c>
      <c r="AM434" s="324" t="s">
        <v>55</v>
      </c>
    </row>
    <row r="435" spans="1:39" s="324" customFormat="1" ht="0.65" hidden="1" customHeight="1">
      <c r="A435" s="324">
        <v>1203</v>
      </c>
      <c r="AA435" s="324">
        <v>30</v>
      </c>
      <c r="AB435" s="324" t="s">
        <v>645</v>
      </c>
      <c r="AC435" s="324" t="s">
        <v>55</v>
      </c>
      <c r="AD435" s="324" t="s">
        <v>55</v>
      </c>
      <c r="AE435" s="324">
        <v>0</v>
      </c>
      <c r="AF435" s="324" t="s">
        <v>582</v>
      </c>
      <c r="AG435" s="324">
        <v>55000</v>
      </c>
      <c r="AH435" s="324">
        <v>55000</v>
      </c>
      <c r="AI435" s="324" t="s">
        <v>55</v>
      </c>
      <c r="AJ435" s="324">
        <v>55000</v>
      </c>
      <c r="AK435" s="324" t="s">
        <v>55</v>
      </c>
      <c r="AL435" s="324" t="s">
        <v>55</v>
      </c>
      <c r="AM435" s="324" t="s">
        <v>55</v>
      </c>
    </row>
    <row r="436" spans="1:39" s="324" customFormat="1" ht="0.65" hidden="1" customHeight="1">
      <c r="A436" s="324">
        <v>1204</v>
      </c>
      <c r="AA436" s="324">
        <v>31</v>
      </c>
      <c r="AB436" s="324" t="s">
        <v>645</v>
      </c>
      <c r="AC436" s="324" t="s">
        <v>55</v>
      </c>
      <c r="AD436" s="324" t="s">
        <v>55</v>
      </c>
      <c r="AE436" s="324">
        <v>0</v>
      </c>
      <c r="AF436" s="324" t="s">
        <v>584</v>
      </c>
      <c r="AG436" s="324">
        <v>55000</v>
      </c>
      <c r="AH436" s="324">
        <v>55000</v>
      </c>
      <c r="AI436" s="324" t="s">
        <v>55</v>
      </c>
      <c r="AJ436" s="324">
        <v>55000</v>
      </c>
      <c r="AK436" s="324" t="s">
        <v>55</v>
      </c>
      <c r="AL436" s="324" t="s">
        <v>55</v>
      </c>
      <c r="AM436" s="324" t="s">
        <v>55</v>
      </c>
    </row>
    <row r="437" spans="1:39" s="324" customFormat="1" ht="0.65" hidden="1" customHeight="1">
      <c r="A437" s="324">
        <v>1205</v>
      </c>
      <c r="AA437" s="324">
        <v>32</v>
      </c>
      <c r="AB437" s="324" t="s">
        <v>645</v>
      </c>
      <c r="AC437" s="324" t="s">
        <v>55</v>
      </c>
      <c r="AD437" s="324" t="s">
        <v>55</v>
      </c>
      <c r="AE437" s="324">
        <v>0</v>
      </c>
      <c r="AF437" s="324" t="s">
        <v>586</v>
      </c>
      <c r="AG437" s="324">
        <v>55000</v>
      </c>
      <c r="AH437" s="324">
        <v>55000</v>
      </c>
      <c r="AI437" s="324" t="s">
        <v>55</v>
      </c>
      <c r="AJ437" s="324">
        <v>55000</v>
      </c>
      <c r="AK437" s="324" t="s">
        <v>55</v>
      </c>
      <c r="AL437" s="324" t="s">
        <v>55</v>
      </c>
      <c r="AM437" s="324" t="s">
        <v>55</v>
      </c>
    </row>
    <row r="438" spans="1:39" s="324" customFormat="1" ht="0.65" hidden="1" customHeight="1">
      <c r="A438" s="324">
        <v>1206</v>
      </c>
      <c r="AA438" s="324">
        <v>33</v>
      </c>
      <c r="AB438" s="324" t="s">
        <v>645</v>
      </c>
      <c r="AC438" s="324" t="s">
        <v>55</v>
      </c>
      <c r="AD438" s="324" t="s">
        <v>55</v>
      </c>
      <c r="AE438" s="324">
        <v>0</v>
      </c>
      <c r="AF438" s="324" t="s">
        <v>589</v>
      </c>
      <c r="AG438" s="324">
        <v>0</v>
      </c>
      <c r="AH438" s="324">
        <v>0</v>
      </c>
      <c r="AI438" s="324" t="s">
        <v>55</v>
      </c>
      <c r="AJ438" s="324">
        <v>0</v>
      </c>
      <c r="AK438" s="324" t="s">
        <v>55</v>
      </c>
      <c r="AL438" s="324" t="s">
        <v>55</v>
      </c>
      <c r="AM438" s="324" t="s">
        <v>55</v>
      </c>
    </row>
    <row r="439" spans="1:39" s="324" customFormat="1" ht="0.65" hidden="1" customHeight="1">
      <c r="A439" s="324">
        <v>1207</v>
      </c>
      <c r="AA439" s="324">
        <v>34</v>
      </c>
      <c r="AB439" s="324" t="s">
        <v>645</v>
      </c>
      <c r="AC439" s="324" t="s">
        <v>55</v>
      </c>
      <c r="AD439" s="324" t="s">
        <v>55</v>
      </c>
      <c r="AE439" s="324">
        <v>0</v>
      </c>
      <c r="AF439" s="324" t="s">
        <v>590</v>
      </c>
      <c r="AG439" s="324">
        <v>0</v>
      </c>
      <c r="AH439" s="324">
        <v>0</v>
      </c>
      <c r="AI439" s="324" t="s">
        <v>55</v>
      </c>
      <c r="AJ439" s="324">
        <v>0</v>
      </c>
      <c r="AK439" s="324" t="s">
        <v>55</v>
      </c>
      <c r="AL439" s="324" t="s">
        <v>55</v>
      </c>
      <c r="AM439" s="324" t="s">
        <v>55</v>
      </c>
    </row>
    <row r="440" spans="1:39" s="324" customFormat="1" ht="0.65" hidden="1" customHeight="1">
      <c r="A440" s="324">
        <v>1208</v>
      </c>
      <c r="AA440" s="324">
        <v>35</v>
      </c>
      <c r="AB440" s="324" t="s">
        <v>645</v>
      </c>
      <c r="AC440" s="324" t="s">
        <v>55</v>
      </c>
      <c r="AD440" s="324" t="s">
        <v>55</v>
      </c>
      <c r="AE440" s="324">
        <v>0</v>
      </c>
      <c r="AF440" s="324" t="s">
        <v>592</v>
      </c>
      <c r="AG440" s="324">
        <v>47500</v>
      </c>
      <c r="AH440" s="324">
        <v>47500</v>
      </c>
      <c r="AI440" s="324" t="s">
        <v>55</v>
      </c>
      <c r="AJ440" s="324">
        <v>47500</v>
      </c>
      <c r="AK440" s="324" t="s">
        <v>55</v>
      </c>
      <c r="AL440" s="324" t="s">
        <v>55</v>
      </c>
      <c r="AM440" s="324" t="s">
        <v>55</v>
      </c>
    </row>
    <row r="441" spans="1:39" s="324" customFormat="1" ht="0.65" hidden="1" customHeight="1">
      <c r="A441" s="324">
        <v>1209</v>
      </c>
      <c r="AA441" s="324">
        <v>36</v>
      </c>
      <c r="AB441" s="324" t="s">
        <v>645</v>
      </c>
      <c r="AC441" s="324" t="s">
        <v>55</v>
      </c>
      <c r="AD441" s="324" t="s">
        <v>55</v>
      </c>
      <c r="AE441" s="324">
        <v>0</v>
      </c>
      <c r="AF441" s="324" t="s">
        <v>595</v>
      </c>
      <c r="AG441" s="324">
        <v>102500</v>
      </c>
      <c r="AH441" s="324">
        <v>102500</v>
      </c>
      <c r="AI441" s="324" t="s">
        <v>55</v>
      </c>
      <c r="AJ441" s="324">
        <v>102500</v>
      </c>
      <c r="AK441" s="324" t="s">
        <v>55</v>
      </c>
      <c r="AL441" s="324" t="s">
        <v>55</v>
      </c>
      <c r="AM441" s="324" t="s">
        <v>55</v>
      </c>
    </row>
    <row r="442" spans="1:39" s="324" customFormat="1" ht="0.65" hidden="1" customHeight="1">
      <c r="A442" s="324">
        <v>1210</v>
      </c>
      <c r="AA442" s="324">
        <v>37</v>
      </c>
      <c r="AB442" s="324" t="s">
        <v>645</v>
      </c>
      <c r="AC442" s="324" t="s">
        <v>55</v>
      </c>
      <c r="AD442" s="324" t="s">
        <v>55</v>
      </c>
      <c r="AE442" s="324">
        <v>0</v>
      </c>
      <c r="AF442" s="324" t="s">
        <v>598</v>
      </c>
      <c r="AG442" s="324">
        <v>115000</v>
      </c>
      <c r="AH442" s="324">
        <v>115000</v>
      </c>
      <c r="AI442" s="324" t="s">
        <v>55</v>
      </c>
      <c r="AJ442" s="324">
        <v>115000</v>
      </c>
      <c r="AK442" s="324" t="s">
        <v>55</v>
      </c>
      <c r="AL442" s="324" t="s">
        <v>55</v>
      </c>
      <c r="AM442" s="324" t="s">
        <v>55</v>
      </c>
    </row>
    <row r="443" spans="1:39" s="324" customFormat="1" ht="0.65" hidden="1" customHeight="1">
      <c r="A443" s="324">
        <v>1211</v>
      </c>
      <c r="AA443" s="324">
        <v>38</v>
      </c>
      <c r="AB443" s="324" t="s">
        <v>645</v>
      </c>
      <c r="AC443" s="324" t="s">
        <v>55</v>
      </c>
      <c r="AD443" s="324" t="s">
        <v>55</v>
      </c>
      <c r="AE443" s="324">
        <v>0</v>
      </c>
      <c r="AF443" s="324" t="s">
        <v>491</v>
      </c>
      <c r="AG443" s="324">
        <v>400000</v>
      </c>
      <c r="AH443" s="324">
        <v>400000</v>
      </c>
      <c r="AI443" s="324" t="s">
        <v>55</v>
      </c>
      <c r="AJ443" s="324">
        <v>400000</v>
      </c>
      <c r="AK443" s="324" t="s">
        <v>55</v>
      </c>
      <c r="AL443" s="324" t="s">
        <v>55</v>
      </c>
      <c r="AM443" s="324" t="s">
        <v>55</v>
      </c>
    </row>
    <row r="444" spans="1:39" s="324" customFormat="1" ht="0.65" hidden="1" customHeight="1">
      <c r="A444" s="324">
        <v>1212</v>
      </c>
      <c r="AA444" s="324">
        <v>39</v>
      </c>
      <c r="AB444" s="324" t="s">
        <v>645</v>
      </c>
      <c r="AC444" s="324" t="s">
        <v>55</v>
      </c>
      <c r="AD444" s="324" t="s">
        <v>55</v>
      </c>
      <c r="AE444" s="324">
        <v>0</v>
      </c>
      <c r="AF444" s="324" t="s">
        <v>493</v>
      </c>
      <c r="AG444" s="324">
        <v>55000</v>
      </c>
      <c r="AH444" s="324">
        <v>55000</v>
      </c>
      <c r="AI444" s="324" t="s">
        <v>55</v>
      </c>
      <c r="AJ444" s="324">
        <v>55000</v>
      </c>
      <c r="AK444" s="324" t="s">
        <v>55</v>
      </c>
      <c r="AL444" s="324" t="s">
        <v>55</v>
      </c>
      <c r="AM444" s="324" t="s">
        <v>55</v>
      </c>
    </row>
    <row r="445" spans="1:39" s="324" customFormat="1" ht="0.65" hidden="1" customHeight="1">
      <c r="A445" s="324">
        <v>1213</v>
      </c>
      <c r="AA445" s="324">
        <v>40</v>
      </c>
      <c r="AB445" s="324" t="s">
        <v>645</v>
      </c>
      <c r="AC445" s="324" t="s">
        <v>55</v>
      </c>
      <c r="AD445" s="324" t="s">
        <v>55</v>
      </c>
      <c r="AE445" s="324">
        <v>0</v>
      </c>
      <c r="AF445" s="324" t="s">
        <v>494</v>
      </c>
      <c r="AG445" s="324">
        <v>455000</v>
      </c>
      <c r="AH445" s="324">
        <v>455000</v>
      </c>
      <c r="AI445" s="324" t="s">
        <v>55</v>
      </c>
      <c r="AJ445" s="324">
        <v>455000</v>
      </c>
      <c r="AK445" s="324" t="s">
        <v>55</v>
      </c>
      <c r="AL445" s="324" t="s">
        <v>55</v>
      </c>
      <c r="AM445" s="324" t="s">
        <v>55</v>
      </c>
    </row>
    <row r="446" spans="1:39" s="324" customFormat="1" ht="0.65" hidden="1" customHeight="1">
      <c r="A446" s="324">
        <v>1214</v>
      </c>
      <c r="AA446" s="324">
        <v>41</v>
      </c>
      <c r="AB446" s="324" t="s">
        <v>645</v>
      </c>
      <c r="AC446" s="324" t="s">
        <v>55</v>
      </c>
      <c r="AD446" s="324" t="s">
        <v>55</v>
      </c>
      <c r="AE446" s="324">
        <v>0</v>
      </c>
      <c r="AF446" s="324" t="s">
        <v>607</v>
      </c>
      <c r="AG446" s="324">
        <v>-825000</v>
      </c>
      <c r="AH446" s="324">
        <v>-825000</v>
      </c>
      <c r="AI446" s="324" t="s">
        <v>55</v>
      </c>
      <c r="AJ446" s="324">
        <v>-825000</v>
      </c>
      <c r="AK446" s="324" t="s">
        <v>55</v>
      </c>
      <c r="AL446" s="324" t="s">
        <v>55</v>
      </c>
      <c r="AM446" s="324" t="s">
        <v>55</v>
      </c>
    </row>
    <row r="447" spans="1:39" s="324" customFormat="1" ht="0.65" hidden="1" customHeight="1">
      <c r="A447" s="324">
        <v>1215</v>
      </c>
      <c r="AA447" s="324">
        <v>42</v>
      </c>
      <c r="AB447" s="324" t="s">
        <v>645</v>
      </c>
      <c r="AC447" s="324" t="s">
        <v>55</v>
      </c>
      <c r="AD447" s="324" t="s">
        <v>55</v>
      </c>
      <c r="AE447" s="324">
        <v>0</v>
      </c>
      <c r="AF447" s="324" t="s">
        <v>610</v>
      </c>
      <c r="AG447" s="324">
        <v>47500</v>
      </c>
      <c r="AH447" s="324">
        <v>47500</v>
      </c>
      <c r="AI447" s="324" t="s">
        <v>55</v>
      </c>
      <c r="AJ447" s="324">
        <v>47500</v>
      </c>
      <c r="AK447" s="324" t="s">
        <v>55</v>
      </c>
      <c r="AL447" s="324" t="s">
        <v>55</v>
      </c>
      <c r="AM447" s="324" t="s">
        <v>55</v>
      </c>
    </row>
    <row r="448" spans="1:39" s="324" customFormat="1" ht="0.65" hidden="1" customHeight="1">
      <c r="A448" s="324">
        <v>1216</v>
      </c>
      <c r="AA448" s="324">
        <v>43</v>
      </c>
      <c r="AB448" s="324" t="s">
        <v>645</v>
      </c>
      <c r="AC448" s="324" t="s">
        <v>55</v>
      </c>
      <c r="AD448" s="324" t="s">
        <v>55</v>
      </c>
      <c r="AE448" s="324">
        <v>0</v>
      </c>
      <c r="AF448" s="324" t="s">
        <v>611</v>
      </c>
      <c r="AG448" s="324">
        <v>102500</v>
      </c>
      <c r="AH448" s="324">
        <v>102500</v>
      </c>
      <c r="AI448" s="324" t="s">
        <v>55</v>
      </c>
      <c r="AJ448" s="324">
        <v>102500</v>
      </c>
      <c r="AK448" s="324" t="s">
        <v>55</v>
      </c>
      <c r="AL448" s="324" t="s">
        <v>55</v>
      </c>
      <c r="AM448" s="324" t="s">
        <v>55</v>
      </c>
    </row>
    <row r="449" spans="1:39" s="324" customFormat="1" ht="0.65" hidden="1" customHeight="1">
      <c r="A449" s="324">
        <v>1217</v>
      </c>
      <c r="AA449" s="324">
        <v>44</v>
      </c>
      <c r="AB449" s="324" t="s">
        <v>645</v>
      </c>
      <c r="AC449" s="324" t="s">
        <v>55</v>
      </c>
      <c r="AD449" s="324" t="s">
        <v>55</v>
      </c>
      <c r="AE449" s="324">
        <v>0</v>
      </c>
      <c r="AF449" s="324" t="s">
        <v>612</v>
      </c>
      <c r="AG449" s="324">
        <v>570000</v>
      </c>
      <c r="AH449" s="324">
        <v>570000</v>
      </c>
      <c r="AI449" s="324" t="s">
        <v>55</v>
      </c>
      <c r="AJ449" s="324">
        <v>570000</v>
      </c>
      <c r="AK449" s="324" t="s">
        <v>55</v>
      </c>
      <c r="AL449" s="324" t="s">
        <v>55</v>
      </c>
      <c r="AM449" s="324" t="s">
        <v>55</v>
      </c>
    </row>
    <row r="450" spans="1:39" s="324" customFormat="1" ht="0.65" hidden="1" customHeight="1">
      <c r="A450" s="324">
        <v>1218</v>
      </c>
      <c r="AA450" s="324">
        <v>45</v>
      </c>
      <c r="AB450" s="324" t="s">
        <v>645</v>
      </c>
      <c r="AC450" s="324" t="s">
        <v>55</v>
      </c>
      <c r="AD450" s="324" t="s">
        <v>55</v>
      </c>
      <c r="AE450" s="324">
        <v>0</v>
      </c>
      <c r="AF450" s="324" t="s">
        <v>124</v>
      </c>
      <c r="AG450" s="324">
        <v>3.7499999999999999E-2</v>
      </c>
      <c r="AH450" s="324">
        <v>3.7499999999999999E-2</v>
      </c>
      <c r="AI450" s="324" t="s">
        <v>55</v>
      </c>
      <c r="AJ450" s="324">
        <v>3.7499999999999999E-2</v>
      </c>
      <c r="AK450" s="324" t="s">
        <v>55</v>
      </c>
      <c r="AL450" s="324" t="s">
        <v>55</v>
      </c>
      <c r="AM450" s="324" t="s">
        <v>55</v>
      </c>
    </row>
    <row r="451" spans="1:39" s="324" customFormat="1" ht="0.65" hidden="1" customHeight="1">
      <c r="A451" s="324">
        <v>1219</v>
      </c>
      <c r="AA451" s="324">
        <v>46</v>
      </c>
      <c r="AB451" s="324" t="s">
        <v>645</v>
      </c>
      <c r="AC451" s="324" t="s">
        <v>55</v>
      </c>
      <c r="AD451" s="324" t="s">
        <v>55</v>
      </c>
      <c r="AE451" s="324">
        <v>0</v>
      </c>
      <c r="AF451" s="324" t="s">
        <v>125</v>
      </c>
      <c r="AG451" s="324">
        <v>8.249999999999999E-2</v>
      </c>
      <c r="AH451" s="324">
        <v>8.249999999999999E-2</v>
      </c>
      <c r="AI451" s="324" t="s">
        <v>55</v>
      </c>
      <c r="AJ451" s="324">
        <v>8.249999999999999E-2</v>
      </c>
      <c r="AK451" s="324" t="s">
        <v>55</v>
      </c>
      <c r="AL451" s="324" t="s">
        <v>55</v>
      </c>
      <c r="AM451" s="324" t="s">
        <v>55</v>
      </c>
    </row>
    <row r="452" spans="1:39" s="324" customFormat="1" ht="0.65" hidden="1" customHeight="1">
      <c r="A452" s="324">
        <v>1220</v>
      </c>
      <c r="AA452" s="324">
        <v>47</v>
      </c>
      <c r="AB452" s="324" t="s">
        <v>645</v>
      </c>
      <c r="AC452" s="324" t="s">
        <v>55</v>
      </c>
      <c r="AD452" s="324" t="s">
        <v>55</v>
      </c>
      <c r="AE452" s="324">
        <v>0</v>
      </c>
      <c r="AF452" s="324" t="s">
        <v>126</v>
      </c>
      <c r="AG452" s="324">
        <v>5.9999999999999991E-2</v>
      </c>
      <c r="AH452" s="324">
        <v>0.06</v>
      </c>
      <c r="AI452" s="324" t="s">
        <v>55</v>
      </c>
      <c r="AJ452" s="324">
        <v>5.9999999999999991E-2</v>
      </c>
      <c r="AK452" s="324" t="s">
        <v>55</v>
      </c>
      <c r="AL452" s="324" t="s">
        <v>55</v>
      </c>
      <c r="AM452" s="324" t="s">
        <v>55</v>
      </c>
    </row>
    <row r="453" spans="1:39" s="324" customFormat="1" ht="0.65" hidden="1" customHeight="1">
      <c r="A453" s="324">
        <v>1221</v>
      </c>
      <c r="AA453" s="324">
        <v>48</v>
      </c>
      <c r="AB453" s="324" t="s">
        <v>645</v>
      </c>
      <c r="AC453" s="324" t="s">
        <v>55</v>
      </c>
      <c r="AD453" s="324" t="s">
        <v>55</v>
      </c>
      <c r="AE453" s="324">
        <v>0</v>
      </c>
      <c r="AF453" s="324" t="s">
        <v>13</v>
      </c>
      <c r="AG453" s="324">
        <v>-210381.05281541136</v>
      </c>
      <c r="AH453" s="324">
        <v>-210381.05281541136</v>
      </c>
      <c r="AI453" s="324" t="s">
        <v>55</v>
      </c>
      <c r="AJ453" s="324">
        <v>-210381.05281541136</v>
      </c>
      <c r="AK453" s="324" t="s">
        <v>55</v>
      </c>
      <c r="AL453" s="324" t="s">
        <v>55</v>
      </c>
      <c r="AM453" s="324" t="s">
        <v>55</v>
      </c>
    </row>
    <row r="454" spans="1:39" s="324" customFormat="1" ht="0.65" hidden="1" customHeight="1">
      <c r="A454" s="324">
        <v>1222</v>
      </c>
      <c r="AA454" s="324">
        <v>49</v>
      </c>
      <c r="AB454" s="324" t="s">
        <v>645</v>
      </c>
      <c r="AC454" s="324" t="s">
        <v>55</v>
      </c>
      <c r="AD454" s="324" t="s">
        <v>55</v>
      </c>
      <c r="AE454" s="324">
        <v>0</v>
      </c>
      <c r="AF454" s="324" t="s">
        <v>28</v>
      </c>
      <c r="AG454" s="324">
        <v>-4.8576778446782765E-2</v>
      </c>
      <c r="AH454" s="324">
        <v>-4.8576778446782765E-2</v>
      </c>
      <c r="AI454" s="324" t="s">
        <v>55</v>
      </c>
      <c r="AJ454" s="324">
        <v>-4.8576778446782765E-2</v>
      </c>
      <c r="AK454" s="324" t="s">
        <v>55</v>
      </c>
      <c r="AL454" s="324" t="s">
        <v>55</v>
      </c>
      <c r="AM454" s="324" t="s">
        <v>55</v>
      </c>
    </row>
    <row r="455" spans="1:39" s="324" customFormat="1" ht="0.65" hidden="1" customHeight="1">
      <c r="A455" s="324">
        <v>1223</v>
      </c>
      <c r="AH455" s="324" t="s">
        <v>207</v>
      </c>
      <c r="AI455" s="324">
        <v>0</v>
      </c>
      <c r="AJ455" s="324" t="s">
        <v>207</v>
      </c>
      <c r="AK455" s="324">
        <v>0</v>
      </c>
    </row>
    <row r="456" spans="1:39" s="324" customFormat="1" ht="0.65" hidden="1" customHeight="1"/>
    <row r="457" spans="1:39" s="324" customFormat="1" ht="0.65" hidden="1" customHeight="1"/>
    <row r="458" spans="1:39" s="324" customFormat="1" ht="0.65" hidden="1" customHeight="1"/>
    <row r="459" spans="1:39" s="324" customFormat="1" ht="0.65" hidden="1" customHeight="1">
      <c r="B459" s="324" t="s">
        <v>19</v>
      </c>
      <c r="D459" s="324" t="s">
        <v>336</v>
      </c>
      <c r="E459" s="324">
        <v>2</v>
      </c>
    </row>
    <row r="460" spans="1:39" s="324" customFormat="1" ht="0.65" hidden="1" customHeight="1">
      <c r="B460" s="324" t="s">
        <v>3951</v>
      </c>
      <c r="D460" s="324" t="s">
        <v>336</v>
      </c>
      <c r="E460" s="324" t="s">
        <v>486</v>
      </c>
      <c r="H460" s="324" t="s">
        <v>55</v>
      </c>
      <c r="I460" s="324" t="s">
        <v>55</v>
      </c>
      <c r="J460" s="324" t="s">
        <v>55</v>
      </c>
      <c r="K460" s="324" t="s">
        <v>55</v>
      </c>
      <c r="L460" s="324" t="s">
        <v>55</v>
      </c>
      <c r="M460" s="324" t="s">
        <v>55</v>
      </c>
      <c r="N460" s="324" t="s">
        <v>55</v>
      </c>
      <c r="O460" s="324" t="s">
        <v>55</v>
      </c>
      <c r="P460" s="324" t="s">
        <v>55</v>
      </c>
    </row>
    <row r="461" spans="1:39" s="324" customFormat="1" ht="0.65" hidden="1" customHeight="1">
      <c r="A461" s="324">
        <v>2001</v>
      </c>
      <c r="C461" s="324" t="s">
        <v>5</v>
      </c>
      <c r="D461" s="324">
        <v>2022</v>
      </c>
      <c r="G461" s="324" t="s">
        <v>0</v>
      </c>
      <c r="H461" s="324" t="s">
        <v>69</v>
      </c>
      <c r="I461" s="324" t="s">
        <v>70</v>
      </c>
      <c r="J461" s="324" t="s">
        <v>71</v>
      </c>
      <c r="K461" s="324" t="s">
        <v>72</v>
      </c>
      <c r="L461" s="324" t="s">
        <v>73</v>
      </c>
      <c r="M461" s="324" t="s">
        <v>74</v>
      </c>
      <c r="N461" s="324" t="s">
        <v>75</v>
      </c>
      <c r="O461" s="324" t="s">
        <v>80</v>
      </c>
      <c r="P461" s="324" t="s">
        <v>1</v>
      </c>
      <c r="U461" s="324" t="s">
        <v>151</v>
      </c>
      <c r="AD461" s="324" t="s">
        <v>455</v>
      </c>
    </row>
    <row r="462" spans="1:39" s="324" customFormat="1" ht="0.65" hidden="1" customHeight="1">
      <c r="A462" s="324">
        <v>2002</v>
      </c>
      <c r="G462" s="324">
        <v>2022</v>
      </c>
      <c r="H462" s="324">
        <v>0</v>
      </c>
      <c r="I462" s="324">
        <v>0</v>
      </c>
      <c r="J462" s="324">
        <v>0</v>
      </c>
      <c r="K462" s="324">
        <v>0</v>
      </c>
      <c r="L462" s="324">
        <v>0</v>
      </c>
      <c r="M462" s="324">
        <v>0</v>
      </c>
      <c r="N462" s="324">
        <v>0</v>
      </c>
      <c r="O462" s="324">
        <v>0</v>
      </c>
      <c r="P462" s="324">
        <v>-543750</v>
      </c>
      <c r="AD462" s="324" t="s">
        <v>487</v>
      </c>
    </row>
    <row r="463" spans="1:39" s="324" customFormat="1" ht="0.65" hidden="1" customHeight="1">
      <c r="A463" s="324">
        <v>2003</v>
      </c>
      <c r="C463" s="324" t="s">
        <v>32</v>
      </c>
      <c r="G463" s="324">
        <v>2023</v>
      </c>
      <c r="H463" s="324">
        <v>360000</v>
      </c>
      <c r="I463" s="324">
        <v>240000</v>
      </c>
      <c r="J463" s="324">
        <v>30000</v>
      </c>
      <c r="K463" s="324">
        <v>90000</v>
      </c>
      <c r="L463" s="324">
        <v>22500</v>
      </c>
      <c r="M463" s="324">
        <v>67500</v>
      </c>
      <c r="N463" s="324">
        <v>97500</v>
      </c>
      <c r="O463" s="324">
        <v>107500</v>
      </c>
      <c r="P463" s="324">
        <v>107500</v>
      </c>
      <c r="U463" s="324" t="s">
        <v>152</v>
      </c>
      <c r="Z463" s="324" t="s">
        <v>176</v>
      </c>
      <c r="AA463" s="324">
        <v>52565.582461407641</v>
      </c>
      <c r="AF463" s="324" t="s">
        <v>247</v>
      </c>
    </row>
    <row r="464" spans="1:39" s="324" customFormat="1" ht="0.65" hidden="1" customHeight="1">
      <c r="A464" s="324">
        <v>2004</v>
      </c>
      <c r="C464" s="324" t="s">
        <v>488</v>
      </c>
      <c r="D464" s="324">
        <v>600000</v>
      </c>
      <c r="E464" s="324" t="s">
        <v>55</v>
      </c>
      <c r="G464" s="324">
        <v>2024</v>
      </c>
      <c r="H464" s="324">
        <v>360000</v>
      </c>
      <c r="I464" s="324">
        <v>240000</v>
      </c>
      <c r="J464" s="324">
        <v>30000</v>
      </c>
      <c r="K464" s="324">
        <v>90000</v>
      </c>
      <c r="L464" s="324">
        <v>22500</v>
      </c>
      <c r="M464" s="324">
        <v>67500</v>
      </c>
      <c r="N464" s="324">
        <v>97500</v>
      </c>
      <c r="O464" s="324">
        <v>97500</v>
      </c>
      <c r="P464" s="324">
        <v>97500</v>
      </c>
      <c r="Y464" s="324" t="s">
        <v>139</v>
      </c>
      <c r="Z464" s="324" t="s">
        <v>174</v>
      </c>
      <c r="AF464" s="324" t="s">
        <v>248</v>
      </c>
    </row>
    <row r="465" spans="1:33" s="324" customFormat="1" ht="0.65" hidden="1" customHeight="1">
      <c r="A465" s="324">
        <v>2005</v>
      </c>
      <c r="C465" s="324" t="s">
        <v>6</v>
      </c>
      <c r="D465" s="324">
        <v>10</v>
      </c>
      <c r="G465" s="324">
        <v>2025</v>
      </c>
      <c r="H465" s="324">
        <v>360000</v>
      </c>
      <c r="I465" s="324">
        <v>240000</v>
      </c>
      <c r="J465" s="324">
        <v>30000</v>
      </c>
      <c r="K465" s="324">
        <v>90000</v>
      </c>
      <c r="L465" s="324">
        <v>22500</v>
      </c>
      <c r="M465" s="324">
        <v>67500</v>
      </c>
      <c r="N465" s="324">
        <v>97500</v>
      </c>
      <c r="O465" s="324">
        <v>97500</v>
      </c>
      <c r="P465" s="324">
        <v>475625</v>
      </c>
      <c r="T465" s="324" t="s">
        <v>187</v>
      </c>
      <c r="V465" s="324" t="s">
        <v>180</v>
      </c>
      <c r="X465" s="324" t="s">
        <v>177</v>
      </c>
      <c r="Y465" s="324" t="s">
        <v>173</v>
      </c>
      <c r="Z465" s="324" t="s">
        <v>175</v>
      </c>
      <c r="AA465" s="324" t="s">
        <v>172</v>
      </c>
      <c r="AD465" s="324" t="s">
        <v>177</v>
      </c>
      <c r="AE465" s="324" t="s">
        <v>246</v>
      </c>
      <c r="AF465" s="324" t="s">
        <v>249</v>
      </c>
      <c r="AG465" s="324" t="s">
        <v>462</v>
      </c>
    </row>
    <row r="466" spans="1:33" s="324" customFormat="1" ht="0.65" hidden="1" customHeight="1">
      <c r="A466" s="324">
        <v>2006</v>
      </c>
      <c r="C466" s="324" t="s">
        <v>489</v>
      </c>
      <c r="D466" s="324">
        <v>400000</v>
      </c>
      <c r="H466" s="324" t="s">
        <v>55</v>
      </c>
      <c r="I466" s="324" t="s">
        <v>55</v>
      </c>
      <c r="J466" s="324" t="s">
        <v>55</v>
      </c>
      <c r="K466" s="324" t="s">
        <v>55</v>
      </c>
      <c r="T466" s="324">
        <v>1</v>
      </c>
      <c r="U466" s="324" t="s">
        <v>153</v>
      </c>
      <c r="V466" s="324" t="s">
        <v>178</v>
      </c>
      <c r="W466" s="324" t="s">
        <v>55</v>
      </c>
      <c r="X466" s="324" t="s">
        <v>6</v>
      </c>
      <c r="Y466" s="324">
        <v>10</v>
      </c>
      <c r="Z466" s="324">
        <v>15</v>
      </c>
      <c r="AA466" s="324">
        <v>51864.176924307074</v>
      </c>
      <c r="AB466" s="324" t="s">
        <v>55</v>
      </c>
      <c r="AC466" s="324">
        <v>1</v>
      </c>
      <c r="AD466" s="324" t="s">
        <v>55</v>
      </c>
      <c r="AE466" s="324" t="s">
        <v>55</v>
      </c>
      <c r="AF466" s="324" t="s">
        <v>55</v>
      </c>
      <c r="AG466" s="324" t="s">
        <v>55</v>
      </c>
    </row>
    <row r="467" spans="1:33" s="324" customFormat="1" ht="0.65" hidden="1" customHeight="1">
      <c r="A467" s="324">
        <v>2007</v>
      </c>
      <c r="G467" s="324" t="s">
        <v>0</v>
      </c>
      <c r="H467" s="324" t="s">
        <v>76</v>
      </c>
      <c r="I467" s="324" t="s">
        <v>77</v>
      </c>
      <c r="J467" s="324" t="s">
        <v>78</v>
      </c>
      <c r="K467" s="324" t="s">
        <v>79</v>
      </c>
      <c r="N467" s="324" t="s">
        <v>55</v>
      </c>
      <c r="P467" s="324" t="s">
        <v>55</v>
      </c>
      <c r="T467" s="324">
        <v>2</v>
      </c>
      <c r="U467" s="324" t="s">
        <v>154</v>
      </c>
      <c r="V467" s="324" t="s">
        <v>178</v>
      </c>
      <c r="W467" s="324" t="s">
        <v>55</v>
      </c>
      <c r="X467" s="324" t="s">
        <v>488</v>
      </c>
      <c r="Y467" s="324">
        <v>600000</v>
      </c>
      <c r="Z467" s="324">
        <v>660000</v>
      </c>
      <c r="AA467" s="324">
        <v>5595.7228369770455</v>
      </c>
      <c r="AB467" s="324" t="s">
        <v>55</v>
      </c>
    </row>
    <row r="468" spans="1:33" s="324" customFormat="1" ht="0.65" hidden="1" customHeight="1">
      <c r="A468" s="324">
        <v>2008</v>
      </c>
      <c r="C468" s="324" t="s">
        <v>34</v>
      </c>
      <c r="D468" s="324">
        <v>360000</v>
      </c>
      <c r="G468" s="324">
        <v>2022</v>
      </c>
      <c r="H468" s="324">
        <v>0</v>
      </c>
      <c r="I468" s="324">
        <v>0</v>
      </c>
      <c r="J468" s="324">
        <v>0</v>
      </c>
      <c r="K468" s="324">
        <v>0</v>
      </c>
      <c r="M468" s="324" t="s">
        <v>490</v>
      </c>
      <c r="N468" s="324">
        <v>543750</v>
      </c>
      <c r="O468" s="324" t="s">
        <v>124</v>
      </c>
      <c r="P468" s="324">
        <v>4.4999999999999998E-2</v>
      </c>
      <c r="T468" s="324">
        <v>3</v>
      </c>
      <c r="U468" s="324" t="s">
        <v>155</v>
      </c>
      <c r="V468" s="324" t="s">
        <v>178</v>
      </c>
      <c r="W468" s="324" t="s">
        <v>55</v>
      </c>
      <c r="X468" s="324" t="s">
        <v>489</v>
      </c>
      <c r="Y468" s="324">
        <v>400000</v>
      </c>
      <c r="Z468" s="324">
        <v>360000</v>
      </c>
      <c r="AA468" s="324">
        <v>26926.145032529221</v>
      </c>
      <c r="AB468" s="324" t="s">
        <v>55</v>
      </c>
      <c r="AC468" s="324">
        <v>2</v>
      </c>
      <c r="AD468" s="324" t="s">
        <v>55</v>
      </c>
      <c r="AE468" s="324" t="s">
        <v>55</v>
      </c>
      <c r="AF468" s="324" t="s">
        <v>55</v>
      </c>
      <c r="AG468" s="324" t="s">
        <v>55</v>
      </c>
    </row>
    <row r="469" spans="1:33" s="324" customFormat="1" ht="0.65" hidden="1" customHeight="1">
      <c r="A469" s="324">
        <v>2009</v>
      </c>
      <c r="C469" s="324" t="s">
        <v>35</v>
      </c>
      <c r="D469" s="324">
        <v>240000</v>
      </c>
      <c r="G469" s="324">
        <v>2023</v>
      </c>
      <c r="H469" s="324">
        <v>30000</v>
      </c>
      <c r="I469" s="324">
        <v>40000</v>
      </c>
      <c r="J469" s="324">
        <v>-10000</v>
      </c>
      <c r="K469" s="324">
        <v>-10000</v>
      </c>
      <c r="M469" s="324" t="s">
        <v>491</v>
      </c>
      <c r="N469" s="324">
        <v>388125</v>
      </c>
      <c r="O469" s="324" t="s">
        <v>125</v>
      </c>
      <c r="P469" s="324">
        <v>0.08</v>
      </c>
      <c r="T469" s="324">
        <v>4</v>
      </c>
      <c r="U469" s="324" t="s">
        <v>156</v>
      </c>
      <c r="V469" s="324" t="s">
        <v>179</v>
      </c>
      <c r="W469" s="324" t="s">
        <v>55</v>
      </c>
      <c r="X469" s="324" t="s">
        <v>492</v>
      </c>
      <c r="Y469" s="324">
        <v>45000</v>
      </c>
      <c r="Z469" s="324">
        <v>49500.000000000007</v>
      </c>
      <c r="AA469" s="324">
        <v>55940.582461407648</v>
      </c>
      <c r="AB469" s="324" t="s">
        <v>55</v>
      </c>
    </row>
    <row r="470" spans="1:33" s="324" customFormat="1" ht="0.65" hidden="1" customHeight="1">
      <c r="A470" s="324">
        <v>2010</v>
      </c>
      <c r="G470" s="324">
        <v>2024</v>
      </c>
      <c r="H470" s="324">
        <v>30000</v>
      </c>
      <c r="I470" s="324">
        <v>40000</v>
      </c>
      <c r="J470" s="324">
        <v>-10000</v>
      </c>
      <c r="K470" s="324">
        <v>0</v>
      </c>
      <c r="M470" s="324" t="s">
        <v>493</v>
      </c>
      <c r="N470" s="324">
        <v>-10000</v>
      </c>
      <c r="O470" s="324" t="s">
        <v>126</v>
      </c>
      <c r="P470" s="324">
        <v>5.3749999999999999E-2</v>
      </c>
      <c r="T470" s="324">
        <v>5</v>
      </c>
      <c r="U470" s="324" t="s">
        <v>157</v>
      </c>
      <c r="V470" s="324" t="s">
        <v>178</v>
      </c>
      <c r="W470" s="324" t="s">
        <v>55</v>
      </c>
      <c r="X470" s="324" t="s">
        <v>6</v>
      </c>
      <c r="Y470" s="324">
        <v>3</v>
      </c>
      <c r="Z470" s="324">
        <v>2</v>
      </c>
      <c r="AA470" s="324">
        <v>52039.528308582201</v>
      </c>
      <c r="AB470" s="324" t="s">
        <v>55</v>
      </c>
      <c r="AC470" s="324">
        <v>3</v>
      </c>
      <c r="AD470" s="324" t="s">
        <v>55</v>
      </c>
      <c r="AE470" s="324" t="s">
        <v>55</v>
      </c>
      <c r="AF470" s="324" t="s">
        <v>55</v>
      </c>
      <c r="AG470" s="324" t="s">
        <v>55</v>
      </c>
    </row>
    <row r="471" spans="1:33" s="324" customFormat="1" ht="0.65" hidden="1" customHeight="1">
      <c r="A471" s="324">
        <v>2011</v>
      </c>
      <c r="C471" s="324" t="s">
        <v>7</v>
      </c>
      <c r="D471" s="324">
        <v>30</v>
      </c>
      <c r="G471" s="324">
        <v>2025</v>
      </c>
      <c r="H471" s="324">
        <v>30000</v>
      </c>
      <c r="I471" s="324">
        <v>40000</v>
      </c>
      <c r="J471" s="324">
        <v>-10000</v>
      </c>
      <c r="K471" s="324">
        <v>0</v>
      </c>
      <c r="M471" s="324" t="s">
        <v>494</v>
      </c>
      <c r="N471" s="324">
        <v>378125</v>
      </c>
      <c r="T471" s="324">
        <v>6</v>
      </c>
      <c r="U471" s="324" t="s">
        <v>158</v>
      </c>
      <c r="V471" s="324" t="s">
        <v>179</v>
      </c>
      <c r="W471" s="324" t="s">
        <v>55</v>
      </c>
      <c r="X471" s="324" t="s">
        <v>495</v>
      </c>
      <c r="Y471" s="324">
        <v>90000</v>
      </c>
      <c r="Z471" s="324">
        <v>99000.000000000015</v>
      </c>
      <c r="AA471" s="324">
        <v>52787.413823676674</v>
      </c>
      <c r="AB471" s="324" t="s">
        <v>55</v>
      </c>
    </row>
    <row r="472" spans="1:33" s="324" customFormat="1" ht="0.65" hidden="1" customHeight="1">
      <c r="A472" s="324">
        <v>2012</v>
      </c>
      <c r="C472" s="324" t="s">
        <v>8</v>
      </c>
      <c r="D472" s="324">
        <v>60</v>
      </c>
      <c r="T472" s="324">
        <v>7</v>
      </c>
      <c r="U472" s="324" t="s">
        <v>159</v>
      </c>
      <c r="V472" s="324" t="s">
        <v>178</v>
      </c>
      <c r="W472" s="324" t="s">
        <v>55</v>
      </c>
      <c r="X472" s="324" t="s">
        <v>492</v>
      </c>
      <c r="Y472" s="324">
        <v>45000</v>
      </c>
      <c r="Z472" s="324">
        <v>40500</v>
      </c>
      <c r="AA472" s="324">
        <v>49190.582461407641</v>
      </c>
      <c r="AB472" s="324" t="s">
        <v>55</v>
      </c>
      <c r="AC472" s="324">
        <v>4</v>
      </c>
      <c r="AD472" s="324" t="s">
        <v>55</v>
      </c>
      <c r="AE472" s="324" t="s">
        <v>55</v>
      </c>
      <c r="AF472" s="324" t="s">
        <v>55</v>
      </c>
      <c r="AG472" s="324" t="s">
        <v>55</v>
      </c>
    </row>
    <row r="473" spans="1:33" s="324" customFormat="1" ht="0.65" hidden="1" customHeight="1">
      <c r="A473" s="324">
        <v>2013</v>
      </c>
      <c r="O473" s="324" t="s">
        <v>13</v>
      </c>
      <c r="P473" s="324">
        <v>52565.582461407641</v>
      </c>
      <c r="T473" s="324">
        <v>8</v>
      </c>
      <c r="U473" s="324" t="s">
        <v>160</v>
      </c>
      <c r="V473" s="324" t="s">
        <v>178</v>
      </c>
      <c r="W473" s="324" t="s">
        <v>55</v>
      </c>
      <c r="X473" s="324" t="s">
        <v>489</v>
      </c>
      <c r="Y473" s="324">
        <v>22500</v>
      </c>
      <c r="Z473" s="324">
        <v>24750.000000000004</v>
      </c>
      <c r="AA473" s="324">
        <v>51123.36410603323</v>
      </c>
      <c r="AB473" s="324" t="s">
        <v>55</v>
      </c>
    </row>
    <row r="474" spans="1:33" s="324" customFormat="1" ht="0.65" hidden="1" customHeight="1">
      <c r="A474" s="324">
        <v>2014</v>
      </c>
      <c r="C474" s="324" t="s">
        <v>33</v>
      </c>
      <c r="O474" s="324" t="s">
        <v>28</v>
      </c>
      <c r="P474" s="324">
        <v>9.3380333972086005E-2</v>
      </c>
      <c r="T474" s="324">
        <v>9</v>
      </c>
      <c r="U474" s="324" t="s">
        <v>161</v>
      </c>
      <c r="V474" s="324" t="s">
        <v>179</v>
      </c>
      <c r="W474" s="324" t="s">
        <v>55</v>
      </c>
      <c r="X474" s="324" t="s">
        <v>34</v>
      </c>
      <c r="Y474" s="324">
        <v>360000</v>
      </c>
      <c r="Z474" s="324">
        <v>396000.00000000006</v>
      </c>
      <c r="AA474" s="324">
        <v>125296.62207364252</v>
      </c>
      <c r="AB474" s="324" t="s">
        <v>55</v>
      </c>
      <c r="AC474" s="324">
        <v>5</v>
      </c>
      <c r="AD474" s="324" t="s">
        <v>55</v>
      </c>
      <c r="AE474" s="324" t="s">
        <v>55</v>
      </c>
      <c r="AF474" s="324" t="s">
        <v>55</v>
      </c>
      <c r="AG474" s="324" t="s">
        <v>55</v>
      </c>
    </row>
    <row r="475" spans="1:33" s="324" customFormat="1" ht="0.65" hidden="1" customHeight="1">
      <c r="A475" s="324">
        <v>2015</v>
      </c>
      <c r="C475" s="324" t="s">
        <v>492</v>
      </c>
      <c r="D475" s="324">
        <v>45000</v>
      </c>
      <c r="K475" s="324" t="s">
        <v>127</v>
      </c>
      <c r="L475" s="324" t="s">
        <v>36</v>
      </c>
      <c r="M475" s="324" t="s">
        <v>55</v>
      </c>
      <c r="T475" s="324">
        <v>10</v>
      </c>
      <c r="U475" s="324" t="s">
        <v>162</v>
      </c>
      <c r="V475" s="324" t="s">
        <v>178</v>
      </c>
      <c r="W475" s="324" t="s">
        <v>55</v>
      </c>
      <c r="X475" s="324" t="s">
        <v>7</v>
      </c>
      <c r="Y475" s="324">
        <v>30</v>
      </c>
      <c r="Z475" s="324">
        <v>60</v>
      </c>
      <c r="AA475" s="324">
        <v>49735.269000606349</v>
      </c>
      <c r="AB475" s="324" t="s">
        <v>55</v>
      </c>
    </row>
    <row r="476" spans="1:33" s="324" customFormat="1" ht="0.65" hidden="1" customHeight="1">
      <c r="A476" s="324">
        <v>2016</v>
      </c>
      <c r="C476" s="324" t="s">
        <v>495</v>
      </c>
      <c r="D476" s="324">
        <v>90000</v>
      </c>
      <c r="E476" s="324" t="s">
        <v>55</v>
      </c>
      <c r="K476" s="324" t="s">
        <v>496</v>
      </c>
      <c r="L476" s="324" t="s">
        <v>424</v>
      </c>
      <c r="T476" s="324">
        <v>11</v>
      </c>
      <c r="U476" s="324" t="s">
        <v>163</v>
      </c>
      <c r="V476" s="324" t="s">
        <v>179</v>
      </c>
      <c r="W476" s="324" t="s">
        <v>55</v>
      </c>
      <c r="X476" s="324" t="s">
        <v>35</v>
      </c>
      <c r="Y476" s="324">
        <v>240000</v>
      </c>
      <c r="Z476" s="324">
        <v>216000</v>
      </c>
      <c r="AA476" s="324">
        <v>100864.25463884405</v>
      </c>
      <c r="AB476" s="324" t="s">
        <v>55</v>
      </c>
      <c r="AC476" s="324">
        <v>6</v>
      </c>
      <c r="AD476" s="324" t="s">
        <v>55</v>
      </c>
      <c r="AE476" s="324" t="s">
        <v>55</v>
      </c>
      <c r="AF476" s="324" t="s">
        <v>55</v>
      </c>
      <c r="AG476" s="324" t="s">
        <v>55</v>
      </c>
    </row>
    <row r="477" spans="1:33" s="324" customFormat="1" ht="0.65" hidden="1" customHeight="1">
      <c r="A477" s="324">
        <v>2017</v>
      </c>
      <c r="C477" s="324" t="s">
        <v>6</v>
      </c>
      <c r="D477" s="324">
        <v>3</v>
      </c>
      <c r="K477" s="324" t="s">
        <v>410</v>
      </c>
      <c r="L477" s="324">
        <v>0</v>
      </c>
      <c r="M477" s="324" t="s">
        <v>337</v>
      </c>
      <c r="T477" s="324">
        <v>12</v>
      </c>
      <c r="U477" s="324" t="s">
        <v>164</v>
      </c>
      <c r="V477" s="324" t="s">
        <v>178</v>
      </c>
      <c r="W477" s="324" t="s">
        <v>55</v>
      </c>
      <c r="X477" s="324" t="s">
        <v>8</v>
      </c>
      <c r="Y477" s="324">
        <v>60</v>
      </c>
      <c r="Z477" s="324">
        <v>30</v>
      </c>
      <c r="AA477" s="324">
        <v>50678.706820873442</v>
      </c>
      <c r="AB477" s="324" t="s">
        <v>55</v>
      </c>
    </row>
    <row r="478" spans="1:33" s="324" customFormat="1" ht="0.65" hidden="1" customHeight="1">
      <c r="A478" s="324">
        <v>2018</v>
      </c>
      <c r="C478" s="324" t="s">
        <v>489</v>
      </c>
      <c r="D478" s="324">
        <v>22500</v>
      </c>
      <c r="N478" s="324" t="s">
        <v>55</v>
      </c>
      <c r="T478" s="324">
        <v>13</v>
      </c>
      <c r="U478" s="324" t="s">
        <v>165</v>
      </c>
      <c r="V478" s="324" t="s">
        <v>178</v>
      </c>
      <c r="W478" s="324" t="s">
        <v>55</v>
      </c>
      <c r="X478" s="324" t="s">
        <v>10</v>
      </c>
      <c r="Y478" s="324">
        <v>720000</v>
      </c>
      <c r="Z478" s="324">
        <v>792000.00000000012</v>
      </c>
      <c r="AA478" s="324">
        <v>47799.199842270049</v>
      </c>
      <c r="AB478" s="324" t="s">
        <v>55</v>
      </c>
      <c r="AC478" s="324">
        <v>7</v>
      </c>
      <c r="AD478" s="324" t="s">
        <v>55</v>
      </c>
      <c r="AE478" s="324" t="s">
        <v>55</v>
      </c>
      <c r="AF478" s="324" t="s">
        <v>55</v>
      </c>
      <c r="AG478" s="324" t="s">
        <v>55</v>
      </c>
    </row>
    <row r="479" spans="1:33" s="324" customFormat="1" ht="0.65" hidden="1" customHeight="1">
      <c r="A479" s="324">
        <v>2019</v>
      </c>
      <c r="K479" s="324" t="s">
        <v>413</v>
      </c>
      <c r="L479" s="324">
        <v>33</v>
      </c>
      <c r="M479" s="324" t="s">
        <v>55</v>
      </c>
      <c r="T479" s="324">
        <v>14</v>
      </c>
      <c r="U479" s="324" t="s">
        <v>166</v>
      </c>
      <c r="V479" s="324" t="s">
        <v>179</v>
      </c>
      <c r="W479" s="324" t="s">
        <v>55</v>
      </c>
      <c r="X479" s="324" t="s">
        <v>12</v>
      </c>
      <c r="Y479" s="324">
        <v>0.02</v>
      </c>
      <c r="Z479" s="324">
        <v>0.01</v>
      </c>
      <c r="AA479" s="324">
        <v>56133.281980465588</v>
      </c>
      <c r="AB479" s="324" t="s">
        <v>55</v>
      </c>
    </row>
    <row r="480" spans="1:33" s="324" customFormat="1" ht="0.65" hidden="1" customHeight="1">
      <c r="A480" s="324">
        <v>2020</v>
      </c>
      <c r="C480" s="324" t="s">
        <v>4</v>
      </c>
      <c r="D480" s="324">
        <v>0.25</v>
      </c>
      <c r="K480" s="324" t="s">
        <v>479</v>
      </c>
      <c r="N480" s="324" t="s">
        <v>466</v>
      </c>
      <c r="T480" s="324">
        <v>15</v>
      </c>
      <c r="U480" s="324" t="s">
        <v>167</v>
      </c>
      <c r="V480" s="324" t="s">
        <v>178</v>
      </c>
      <c r="W480" s="324" t="s">
        <v>55</v>
      </c>
      <c r="X480" s="324" t="s">
        <v>11</v>
      </c>
      <c r="Y480" s="324">
        <v>240000</v>
      </c>
      <c r="Z480" s="324">
        <v>264000</v>
      </c>
      <c r="AA480" s="324">
        <v>50440.139621944552</v>
      </c>
      <c r="AB480" s="324" t="s">
        <v>55</v>
      </c>
      <c r="AC480" s="324">
        <v>8</v>
      </c>
      <c r="AD480" s="324" t="s">
        <v>55</v>
      </c>
      <c r="AE480" s="324" t="s">
        <v>55</v>
      </c>
      <c r="AF480" s="324" t="s">
        <v>55</v>
      </c>
      <c r="AG480" s="324" t="s">
        <v>55</v>
      </c>
    </row>
    <row r="481" spans="1:33" s="324" customFormat="1" ht="0.65" hidden="1" customHeight="1">
      <c r="A481" s="324">
        <v>2021</v>
      </c>
      <c r="D481" s="324" t="s">
        <v>9</v>
      </c>
      <c r="K481" s="324" t="s">
        <v>409</v>
      </c>
      <c r="L481" s="324" t="s">
        <v>38</v>
      </c>
      <c r="M481" s="324" t="s">
        <v>55</v>
      </c>
      <c r="N481" s="324" t="s">
        <v>467</v>
      </c>
      <c r="O481" s="324" t="s">
        <v>468</v>
      </c>
      <c r="T481" s="324">
        <v>16</v>
      </c>
      <c r="U481" s="324" t="s">
        <v>168</v>
      </c>
      <c r="V481" s="324" t="s">
        <v>181</v>
      </c>
      <c r="W481" s="324" t="s">
        <v>55</v>
      </c>
      <c r="X481" s="324" t="s">
        <v>3</v>
      </c>
      <c r="Y481" s="324">
        <v>4000000</v>
      </c>
      <c r="Z481" s="324">
        <v>4400000</v>
      </c>
      <c r="AA481" s="324">
        <v>53736.808894880662</v>
      </c>
      <c r="AB481" s="324" t="s">
        <v>55</v>
      </c>
    </row>
    <row r="482" spans="1:33" s="324" customFormat="1" ht="0.65" hidden="1" customHeight="1">
      <c r="A482" s="324">
        <v>2022</v>
      </c>
      <c r="N482" s="324" t="s">
        <v>469</v>
      </c>
      <c r="O482" s="324" t="s">
        <v>470</v>
      </c>
      <c r="T482" s="324">
        <v>17</v>
      </c>
      <c r="U482" s="324" t="s">
        <v>169</v>
      </c>
      <c r="V482" s="324" t="s">
        <v>178</v>
      </c>
      <c r="W482" s="324" t="s">
        <v>55</v>
      </c>
      <c r="X482" s="324" t="s">
        <v>2</v>
      </c>
      <c r="Y482" s="324">
        <v>12000000</v>
      </c>
      <c r="Z482" s="324">
        <v>6000000</v>
      </c>
      <c r="AA482" s="324">
        <v>34344.84785159288</v>
      </c>
      <c r="AB482" s="324" t="s">
        <v>55</v>
      </c>
      <c r="AC482" s="324">
        <v>9</v>
      </c>
      <c r="AD482" s="324" t="s">
        <v>55</v>
      </c>
      <c r="AE482" s="324" t="s">
        <v>55</v>
      </c>
      <c r="AF482" s="324" t="s">
        <v>55</v>
      </c>
      <c r="AG482" s="324" t="s">
        <v>55</v>
      </c>
    </row>
    <row r="483" spans="1:33" s="324" customFormat="1" ht="0.65" hidden="1" customHeight="1">
      <c r="A483" s="324">
        <v>2023</v>
      </c>
      <c r="C483" s="324" t="s">
        <v>10</v>
      </c>
      <c r="D483" s="324">
        <v>720000</v>
      </c>
      <c r="N483" s="324" t="s">
        <v>471</v>
      </c>
      <c r="O483" s="324" t="s">
        <v>472</v>
      </c>
      <c r="T483" s="324">
        <v>18</v>
      </c>
      <c r="U483" s="324" t="s">
        <v>170</v>
      </c>
      <c r="V483" s="324" t="s">
        <v>181</v>
      </c>
      <c r="W483" s="324" t="s">
        <v>55</v>
      </c>
      <c r="X483" s="324" t="s">
        <v>4</v>
      </c>
      <c r="Y483" s="324">
        <v>0.25</v>
      </c>
      <c r="Z483" s="324">
        <v>0.3</v>
      </c>
      <c r="AA483" s="324">
        <v>47632.637930395198</v>
      </c>
      <c r="AB483" s="324" t="s">
        <v>55</v>
      </c>
    </row>
    <row r="484" spans="1:33" s="324" customFormat="1" ht="0.65" hidden="1" customHeight="1">
      <c r="A484" s="324">
        <v>2024</v>
      </c>
      <c r="C484" s="324" t="s">
        <v>11</v>
      </c>
      <c r="D484" s="324">
        <v>240000</v>
      </c>
      <c r="I484" s="324" t="s">
        <v>320</v>
      </c>
      <c r="K484" s="324" t="s">
        <v>497</v>
      </c>
      <c r="L484" s="324" t="s">
        <v>498</v>
      </c>
      <c r="M484" s="324" t="s">
        <v>55</v>
      </c>
      <c r="T484" s="324">
        <v>19</v>
      </c>
      <c r="U484" s="324" t="s">
        <v>171</v>
      </c>
      <c r="V484" s="324" t="s">
        <v>181</v>
      </c>
      <c r="W484" s="324" t="s">
        <v>55</v>
      </c>
      <c r="X484" s="324" t="s">
        <v>14</v>
      </c>
      <c r="Y484" s="324" t="s">
        <v>16</v>
      </c>
      <c r="Z484" s="324">
        <v>4</v>
      </c>
      <c r="AA484" s="324">
        <v>109076.38779687928</v>
      </c>
      <c r="AB484" s="324" t="s">
        <v>55</v>
      </c>
      <c r="AC484" s="324">
        <v>10</v>
      </c>
      <c r="AD484" s="324" t="s">
        <v>55</v>
      </c>
      <c r="AE484" s="324" t="s">
        <v>55</v>
      </c>
      <c r="AF484" s="324" t="s">
        <v>55</v>
      </c>
      <c r="AG484" s="324" t="s">
        <v>55</v>
      </c>
    </row>
    <row r="485" spans="1:33" s="324" customFormat="1" ht="0.65" hidden="1" customHeight="1">
      <c r="A485" s="324">
        <v>2025</v>
      </c>
      <c r="C485" s="324" t="s">
        <v>12</v>
      </c>
      <c r="D485" s="324">
        <v>0.02</v>
      </c>
    </row>
    <row r="486" spans="1:33" s="324" customFormat="1" ht="0.65" hidden="1" customHeight="1">
      <c r="A486" s="324">
        <v>2026</v>
      </c>
      <c r="C486" s="324" t="s">
        <v>2</v>
      </c>
      <c r="D486" s="324">
        <v>12000000</v>
      </c>
      <c r="I486" s="324" t="s">
        <v>318</v>
      </c>
      <c r="K486" s="324" t="s">
        <v>497</v>
      </c>
      <c r="L486" s="324" t="s">
        <v>498</v>
      </c>
      <c r="M486" s="324" t="s">
        <v>968</v>
      </c>
      <c r="AC486" s="324">
        <v>11</v>
      </c>
      <c r="AD486" s="324" t="s">
        <v>55</v>
      </c>
      <c r="AE486" s="324" t="s">
        <v>55</v>
      </c>
      <c r="AF486" s="324" t="s">
        <v>55</v>
      </c>
      <c r="AG486" s="324" t="s">
        <v>55</v>
      </c>
    </row>
    <row r="487" spans="1:33" s="324" customFormat="1" ht="0.65" hidden="1" customHeight="1">
      <c r="A487" s="324">
        <v>2027</v>
      </c>
      <c r="C487" s="324" t="s">
        <v>3</v>
      </c>
      <c r="D487" s="324">
        <v>4000000</v>
      </c>
      <c r="U487" s="324" t="s">
        <v>127</v>
      </c>
      <c r="V487" s="324" t="s">
        <v>36</v>
      </c>
      <c r="W487" s="324" t="s">
        <v>55</v>
      </c>
    </row>
    <row r="488" spans="1:33" s="324" customFormat="1" ht="0.65" hidden="1" customHeight="1">
      <c r="A488" s="324">
        <v>2028</v>
      </c>
      <c r="AC488" s="324">
        <v>12</v>
      </c>
      <c r="AD488" s="324" t="s">
        <v>55</v>
      </c>
      <c r="AE488" s="324" t="s">
        <v>55</v>
      </c>
      <c r="AF488" s="324" t="s">
        <v>55</v>
      </c>
      <c r="AG488" s="324" t="s">
        <v>55</v>
      </c>
    </row>
    <row r="489" spans="1:33" s="324" customFormat="1" ht="0.65" hidden="1" customHeight="1">
      <c r="A489" s="324">
        <v>2029</v>
      </c>
      <c r="C489" s="324" t="s">
        <v>14</v>
      </c>
      <c r="D489" s="324" t="s">
        <v>16</v>
      </c>
      <c r="V489" s="324">
        <v>0</v>
      </c>
    </row>
    <row r="490" spans="1:33" s="324" customFormat="1" ht="0.65" hidden="1" customHeight="1">
      <c r="A490" s="324">
        <v>2030</v>
      </c>
      <c r="G490" s="324" t="s">
        <v>128</v>
      </c>
      <c r="M490" s="324" t="s">
        <v>500</v>
      </c>
      <c r="AC490" s="324">
        <v>13</v>
      </c>
      <c r="AD490" s="324" t="s">
        <v>55</v>
      </c>
      <c r="AE490" s="324" t="s">
        <v>55</v>
      </c>
      <c r="AF490" s="324" t="s">
        <v>55</v>
      </c>
      <c r="AG490" s="324" t="s">
        <v>55</v>
      </c>
    </row>
    <row r="491" spans="1:33" s="324" customFormat="1" ht="0.65" hidden="1" customHeight="1">
      <c r="A491" s="324">
        <v>2031</v>
      </c>
      <c r="B491" s="324" t="s">
        <v>460</v>
      </c>
      <c r="F491" s="324">
        <v>1</v>
      </c>
      <c r="I491" s="324" t="s">
        <v>129</v>
      </c>
      <c r="J491" s="324">
        <v>1</v>
      </c>
      <c r="K491" s="324" t="s">
        <v>501</v>
      </c>
      <c r="U491" s="324" t="s">
        <v>204</v>
      </c>
      <c r="V491" s="324">
        <v>12</v>
      </c>
      <c r="W491" s="324" t="s">
        <v>55</v>
      </c>
    </row>
    <row r="492" spans="1:33" s="324" customFormat="1" ht="0.65" hidden="1" customHeight="1">
      <c r="A492" s="324">
        <v>2032</v>
      </c>
      <c r="F492" s="324">
        <v>1.5</v>
      </c>
      <c r="I492" s="324" t="s">
        <v>138</v>
      </c>
      <c r="J492" s="324">
        <v>1.5</v>
      </c>
      <c r="K492" s="324" t="s">
        <v>502</v>
      </c>
      <c r="Z492" s="324" t="s">
        <v>291</v>
      </c>
      <c r="AC492" s="324">
        <v>14</v>
      </c>
      <c r="AD492" s="324" t="s">
        <v>55</v>
      </c>
      <c r="AE492" s="324" t="s">
        <v>55</v>
      </c>
      <c r="AF492" s="324" t="s">
        <v>55</v>
      </c>
      <c r="AG492" s="324" t="s">
        <v>55</v>
      </c>
    </row>
    <row r="493" spans="1:33" s="324" customFormat="1" ht="0.65" hidden="1" customHeight="1">
      <c r="A493" s="324">
        <v>2033</v>
      </c>
      <c r="F493" s="324">
        <v>1.5</v>
      </c>
      <c r="I493" s="324" t="s">
        <v>130</v>
      </c>
      <c r="J493" s="324">
        <v>1.5</v>
      </c>
      <c r="K493" s="324" t="s">
        <v>502</v>
      </c>
      <c r="W493" s="324" t="s">
        <v>139</v>
      </c>
      <c r="X493" s="324" t="s">
        <v>174</v>
      </c>
      <c r="Z493" s="324" t="s">
        <v>969</v>
      </c>
      <c r="AA493" s="324">
        <v>-1886.8756405341992</v>
      </c>
      <c r="AB493" s="324">
        <v>-1886.8756405341992</v>
      </c>
    </row>
    <row r="494" spans="1:33" s="324" customFormat="1" ht="0.65" hidden="1" customHeight="1">
      <c r="A494" s="324">
        <v>2034</v>
      </c>
      <c r="F494" s="324">
        <v>1</v>
      </c>
      <c r="I494" s="324" t="s">
        <v>131</v>
      </c>
      <c r="J494" s="324">
        <v>1</v>
      </c>
      <c r="K494" s="324" t="s">
        <v>501</v>
      </c>
      <c r="V494" s="324" t="s">
        <v>177</v>
      </c>
      <c r="W494" s="324" t="s">
        <v>173</v>
      </c>
      <c r="X494" s="324" t="s">
        <v>175</v>
      </c>
      <c r="Z494" s="324">
        <v>-1886.8756405341992</v>
      </c>
      <c r="AA494" s="324">
        <v>-1886.8756405341992</v>
      </c>
      <c r="AB494" s="324">
        <v>-1886.8756405341992</v>
      </c>
      <c r="AC494" s="324">
        <v>15</v>
      </c>
      <c r="AD494" s="324" t="s">
        <v>55</v>
      </c>
      <c r="AE494" s="324" t="s">
        <v>55</v>
      </c>
      <c r="AF494" s="324" t="s">
        <v>55</v>
      </c>
      <c r="AG494" s="324" t="s">
        <v>55</v>
      </c>
    </row>
    <row r="495" spans="1:33" s="324" customFormat="1" ht="0.65" hidden="1" customHeight="1">
      <c r="A495" s="324">
        <v>2035</v>
      </c>
      <c r="F495" s="324">
        <v>1</v>
      </c>
      <c r="I495" s="324" t="s">
        <v>132</v>
      </c>
      <c r="J495" s="324">
        <v>1</v>
      </c>
      <c r="K495" s="324" t="s">
        <v>501</v>
      </c>
      <c r="T495" s="324">
        <v>12</v>
      </c>
      <c r="U495" s="324" t="s">
        <v>164</v>
      </c>
      <c r="V495" s="324" t="s">
        <v>8</v>
      </c>
      <c r="W495" s="324">
        <v>60</v>
      </c>
      <c r="X495" s="324">
        <v>30</v>
      </c>
      <c r="Z495" s="324">
        <v>-1886.8756405341992</v>
      </c>
      <c r="AA495" s="324">
        <v>-1886.8756405341992</v>
      </c>
      <c r="AB495" s="324">
        <v>-1886.8756405341992</v>
      </c>
    </row>
    <row r="496" spans="1:33" s="324" customFormat="1" ht="0.65" hidden="1" customHeight="1">
      <c r="A496" s="324">
        <v>2036</v>
      </c>
      <c r="F496" s="324">
        <v>0.5</v>
      </c>
      <c r="I496" s="324" t="s">
        <v>133</v>
      </c>
      <c r="J496" s="324">
        <v>0.5</v>
      </c>
      <c r="K496" s="324" t="s">
        <v>504</v>
      </c>
      <c r="V496" s="324" t="s">
        <v>13</v>
      </c>
      <c r="W496" s="324">
        <v>52565.582461407641</v>
      </c>
      <c r="X496" s="324">
        <v>50678.706820873544</v>
      </c>
      <c r="Z496" s="324">
        <v>-1886.8756405341992</v>
      </c>
      <c r="AA496" s="324">
        <v>-1886.8756405341992</v>
      </c>
      <c r="AB496" s="324">
        <v>-1886.8756405341992</v>
      </c>
      <c r="AC496" s="324">
        <v>16</v>
      </c>
      <c r="AD496" s="324" t="s">
        <v>55</v>
      </c>
      <c r="AE496" s="324" t="s">
        <v>55</v>
      </c>
      <c r="AF496" s="324" t="s">
        <v>55</v>
      </c>
      <c r="AG496" s="324" t="s">
        <v>55</v>
      </c>
    </row>
    <row r="497" spans="1:42" s="324" customFormat="1" ht="0.65" hidden="1" customHeight="1">
      <c r="A497" s="324">
        <v>2037</v>
      </c>
      <c r="F497" s="324">
        <v>0.5</v>
      </c>
      <c r="I497" s="324" t="s">
        <v>134</v>
      </c>
      <c r="J497" s="324">
        <v>0.5</v>
      </c>
      <c r="K497" s="324" t="s">
        <v>504</v>
      </c>
      <c r="V497" s="324" t="s">
        <v>505</v>
      </c>
      <c r="X497" s="324">
        <v>-1886.8756405341992</v>
      </c>
      <c r="Z497" s="324">
        <v>-1886.8756405341992</v>
      </c>
      <c r="AA497" s="324">
        <v>-1886.8756405341992</v>
      </c>
      <c r="AB497" s="324">
        <v>-1886.8756405341992</v>
      </c>
    </row>
    <row r="498" spans="1:42" s="324" customFormat="1" ht="0.65" hidden="1" customHeight="1">
      <c r="A498" s="324">
        <v>2038</v>
      </c>
      <c r="F498" s="324">
        <v>1</v>
      </c>
      <c r="I498" s="324" t="s">
        <v>135</v>
      </c>
      <c r="J498" s="324">
        <v>1</v>
      </c>
      <c r="K498" s="324" t="s">
        <v>501</v>
      </c>
      <c r="Z498" s="324">
        <v>-1886.8756405341992</v>
      </c>
      <c r="AA498" s="324">
        <v>-1886.8756405341992</v>
      </c>
      <c r="AB498" s="324">
        <v>-1886.8756405341992</v>
      </c>
      <c r="AC498" s="324">
        <v>17</v>
      </c>
      <c r="AD498" s="324" t="s">
        <v>55</v>
      </c>
      <c r="AE498" s="324" t="s">
        <v>55</v>
      </c>
      <c r="AF498" s="324" t="s">
        <v>55</v>
      </c>
      <c r="AG498" s="324" t="s">
        <v>55</v>
      </c>
    </row>
    <row r="499" spans="1:42" s="324" customFormat="1" ht="0.65" hidden="1" customHeight="1">
      <c r="A499" s="324">
        <v>2039</v>
      </c>
      <c r="F499" s="324">
        <v>0.5</v>
      </c>
      <c r="I499" s="324" t="s">
        <v>13</v>
      </c>
      <c r="J499" s="324">
        <v>0.5</v>
      </c>
      <c r="K499" s="324" t="s">
        <v>504</v>
      </c>
    </row>
    <row r="500" spans="1:42" s="324" customFormat="1" ht="0.65" hidden="1" customHeight="1">
      <c r="A500" s="324">
        <v>2040</v>
      </c>
      <c r="F500" s="324">
        <v>0.5</v>
      </c>
      <c r="I500" s="324" t="s">
        <v>28</v>
      </c>
      <c r="J500" s="324">
        <v>0.5</v>
      </c>
      <c r="K500" s="324" t="s">
        <v>504</v>
      </c>
      <c r="U500" s="324" t="s">
        <v>196</v>
      </c>
      <c r="AC500" s="324">
        <v>18</v>
      </c>
      <c r="AD500" s="324" t="s">
        <v>55</v>
      </c>
      <c r="AE500" s="324" t="s">
        <v>55</v>
      </c>
      <c r="AF500" s="324" t="s">
        <v>55</v>
      </c>
      <c r="AG500" s="324" t="s">
        <v>55</v>
      </c>
    </row>
    <row r="501" spans="1:42" s="324" customFormat="1" ht="0.65" hidden="1" customHeight="1">
      <c r="A501" s="324">
        <v>2041</v>
      </c>
      <c r="F501" s="324">
        <v>1</v>
      </c>
      <c r="I501" s="324" t="s">
        <v>136</v>
      </c>
      <c r="J501" s="324">
        <v>1</v>
      </c>
      <c r="K501" s="324" t="s">
        <v>501</v>
      </c>
    </row>
    <row r="502" spans="1:42" s="324" customFormat="1" ht="0.65" hidden="1" customHeight="1">
      <c r="A502" s="324">
        <v>2042</v>
      </c>
      <c r="F502" s="324">
        <v>10</v>
      </c>
      <c r="I502" s="324" t="s">
        <v>137</v>
      </c>
      <c r="J502" s="324">
        <v>10</v>
      </c>
      <c r="K502" s="324" t="s">
        <v>506</v>
      </c>
      <c r="AC502" s="324">
        <v>19</v>
      </c>
      <c r="AD502" s="324" t="s">
        <v>55</v>
      </c>
      <c r="AE502" s="324" t="s">
        <v>55</v>
      </c>
      <c r="AF502" s="324" t="s">
        <v>55</v>
      </c>
      <c r="AG502" s="324" t="s">
        <v>55</v>
      </c>
    </row>
    <row r="503" spans="1:42" s="324" customFormat="1" ht="0.65" hidden="1" customHeight="1">
      <c r="A503" s="324">
        <v>2043</v>
      </c>
    </row>
    <row r="504" spans="1:42" s="324" customFormat="1" ht="0.65" hidden="1" customHeight="1">
      <c r="A504" s="324">
        <v>2044</v>
      </c>
      <c r="AC504" s="324">
        <v>20</v>
      </c>
      <c r="AD504" s="324" t="s">
        <v>55</v>
      </c>
      <c r="AE504" s="324" t="s">
        <v>55</v>
      </c>
      <c r="AF504" s="324" t="s">
        <v>55</v>
      </c>
      <c r="AG504" s="324" t="s">
        <v>55</v>
      </c>
    </row>
    <row r="505" spans="1:42" s="324" customFormat="1" ht="0.65" hidden="1" customHeight="1">
      <c r="A505" s="324">
        <v>2045</v>
      </c>
    </row>
    <row r="506" spans="1:42" s="324" customFormat="1" ht="0.65" hidden="1" customHeight="1">
      <c r="A506" s="324">
        <v>2046</v>
      </c>
    </row>
    <row r="507" spans="1:42" s="324" customFormat="1" ht="0.65" hidden="1" customHeight="1">
      <c r="A507" s="324">
        <v>2047</v>
      </c>
      <c r="G507" s="324">
        <v>1</v>
      </c>
      <c r="H507" s="324">
        <v>2</v>
      </c>
      <c r="I507" s="324">
        <v>3</v>
      </c>
      <c r="J507" s="324">
        <v>4</v>
      </c>
      <c r="K507" s="324">
        <v>5</v>
      </c>
      <c r="L507" s="324">
        <v>6</v>
      </c>
      <c r="M507" s="324">
        <v>7</v>
      </c>
      <c r="N507" s="324">
        <v>8</v>
      </c>
      <c r="O507" s="324">
        <v>9</v>
      </c>
      <c r="P507" s="324">
        <v>10</v>
      </c>
    </row>
    <row r="508" spans="1:42" s="324" customFormat="1" ht="0.65" hidden="1" customHeight="1">
      <c r="A508" s="324">
        <v>2048</v>
      </c>
      <c r="G508" s="324" t="s">
        <v>212</v>
      </c>
      <c r="H508" s="324" t="s">
        <v>213</v>
      </c>
      <c r="I508" s="324" t="s">
        <v>214</v>
      </c>
      <c r="J508" s="324" t="s">
        <v>215</v>
      </c>
      <c r="K508" s="324" t="s">
        <v>216</v>
      </c>
      <c r="L508" s="324" t="s">
        <v>218</v>
      </c>
      <c r="M508" s="324" t="s">
        <v>219</v>
      </c>
      <c r="N508" s="324" t="s">
        <v>220</v>
      </c>
      <c r="O508" s="324" t="s">
        <v>221</v>
      </c>
      <c r="P508" s="324" t="s">
        <v>222</v>
      </c>
    </row>
    <row r="509" spans="1:42" s="324" customFormat="1" ht="0.65" hidden="1" customHeight="1">
      <c r="A509" s="324">
        <v>2049</v>
      </c>
      <c r="G509" s="324">
        <v>-10000</v>
      </c>
      <c r="H509" s="324">
        <v>-20000</v>
      </c>
      <c r="I509" s="324" t="s">
        <v>55</v>
      </c>
      <c r="J509" s="324" t="s">
        <v>55</v>
      </c>
      <c r="K509" s="324" t="s">
        <v>55</v>
      </c>
      <c r="L509" s="324" t="s">
        <v>55</v>
      </c>
      <c r="M509" s="324" t="s">
        <v>55</v>
      </c>
      <c r="N509" s="324" t="s">
        <v>55</v>
      </c>
      <c r="O509" s="324" t="s">
        <v>968</v>
      </c>
      <c r="P509" s="324" t="s">
        <v>507</v>
      </c>
    </row>
    <row r="510" spans="1:42" s="324" customFormat="1" ht="0.65" hidden="1" customHeight="1">
      <c r="A510" s="324">
        <v>2050</v>
      </c>
      <c r="G510" s="324" t="s">
        <v>267</v>
      </c>
      <c r="H510" s="324" t="s">
        <v>268</v>
      </c>
      <c r="I510" s="324" t="s">
        <v>55</v>
      </c>
      <c r="J510" s="324" t="s">
        <v>55</v>
      </c>
      <c r="K510" s="324" t="s">
        <v>55</v>
      </c>
      <c r="L510" s="324" t="s">
        <v>55</v>
      </c>
      <c r="M510" s="324" t="s">
        <v>55</v>
      </c>
      <c r="N510" s="324" t="s">
        <v>55</v>
      </c>
      <c r="O510" s="324" t="s">
        <v>55</v>
      </c>
      <c r="P510" s="324" t="s">
        <v>55</v>
      </c>
    </row>
    <row r="511" spans="1:42" s="324" customFormat="1" ht="0.65" hidden="1" customHeight="1">
      <c r="A511" s="324">
        <v>2051</v>
      </c>
    </row>
    <row r="512" spans="1:42" s="324" customFormat="1" ht="0.65" hidden="1" customHeight="1">
      <c r="A512" s="324">
        <v>2052</v>
      </c>
      <c r="B512" s="324">
        <v>2</v>
      </c>
      <c r="C512" s="324">
        <v>3</v>
      </c>
      <c r="D512" s="324">
        <v>4</v>
      </c>
      <c r="E512" s="324">
        <v>5</v>
      </c>
      <c r="F512" s="324">
        <v>6</v>
      </c>
      <c r="G512" s="324">
        <v>7</v>
      </c>
      <c r="H512" s="324">
        <v>8</v>
      </c>
      <c r="I512" s="324">
        <v>9</v>
      </c>
      <c r="J512" s="324">
        <v>10</v>
      </c>
      <c r="K512" s="324">
        <v>11</v>
      </c>
      <c r="L512" s="324">
        <v>12</v>
      </c>
      <c r="M512" s="324">
        <v>13</v>
      </c>
      <c r="N512" s="324">
        <v>14</v>
      </c>
      <c r="O512" s="324">
        <v>15</v>
      </c>
      <c r="P512" s="324">
        <v>16</v>
      </c>
      <c r="Q512" s="324">
        <v>17</v>
      </c>
      <c r="R512" s="324">
        <v>18</v>
      </c>
      <c r="S512" s="324">
        <v>19</v>
      </c>
      <c r="T512" s="324">
        <v>20</v>
      </c>
      <c r="U512" s="324">
        <v>21</v>
      </c>
      <c r="V512" s="324">
        <v>22</v>
      </c>
      <c r="W512" s="324">
        <v>23</v>
      </c>
      <c r="X512" s="324">
        <v>24</v>
      </c>
      <c r="Y512" s="324">
        <v>25</v>
      </c>
      <c r="Z512" s="324">
        <v>26</v>
      </c>
      <c r="AA512" s="324">
        <v>27</v>
      </c>
      <c r="AB512" s="324">
        <v>28</v>
      </c>
      <c r="AC512" s="324">
        <v>29</v>
      </c>
      <c r="AD512" s="324">
        <v>30</v>
      </c>
      <c r="AE512" s="324">
        <v>31</v>
      </c>
      <c r="AF512" s="324">
        <v>32</v>
      </c>
      <c r="AG512" s="324">
        <v>33</v>
      </c>
      <c r="AH512" s="324">
        <v>34</v>
      </c>
      <c r="AI512" s="324">
        <v>35</v>
      </c>
      <c r="AJ512" s="324">
        <v>36</v>
      </c>
      <c r="AK512" s="324">
        <v>37</v>
      </c>
      <c r="AL512" s="324">
        <v>38</v>
      </c>
      <c r="AM512" s="324">
        <v>39</v>
      </c>
      <c r="AN512" s="324">
        <v>40</v>
      </c>
      <c r="AO512" s="324">
        <v>41</v>
      </c>
      <c r="AP512" s="324">
        <v>42</v>
      </c>
    </row>
    <row r="513" spans="1:16" s="324" customFormat="1" ht="0.65" hidden="1" customHeight="1">
      <c r="A513" s="324">
        <v>2053</v>
      </c>
    </row>
    <row r="514" spans="1:16" s="324" customFormat="1" ht="0.65" hidden="1" customHeight="1">
      <c r="A514" s="324">
        <v>2054</v>
      </c>
      <c r="B514" s="324">
        <v>600000</v>
      </c>
      <c r="C514" s="324">
        <v>600000</v>
      </c>
      <c r="D514" s="324">
        <v>1</v>
      </c>
      <c r="G514" s="324" t="s">
        <v>0</v>
      </c>
      <c r="H514" s="324" t="s">
        <v>69</v>
      </c>
      <c r="I514" s="324" t="s">
        <v>70</v>
      </c>
      <c r="J514" s="324" t="s">
        <v>71</v>
      </c>
      <c r="K514" s="324" t="s">
        <v>72</v>
      </c>
      <c r="L514" s="324" t="s">
        <v>73</v>
      </c>
      <c r="M514" s="324" t="s">
        <v>74</v>
      </c>
      <c r="N514" s="324" t="s">
        <v>75</v>
      </c>
      <c r="O514" s="324" t="s">
        <v>80</v>
      </c>
      <c r="P514" s="324" t="s">
        <v>1</v>
      </c>
    </row>
    <row r="515" spans="1:16" s="324" customFormat="1" ht="0.65" hidden="1" customHeight="1">
      <c r="A515" s="324">
        <v>2055</v>
      </c>
      <c r="B515" s="324">
        <v>10</v>
      </c>
      <c r="C515" s="324">
        <v>10</v>
      </c>
      <c r="D515" s="324">
        <v>1</v>
      </c>
      <c r="G515" s="324">
        <v>2022</v>
      </c>
      <c r="P515" s="324">
        <v>41</v>
      </c>
    </row>
    <row r="516" spans="1:16" s="324" customFormat="1" ht="0.65" hidden="1" customHeight="1">
      <c r="A516" s="324">
        <v>2056</v>
      </c>
      <c r="B516" s="324">
        <v>400000</v>
      </c>
      <c r="C516" s="324">
        <v>400000</v>
      </c>
      <c r="D516" s="324">
        <v>1</v>
      </c>
      <c r="G516" s="324">
        <v>2023</v>
      </c>
      <c r="H516" s="324">
        <v>2</v>
      </c>
      <c r="I516" s="324">
        <v>5</v>
      </c>
      <c r="J516" s="324">
        <v>8</v>
      </c>
      <c r="K516" s="324">
        <v>11</v>
      </c>
      <c r="L516" s="324">
        <v>14</v>
      </c>
      <c r="M516" s="324">
        <v>17</v>
      </c>
      <c r="N516" s="324">
        <v>20</v>
      </c>
      <c r="O516" s="324">
        <v>35</v>
      </c>
      <c r="P516" s="324">
        <v>42</v>
      </c>
    </row>
    <row r="517" spans="1:16" s="324" customFormat="1" ht="0.65" hidden="1" customHeight="1">
      <c r="A517" s="324">
        <v>2057</v>
      </c>
      <c r="G517" s="324">
        <v>2024</v>
      </c>
      <c r="H517" s="324">
        <v>3</v>
      </c>
      <c r="I517" s="324">
        <v>6</v>
      </c>
      <c r="J517" s="324">
        <v>9</v>
      </c>
      <c r="K517" s="324">
        <v>12</v>
      </c>
      <c r="L517" s="324">
        <v>15</v>
      </c>
      <c r="M517" s="324">
        <v>18</v>
      </c>
      <c r="N517" s="324">
        <v>21</v>
      </c>
      <c r="O517" s="324">
        <v>36</v>
      </c>
      <c r="P517" s="324">
        <v>43</v>
      </c>
    </row>
    <row r="518" spans="1:16" s="324" customFormat="1" ht="0.65" hidden="1" customHeight="1">
      <c r="A518" s="324">
        <v>2058</v>
      </c>
      <c r="B518" s="324">
        <v>360000</v>
      </c>
      <c r="C518" s="324">
        <v>360000</v>
      </c>
      <c r="D518" s="324">
        <v>1</v>
      </c>
      <c r="G518" s="324">
        <v>2025</v>
      </c>
      <c r="H518" s="324">
        <v>4</v>
      </c>
      <c r="I518" s="324">
        <v>7</v>
      </c>
      <c r="J518" s="324">
        <v>10</v>
      </c>
      <c r="K518" s="324">
        <v>13</v>
      </c>
      <c r="L518" s="324">
        <v>16</v>
      </c>
      <c r="M518" s="324">
        <v>19</v>
      </c>
      <c r="N518" s="324">
        <v>22</v>
      </c>
      <c r="O518" s="324">
        <v>37</v>
      </c>
      <c r="P518" s="324">
        <v>44</v>
      </c>
    </row>
    <row r="519" spans="1:16" s="324" customFormat="1" ht="0.65" hidden="1" customHeight="1">
      <c r="A519" s="324">
        <v>2059</v>
      </c>
      <c r="B519" s="324">
        <v>240000</v>
      </c>
      <c r="C519" s="324">
        <v>240000</v>
      </c>
      <c r="D519" s="324">
        <v>1</v>
      </c>
    </row>
    <row r="520" spans="1:16" s="324" customFormat="1" ht="0.65" hidden="1" customHeight="1">
      <c r="A520" s="324">
        <v>2060</v>
      </c>
      <c r="G520" s="324" t="s">
        <v>0</v>
      </c>
      <c r="H520" s="324" t="s">
        <v>76</v>
      </c>
      <c r="I520" s="324" t="s">
        <v>77</v>
      </c>
      <c r="J520" s="324" t="s">
        <v>78</v>
      </c>
      <c r="K520" s="324" t="s">
        <v>79</v>
      </c>
    </row>
    <row r="521" spans="1:16" s="324" customFormat="1" ht="0.65" hidden="1" customHeight="1">
      <c r="A521" s="324">
        <v>2061</v>
      </c>
      <c r="B521" s="324">
        <v>30</v>
      </c>
      <c r="C521" s="324">
        <v>30</v>
      </c>
      <c r="D521" s="324">
        <v>1</v>
      </c>
      <c r="G521" s="324">
        <v>2022</v>
      </c>
      <c r="M521" s="324" t="s">
        <v>490</v>
      </c>
      <c r="N521" s="324">
        <v>1</v>
      </c>
      <c r="O521" s="324" t="s">
        <v>124</v>
      </c>
      <c r="P521" s="324">
        <v>45</v>
      </c>
    </row>
    <row r="522" spans="1:16" s="324" customFormat="1" ht="0.65" hidden="1" customHeight="1">
      <c r="A522" s="324">
        <v>2062</v>
      </c>
      <c r="B522" s="324">
        <v>60</v>
      </c>
      <c r="C522" s="324">
        <v>60</v>
      </c>
      <c r="D522" s="324">
        <v>1</v>
      </c>
      <c r="G522" s="324">
        <v>2023</v>
      </c>
      <c r="H522" s="324">
        <v>23</v>
      </c>
      <c r="I522" s="324">
        <v>26</v>
      </c>
      <c r="J522" s="324">
        <v>29</v>
      </c>
      <c r="K522" s="324">
        <v>32</v>
      </c>
      <c r="M522" s="324" t="s">
        <v>491</v>
      </c>
      <c r="N522" s="324">
        <v>38</v>
      </c>
      <c r="O522" s="324" t="s">
        <v>125</v>
      </c>
      <c r="P522" s="324">
        <v>46</v>
      </c>
    </row>
    <row r="523" spans="1:16" s="324" customFormat="1" ht="0.65" hidden="1" customHeight="1">
      <c r="A523" s="324">
        <v>2063</v>
      </c>
      <c r="G523" s="324">
        <v>2024</v>
      </c>
      <c r="H523" s="324">
        <v>24</v>
      </c>
      <c r="I523" s="324">
        <v>27</v>
      </c>
      <c r="J523" s="324">
        <v>30</v>
      </c>
      <c r="K523" s="324">
        <v>33</v>
      </c>
      <c r="M523" s="324" t="s">
        <v>493</v>
      </c>
      <c r="N523" s="324">
        <v>39</v>
      </c>
      <c r="O523" s="324" t="s">
        <v>126</v>
      </c>
      <c r="P523" s="324">
        <v>47</v>
      </c>
    </row>
    <row r="524" spans="1:16" s="324" customFormat="1" ht="0.65" hidden="1" customHeight="1">
      <c r="A524" s="324">
        <v>2064</v>
      </c>
      <c r="G524" s="324">
        <v>2025</v>
      </c>
      <c r="H524" s="324">
        <v>25</v>
      </c>
      <c r="I524" s="324">
        <v>28</v>
      </c>
      <c r="J524" s="324">
        <v>31</v>
      </c>
      <c r="K524" s="324">
        <v>34</v>
      </c>
      <c r="M524" s="324" t="s">
        <v>494</v>
      </c>
      <c r="N524" s="324">
        <v>40</v>
      </c>
    </row>
    <row r="525" spans="1:16" s="324" customFormat="1" ht="0.65" hidden="1" customHeight="1">
      <c r="A525" s="324">
        <v>2065</v>
      </c>
      <c r="B525" s="324">
        <v>45000</v>
      </c>
      <c r="C525" s="324">
        <v>45000</v>
      </c>
      <c r="D525" s="324">
        <v>1</v>
      </c>
    </row>
    <row r="526" spans="1:16" s="324" customFormat="1" ht="0.65" hidden="1" customHeight="1">
      <c r="A526" s="324">
        <v>2066</v>
      </c>
      <c r="B526" s="324">
        <v>90000</v>
      </c>
      <c r="C526" s="324">
        <v>90000</v>
      </c>
      <c r="D526" s="324">
        <v>1</v>
      </c>
      <c r="O526" s="324" t="s">
        <v>13</v>
      </c>
      <c r="P526" s="324">
        <v>48</v>
      </c>
    </row>
    <row r="527" spans="1:16" s="324" customFormat="1" ht="0.65" hidden="1" customHeight="1">
      <c r="A527" s="324">
        <v>2067</v>
      </c>
      <c r="B527" s="324">
        <v>3</v>
      </c>
      <c r="C527" s="324">
        <v>3</v>
      </c>
      <c r="D527" s="324">
        <v>1</v>
      </c>
      <c r="O527" s="324" t="s">
        <v>28</v>
      </c>
      <c r="P527" s="324">
        <v>49</v>
      </c>
    </row>
    <row r="528" spans="1:16" s="324" customFormat="1" ht="0.65" hidden="1" customHeight="1">
      <c r="A528" s="324">
        <v>2068</v>
      </c>
      <c r="B528" s="324">
        <v>22500</v>
      </c>
      <c r="C528" s="324">
        <v>22500</v>
      </c>
      <c r="D528" s="324">
        <v>1</v>
      </c>
      <c r="O528" s="324" t="s">
        <v>29</v>
      </c>
      <c r="P528" s="324">
        <v>50</v>
      </c>
    </row>
    <row r="529" spans="1:31" s="324" customFormat="1" ht="0.65" hidden="1" customHeight="1">
      <c r="A529" s="324">
        <v>2069</v>
      </c>
      <c r="O529" s="324" t="s">
        <v>30</v>
      </c>
      <c r="P529" s="324">
        <v>51</v>
      </c>
    </row>
    <row r="530" spans="1:31" s="324" customFormat="1" ht="0.65" hidden="1" customHeight="1">
      <c r="A530" s="324">
        <v>2070</v>
      </c>
      <c r="B530" s="324">
        <v>0.25</v>
      </c>
      <c r="C530" s="324">
        <v>0.25</v>
      </c>
      <c r="D530" s="324">
        <v>1</v>
      </c>
    </row>
    <row r="531" spans="1:31" s="324" customFormat="1" ht="0.65" hidden="1" customHeight="1">
      <c r="A531" s="324">
        <v>2071</v>
      </c>
    </row>
    <row r="532" spans="1:31" s="324" customFormat="1" ht="0.65" hidden="1" customHeight="1">
      <c r="A532" s="324">
        <v>2072</v>
      </c>
    </row>
    <row r="533" spans="1:31" s="324" customFormat="1" ht="0.65" hidden="1" customHeight="1">
      <c r="A533" s="324">
        <v>2073</v>
      </c>
      <c r="B533" s="324">
        <v>720000</v>
      </c>
      <c r="C533" s="324">
        <v>720000</v>
      </c>
      <c r="D533" s="324">
        <v>1</v>
      </c>
    </row>
    <row r="534" spans="1:31" s="324" customFormat="1" ht="0.65" hidden="1" customHeight="1">
      <c r="A534" s="324">
        <v>2074</v>
      </c>
      <c r="B534" s="324">
        <v>240000</v>
      </c>
      <c r="C534" s="324">
        <v>240000</v>
      </c>
      <c r="D534" s="324">
        <v>1</v>
      </c>
      <c r="K534" s="324" t="s">
        <v>475</v>
      </c>
      <c r="M534" s="324" t="s">
        <v>212</v>
      </c>
      <c r="N534" s="324" t="s">
        <v>213</v>
      </c>
      <c r="O534" s="324" t="s">
        <v>214</v>
      </c>
      <c r="P534" s="324" t="s">
        <v>215</v>
      </c>
      <c r="Q534" s="324" t="s">
        <v>216</v>
      </c>
      <c r="R534" s="324" t="s">
        <v>218</v>
      </c>
      <c r="S534" s="324" t="s">
        <v>219</v>
      </c>
      <c r="T534" s="324" t="s">
        <v>220</v>
      </c>
      <c r="U534" s="324" t="s">
        <v>473</v>
      </c>
      <c r="V534" s="324" t="s">
        <v>474</v>
      </c>
      <c r="X534" s="324" t="s">
        <v>223</v>
      </c>
      <c r="Y534" s="324" t="s">
        <v>224</v>
      </c>
      <c r="Z534" s="324" t="s">
        <v>225</v>
      </c>
      <c r="AA534" s="324" t="s">
        <v>226</v>
      </c>
      <c r="AB534" s="324" t="s">
        <v>227</v>
      </c>
      <c r="AC534" s="324" t="s">
        <v>228</v>
      </c>
      <c r="AD534" s="324" t="s">
        <v>229</v>
      </c>
      <c r="AE534" s="324" t="s">
        <v>230</v>
      </c>
    </row>
    <row r="535" spans="1:31" s="324" customFormat="1" ht="0.65" hidden="1" customHeight="1">
      <c r="A535" s="324">
        <v>2075</v>
      </c>
      <c r="B535" s="324">
        <v>0.02</v>
      </c>
      <c r="C535" s="324">
        <v>0.02</v>
      </c>
      <c r="D535" s="324">
        <v>1</v>
      </c>
      <c r="F535" s="324">
        <v>1</v>
      </c>
      <c r="G535" s="324">
        <v>1</v>
      </c>
      <c r="H535" s="324" t="s">
        <v>490</v>
      </c>
      <c r="I535" s="324">
        <v>543750</v>
      </c>
      <c r="J535" s="324">
        <v>543750</v>
      </c>
      <c r="K535" s="324" t="s">
        <v>970</v>
      </c>
      <c r="M535" s="324">
        <v>600000</v>
      </c>
      <c r="N535" s="324">
        <v>555000</v>
      </c>
      <c r="O535" s="324">
        <v>566250</v>
      </c>
      <c r="P535" s="324">
        <v>645000</v>
      </c>
      <c r="U535" s="324" t="s">
        <v>970</v>
      </c>
      <c r="V535" s="324" t="s">
        <v>509</v>
      </c>
      <c r="X535" s="324" t="s">
        <v>231</v>
      </c>
      <c r="Y535" s="324" t="s">
        <v>250</v>
      </c>
      <c r="Z535" s="324" t="s">
        <v>251</v>
      </c>
      <c r="AA535" s="324" t="s">
        <v>232</v>
      </c>
    </row>
    <row r="536" spans="1:31" s="324" customFormat="1" ht="0.65" hidden="1" customHeight="1">
      <c r="A536" s="324">
        <v>2076</v>
      </c>
      <c r="B536" s="324">
        <v>12000000</v>
      </c>
      <c r="C536" s="324">
        <v>12000000</v>
      </c>
      <c r="D536" s="324">
        <v>1</v>
      </c>
      <c r="F536" s="324">
        <v>1</v>
      </c>
      <c r="G536" s="324">
        <v>2</v>
      </c>
      <c r="H536" s="324" t="s">
        <v>510</v>
      </c>
      <c r="I536" s="324">
        <v>360000</v>
      </c>
      <c r="J536" s="324">
        <v>360000</v>
      </c>
      <c r="K536" s="324" t="s">
        <v>971</v>
      </c>
      <c r="M536" s="324">
        <v>330000</v>
      </c>
      <c r="N536" s="324">
        <v>30000</v>
      </c>
      <c r="U536" s="324" t="s">
        <v>971</v>
      </c>
      <c r="V536" s="324" t="s">
        <v>512</v>
      </c>
      <c r="X536" s="324" t="s">
        <v>233</v>
      </c>
    </row>
    <row r="537" spans="1:31" s="324" customFormat="1" ht="0.65" hidden="1" customHeight="1">
      <c r="A537" s="324">
        <v>2077</v>
      </c>
      <c r="B537" s="324">
        <v>4000000</v>
      </c>
      <c r="C537" s="324">
        <v>4000000</v>
      </c>
      <c r="D537" s="324">
        <v>1</v>
      </c>
      <c r="F537" s="324">
        <v>1</v>
      </c>
      <c r="G537" s="324">
        <v>3</v>
      </c>
      <c r="H537" s="324" t="s">
        <v>513</v>
      </c>
      <c r="I537" s="324">
        <v>360000</v>
      </c>
      <c r="J537" s="324">
        <v>360000</v>
      </c>
      <c r="K537" s="324" t="s">
        <v>971</v>
      </c>
      <c r="M537" s="324">
        <v>330000</v>
      </c>
      <c r="N537" s="324">
        <v>30000</v>
      </c>
      <c r="O537" s="324">
        <v>720000</v>
      </c>
      <c r="U537" s="324" t="s">
        <v>971</v>
      </c>
      <c r="V537" s="324" t="s">
        <v>514</v>
      </c>
      <c r="X537" s="324" t="s">
        <v>233</v>
      </c>
      <c r="Y537" s="324" t="s">
        <v>252</v>
      </c>
      <c r="Z537" s="324" t="s">
        <v>234</v>
      </c>
    </row>
    <row r="538" spans="1:31" s="324" customFormat="1" ht="0.65" hidden="1" customHeight="1">
      <c r="A538" s="324">
        <v>2078</v>
      </c>
      <c r="F538" s="324">
        <v>1</v>
      </c>
      <c r="G538" s="324">
        <v>4</v>
      </c>
      <c r="H538" s="324" t="s">
        <v>515</v>
      </c>
      <c r="I538" s="324">
        <v>360000</v>
      </c>
      <c r="J538" s="324">
        <v>360000</v>
      </c>
      <c r="K538" s="324" t="s">
        <v>971</v>
      </c>
      <c r="M538" s="324">
        <v>330000</v>
      </c>
      <c r="N538" s="324">
        <v>30000</v>
      </c>
      <c r="O538" s="324">
        <v>1080000</v>
      </c>
      <c r="U538" s="324" t="s">
        <v>971</v>
      </c>
      <c r="V538" s="324" t="s">
        <v>516</v>
      </c>
      <c r="X538" s="324" t="s">
        <v>233</v>
      </c>
      <c r="Y538" s="324" t="s">
        <v>252</v>
      </c>
      <c r="Z538" s="324" t="s">
        <v>235</v>
      </c>
    </row>
    <row r="539" spans="1:31" s="324" customFormat="1" ht="0.65" hidden="1" customHeight="1">
      <c r="A539" s="324">
        <v>2079</v>
      </c>
      <c r="C539" s="324" t="s">
        <v>422</v>
      </c>
      <c r="D539" s="324">
        <v>28</v>
      </c>
      <c r="F539" s="324">
        <v>1</v>
      </c>
      <c r="G539" s="324">
        <v>5</v>
      </c>
      <c r="H539" s="324" t="s">
        <v>517</v>
      </c>
      <c r="I539" s="324">
        <v>240000</v>
      </c>
      <c r="J539" s="324">
        <v>240000</v>
      </c>
      <c r="K539" s="324" t="s">
        <v>972</v>
      </c>
      <c r="M539" s="324">
        <v>200000</v>
      </c>
      <c r="N539" s="324">
        <v>40000</v>
      </c>
      <c r="U539" s="324" t="s">
        <v>972</v>
      </c>
      <c r="V539" s="324" t="s">
        <v>519</v>
      </c>
      <c r="X539" s="324" t="s">
        <v>236</v>
      </c>
      <c r="Y539" s="324" t="s">
        <v>253</v>
      </c>
    </row>
    <row r="540" spans="1:31" s="324" customFormat="1" ht="0.65" hidden="1" customHeight="1">
      <c r="A540" s="324">
        <v>2080</v>
      </c>
      <c r="C540" s="324" t="s">
        <v>423</v>
      </c>
      <c r="D540" s="324" t="s">
        <v>520</v>
      </c>
      <c r="F540" s="324">
        <v>1</v>
      </c>
      <c r="G540" s="324">
        <v>6</v>
      </c>
      <c r="H540" s="324" t="s">
        <v>521</v>
      </c>
      <c r="I540" s="324">
        <v>240000</v>
      </c>
      <c r="J540" s="324">
        <v>240000</v>
      </c>
      <c r="K540" s="324" t="s">
        <v>972</v>
      </c>
      <c r="M540" s="324">
        <v>200000</v>
      </c>
      <c r="N540" s="324">
        <v>40000</v>
      </c>
      <c r="O540" s="324">
        <v>480000</v>
      </c>
      <c r="U540" s="324" t="s">
        <v>972</v>
      </c>
      <c r="V540" s="324" t="s">
        <v>522</v>
      </c>
      <c r="X540" s="324" t="s">
        <v>236</v>
      </c>
      <c r="Y540" s="324" t="s">
        <v>253</v>
      </c>
      <c r="Z540" s="324" t="s">
        <v>237</v>
      </c>
    </row>
    <row r="541" spans="1:31" s="324" customFormat="1" ht="0.65" hidden="1" customHeight="1">
      <c r="A541" s="324">
        <v>2081</v>
      </c>
      <c r="F541" s="324">
        <v>1</v>
      </c>
      <c r="G541" s="324">
        <v>7</v>
      </c>
      <c r="H541" s="324" t="s">
        <v>523</v>
      </c>
      <c r="I541" s="324">
        <v>240000</v>
      </c>
      <c r="J541" s="324">
        <v>240000</v>
      </c>
      <c r="K541" s="324" t="s">
        <v>972</v>
      </c>
      <c r="M541" s="324">
        <v>200000</v>
      </c>
      <c r="N541" s="324">
        <v>40000</v>
      </c>
      <c r="O541" s="324">
        <v>720000</v>
      </c>
      <c r="U541" s="324" t="s">
        <v>972</v>
      </c>
      <c r="V541" s="324" t="s">
        <v>524</v>
      </c>
      <c r="X541" s="324" t="s">
        <v>236</v>
      </c>
      <c r="Y541" s="324" t="s">
        <v>253</v>
      </c>
      <c r="Z541" s="324" t="s">
        <v>238</v>
      </c>
    </row>
    <row r="542" spans="1:31" s="324" customFormat="1" ht="0.65" hidden="1" customHeight="1">
      <c r="A542" s="324">
        <v>2082</v>
      </c>
      <c r="B542" s="324">
        <v>2022</v>
      </c>
      <c r="C542" s="324">
        <v>2022</v>
      </c>
      <c r="D542" s="324">
        <v>1</v>
      </c>
      <c r="F542" s="324">
        <v>1</v>
      </c>
      <c r="G542" s="324">
        <v>8</v>
      </c>
      <c r="H542" s="324" t="s">
        <v>525</v>
      </c>
      <c r="I542" s="324">
        <v>30000</v>
      </c>
      <c r="J542" s="324">
        <v>30000</v>
      </c>
      <c r="K542" s="324" t="s">
        <v>973</v>
      </c>
      <c r="M542" s="324">
        <v>60000</v>
      </c>
      <c r="N542" s="324">
        <v>90000</v>
      </c>
      <c r="O542" s="324">
        <v>45000</v>
      </c>
      <c r="P542" s="324">
        <v>-30000</v>
      </c>
      <c r="U542" s="324" t="s">
        <v>973</v>
      </c>
      <c r="V542" s="324" t="s">
        <v>527</v>
      </c>
      <c r="X542" s="324" t="s">
        <v>239</v>
      </c>
      <c r="Y542" s="324" t="s">
        <v>240</v>
      </c>
      <c r="Z542" s="324" t="s">
        <v>241</v>
      </c>
      <c r="AA542" s="324" t="s">
        <v>242</v>
      </c>
    </row>
    <row r="543" spans="1:31" s="324" customFormat="1" ht="0.65" hidden="1" customHeight="1">
      <c r="A543" s="324">
        <v>2083</v>
      </c>
      <c r="B543" s="324">
        <v>2023</v>
      </c>
      <c r="C543" s="324">
        <v>2023</v>
      </c>
      <c r="D543" s="324">
        <v>1</v>
      </c>
      <c r="F543" s="324">
        <v>1</v>
      </c>
      <c r="G543" s="324">
        <v>9</v>
      </c>
      <c r="H543" s="324" t="s">
        <v>528</v>
      </c>
      <c r="I543" s="324">
        <v>30000</v>
      </c>
      <c r="J543" s="324">
        <v>30000</v>
      </c>
      <c r="K543" s="324" t="s">
        <v>973</v>
      </c>
      <c r="M543" s="324">
        <v>60000</v>
      </c>
      <c r="N543" s="324">
        <v>90000</v>
      </c>
      <c r="O543" s="324">
        <v>45000</v>
      </c>
      <c r="P543" s="324">
        <v>-30000</v>
      </c>
      <c r="U543" s="324" t="s">
        <v>973</v>
      </c>
      <c r="V543" s="324" t="s">
        <v>529</v>
      </c>
      <c r="X543" s="324" t="s">
        <v>239</v>
      </c>
      <c r="Y543" s="324" t="s">
        <v>240</v>
      </c>
      <c r="Z543" s="324" t="s">
        <v>241</v>
      </c>
      <c r="AA543" s="324" t="s">
        <v>242</v>
      </c>
    </row>
    <row r="544" spans="1:31" s="324" customFormat="1" ht="0.65" hidden="1" customHeight="1">
      <c r="A544" s="324">
        <v>2084</v>
      </c>
      <c r="B544" s="324">
        <v>2024</v>
      </c>
      <c r="C544" s="324">
        <v>2024</v>
      </c>
      <c r="D544" s="324">
        <v>1</v>
      </c>
      <c r="F544" s="324">
        <v>1</v>
      </c>
      <c r="G544" s="324">
        <v>10</v>
      </c>
      <c r="H544" s="324" t="s">
        <v>530</v>
      </c>
      <c r="I544" s="324">
        <v>30000</v>
      </c>
      <c r="J544" s="324">
        <v>30000</v>
      </c>
      <c r="K544" s="324" t="s">
        <v>973</v>
      </c>
      <c r="M544" s="324">
        <v>60000</v>
      </c>
      <c r="N544" s="324">
        <v>90000</v>
      </c>
      <c r="O544" s="324">
        <v>45000</v>
      </c>
      <c r="P544" s="324">
        <v>-30000</v>
      </c>
      <c r="Q544" s="324">
        <v>30000</v>
      </c>
      <c r="U544" s="324" t="s">
        <v>973</v>
      </c>
      <c r="V544" s="324" t="s">
        <v>532</v>
      </c>
      <c r="X544" s="324" t="s">
        <v>239</v>
      </c>
      <c r="Y544" s="324" t="s">
        <v>240</v>
      </c>
      <c r="Z544" s="324" t="s">
        <v>241</v>
      </c>
      <c r="AA544" s="324" t="s">
        <v>242</v>
      </c>
      <c r="AB544" s="324" t="s">
        <v>254</v>
      </c>
    </row>
    <row r="545" spans="1:26" s="324" customFormat="1" ht="0.65" hidden="1" customHeight="1">
      <c r="A545" s="324">
        <v>2085</v>
      </c>
      <c r="B545" s="324">
        <v>2025</v>
      </c>
      <c r="C545" s="324">
        <v>2025</v>
      </c>
      <c r="D545" s="324">
        <v>1</v>
      </c>
      <c r="F545" s="324">
        <v>1</v>
      </c>
      <c r="G545" s="324">
        <v>11</v>
      </c>
      <c r="H545" s="324" t="s">
        <v>533</v>
      </c>
      <c r="I545" s="324">
        <v>90000</v>
      </c>
      <c r="J545" s="324">
        <v>90000</v>
      </c>
      <c r="K545" s="324" t="s">
        <v>974</v>
      </c>
      <c r="M545" s="324">
        <v>150000</v>
      </c>
      <c r="N545" s="324">
        <v>120000</v>
      </c>
      <c r="O545" s="324">
        <v>570000</v>
      </c>
      <c r="U545" s="324" t="s">
        <v>974</v>
      </c>
      <c r="V545" s="324" t="s">
        <v>535</v>
      </c>
      <c r="X545" s="324" t="s">
        <v>243</v>
      </c>
      <c r="Y545" s="324" t="s">
        <v>255</v>
      </c>
      <c r="Z545" s="324" t="s">
        <v>341</v>
      </c>
    </row>
    <row r="546" spans="1:26" s="324" customFormat="1" ht="0.65" hidden="1" customHeight="1">
      <c r="A546" s="324">
        <v>2086</v>
      </c>
      <c r="F546" s="324">
        <v>1</v>
      </c>
      <c r="G546" s="324">
        <v>12</v>
      </c>
      <c r="H546" s="324" t="s">
        <v>536</v>
      </c>
      <c r="I546" s="324">
        <v>90000</v>
      </c>
      <c r="J546" s="324">
        <v>90000</v>
      </c>
      <c r="K546" s="324" t="s">
        <v>974</v>
      </c>
      <c r="M546" s="324">
        <v>150000</v>
      </c>
      <c r="N546" s="324">
        <v>120000</v>
      </c>
      <c r="O546" s="324">
        <v>570000</v>
      </c>
      <c r="U546" s="324" t="s">
        <v>974</v>
      </c>
      <c r="V546" s="324" t="s">
        <v>537</v>
      </c>
      <c r="X546" s="324" t="s">
        <v>243</v>
      </c>
      <c r="Y546" s="324" t="s">
        <v>255</v>
      </c>
      <c r="Z546" s="324" t="s">
        <v>341</v>
      </c>
    </row>
    <row r="547" spans="1:26" s="324" customFormat="1" ht="0.65" hidden="1" customHeight="1">
      <c r="A547" s="324">
        <v>2087</v>
      </c>
      <c r="F547" s="324">
        <v>1</v>
      </c>
      <c r="G547" s="324">
        <v>13</v>
      </c>
      <c r="H547" s="324" t="s">
        <v>538</v>
      </c>
      <c r="I547" s="324">
        <v>90000</v>
      </c>
      <c r="J547" s="324">
        <v>90000</v>
      </c>
      <c r="K547" s="324" t="s">
        <v>974</v>
      </c>
      <c r="M547" s="324">
        <v>150000</v>
      </c>
      <c r="N547" s="324">
        <v>120000</v>
      </c>
      <c r="O547" s="324">
        <v>540000</v>
      </c>
      <c r="U547" s="324" t="s">
        <v>974</v>
      </c>
      <c r="V547" s="324" t="s">
        <v>540</v>
      </c>
      <c r="X547" s="324" t="s">
        <v>243</v>
      </c>
      <c r="Y547" s="324" t="s">
        <v>255</v>
      </c>
      <c r="Z547" s="324" t="s">
        <v>341</v>
      </c>
    </row>
    <row r="548" spans="1:26" s="324" customFormat="1" ht="0.65" hidden="1" customHeight="1">
      <c r="A548" s="324">
        <v>2088</v>
      </c>
      <c r="B548" s="324">
        <v>2022</v>
      </c>
      <c r="C548" s="324">
        <v>2022</v>
      </c>
      <c r="D548" s="324">
        <v>1</v>
      </c>
      <c r="F548" s="324">
        <v>1</v>
      </c>
      <c r="G548" s="324">
        <v>14</v>
      </c>
      <c r="H548" s="324" t="s">
        <v>541</v>
      </c>
      <c r="I548" s="324">
        <v>22500</v>
      </c>
      <c r="J548" s="324">
        <v>22500</v>
      </c>
      <c r="K548" s="324" t="s">
        <v>975</v>
      </c>
      <c r="M548" s="324">
        <v>0</v>
      </c>
      <c r="N548" s="324">
        <v>27000</v>
      </c>
      <c r="O548" s="324">
        <v>67500</v>
      </c>
      <c r="U548" s="324" t="s">
        <v>975</v>
      </c>
      <c r="V548" s="324" t="s">
        <v>543</v>
      </c>
      <c r="X548" s="324" t="s">
        <v>279</v>
      </c>
      <c r="Y548" s="324" t="s">
        <v>280</v>
      </c>
      <c r="Z548" s="324" t="s">
        <v>342</v>
      </c>
    </row>
    <row r="549" spans="1:26" s="324" customFormat="1" ht="0.65" hidden="1" customHeight="1">
      <c r="A549" s="324">
        <v>2089</v>
      </c>
      <c r="B549" s="324">
        <v>2023</v>
      </c>
      <c r="C549" s="324">
        <v>2023</v>
      </c>
      <c r="D549" s="324">
        <v>1</v>
      </c>
      <c r="F549" s="324">
        <v>1</v>
      </c>
      <c r="G549" s="324">
        <v>15</v>
      </c>
      <c r="H549" s="324" t="s">
        <v>544</v>
      </c>
      <c r="I549" s="324">
        <v>22500</v>
      </c>
      <c r="J549" s="324">
        <v>22500</v>
      </c>
      <c r="K549" s="324" t="s">
        <v>975</v>
      </c>
      <c r="M549" s="324">
        <v>0</v>
      </c>
      <c r="N549" s="324">
        <v>27000</v>
      </c>
      <c r="O549" s="324">
        <v>67500</v>
      </c>
      <c r="U549" s="324" t="s">
        <v>975</v>
      </c>
      <c r="V549" s="324" t="s">
        <v>545</v>
      </c>
      <c r="X549" s="324" t="s">
        <v>279</v>
      </c>
      <c r="Y549" s="324" t="s">
        <v>280</v>
      </c>
      <c r="Z549" s="324" t="s">
        <v>342</v>
      </c>
    </row>
    <row r="550" spans="1:26" s="324" customFormat="1" ht="0.65" hidden="1" customHeight="1">
      <c r="A550" s="324">
        <v>2090</v>
      </c>
      <c r="B550" s="324">
        <v>2024</v>
      </c>
      <c r="C550" s="324">
        <v>2024</v>
      </c>
      <c r="D550" s="324">
        <v>1</v>
      </c>
      <c r="F550" s="324">
        <v>1</v>
      </c>
      <c r="G550" s="324">
        <v>16</v>
      </c>
      <c r="H550" s="324" t="s">
        <v>546</v>
      </c>
      <c r="I550" s="324">
        <v>22500</v>
      </c>
      <c r="J550" s="324">
        <v>22500</v>
      </c>
      <c r="K550" s="324" t="s">
        <v>975</v>
      </c>
      <c r="M550" s="324">
        <v>0</v>
      </c>
      <c r="N550" s="324">
        <v>27000</v>
      </c>
      <c r="O550" s="324">
        <v>45000</v>
      </c>
      <c r="U550" s="324" t="s">
        <v>975</v>
      </c>
      <c r="V550" s="324" t="s">
        <v>548</v>
      </c>
      <c r="X550" s="324" t="s">
        <v>279</v>
      </c>
      <c r="Y550" s="324" t="s">
        <v>280</v>
      </c>
      <c r="Z550" s="324" t="s">
        <v>342</v>
      </c>
    </row>
    <row r="551" spans="1:26" s="324" customFormat="1" ht="0.65" hidden="1" customHeight="1">
      <c r="A551" s="324">
        <v>2091</v>
      </c>
      <c r="B551" s="324">
        <v>2025</v>
      </c>
      <c r="C551" s="324">
        <v>2025</v>
      </c>
      <c r="D551" s="324">
        <v>1</v>
      </c>
      <c r="F551" s="324">
        <v>1</v>
      </c>
      <c r="G551" s="324">
        <v>17</v>
      </c>
      <c r="H551" s="324" t="s">
        <v>549</v>
      </c>
      <c r="I551" s="324">
        <v>67500</v>
      </c>
      <c r="J551" s="324">
        <v>67500</v>
      </c>
      <c r="K551" s="324" t="s">
        <v>976</v>
      </c>
      <c r="M551" s="324">
        <v>112500</v>
      </c>
      <c r="U551" s="324" t="s">
        <v>976</v>
      </c>
      <c r="V551" s="324" t="s">
        <v>551</v>
      </c>
      <c r="X551" s="324" t="s">
        <v>256</v>
      </c>
    </row>
    <row r="552" spans="1:26" s="324" customFormat="1" ht="0.65" hidden="1" customHeight="1">
      <c r="A552" s="324">
        <v>2092</v>
      </c>
      <c r="F552" s="324">
        <v>1</v>
      </c>
      <c r="G552" s="324">
        <v>18</v>
      </c>
      <c r="H552" s="324" t="s">
        <v>552</v>
      </c>
      <c r="I552" s="324">
        <v>67500</v>
      </c>
      <c r="J552" s="324">
        <v>67500</v>
      </c>
      <c r="K552" s="324" t="s">
        <v>976</v>
      </c>
      <c r="M552" s="324">
        <v>112500</v>
      </c>
      <c r="U552" s="324" t="s">
        <v>976</v>
      </c>
      <c r="V552" s="324" t="s">
        <v>553</v>
      </c>
      <c r="X552" s="324" t="s">
        <v>256</v>
      </c>
    </row>
    <row r="553" spans="1:26" s="324" customFormat="1" ht="0.65" hidden="1" customHeight="1">
      <c r="A553" s="324">
        <v>2093</v>
      </c>
      <c r="B553" s="324">
        <v>0</v>
      </c>
      <c r="C553" s="324">
        <v>0</v>
      </c>
      <c r="D553" s="324">
        <v>1</v>
      </c>
      <c r="F553" s="324">
        <v>1</v>
      </c>
      <c r="G553" s="324">
        <v>19</v>
      </c>
      <c r="H553" s="324" t="s">
        <v>554</v>
      </c>
      <c r="I553" s="324">
        <v>67500</v>
      </c>
      <c r="J553" s="324">
        <v>67500</v>
      </c>
      <c r="K553" s="324" t="s">
        <v>976</v>
      </c>
      <c r="M553" s="324">
        <v>112500</v>
      </c>
      <c r="U553" s="324" t="s">
        <v>976</v>
      </c>
      <c r="V553" s="324" t="s">
        <v>556</v>
      </c>
      <c r="X553" s="324" t="s">
        <v>256</v>
      </c>
    </row>
    <row r="554" spans="1:26" s="324" customFormat="1" ht="0.65" hidden="1" customHeight="1">
      <c r="A554" s="324">
        <v>2094</v>
      </c>
      <c r="B554" s="324">
        <v>0</v>
      </c>
      <c r="C554" s="324">
        <v>0</v>
      </c>
      <c r="D554" s="324">
        <v>1</v>
      </c>
      <c r="F554" s="324">
        <v>1</v>
      </c>
      <c r="G554" s="324">
        <v>20</v>
      </c>
      <c r="H554" s="324" t="s">
        <v>557</v>
      </c>
      <c r="I554" s="324">
        <v>97500</v>
      </c>
      <c r="J554" s="324">
        <v>97500</v>
      </c>
      <c r="K554" s="324" t="s">
        <v>977</v>
      </c>
      <c r="M554" s="324">
        <v>67500</v>
      </c>
      <c r="N554" s="324">
        <v>37500</v>
      </c>
      <c r="U554" s="324" t="s">
        <v>977</v>
      </c>
      <c r="V554" s="324" t="s">
        <v>559</v>
      </c>
      <c r="X554" s="324" t="s">
        <v>257</v>
      </c>
      <c r="Y554" s="324" t="s">
        <v>258</v>
      </c>
    </row>
    <row r="555" spans="1:26" s="324" customFormat="1" ht="0.65" hidden="1" customHeight="1">
      <c r="A555" s="324">
        <v>2095</v>
      </c>
      <c r="B555" s="324">
        <v>0</v>
      </c>
      <c r="C555" s="324">
        <v>0</v>
      </c>
      <c r="D555" s="324">
        <v>1</v>
      </c>
      <c r="F555" s="324">
        <v>1</v>
      </c>
      <c r="G555" s="324">
        <v>21</v>
      </c>
      <c r="H555" s="324" t="s">
        <v>560</v>
      </c>
      <c r="I555" s="324">
        <v>97500</v>
      </c>
      <c r="J555" s="324">
        <v>97500</v>
      </c>
      <c r="K555" s="324" t="s">
        <v>977</v>
      </c>
      <c r="M555" s="324">
        <v>67500</v>
      </c>
      <c r="N555" s="324">
        <v>37500</v>
      </c>
      <c r="U555" s="324" t="s">
        <v>977</v>
      </c>
      <c r="V555" s="324" t="s">
        <v>561</v>
      </c>
      <c r="X555" s="324" t="s">
        <v>257</v>
      </c>
      <c r="Y555" s="324" t="s">
        <v>258</v>
      </c>
    </row>
    <row r="556" spans="1:26" s="324" customFormat="1" ht="0.65" hidden="1" customHeight="1">
      <c r="A556" s="324">
        <v>2096</v>
      </c>
      <c r="F556" s="324">
        <v>1</v>
      </c>
      <c r="G556" s="324">
        <v>22</v>
      </c>
      <c r="H556" s="324" t="s">
        <v>562</v>
      </c>
      <c r="I556" s="324">
        <v>97500</v>
      </c>
      <c r="J556" s="324">
        <v>97500</v>
      </c>
      <c r="K556" s="324" t="s">
        <v>977</v>
      </c>
      <c r="M556" s="324">
        <v>67500</v>
      </c>
      <c r="N556" s="324">
        <v>37500</v>
      </c>
      <c r="U556" s="324" t="s">
        <v>977</v>
      </c>
      <c r="V556" s="324" t="s">
        <v>564</v>
      </c>
      <c r="X556" s="324" t="s">
        <v>257</v>
      </c>
      <c r="Y556" s="324" t="s">
        <v>258</v>
      </c>
    </row>
    <row r="557" spans="1:26" s="324" customFormat="1" ht="0.65" hidden="1" customHeight="1">
      <c r="A557" s="324">
        <v>2097</v>
      </c>
      <c r="F557" s="324">
        <v>1</v>
      </c>
      <c r="G557" s="324">
        <v>23</v>
      </c>
      <c r="H557" s="324" t="s">
        <v>565</v>
      </c>
      <c r="I557" s="324">
        <v>30000</v>
      </c>
      <c r="J557" s="324">
        <v>30000</v>
      </c>
      <c r="K557" s="324" t="s">
        <v>978</v>
      </c>
      <c r="M557" s="324">
        <v>330000</v>
      </c>
      <c r="N557" s="324">
        <v>60000</v>
      </c>
      <c r="O557" s="324">
        <v>360000</v>
      </c>
      <c r="U557" s="324" t="s">
        <v>978</v>
      </c>
      <c r="V557" s="324" t="s">
        <v>567</v>
      </c>
      <c r="X557" s="324" t="s">
        <v>259</v>
      </c>
      <c r="Y557" s="324" t="s">
        <v>260</v>
      </c>
      <c r="Z557" s="324" t="s">
        <v>343</v>
      </c>
    </row>
    <row r="558" spans="1:26" s="324" customFormat="1" ht="0.65" hidden="1" customHeight="1">
      <c r="A558" s="324">
        <v>2098</v>
      </c>
      <c r="F558" s="324">
        <v>1</v>
      </c>
      <c r="G558" s="324">
        <v>24</v>
      </c>
      <c r="H558" s="324" t="s">
        <v>568</v>
      </c>
      <c r="I558" s="324">
        <v>30000</v>
      </c>
      <c r="J558" s="324">
        <v>30000</v>
      </c>
      <c r="K558" s="324" t="s">
        <v>978</v>
      </c>
      <c r="M558" s="324">
        <v>330000</v>
      </c>
      <c r="N558" s="324">
        <v>60000</v>
      </c>
      <c r="O558" s="324">
        <v>60000</v>
      </c>
      <c r="U558" s="324" t="s">
        <v>978</v>
      </c>
      <c r="V558" s="324" t="s">
        <v>569</v>
      </c>
      <c r="X558" s="324" t="s">
        <v>259</v>
      </c>
      <c r="Y558" s="324" t="s">
        <v>260</v>
      </c>
      <c r="Z558" s="324" t="s">
        <v>261</v>
      </c>
    </row>
    <row r="559" spans="1:26" s="324" customFormat="1" ht="0.65" hidden="1" customHeight="1">
      <c r="A559" s="324">
        <v>2099</v>
      </c>
      <c r="F559" s="324">
        <v>1</v>
      </c>
      <c r="G559" s="324">
        <v>25</v>
      </c>
      <c r="H559" s="324" t="s">
        <v>570</v>
      </c>
      <c r="I559" s="324">
        <v>30000</v>
      </c>
      <c r="J559" s="324">
        <v>30000</v>
      </c>
      <c r="K559" s="324" t="s">
        <v>978</v>
      </c>
      <c r="M559" s="324">
        <v>330000</v>
      </c>
      <c r="N559" s="324">
        <v>60000</v>
      </c>
      <c r="O559" s="324">
        <v>90000</v>
      </c>
      <c r="U559" s="324" t="s">
        <v>978</v>
      </c>
      <c r="V559" s="324" t="s">
        <v>571</v>
      </c>
      <c r="X559" s="324" t="s">
        <v>259</v>
      </c>
      <c r="Y559" s="324" t="s">
        <v>260</v>
      </c>
      <c r="Z559" s="324" t="s">
        <v>261</v>
      </c>
    </row>
    <row r="560" spans="1:26" s="324" customFormat="1" ht="0.65" hidden="1" customHeight="1">
      <c r="A560" s="324">
        <v>2100</v>
      </c>
      <c r="F560" s="324">
        <v>1</v>
      </c>
      <c r="G560" s="324">
        <v>26</v>
      </c>
      <c r="H560" s="324" t="s">
        <v>572</v>
      </c>
      <c r="I560" s="324">
        <v>40000</v>
      </c>
      <c r="J560" s="324">
        <v>40000</v>
      </c>
      <c r="K560" s="324" t="s">
        <v>979</v>
      </c>
      <c r="M560" s="324">
        <v>200000</v>
      </c>
      <c r="N560" s="324">
        <v>20000</v>
      </c>
      <c r="O560" s="324">
        <v>240000</v>
      </c>
      <c r="U560" s="324" t="s">
        <v>979</v>
      </c>
      <c r="V560" s="324" t="s">
        <v>574</v>
      </c>
      <c r="X560" s="324" t="s">
        <v>262</v>
      </c>
      <c r="Y560" s="324" t="s">
        <v>263</v>
      </c>
      <c r="Z560" s="324" t="s">
        <v>344</v>
      </c>
    </row>
    <row r="561" spans="1:28" s="324" customFormat="1" ht="0.65" hidden="1" customHeight="1">
      <c r="A561" s="324">
        <v>2101</v>
      </c>
      <c r="F561" s="324">
        <v>1</v>
      </c>
      <c r="G561" s="324">
        <v>27</v>
      </c>
      <c r="H561" s="324" t="s">
        <v>575</v>
      </c>
      <c r="I561" s="324">
        <v>40000</v>
      </c>
      <c r="J561" s="324">
        <v>40000</v>
      </c>
      <c r="K561" s="324" t="s">
        <v>979</v>
      </c>
      <c r="M561" s="324">
        <v>200000</v>
      </c>
      <c r="N561" s="324">
        <v>20000</v>
      </c>
      <c r="O561" s="324">
        <v>80000</v>
      </c>
      <c r="U561" s="324" t="s">
        <v>979</v>
      </c>
      <c r="V561" s="324" t="s">
        <v>576</v>
      </c>
      <c r="X561" s="324" t="s">
        <v>262</v>
      </c>
      <c r="Y561" s="324" t="s">
        <v>263</v>
      </c>
      <c r="Z561" s="324" t="s">
        <v>264</v>
      </c>
    </row>
    <row r="562" spans="1:28" s="324" customFormat="1" ht="0.65" hidden="1" customHeight="1">
      <c r="A562" s="324">
        <v>2102</v>
      </c>
      <c r="F562" s="324">
        <v>1</v>
      </c>
      <c r="G562" s="324">
        <v>28</v>
      </c>
      <c r="H562" s="324" t="s">
        <v>577</v>
      </c>
      <c r="I562" s="324">
        <v>40000</v>
      </c>
      <c r="J562" s="324">
        <v>40000</v>
      </c>
      <c r="K562" s="324" t="s">
        <v>979</v>
      </c>
      <c r="M562" s="324">
        <v>200000</v>
      </c>
      <c r="N562" s="324">
        <v>20000</v>
      </c>
      <c r="O562" s="324">
        <v>120000</v>
      </c>
      <c r="U562" s="324" t="s">
        <v>979</v>
      </c>
      <c r="V562" s="324" t="s">
        <v>578</v>
      </c>
      <c r="X562" s="324" t="s">
        <v>262</v>
      </c>
      <c r="Y562" s="324" t="s">
        <v>263</v>
      </c>
      <c r="Z562" s="324" t="s">
        <v>264</v>
      </c>
    </row>
    <row r="563" spans="1:28" s="324" customFormat="1" ht="0.65" hidden="1" customHeight="1">
      <c r="A563" s="324">
        <v>2103</v>
      </c>
      <c r="F563" s="324">
        <v>1</v>
      </c>
      <c r="G563" s="324">
        <v>29</v>
      </c>
      <c r="H563" s="324" t="s">
        <v>579</v>
      </c>
      <c r="I563" s="324">
        <v>-10000</v>
      </c>
      <c r="J563" s="324">
        <v>-10000</v>
      </c>
      <c r="K563" s="324" t="s">
        <v>980</v>
      </c>
      <c r="M563" s="324">
        <v>70000</v>
      </c>
      <c r="N563" s="324">
        <v>0</v>
      </c>
      <c r="O563" s="324">
        <v>30000</v>
      </c>
      <c r="U563" s="324" t="s">
        <v>980</v>
      </c>
      <c r="V563" s="324" t="s">
        <v>581</v>
      </c>
      <c r="X563" s="324" t="s">
        <v>265</v>
      </c>
      <c r="Y563" s="324" t="s">
        <v>266</v>
      </c>
      <c r="Z563" s="324" t="s">
        <v>281</v>
      </c>
    </row>
    <row r="564" spans="1:28" s="324" customFormat="1" ht="0.65" hidden="1" customHeight="1">
      <c r="A564" s="324">
        <v>2104</v>
      </c>
      <c r="F564" s="324">
        <v>1</v>
      </c>
      <c r="G564" s="324">
        <v>30</v>
      </c>
      <c r="H564" s="324" t="s">
        <v>582</v>
      </c>
      <c r="I564" s="324">
        <v>-10000</v>
      </c>
      <c r="J564" s="324">
        <v>-10000</v>
      </c>
      <c r="K564" s="324" t="s">
        <v>980</v>
      </c>
      <c r="M564" s="324">
        <v>70000</v>
      </c>
      <c r="N564" s="324">
        <v>0</v>
      </c>
      <c r="O564" s="324">
        <v>30000</v>
      </c>
      <c r="U564" s="324" t="s">
        <v>980</v>
      </c>
      <c r="V564" s="324" t="s">
        <v>583</v>
      </c>
      <c r="X564" s="324" t="s">
        <v>265</v>
      </c>
      <c r="Y564" s="324" t="s">
        <v>266</v>
      </c>
      <c r="Z564" s="324" t="s">
        <v>281</v>
      </c>
    </row>
    <row r="565" spans="1:28" s="324" customFormat="1" ht="0.65" hidden="1" customHeight="1">
      <c r="A565" s="324">
        <v>2105</v>
      </c>
      <c r="F565" s="324">
        <v>1</v>
      </c>
      <c r="G565" s="324">
        <v>31</v>
      </c>
      <c r="H565" s="324" t="s">
        <v>584</v>
      </c>
      <c r="I565" s="324">
        <v>-10000</v>
      </c>
      <c r="J565" s="324">
        <v>-10000</v>
      </c>
      <c r="K565" s="324" t="s">
        <v>980</v>
      </c>
      <c r="M565" s="324">
        <v>70000</v>
      </c>
      <c r="N565" s="324">
        <v>0</v>
      </c>
      <c r="O565" s="324">
        <v>30000</v>
      </c>
      <c r="U565" s="324" t="s">
        <v>980</v>
      </c>
      <c r="V565" s="324" t="s">
        <v>585</v>
      </c>
      <c r="X565" s="324" t="s">
        <v>265</v>
      </c>
      <c r="Y565" s="324" t="s">
        <v>266</v>
      </c>
      <c r="Z565" s="324" t="s">
        <v>281</v>
      </c>
    </row>
    <row r="566" spans="1:28" s="324" customFormat="1" ht="0.65" hidden="1" customHeight="1">
      <c r="A566" s="324">
        <v>2106</v>
      </c>
      <c r="F566" s="324">
        <v>1</v>
      </c>
      <c r="G566" s="324">
        <v>32</v>
      </c>
      <c r="H566" s="324" t="s">
        <v>586</v>
      </c>
      <c r="I566" s="324">
        <v>-10000</v>
      </c>
      <c r="J566" s="324">
        <v>-10000</v>
      </c>
      <c r="K566" s="324" t="s">
        <v>981</v>
      </c>
      <c r="U566" s="324" t="s">
        <v>981</v>
      </c>
      <c r="V566" s="324" t="s">
        <v>588</v>
      </c>
    </row>
    <row r="567" spans="1:28" s="324" customFormat="1" ht="0.65" hidden="1" customHeight="1">
      <c r="A567" s="324">
        <v>2107</v>
      </c>
      <c r="F567" s="324">
        <v>1</v>
      </c>
      <c r="G567" s="324">
        <v>33</v>
      </c>
      <c r="H567" s="324" t="s">
        <v>589</v>
      </c>
      <c r="I567" s="324">
        <v>0</v>
      </c>
      <c r="J567" s="324">
        <v>0</v>
      </c>
      <c r="K567" s="324" t="s">
        <v>968</v>
      </c>
      <c r="M567" s="324">
        <v>-10000</v>
      </c>
      <c r="N567" s="324">
        <v>-20000</v>
      </c>
      <c r="U567" s="324" t="s">
        <v>968</v>
      </c>
      <c r="V567" s="324" t="s">
        <v>507</v>
      </c>
      <c r="X567" s="324" t="s">
        <v>267</v>
      </c>
      <c r="Y567" s="324" t="s">
        <v>268</v>
      </c>
    </row>
    <row r="568" spans="1:28" s="324" customFormat="1" ht="0.65" hidden="1" customHeight="1">
      <c r="A568" s="324">
        <v>2108</v>
      </c>
      <c r="F568" s="324">
        <v>1</v>
      </c>
      <c r="G568" s="324">
        <v>34</v>
      </c>
      <c r="H568" s="324" t="s">
        <v>590</v>
      </c>
      <c r="I568" s="324">
        <v>0</v>
      </c>
      <c r="J568" s="324">
        <v>0</v>
      </c>
      <c r="K568" s="324" t="s">
        <v>968</v>
      </c>
      <c r="M568" s="324">
        <v>-10000</v>
      </c>
      <c r="N568" s="324">
        <v>-20000</v>
      </c>
      <c r="U568" s="324" t="s">
        <v>968</v>
      </c>
      <c r="V568" s="324" t="s">
        <v>591</v>
      </c>
      <c r="X568" s="324" t="s">
        <v>267</v>
      </c>
      <c r="Y568" s="324" t="s">
        <v>268</v>
      </c>
    </row>
    <row r="569" spans="1:28" s="324" customFormat="1" ht="0.65" hidden="1" customHeight="1">
      <c r="A569" s="324">
        <v>2109</v>
      </c>
      <c r="F569" s="324">
        <v>1</v>
      </c>
      <c r="G569" s="324">
        <v>35</v>
      </c>
      <c r="H569" s="324" t="s">
        <v>592</v>
      </c>
      <c r="I569" s="324">
        <v>107500</v>
      </c>
      <c r="J569" s="324">
        <v>107500</v>
      </c>
      <c r="K569" s="324" t="s">
        <v>982</v>
      </c>
      <c r="M569" s="324">
        <v>87500</v>
      </c>
      <c r="N569" s="324">
        <v>97500</v>
      </c>
      <c r="U569" s="324" t="s">
        <v>982</v>
      </c>
      <c r="V569" s="324" t="s">
        <v>594</v>
      </c>
      <c r="X569" s="324" t="s">
        <v>269</v>
      </c>
      <c r="Y569" s="324" t="s">
        <v>282</v>
      </c>
    </row>
    <row r="570" spans="1:28" s="324" customFormat="1" ht="0.65" hidden="1" customHeight="1">
      <c r="A570" s="324">
        <v>2110</v>
      </c>
      <c r="F570" s="324">
        <v>1</v>
      </c>
      <c r="G570" s="324">
        <v>36</v>
      </c>
      <c r="H570" s="324" t="s">
        <v>595</v>
      </c>
      <c r="I570" s="324">
        <v>97500</v>
      </c>
      <c r="J570" s="324">
        <v>97500</v>
      </c>
      <c r="K570" s="324" t="s">
        <v>983</v>
      </c>
      <c r="M570" s="324">
        <v>107500</v>
      </c>
      <c r="U570" s="324" t="s">
        <v>983</v>
      </c>
      <c r="V570" s="324" t="s">
        <v>597</v>
      </c>
      <c r="X570" s="324" t="s">
        <v>270</v>
      </c>
    </row>
    <row r="571" spans="1:28" s="324" customFormat="1" ht="0.65" hidden="1" customHeight="1">
      <c r="A571" s="324">
        <v>2111</v>
      </c>
      <c r="F571" s="324">
        <v>1</v>
      </c>
      <c r="G571" s="324">
        <v>37</v>
      </c>
      <c r="H571" s="324" t="s">
        <v>598</v>
      </c>
      <c r="I571" s="324">
        <v>97500</v>
      </c>
      <c r="J571" s="324">
        <v>97500</v>
      </c>
      <c r="K571" s="324" t="s">
        <v>983</v>
      </c>
      <c r="M571" s="324">
        <v>107500</v>
      </c>
      <c r="U571" s="324" t="s">
        <v>983</v>
      </c>
      <c r="V571" s="324" t="s">
        <v>600</v>
      </c>
      <c r="X571" s="324" t="s">
        <v>270</v>
      </c>
    </row>
    <row r="572" spans="1:28" s="324" customFormat="1" ht="0.65" hidden="1" customHeight="1">
      <c r="A572" s="324">
        <v>2112</v>
      </c>
      <c r="F572" s="324">
        <v>1</v>
      </c>
      <c r="G572" s="324">
        <v>38</v>
      </c>
      <c r="H572" s="324" t="s">
        <v>491</v>
      </c>
      <c r="I572" s="324">
        <v>388125</v>
      </c>
      <c r="J572" s="324">
        <v>388125</v>
      </c>
      <c r="K572" s="324" t="s">
        <v>984</v>
      </c>
      <c r="M572" s="324">
        <v>377500</v>
      </c>
      <c r="N572" s="324">
        <v>283125</v>
      </c>
      <c r="O572" s="324">
        <v>378125</v>
      </c>
      <c r="P572" s="324">
        <v>405000</v>
      </c>
      <c r="Q572" s="324">
        <v>371250</v>
      </c>
      <c r="U572" s="324" t="s">
        <v>984</v>
      </c>
      <c r="V572" s="324" t="s">
        <v>602</v>
      </c>
      <c r="X572" s="324" t="s">
        <v>271</v>
      </c>
      <c r="Y572" s="324" t="s">
        <v>272</v>
      </c>
      <c r="Z572" s="324" t="s">
        <v>273</v>
      </c>
      <c r="AA572" s="324" t="s">
        <v>283</v>
      </c>
      <c r="AB572" s="324" t="s">
        <v>345</v>
      </c>
    </row>
    <row r="573" spans="1:28" s="324" customFormat="1" ht="0.65" hidden="1" customHeight="1">
      <c r="A573" s="324">
        <v>2113</v>
      </c>
      <c r="F573" s="324">
        <v>1</v>
      </c>
      <c r="G573" s="324">
        <v>39</v>
      </c>
      <c r="H573" s="324" t="s">
        <v>493</v>
      </c>
      <c r="I573" s="324">
        <v>-10000</v>
      </c>
      <c r="J573" s="324">
        <v>-10000</v>
      </c>
      <c r="K573" s="324" t="s">
        <v>985</v>
      </c>
      <c r="M573" s="324">
        <v>0</v>
      </c>
      <c r="U573" s="324" t="s">
        <v>985</v>
      </c>
      <c r="V573" s="324" t="s">
        <v>604</v>
      </c>
      <c r="X573" s="324" t="s">
        <v>289</v>
      </c>
    </row>
    <row r="574" spans="1:28" s="324" customFormat="1" ht="0.65" hidden="1" customHeight="1">
      <c r="A574" s="324">
        <v>2114</v>
      </c>
      <c r="F574" s="324">
        <v>1</v>
      </c>
      <c r="G574" s="324">
        <v>40</v>
      </c>
      <c r="H574" s="324" t="s">
        <v>494</v>
      </c>
      <c r="I574" s="324">
        <v>378125</v>
      </c>
      <c r="J574" s="324">
        <v>378125</v>
      </c>
      <c r="K574" s="324" t="s">
        <v>986</v>
      </c>
      <c r="M574" s="324">
        <v>398125</v>
      </c>
      <c r="N574" s="324">
        <v>388125</v>
      </c>
      <c r="O574" s="324">
        <v>-10000</v>
      </c>
      <c r="U574" s="324" t="s">
        <v>986</v>
      </c>
      <c r="V574" s="324" t="s">
        <v>606</v>
      </c>
      <c r="X574" s="324" t="s">
        <v>274</v>
      </c>
      <c r="Y574" s="324" t="s">
        <v>284</v>
      </c>
      <c r="Z574" s="324" t="s">
        <v>285</v>
      </c>
    </row>
    <row r="575" spans="1:28" s="324" customFormat="1" ht="0.65" hidden="1" customHeight="1">
      <c r="A575" s="324">
        <v>2115</v>
      </c>
      <c r="F575" s="324">
        <v>1</v>
      </c>
      <c r="G575" s="324">
        <v>41</v>
      </c>
      <c r="H575" s="324" t="s">
        <v>607</v>
      </c>
      <c r="I575" s="324">
        <v>-543750</v>
      </c>
      <c r="J575" s="324">
        <v>-543750</v>
      </c>
      <c r="K575" s="324" t="s">
        <v>987</v>
      </c>
      <c r="M575" s="324">
        <v>543750</v>
      </c>
      <c r="U575" s="324" t="s">
        <v>987</v>
      </c>
      <c r="V575" s="324" t="s">
        <v>609</v>
      </c>
      <c r="X575" s="324" t="s">
        <v>275</v>
      </c>
    </row>
    <row r="576" spans="1:28" s="324" customFormat="1" ht="0.65" hidden="1" customHeight="1">
      <c r="A576" s="324">
        <v>2116</v>
      </c>
      <c r="F576" s="324">
        <v>1</v>
      </c>
      <c r="G576" s="324">
        <v>42</v>
      </c>
      <c r="H576" s="324" t="s">
        <v>610</v>
      </c>
      <c r="I576" s="324">
        <v>107500</v>
      </c>
      <c r="J576" s="324">
        <v>107500</v>
      </c>
      <c r="K576" s="324" t="s">
        <v>982</v>
      </c>
      <c r="U576" s="324" t="s">
        <v>982</v>
      </c>
      <c r="V576" s="324" t="s">
        <v>594</v>
      </c>
    </row>
    <row r="577" spans="1:28" s="324" customFormat="1" ht="0.65" hidden="1" customHeight="1">
      <c r="A577" s="324">
        <v>2117</v>
      </c>
      <c r="F577" s="324">
        <v>1</v>
      </c>
      <c r="G577" s="324">
        <v>43</v>
      </c>
      <c r="H577" s="324" t="s">
        <v>611</v>
      </c>
      <c r="I577" s="324">
        <v>97500</v>
      </c>
      <c r="J577" s="324">
        <v>97500</v>
      </c>
      <c r="K577" s="324" t="s">
        <v>983</v>
      </c>
      <c r="U577" s="324" t="s">
        <v>983</v>
      </c>
      <c r="V577" s="324" t="s">
        <v>597</v>
      </c>
    </row>
    <row r="578" spans="1:28" s="324" customFormat="1" ht="0.65" hidden="1" customHeight="1">
      <c r="A578" s="324">
        <v>2118</v>
      </c>
      <c r="F578" s="324">
        <v>1</v>
      </c>
      <c r="G578" s="324">
        <v>44</v>
      </c>
      <c r="H578" s="324" t="s">
        <v>612</v>
      </c>
      <c r="I578" s="324">
        <v>475625</v>
      </c>
      <c r="J578" s="324">
        <v>475625</v>
      </c>
      <c r="K578" s="324" t="s">
        <v>988</v>
      </c>
      <c r="M578" s="324">
        <v>97500</v>
      </c>
      <c r="N578" s="324">
        <v>-280625</v>
      </c>
      <c r="U578" s="324" t="s">
        <v>988</v>
      </c>
      <c r="V578" s="324" t="s">
        <v>614</v>
      </c>
      <c r="X578" s="324" t="s">
        <v>276</v>
      </c>
      <c r="Y578" s="324" t="s">
        <v>346</v>
      </c>
    </row>
    <row r="579" spans="1:28" s="324" customFormat="1" ht="0.65" hidden="1" customHeight="1">
      <c r="A579" s="324">
        <v>2119</v>
      </c>
      <c r="F579" s="324">
        <v>1</v>
      </c>
      <c r="G579" s="324">
        <v>45</v>
      </c>
      <c r="H579" s="324" t="s">
        <v>414</v>
      </c>
      <c r="I579" s="324">
        <v>4.4999999999999998E-2</v>
      </c>
      <c r="J579" s="324">
        <v>4.4999999999999998E-2</v>
      </c>
      <c r="K579" s="324" t="s">
        <v>989</v>
      </c>
      <c r="M579" s="324">
        <v>0.06</v>
      </c>
      <c r="N579" s="324">
        <v>720000</v>
      </c>
      <c r="O579" s="324">
        <v>1.4999999999999999E-2</v>
      </c>
      <c r="P579" s="324">
        <v>7.4999999999999997E-2</v>
      </c>
      <c r="U579" s="324" t="s">
        <v>989</v>
      </c>
      <c r="V579" s="324" t="s">
        <v>616</v>
      </c>
      <c r="X579" s="324" t="s">
        <v>277</v>
      </c>
      <c r="Y579" s="324" t="s">
        <v>347</v>
      </c>
      <c r="Z579" s="324" t="s">
        <v>348</v>
      </c>
      <c r="AA579" s="324" t="s">
        <v>349</v>
      </c>
    </row>
    <row r="580" spans="1:28" s="324" customFormat="1" ht="0.65" hidden="1" customHeight="1">
      <c r="A580" s="324">
        <v>2120</v>
      </c>
      <c r="F580" s="324">
        <v>1</v>
      </c>
      <c r="G580" s="324">
        <v>46</v>
      </c>
      <c r="H580" s="324" t="s">
        <v>415</v>
      </c>
      <c r="I580" s="324">
        <v>0.08</v>
      </c>
      <c r="J580" s="324">
        <v>0.08</v>
      </c>
      <c r="K580" s="324" t="s">
        <v>990</v>
      </c>
      <c r="M580" s="324">
        <v>0.06</v>
      </c>
      <c r="N580" s="324">
        <v>240000</v>
      </c>
      <c r="O580" s="324">
        <v>3.9999999999999994E-2</v>
      </c>
      <c r="U580" s="324" t="s">
        <v>990</v>
      </c>
      <c r="V580" s="324" t="s">
        <v>618</v>
      </c>
      <c r="X580" s="324" t="s">
        <v>278</v>
      </c>
      <c r="Y580" s="324" t="s">
        <v>350</v>
      </c>
      <c r="Z580" s="324" t="s">
        <v>351</v>
      </c>
    </row>
    <row r="581" spans="1:28" s="324" customFormat="1" ht="0.65" hidden="1" customHeight="1">
      <c r="A581" s="324">
        <v>2121</v>
      </c>
      <c r="F581" s="324">
        <v>1</v>
      </c>
      <c r="G581" s="324">
        <v>47</v>
      </c>
      <c r="H581" s="324" t="s">
        <v>416</v>
      </c>
      <c r="I581" s="324">
        <v>5.3750000000000006E-2</v>
      </c>
      <c r="J581" s="324">
        <v>5.3749999999999999E-2</v>
      </c>
      <c r="K581" s="324" t="s">
        <v>991</v>
      </c>
      <c r="U581" s="324" t="s">
        <v>991</v>
      </c>
      <c r="V581" s="324" t="s">
        <v>620</v>
      </c>
    </row>
    <row r="582" spans="1:28" s="324" customFormat="1" ht="0.65" hidden="1" customHeight="1">
      <c r="A582" s="324">
        <v>2122</v>
      </c>
      <c r="F582" s="324">
        <v>1</v>
      </c>
      <c r="G582" s="324">
        <v>48</v>
      </c>
      <c r="H582" s="324" t="s">
        <v>13</v>
      </c>
      <c r="I582" s="324">
        <v>52565.582461407641</v>
      </c>
      <c r="J582" s="324">
        <v>52565.582461407641</v>
      </c>
      <c r="K582" s="324" t="s">
        <v>992</v>
      </c>
      <c r="M582" s="324">
        <v>65193.055946389912</v>
      </c>
      <c r="N582" s="324">
        <v>16944.031651679077</v>
      </c>
      <c r="O582" s="324">
        <v>49884.301268239753</v>
      </c>
      <c r="P582" s="324">
        <v>596315.58246140764</v>
      </c>
      <c r="Q582" s="324">
        <v>1140065.5824614076</v>
      </c>
      <c r="U582" s="324" t="s">
        <v>992</v>
      </c>
      <c r="V582" s="324" t="s">
        <v>622</v>
      </c>
      <c r="X582" s="324" t="s">
        <v>286</v>
      </c>
      <c r="Y582" s="324" t="s">
        <v>287</v>
      </c>
      <c r="Z582" s="324" t="s">
        <v>288</v>
      </c>
      <c r="AA582" s="324" t="s">
        <v>352</v>
      </c>
      <c r="AB582" s="324" t="s">
        <v>353</v>
      </c>
    </row>
    <row r="583" spans="1:28" s="324" customFormat="1" ht="0.65" hidden="1" customHeight="1">
      <c r="A583" s="324">
        <v>2123</v>
      </c>
      <c r="F583" s="324">
        <v>1</v>
      </c>
      <c r="G583" s="324">
        <v>49</v>
      </c>
      <c r="H583" s="324" t="s">
        <v>28</v>
      </c>
      <c r="I583" s="324">
        <v>9.3380333972086005E-2</v>
      </c>
      <c r="J583" s="324">
        <v>9.3380333972086005E-2</v>
      </c>
      <c r="K583" s="324" t="s">
        <v>993</v>
      </c>
      <c r="U583" s="324" t="s">
        <v>993</v>
      </c>
      <c r="V583" s="324" t="s">
        <v>624</v>
      </c>
    </row>
    <row r="584" spans="1:28" s="324" customFormat="1" ht="0.65" hidden="1" customHeight="1">
      <c r="A584" s="324">
        <v>2124</v>
      </c>
      <c r="M584" s="324">
        <v>1</v>
      </c>
      <c r="N584" s="324">
        <v>2</v>
      </c>
      <c r="O584" s="324">
        <v>3</v>
      </c>
      <c r="P584" s="324">
        <v>4</v>
      </c>
      <c r="Q584" s="324">
        <v>5</v>
      </c>
      <c r="R584" s="324">
        <v>6</v>
      </c>
      <c r="S584" s="324">
        <v>7</v>
      </c>
      <c r="T584" s="324">
        <v>8</v>
      </c>
      <c r="U584" s="324">
        <v>9</v>
      </c>
      <c r="V584" s="324">
        <v>10</v>
      </c>
    </row>
    <row r="585" spans="1:28" s="324" customFormat="1" ht="0.65" hidden="1" customHeight="1">
      <c r="A585" s="324">
        <v>2125</v>
      </c>
    </row>
    <row r="586" spans="1:28" s="324" customFormat="1" ht="0.65" hidden="1" customHeight="1">
      <c r="A586" s="324">
        <v>2126</v>
      </c>
    </row>
    <row r="587" spans="1:28" s="324" customFormat="1" ht="0.65" hidden="1" customHeight="1">
      <c r="A587" s="324">
        <v>2127</v>
      </c>
      <c r="K587" s="324" t="s">
        <v>211</v>
      </c>
    </row>
    <row r="588" spans="1:28" s="324" customFormat="1" ht="0.65" hidden="1" customHeight="1">
      <c r="A588" s="324">
        <v>2128</v>
      </c>
    </row>
    <row r="589" spans="1:28" s="324" customFormat="1" ht="0.65" hidden="1" customHeight="1">
      <c r="A589" s="324">
        <v>2129</v>
      </c>
    </row>
    <row r="590" spans="1:28" s="324" customFormat="1" ht="0.65" hidden="1" customHeight="1">
      <c r="A590" s="324">
        <v>2130</v>
      </c>
    </row>
    <row r="591" spans="1:28" s="324" customFormat="1" ht="0.65" hidden="1" customHeight="1">
      <c r="A591" s="324">
        <v>2131</v>
      </c>
    </row>
    <row r="592" spans="1:28" s="324" customFormat="1" ht="0.65" hidden="1" customHeight="1">
      <c r="A592" s="324">
        <v>2132</v>
      </c>
    </row>
    <row r="593" spans="1:32" s="324" customFormat="1" ht="0.65" hidden="1" customHeight="1">
      <c r="A593" s="324">
        <v>2133</v>
      </c>
    </row>
    <row r="594" spans="1:32" s="324" customFormat="1" ht="0.65" hidden="1" customHeight="1">
      <c r="A594" s="324">
        <v>2134</v>
      </c>
    </row>
    <row r="595" spans="1:32" s="324" customFormat="1" ht="0.65" hidden="1" customHeight="1">
      <c r="A595" s="324">
        <v>2135</v>
      </c>
    </row>
    <row r="596" spans="1:32" s="324" customFormat="1" ht="0.65" hidden="1" customHeight="1">
      <c r="A596" s="324">
        <v>2136</v>
      </c>
    </row>
    <row r="597" spans="1:32" s="324" customFormat="1" ht="0.65" hidden="1" customHeight="1">
      <c r="A597" s="324">
        <v>2137</v>
      </c>
    </row>
    <row r="598" spans="1:32" s="324" customFormat="1" ht="0.65" hidden="1" customHeight="1">
      <c r="A598" s="324">
        <v>2138</v>
      </c>
    </row>
    <row r="599" spans="1:32" s="324" customFormat="1" ht="0.65" hidden="1" customHeight="1">
      <c r="A599" s="324">
        <v>2139</v>
      </c>
    </row>
    <row r="600" spans="1:32" s="324" customFormat="1" ht="0.65" hidden="1" customHeight="1">
      <c r="A600" s="324">
        <v>2140</v>
      </c>
    </row>
    <row r="601" spans="1:32" s="324" customFormat="1" ht="0.65" hidden="1" customHeight="1">
      <c r="A601" s="324">
        <v>2141</v>
      </c>
    </row>
    <row r="602" spans="1:32" s="324" customFormat="1" ht="0.65" hidden="1" customHeight="1">
      <c r="A602" s="324">
        <v>2142</v>
      </c>
    </row>
    <row r="603" spans="1:32" s="324" customFormat="1" ht="0.65" hidden="1" customHeight="1">
      <c r="A603" s="324">
        <v>2143</v>
      </c>
    </row>
    <row r="604" spans="1:32" s="324" customFormat="1" ht="0.65" hidden="1" customHeight="1">
      <c r="A604" s="324">
        <v>2144</v>
      </c>
      <c r="U604" s="324" t="s">
        <v>994</v>
      </c>
    </row>
    <row r="605" spans="1:32" s="324" customFormat="1" ht="0.65" hidden="1" customHeight="1">
      <c r="A605" s="324">
        <v>2145</v>
      </c>
      <c r="G605" s="324" t="s">
        <v>0</v>
      </c>
      <c r="H605" s="324" t="s">
        <v>69</v>
      </c>
      <c r="I605" s="324" t="s">
        <v>70</v>
      </c>
      <c r="J605" s="324" t="s">
        <v>71</v>
      </c>
      <c r="K605" s="324" t="s">
        <v>72</v>
      </c>
      <c r="L605" s="324" t="s">
        <v>73</v>
      </c>
      <c r="M605" s="324" t="s">
        <v>74</v>
      </c>
      <c r="N605" s="324" t="s">
        <v>75</v>
      </c>
      <c r="O605" s="324" t="s">
        <v>80</v>
      </c>
      <c r="P605" s="324" t="s">
        <v>1</v>
      </c>
      <c r="V605" s="324" t="s">
        <v>182</v>
      </c>
      <c r="W605" s="324" t="s">
        <v>183</v>
      </c>
      <c r="X605" s="324" t="s">
        <v>184</v>
      </c>
      <c r="Y605" s="324" t="s">
        <v>185</v>
      </c>
    </row>
    <row r="606" spans="1:32" s="324" customFormat="1" ht="0.65" hidden="1" customHeight="1">
      <c r="A606" s="324">
        <v>2146</v>
      </c>
      <c r="G606" s="324">
        <v>2022</v>
      </c>
      <c r="H606" s="324">
        <v>0</v>
      </c>
      <c r="I606" s="324">
        <v>0</v>
      </c>
      <c r="J606" s="324">
        <v>0</v>
      </c>
      <c r="K606" s="324">
        <v>0</v>
      </c>
      <c r="L606" s="324">
        <v>0</v>
      </c>
      <c r="M606" s="324">
        <v>0</v>
      </c>
      <c r="N606" s="324">
        <v>0</v>
      </c>
      <c r="O606" s="324">
        <v>0</v>
      </c>
      <c r="P606" s="324">
        <v>-543750</v>
      </c>
      <c r="T606" s="324">
        <v>1</v>
      </c>
      <c r="U606" s="324" t="s">
        <v>153</v>
      </c>
      <c r="V606" s="324" t="s">
        <v>178</v>
      </c>
      <c r="W606" s="324">
        <v>51864.176924307132</v>
      </c>
      <c r="X606" s="324">
        <v>-701.40553710050881</v>
      </c>
      <c r="Y606" s="324">
        <v>-701.40553710058521</v>
      </c>
      <c r="AA606" s="324" t="s">
        <v>188</v>
      </c>
      <c r="AB606" s="324" t="s">
        <v>995</v>
      </c>
      <c r="AD606" s="324">
        <v>-543750</v>
      </c>
      <c r="AE606" s="324">
        <v>58975.441818627296</v>
      </c>
      <c r="AF606" s="324">
        <v>-543750</v>
      </c>
    </row>
    <row r="607" spans="1:32" s="324" customFormat="1" ht="0.65" hidden="1" customHeight="1">
      <c r="A607" s="324">
        <v>2147</v>
      </c>
      <c r="G607" s="324">
        <v>2023</v>
      </c>
      <c r="H607" s="324">
        <v>360000</v>
      </c>
      <c r="I607" s="324">
        <v>240000</v>
      </c>
      <c r="J607" s="324">
        <v>30000</v>
      </c>
      <c r="K607" s="324">
        <v>90000</v>
      </c>
      <c r="L607" s="324">
        <v>22500</v>
      </c>
      <c r="M607" s="324">
        <v>67500</v>
      </c>
      <c r="N607" s="324">
        <v>97500</v>
      </c>
      <c r="O607" s="324">
        <v>107500</v>
      </c>
      <c r="P607" s="324">
        <v>107500</v>
      </c>
      <c r="T607" s="324">
        <v>2</v>
      </c>
      <c r="U607" s="324" t="s">
        <v>154</v>
      </c>
      <c r="V607" s="324" t="s">
        <v>178</v>
      </c>
      <c r="W607" s="324">
        <v>5595.7228369769873</v>
      </c>
      <c r="X607" s="324">
        <v>-46969.859624430654</v>
      </c>
      <c r="Y607" s="324">
        <v>-46969.85962443061</v>
      </c>
      <c r="AA607" s="324" t="s">
        <v>197</v>
      </c>
      <c r="AB607" s="324" t="s">
        <v>996</v>
      </c>
      <c r="AD607" s="324">
        <v>107500</v>
      </c>
      <c r="AF607" s="324">
        <v>107500</v>
      </c>
    </row>
    <row r="608" spans="1:32" s="324" customFormat="1" ht="0.65" hidden="1" customHeight="1">
      <c r="A608" s="324">
        <v>2148</v>
      </c>
      <c r="G608" s="324">
        <v>2024</v>
      </c>
      <c r="H608" s="324">
        <v>360000</v>
      </c>
      <c r="I608" s="324">
        <v>240000</v>
      </c>
      <c r="J608" s="324">
        <v>30000</v>
      </c>
      <c r="K608" s="324">
        <v>90000</v>
      </c>
      <c r="L608" s="324">
        <v>22500</v>
      </c>
      <c r="M608" s="324">
        <v>67500</v>
      </c>
      <c r="N608" s="324">
        <v>97500</v>
      </c>
      <c r="O608" s="324">
        <v>97500</v>
      </c>
      <c r="P608" s="324">
        <v>97500</v>
      </c>
      <c r="T608" s="324">
        <v>3</v>
      </c>
      <c r="U608" s="324" t="s">
        <v>155</v>
      </c>
      <c r="V608" s="324" t="s">
        <v>178</v>
      </c>
      <c r="W608" s="324">
        <v>26926.145032529254</v>
      </c>
      <c r="X608" s="324">
        <v>-25639.437428878387</v>
      </c>
      <c r="Y608" s="324">
        <v>-25639.43742887842</v>
      </c>
      <c r="AA608" s="324" t="s">
        <v>191</v>
      </c>
      <c r="AB608" s="324" t="s">
        <v>997</v>
      </c>
      <c r="AD608" s="324">
        <v>97500</v>
      </c>
      <c r="AF608" s="324">
        <v>97500</v>
      </c>
    </row>
    <row r="609" spans="1:32" s="324" customFormat="1" ht="0.65" hidden="1" customHeight="1">
      <c r="A609" s="324">
        <v>2149</v>
      </c>
      <c r="G609" s="324">
        <v>2025</v>
      </c>
      <c r="H609" s="324">
        <v>360000</v>
      </c>
      <c r="I609" s="324">
        <v>240000</v>
      </c>
      <c r="J609" s="324">
        <v>30000</v>
      </c>
      <c r="K609" s="324">
        <v>90000</v>
      </c>
      <c r="L609" s="324">
        <v>22500</v>
      </c>
      <c r="M609" s="324">
        <v>67500</v>
      </c>
      <c r="N609" s="324">
        <v>97500</v>
      </c>
      <c r="O609" s="324">
        <v>97500</v>
      </c>
      <c r="P609" s="324">
        <v>475625</v>
      </c>
      <c r="T609" s="324">
        <v>4</v>
      </c>
      <c r="U609" s="324" t="s">
        <v>156</v>
      </c>
      <c r="V609" s="324" t="s">
        <v>179</v>
      </c>
      <c r="W609" s="324">
        <v>55940.582461407641</v>
      </c>
      <c r="X609" s="324">
        <v>3375</v>
      </c>
      <c r="Y609" s="324">
        <v>3375.0000000000055</v>
      </c>
      <c r="AA609" s="324" t="s">
        <v>198</v>
      </c>
      <c r="AB609" s="324" t="s">
        <v>998</v>
      </c>
      <c r="AD609" s="324">
        <v>483125</v>
      </c>
      <c r="AF609" s="324">
        <v>483125</v>
      </c>
    </row>
    <row r="610" spans="1:32" s="324" customFormat="1" ht="0.65" hidden="1" customHeight="1">
      <c r="A610" s="324">
        <v>2150</v>
      </c>
      <c r="T610" s="324">
        <v>5</v>
      </c>
      <c r="U610" s="324" t="s">
        <v>157</v>
      </c>
      <c r="V610" s="324" t="s">
        <v>178</v>
      </c>
      <c r="W610" s="324">
        <v>52039.528308582143</v>
      </c>
      <c r="X610" s="324">
        <v>-526.05415282549802</v>
      </c>
      <c r="Y610" s="324">
        <v>-526.05415282543981</v>
      </c>
      <c r="AA610" s="324" t="s">
        <v>192</v>
      </c>
      <c r="AB610" s="324" t="s">
        <v>999</v>
      </c>
      <c r="AD610" s="324">
        <v>5.3749999999999999E-2</v>
      </c>
      <c r="AF610" s="324">
        <v>5.3749999999999999E-2</v>
      </c>
    </row>
    <row r="611" spans="1:32" s="324" customFormat="1" ht="0.65" hidden="1" customHeight="1">
      <c r="A611" s="324">
        <v>2151</v>
      </c>
      <c r="G611" s="324" t="s">
        <v>0</v>
      </c>
      <c r="H611" s="324" t="s">
        <v>76</v>
      </c>
      <c r="I611" s="324" t="s">
        <v>77</v>
      </c>
      <c r="J611" s="324" t="s">
        <v>78</v>
      </c>
      <c r="K611" s="324" t="s">
        <v>79</v>
      </c>
      <c r="T611" s="324">
        <v>6</v>
      </c>
      <c r="U611" s="324" t="s">
        <v>158</v>
      </c>
      <c r="V611" s="324" t="s">
        <v>179</v>
      </c>
      <c r="W611" s="324">
        <v>52787.413823676645</v>
      </c>
      <c r="X611" s="324">
        <v>221.83136226900388</v>
      </c>
      <c r="Y611" s="324">
        <v>221.83136226903116</v>
      </c>
      <c r="AA611" s="324" t="s">
        <v>193</v>
      </c>
      <c r="AB611" s="324" t="s">
        <v>1000</v>
      </c>
      <c r="AD611" s="324">
        <v>58975.441818627296</v>
      </c>
      <c r="AF611" s="324">
        <v>58975.441818627296</v>
      </c>
    </row>
    <row r="612" spans="1:32" s="324" customFormat="1" ht="0.65" hidden="1" customHeight="1">
      <c r="A612" s="324">
        <v>2152</v>
      </c>
      <c r="G612" s="324">
        <v>2022</v>
      </c>
      <c r="H612" s="324">
        <v>0</v>
      </c>
      <c r="I612" s="324">
        <v>0</v>
      </c>
      <c r="J612" s="324">
        <v>0</v>
      </c>
      <c r="K612" s="324">
        <v>0</v>
      </c>
      <c r="M612" s="324" t="s">
        <v>490</v>
      </c>
      <c r="N612" s="324">
        <v>543750</v>
      </c>
      <c r="O612" s="324" t="s">
        <v>124</v>
      </c>
      <c r="P612" s="324">
        <v>4.4999999999999998E-2</v>
      </c>
      <c r="T612" s="324">
        <v>7</v>
      </c>
      <c r="U612" s="324" t="s">
        <v>159</v>
      </c>
      <c r="V612" s="324" t="s">
        <v>178</v>
      </c>
      <c r="W612" s="324">
        <v>49190.582461407641</v>
      </c>
      <c r="X612" s="324">
        <v>-3375</v>
      </c>
      <c r="Y612" s="324">
        <v>-3375</v>
      </c>
      <c r="AA612" s="324" t="s">
        <v>194</v>
      </c>
      <c r="AB612" s="324" t="s">
        <v>1001</v>
      </c>
      <c r="AF612" s="324">
        <v>58975.441818627296</v>
      </c>
    </row>
    <row r="613" spans="1:32" s="324" customFormat="1" ht="0.65" hidden="1" customHeight="1">
      <c r="A613" s="324">
        <v>2153</v>
      </c>
      <c r="G613" s="324">
        <v>2023</v>
      </c>
      <c r="H613" s="324">
        <v>30000</v>
      </c>
      <c r="I613" s="324">
        <v>40000</v>
      </c>
      <c r="J613" s="324">
        <v>-10000</v>
      </c>
      <c r="K613" s="324">
        <v>-10000</v>
      </c>
      <c r="M613" s="324" t="s">
        <v>491</v>
      </c>
      <c r="N613" s="324">
        <v>388125</v>
      </c>
      <c r="O613" s="324" t="s">
        <v>125</v>
      </c>
      <c r="P613" s="324">
        <v>0.08</v>
      </c>
      <c r="T613" s="324">
        <v>8</v>
      </c>
      <c r="U613" s="324" t="s">
        <v>160</v>
      </c>
      <c r="V613" s="324" t="s">
        <v>178</v>
      </c>
      <c r="W613" s="324">
        <v>51123.36410603323</v>
      </c>
      <c r="X613" s="324">
        <v>-1442.2183553744107</v>
      </c>
      <c r="Y613" s="324">
        <v>-1442.2183553744135</v>
      </c>
      <c r="AA613" s="324" t="s">
        <v>195</v>
      </c>
      <c r="AB613" s="324" t="s">
        <v>1002</v>
      </c>
    </row>
    <row r="614" spans="1:32" s="324" customFormat="1" ht="0.65" hidden="1" customHeight="1">
      <c r="A614" s="324">
        <v>2154</v>
      </c>
      <c r="G614" s="324">
        <v>2024</v>
      </c>
      <c r="H614" s="324">
        <v>30000</v>
      </c>
      <c r="I614" s="324">
        <v>40000</v>
      </c>
      <c r="J614" s="324">
        <v>-10000</v>
      </c>
      <c r="K614" s="324">
        <v>0</v>
      </c>
      <c r="M614" s="324" t="s">
        <v>493</v>
      </c>
      <c r="N614" s="324">
        <v>-10000</v>
      </c>
      <c r="O614" s="324" t="s">
        <v>126</v>
      </c>
      <c r="P614" s="324">
        <v>5.3750000000000006E-2</v>
      </c>
      <c r="T614" s="324">
        <v>9</v>
      </c>
      <c r="U614" s="324" t="s">
        <v>161</v>
      </c>
      <c r="V614" s="324" t="s">
        <v>179</v>
      </c>
      <c r="W614" s="324">
        <v>125296.62207364244</v>
      </c>
      <c r="X614" s="324">
        <v>72731.039612234803</v>
      </c>
      <c r="Y614" s="324">
        <v>72731.03961223489</v>
      </c>
      <c r="AA614" s="324" t="s">
        <v>199</v>
      </c>
      <c r="AB614" s="324" t="s">
        <v>1003</v>
      </c>
      <c r="AD614" s="324">
        <v>-543750</v>
      </c>
    </row>
    <row r="615" spans="1:32" s="324" customFormat="1" ht="0.65" hidden="1" customHeight="1">
      <c r="A615" s="324">
        <v>2155</v>
      </c>
      <c r="G615" s="324">
        <v>2025</v>
      </c>
      <c r="H615" s="324">
        <v>30000</v>
      </c>
      <c r="I615" s="324">
        <v>40000</v>
      </c>
      <c r="J615" s="324">
        <v>-10000</v>
      </c>
      <c r="K615" s="324">
        <v>0</v>
      </c>
      <c r="M615" s="324" t="s">
        <v>494</v>
      </c>
      <c r="N615" s="324">
        <v>378125</v>
      </c>
      <c r="T615" s="324">
        <v>10</v>
      </c>
      <c r="U615" s="324" t="s">
        <v>162</v>
      </c>
      <c r="V615" s="324" t="s">
        <v>178</v>
      </c>
      <c r="W615" s="324">
        <v>49735.269000606379</v>
      </c>
      <c r="X615" s="324">
        <v>-2830.3134608012624</v>
      </c>
      <c r="Y615" s="324">
        <v>-2830.3134608012952</v>
      </c>
      <c r="AA615" s="324" t="s">
        <v>200</v>
      </c>
      <c r="AB615" s="324" t="s">
        <v>1004</v>
      </c>
      <c r="AD615" s="324">
        <v>107500</v>
      </c>
    </row>
    <row r="616" spans="1:32" s="324" customFormat="1" ht="0.65" hidden="1" customHeight="1">
      <c r="A616" s="324">
        <v>2156</v>
      </c>
      <c r="T616" s="324">
        <v>11</v>
      </c>
      <c r="U616" s="324" t="s">
        <v>163</v>
      </c>
      <c r="V616" s="324" t="s">
        <v>179</v>
      </c>
      <c r="W616" s="324">
        <v>100864.25463884417</v>
      </c>
      <c r="X616" s="324">
        <v>48298.672177436529</v>
      </c>
      <c r="Y616" s="324">
        <v>48298.67217743642</v>
      </c>
      <c r="AA616" s="324" t="s">
        <v>201</v>
      </c>
      <c r="AB616" s="324" t="s">
        <v>1005</v>
      </c>
      <c r="AD616" s="324">
        <v>97500</v>
      </c>
    </row>
    <row r="617" spans="1:32" s="324" customFormat="1" ht="0.65" hidden="1" customHeight="1">
      <c r="A617" s="324">
        <v>2157</v>
      </c>
      <c r="O617" s="324" t="s">
        <v>13</v>
      </c>
      <c r="P617" s="324">
        <v>52565.582461407641</v>
      </c>
      <c r="T617" s="324">
        <v>12</v>
      </c>
      <c r="U617" s="324" t="s">
        <v>164</v>
      </c>
      <c r="V617" s="324" t="s">
        <v>178</v>
      </c>
      <c r="W617" s="324">
        <v>50678.706820873544</v>
      </c>
      <c r="X617" s="324">
        <v>-1886.8756405340973</v>
      </c>
      <c r="Y617" s="324">
        <v>-1886.8756405341992</v>
      </c>
      <c r="AA617" s="324" t="s">
        <v>196</v>
      </c>
      <c r="AB617" s="324" t="s">
        <v>969</v>
      </c>
      <c r="AD617" s="324">
        <v>97500</v>
      </c>
    </row>
    <row r="618" spans="1:32" s="324" customFormat="1" ht="0.65" hidden="1" customHeight="1">
      <c r="A618" s="324">
        <v>2158</v>
      </c>
      <c r="O618" s="324" t="s">
        <v>28</v>
      </c>
      <c r="P618" s="324">
        <v>9.3380333972086005E-2</v>
      </c>
      <c r="T618" s="324">
        <v>13</v>
      </c>
      <c r="U618" s="324" t="s">
        <v>165</v>
      </c>
      <c r="V618" s="324" t="s">
        <v>178</v>
      </c>
      <c r="W618" s="324">
        <v>47799.199842269998</v>
      </c>
      <c r="X618" s="324">
        <v>-4766.3826191376429</v>
      </c>
      <c r="Y618" s="324">
        <v>-4766.3826191375902</v>
      </c>
      <c r="Z618" s="324">
        <v>5.7125000000000009E-2</v>
      </c>
      <c r="AA618" s="324" t="s">
        <v>202</v>
      </c>
      <c r="AB618" s="324" t="s">
        <v>1006</v>
      </c>
      <c r="AD618" s="324">
        <v>460625</v>
      </c>
    </row>
    <row r="619" spans="1:32" s="324" customFormat="1" ht="0.65" hidden="1" customHeight="1">
      <c r="A619" s="324">
        <v>2159</v>
      </c>
      <c r="O619" s="324" t="s">
        <v>29</v>
      </c>
      <c r="P619" s="324">
        <v>9.6672335561209452E-2</v>
      </c>
      <c r="T619" s="324">
        <v>14</v>
      </c>
      <c r="U619" s="324" t="s">
        <v>166</v>
      </c>
      <c r="V619" s="324" t="s">
        <v>179</v>
      </c>
      <c r="W619" s="324">
        <v>56133.281980465516</v>
      </c>
      <c r="X619" s="324">
        <v>3567.6995190578746</v>
      </c>
      <c r="Y619" s="324">
        <v>3567.699519057951</v>
      </c>
      <c r="Z619" s="324">
        <v>5.1249999999999997E-2</v>
      </c>
      <c r="AA619" s="324" t="s">
        <v>189</v>
      </c>
      <c r="AB619" s="324" t="s">
        <v>1007</v>
      </c>
      <c r="AD619" s="324">
        <v>5.3749999999999999E-2</v>
      </c>
    </row>
    <row r="620" spans="1:32" s="324" customFormat="1" ht="0.65" hidden="1" customHeight="1">
      <c r="A620" s="324">
        <v>2160</v>
      </c>
      <c r="O620" s="324" t="s">
        <v>30</v>
      </c>
      <c r="P620" s="324">
        <v>3</v>
      </c>
      <c r="T620" s="324">
        <v>15</v>
      </c>
      <c r="U620" s="324" t="s">
        <v>167</v>
      </c>
      <c r="V620" s="324" t="s">
        <v>178</v>
      </c>
      <c r="W620" s="324">
        <v>50440.139621944632</v>
      </c>
      <c r="X620" s="324">
        <v>-2125.4428394630086</v>
      </c>
      <c r="Y620" s="324">
        <v>-2125.4428394630868</v>
      </c>
      <c r="Z620" s="324">
        <v>5.525E-2</v>
      </c>
      <c r="AA620" s="324" t="s">
        <v>190</v>
      </c>
      <c r="AB620" s="324" t="s">
        <v>1008</v>
      </c>
      <c r="AD620" s="324">
        <v>102993.4844922818</v>
      </c>
    </row>
    <row r="621" spans="1:32" s="324" customFormat="1" ht="0.65" hidden="1" customHeight="1">
      <c r="A621" s="324">
        <v>2161</v>
      </c>
      <c r="T621" s="324">
        <v>16</v>
      </c>
      <c r="U621" s="324" t="s">
        <v>168</v>
      </c>
      <c r="V621" s="324" t="s">
        <v>181</v>
      </c>
      <c r="W621" s="324">
        <v>53736.808894880698</v>
      </c>
      <c r="X621" s="324">
        <v>1171.2264334730571</v>
      </c>
      <c r="Y621" s="324">
        <v>1171.2264334730294</v>
      </c>
      <c r="Z621" s="324">
        <v>5.2926829268292681E-2</v>
      </c>
      <c r="AA621" s="324" t="s">
        <v>427</v>
      </c>
      <c r="AB621" s="324" t="s">
        <v>1009</v>
      </c>
      <c r="AD621" s="324">
        <v>109076.3877968794</v>
      </c>
    </row>
    <row r="622" spans="1:32" s="324" customFormat="1" ht="0.65" hidden="1" customHeight="1">
      <c r="A622" s="324">
        <v>2162</v>
      </c>
      <c r="P622" s="324">
        <v>1</v>
      </c>
      <c r="T622" s="324">
        <v>17</v>
      </c>
      <c r="U622" s="324" t="s">
        <v>169</v>
      </c>
      <c r="V622" s="324" t="s">
        <v>178</v>
      </c>
      <c r="W622" s="324">
        <v>34344.847851592931</v>
      </c>
      <c r="X622" s="324">
        <v>-18220.73460981471</v>
      </c>
      <c r="Y622" s="324">
        <v>-18220.734609814761</v>
      </c>
      <c r="Z622" s="324">
        <v>6.6875000000000004E-2</v>
      </c>
      <c r="AA622" s="324" t="s">
        <v>425</v>
      </c>
      <c r="AB622" s="324" t="s">
        <v>1010</v>
      </c>
    </row>
    <row r="623" spans="1:32" s="324" customFormat="1" ht="0.65" hidden="1" customHeight="1">
      <c r="A623" s="324">
        <v>2163</v>
      </c>
      <c r="H623" s="324">
        <v>1</v>
      </c>
      <c r="I623" s="324">
        <v>1</v>
      </c>
      <c r="J623" s="324">
        <v>1</v>
      </c>
      <c r="K623" s="324">
        <v>1</v>
      </c>
      <c r="L623" s="324">
        <v>1</v>
      </c>
      <c r="M623" s="324">
        <v>1</v>
      </c>
      <c r="N623" s="324">
        <v>1</v>
      </c>
      <c r="O623" s="324">
        <v>1</v>
      </c>
      <c r="P623" s="324">
        <v>1</v>
      </c>
      <c r="T623" s="324">
        <v>18</v>
      </c>
      <c r="U623" s="324" t="s">
        <v>170</v>
      </c>
      <c r="V623" s="324" t="s">
        <v>181</v>
      </c>
      <c r="W623" s="324">
        <v>47632.637930395198</v>
      </c>
      <c r="X623" s="324">
        <v>-4932.9445310124429</v>
      </c>
      <c r="Y623" s="324">
        <v>-4932.9445310124693</v>
      </c>
      <c r="Z623" s="324">
        <v>5.1499999999999997E-2</v>
      </c>
      <c r="AA623" s="324" t="s">
        <v>203</v>
      </c>
      <c r="AB623" s="324" t="s">
        <v>1011</v>
      </c>
    </row>
    <row r="624" spans="1:32" s="324" customFormat="1" ht="0.65" hidden="1" customHeight="1">
      <c r="A624" s="324">
        <v>2164</v>
      </c>
      <c r="H624" s="324">
        <v>1</v>
      </c>
      <c r="I624" s="324">
        <v>1</v>
      </c>
      <c r="J624" s="324">
        <v>1</v>
      </c>
      <c r="K624" s="324">
        <v>1</v>
      </c>
      <c r="L624" s="324">
        <v>1</v>
      </c>
      <c r="M624" s="324">
        <v>1</v>
      </c>
      <c r="N624" s="324">
        <v>1</v>
      </c>
      <c r="O624" s="324">
        <v>1</v>
      </c>
      <c r="P624" s="324">
        <v>1</v>
      </c>
      <c r="T624" s="324">
        <v>19</v>
      </c>
      <c r="U624" s="324" t="s">
        <v>171</v>
      </c>
      <c r="V624" s="324" t="s">
        <v>181</v>
      </c>
      <c r="W624" s="324">
        <v>109076.3877968794</v>
      </c>
      <c r="X624" s="324">
        <v>56510.805335471756</v>
      </c>
      <c r="Y624" s="324">
        <v>56510.805335471639</v>
      </c>
      <c r="AA624" s="324" t="s">
        <v>426</v>
      </c>
      <c r="AB624" s="324" t="s">
        <v>1012</v>
      </c>
    </row>
    <row r="625" spans="1:39" s="324" customFormat="1" ht="0.65" hidden="1" customHeight="1">
      <c r="A625" s="324">
        <v>2165</v>
      </c>
      <c r="H625" s="324">
        <v>1</v>
      </c>
      <c r="I625" s="324">
        <v>1</v>
      </c>
      <c r="J625" s="324">
        <v>1</v>
      </c>
      <c r="K625" s="324">
        <v>1</v>
      </c>
      <c r="L625" s="324">
        <v>1</v>
      </c>
      <c r="M625" s="324">
        <v>1</v>
      </c>
      <c r="N625" s="324">
        <v>1</v>
      </c>
      <c r="O625" s="324">
        <v>1</v>
      </c>
      <c r="P625" s="324">
        <v>1</v>
      </c>
    </row>
    <row r="626" spans="1:39" s="324" customFormat="1" ht="0.65" hidden="1" customHeight="1">
      <c r="A626" s="324">
        <v>2166</v>
      </c>
    </row>
    <row r="627" spans="1:39" s="324" customFormat="1" ht="0.65" hidden="1" customHeight="1">
      <c r="A627" s="324">
        <v>2167</v>
      </c>
      <c r="X627" s="324" t="s">
        <v>186</v>
      </c>
      <c r="Y627" s="324">
        <v>3.0559021979570389E-10</v>
      </c>
    </row>
    <row r="628" spans="1:39" s="324" customFormat="1" ht="0.65" hidden="1" customHeight="1">
      <c r="A628" s="324">
        <v>2168</v>
      </c>
      <c r="N628" s="324">
        <v>1</v>
      </c>
      <c r="P628" s="324">
        <v>1</v>
      </c>
    </row>
    <row r="629" spans="1:39" s="324" customFormat="1" ht="0.65" hidden="1" customHeight="1">
      <c r="A629" s="324">
        <v>2169</v>
      </c>
      <c r="H629" s="324">
        <v>1</v>
      </c>
      <c r="I629" s="324">
        <v>1</v>
      </c>
      <c r="J629" s="324">
        <v>1</v>
      </c>
      <c r="K629" s="324">
        <v>1</v>
      </c>
      <c r="N629" s="324">
        <v>1</v>
      </c>
      <c r="P629" s="324">
        <v>1</v>
      </c>
    </row>
    <row r="630" spans="1:39" s="324" customFormat="1" ht="0.65" hidden="1" customHeight="1">
      <c r="A630" s="324">
        <v>2170</v>
      </c>
      <c r="H630" s="324">
        <v>1</v>
      </c>
      <c r="I630" s="324">
        <v>1</v>
      </c>
      <c r="J630" s="324">
        <v>1</v>
      </c>
      <c r="K630" s="324">
        <v>1</v>
      </c>
      <c r="N630" s="324">
        <v>1</v>
      </c>
      <c r="P630" s="324">
        <v>1</v>
      </c>
    </row>
    <row r="631" spans="1:39" s="324" customFormat="1" ht="0.65" hidden="1" customHeight="1">
      <c r="A631" s="324">
        <v>2171</v>
      </c>
      <c r="H631" s="324">
        <v>1</v>
      </c>
      <c r="I631" s="324">
        <v>1</v>
      </c>
      <c r="J631" s="324">
        <v>1</v>
      </c>
      <c r="K631" s="324">
        <v>1</v>
      </c>
      <c r="N631" s="324">
        <v>1</v>
      </c>
    </row>
    <row r="632" spans="1:39" s="324" customFormat="1" ht="0.65" hidden="1" customHeight="1">
      <c r="A632" s="324">
        <v>2172</v>
      </c>
      <c r="AI632" s="324">
        <v>1E-4</v>
      </c>
      <c r="AJ632" s="324" t="s">
        <v>244</v>
      </c>
    </row>
    <row r="633" spans="1:39" s="324" customFormat="1" ht="0.65" hidden="1" customHeight="1">
      <c r="A633" s="324">
        <v>2173</v>
      </c>
      <c r="P633" s="324">
        <v>1</v>
      </c>
      <c r="AC633" s="324" t="s">
        <v>463</v>
      </c>
      <c r="AD633" s="324" t="s">
        <v>208</v>
      </c>
      <c r="AG633" s="324" t="s">
        <v>210</v>
      </c>
      <c r="AH633" s="324" t="s">
        <v>209</v>
      </c>
      <c r="AI633" s="324" t="s">
        <v>206</v>
      </c>
      <c r="AJ633" s="324" t="s">
        <v>245</v>
      </c>
      <c r="AK633" s="324" t="s">
        <v>206</v>
      </c>
      <c r="AL633" s="324" t="s">
        <v>205</v>
      </c>
    </row>
    <row r="634" spans="1:39" s="324" customFormat="1" ht="0.65" hidden="1" customHeight="1">
      <c r="A634" s="324">
        <v>2174</v>
      </c>
      <c r="P634" s="324">
        <v>1</v>
      </c>
      <c r="AA634" s="324">
        <v>1</v>
      </c>
      <c r="AB634" s="324" t="s">
        <v>645</v>
      </c>
      <c r="AC634" s="324" t="s">
        <v>55</v>
      </c>
      <c r="AD634" s="324" t="s">
        <v>55</v>
      </c>
      <c r="AE634" s="324">
        <v>0</v>
      </c>
      <c r="AF634" s="324" t="s">
        <v>490</v>
      </c>
      <c r="AG634" s="324">
        <v>543750</v>
      </c>
      <c r="AH634" s="324">
        <v>543750</v>
      </c>
      <c r="AI634" s="324" t="s">
        <v>55</v>
      </c>
      <c r="AJ634" s="324">
        <v>543750</v>
      </c>
      <c r="AK634" s="324" t="s">
        <v>55</v>
      </c>
      <c r="AL634" s="324" t="s">
        <v>55</v>
      </c>
      <c r="AM634" s="324" t="s">
        <v>55</v>
      </c>
    </row>
    <row r="635" spans="1:39" s="324" customFormat="1" ht="0.65" hidden="1" customHeight="1">
      <c r="A635" s="324">
        <v>2175</v>
      </c>
      <c r="AA635" s="324">
        <v>2</v>
      </c>
      <c r="AB635" s="324" t="s">
        <v>645</v>
      </c>
      <c r="AC635" s="324" t="s">
        <v>55</v>
      </c>
      <c r="AD635" s="324" t="s">
        <v>55</v>
      </c>
      <c r="AE635" s="324">
        <v>0</v>
      </c>
      <c r="AF635" s="324" t="s">
        <v>510</v>
      </c>
      <c r="AG635" s="324">
        <v>360000</v>
      </c>
      <c r="AH635" s="324">
        <v>360000</v>
      </c>
      <c r="AI635" s="324" t="s">
        <v>55</v>
      </c>
      <c r="AJ635" s="324">
        <v>360000</v>
      </c>
      <c r="AK635" s="324" t="s">
        <v>55</v>
      </c>
      <c r="AL635" s="324" t="s">
        <v>55</v>
      </c>
      <c r="AM635" s="324" t="s">
        <v>55</v>
      </c>
    </row>
    <row r="636" spans="1:39" s="324" customFormat="1" ht="0.65" hidden="1" customHeight="1">
      <c r="A636" s="324">
        <v>2176</v>
      </c>
      <c r="G636" s="324" t="s">
        <v>411</v>
      </c>
      <c r="H636" s="324">
        <v>49</v>
      </c>
      <c r="AA636" s="324">
        <v>3</v>
      </c>
      <c r="AB636" s="324" t="s">
        <v>645</v>
      </c>
      <c r="AC636" s="324" t="s">
        <v>55</v>
      </c>
      <c r="AD636" s="324" t="s">
        <v>55</v>
      </c>
      <c r="AE636" s="324">
        <v>0</v>
      </c>
      <c r="AF636" s="324" t="s">
        <v>513</v>
      </c>
      <c r="AG636" s="324">
        <v>360000</v>
      </c>
      <c r="AH636" s="324">
        <v>360000</v>
      </c>
      <c r="AI636" s="324" t="s">
        <v>55</v>
      </c>
      <c r="AJ636" s="324">
        <v>360000</v>
      </c>
      <c r="AK636" s="324" t="s">
        <v>55</v>
      </c>
      <c r="AL636" s="324" t="s">
        <v>55</v>
      </c>
      <c r="AM636" s="324" t="s">
        <v>55</v>
      </c>
    </row>
    <row r="637" spans="1:39" s="324" customFormat="1" ht="0.65" hidden="1" customHeight="1">
      <c r="A637" s="324">
        <v>2177</v>
      </c>
      <c r="G637" s="324" t="s">
        <v>412</v>
      </c>
      <c r="AA637" s="324">
        <v>4</v>
      </c>
      <c r="AB637" s="324" t="s">
        <v>645</v>
      </c>
      <c r="AC637" s="324" t="s">
        <v>55</v>
      </c>
      <c r="AD637" s="324" t="s">
        <v>55</v>
      </c>
      <c r="AE637" s="324">
        <v>0</v>
      </c>
      <c r="AF637" s="324" t="s">
        <v>515</v>
      </c>
      <c r="AG637" s="324">
        <v>360000</v>
      </c>
      <c r="AH637" s="324">
        <v>360000</v>
      </c>
      <c r="AI637" s="324" t="s">
        <v>55</v>
      </c>
      <c r="AJ637" s="324">
        <v>360000</v>
      </c>
      <c r="AK637" s="324" t="s">
        <v>55</v>
      </c>
      <c r="AL637" s="324" t="s">
        <v>55</v>
      </c>
      <c r="AM637" s="324" t="s">
        <v>55</v>
      </c>
    </row>
    <row r="638" spans="1:39" s="324" customFormat="1" ht="0.65" hidden="1" customHeight="1">
      <c r="A638" s="324">
        <v>2178</v>
      </c>
      <c r="AA638" s="324">
        <v>5</v>
      </c>
      <c r="AB638" s="324" t="s">
        <v>645</v>
      </c>
      <c r="AC638" s="324" t="s">
        <v>55</v>
      </c>
      <c r="AD638" s="324" t="s">
        <v>55</v>
      </c>
      <c r="AE638" s="324">
        <v>0</v>
      </c>
      <c r="AF638" s="324" t="s">
        <v>517</v>
      </c>
      <c r="AG638" s="324">
        <v>240000</v>
      </c>
      <c r="AH638" s="324">
        <v>240000</v>
      </c>
      <c r="AI638" s="324" t="s">
        <v>55</v>
      </c>
      <c r="AJ638" s="324">
        <v>240000</v>
      </c>
      <c r="AK638" s="324" t="s">
        <v>55</v>
      </c>
      <c r="AL638" s="324" t="s">
        <v>55</v>
      </c>
      <c r="AM638" s="324" t="s">
        <v>55</v>
      </c>
    </row>
    <row r="639" spans="1:39" s="324" customFormat="1" ht="0.65" hidden="1" customHeight="1">
      <c r="A639" s="324">
        <v>2179</v>
      </c>
      <c r="AA639" s="324">
        <v>6</v>
      </c>
      <c r="AB639" s="324" t="s">
        <v>645</v>
      </c>
      <c r="AC639" s="324" t="s">
        <v>55</v>
      </c>
      <c r="AD639" s="324" t="s">
        <v>55</v>
      </c>
      <c r="AE639" s="324">
        <v>0</v>
      </c>
      <c r="AF639" s="324" t="s">
        <v>521</v>
      </c>
      <c r="AG639" s="324">
        <v>240000</v>
      </c>
      <c r="AH639" s="324">
        <v>240000</v>
      </c>
      <c r="AI639" s="324" t="s">
        <v>55</v>
      </c>
      <c r="AJ639" s="324">
        <v>240000</v>
      </c>
      <c r="AK639" s="324" t="s">
        <v>55</v>
      </c>
      <c r="AL639" s="324" t="s">
        <v>55</v>
      </c>
      <c r="AM639" s="324" t="s">
        <v>55</v>
      </c>
    </row>
    <row r="640" spans="1:39" s="324" customFormat="1" ht="0.65" hidden="1" customHeight="1">
      <c r="A640" s="324">
        <v>2180</v>
      </c>
      <c r="AA640" s="324">
        <v>7</v>
      </c>
      <c r="AB640" s="324" t="s">
        <v>645</v>
      </c>
      <c r="AC640" s="324" t="s">
        <v>55</v>
      </c>
      <c r="AD640" s="324" t="s">
        <v>55</v>
      </c>
      <c r="AE640" s="324">
        <v>0</v>
      </c>
      <c r="AF640" s="324" t="s">
        <v>523</v>
      </c>
      <c r="AG640" s="324">
        <v>240000</v>
      </c>
      <c r="AH640" s="324">
        <v>240000</v>
      </c>
      <c r="AI640" s="324" t="s">
        <v>55</v>
      </c>
      <c r="AJ640" s="324">
        <v>240000</v>
      </c>
      <c r="AK640" s="324" t="s">
        <v>55</v>
      </c>
      <c r="AL640" s="324" t="s">
        <v>55</v>
      </c>
      <c r="AM640" s="324" t="s">
        <v>55</v>
      </c>
    </row>
    <row r="641" spans="1:39" s="324" customFormat="1" ht="0.65" hidden="1" customHeight="1">
      <c r="A641" s="324">
        <v>2181</v>
      </c>
      <c r="G641" s="324" t="s">
        <v>0</v>
      </c>
      <c r="H641" s="324" t="s">
        <v>69</v>
      </c>
      <c r="I641" s="324" t="s">
        <v>70</v>
      </c>
      <c r="J641" s="324" t="s">
        <v>71</v>
      </c>
      <c r="K641" s="324" t="s">
        <v>72</v>
      </c>
      <c r="L641" s="324" t="s">
        <v>73</v>
      </c>
      <c r="M641" s="324" t="s">
        <v>74</v>
      </c>
      <c r="N641" s="324" t="s">
        <v>75</v>
      </c>
      <c r="O641" s="324" t="s">
        <v>80</v>
      </c>
      <c r="P641" s="324" t="s">
        <v>1</v>
      </c>
      <c r="AA641" s="324">
        <v>8</v>
      </c>
      <c r="AB641" s="324" t="s">
        <v>645</v>
      </c>
      <c r="AC641" s="324" t="s">
        <v>55</v>
      </c>
      <c r="AD641" s="324" t="s">
        <v>55</v>
      </c>
      <c r="AE641" s="324">
        <v>0</v>
      </c>
      <c r="AF641" s="324" t="s">
        <v>525</v>
      </c>
      <c r="AG641" s="324">
        <v>30000</v>
      </c>
      <c r="AH641" s="324">
        <v>30000</v>
      </c>
      <c r="AI641" s="324" t="s">
        <v>55</v>
      </c>
      <c r="AJ641" s="324">
        <v>30000</v>
      </c>
      <c r="AK641" s="324" t="s">
        <v>55</v>
      </c>
      <c r="AL641" s="324" t="s">
        <v>55</v>
      </c>
      <c r="AM641" s="324" t="s">
        <v>55</v>
      </c>
    </row>
    <row r="642" spans="1:39" s="324" customFormat="1" ht="0.65" hidden="1" customHeight="1">
      <c r="A642" s="324">
        <v>2182</v>
      </c>
      <c r="G642" s="324">
        <v>2021</v>
      </c>
      <c r="P642" s="324" t="s">
        <v>645</v>
      </c>
      <c r="AA642" s="324">
        <v>9</v>
      </c>
      <c r="AB642" s="324" t="s">
        <v>645</v>
      </c>
      <c r="AC642" s="324" t="s">
        <v>55</v>
      </c>
      <c r="AD642" s="324" t="s">
        <v>55</v>
      </c>
      <c r="AE642" s="324">
        <v>0</v>
      </c>
      <c r="AF642" s="324" t="s">
        <v>528</v>
      </c>
      <c r="AG642" s="324">
        <v>30000</v>
      </c>
      <c r="AH642" s="324">
        <v>30000</v>
      </c>
      <c r="AI642" s="324" t="s">
        <v>55</v>
      </c>
      <c r="AJ642" s="324">
        <v>30000</v>
      </c>
      <c r="AK642" s="324" t="s">
        <v>55</v>
      </c>
      <c r="AL642" s="324" t="s">
        <v>55</v>
      </c>
      <c r="AM642" s="324" t="s">
        <v>55</v>
      </c>
    </row>
    <row r="643" spans="1:39" s="324" customFormat="1" ht="0.65" hidden="1" customHeight="1">
      <c r="A643" s="324">
        <v>2183</v>
      </c>
      <c r="G643" s="324">
        <v>2022</v>
      </c>
      <c r="H643" s="324" t="s">
        <v>645</v>
      </c>
      <c r="I643" s="324" t="s">
        <v>645</v>
      </c>
      <c r="J643" s="324" t="s">
        <v>645</v>
      </c>
      <c r="K643" s="324" t="s">
        <v>645</v>
      </c>
      <c r="L643" s="324" t="s">
        <v>645</v>
      </c>
      <c r="M643" s="324" t="s">
        <v>645</v>
      </c>
      <c r="N643" s="324" t="s">
        <v>645</v>
      </c>
      <c r="O643" s="324" t="s">
        <v>645</v>
      </c>
      <c r="P643" s="324" t="s">
        <v>645</v>
      </c>
      <c r="AA643" s="324">
        <v>10</v>
      </c>
      <c r="AB643" s="324" t="s">
        <v>645</v>
      </c>
      <c r="AC643" s="324" t="s">
        <v>55</v>
      </c>
      <c r="AD643" s="324" t="s">
        <v>55</v>
      </c>
      <c r="AE643" s="324">
        <v>0</v>
      </c>
      <c r="AF643" s="324" t="s">
        <v>530</v>
      </c>
      <c r="AG643" s="324">
        <v>30000</v>
      </c>
      <c r="AH643" s="324">
        <v>30000</v>
      </c>
      <c r="AI643" s="324" t="s">
        <v>55</v>
      </c>
      <c r="AJ643" s="324">
        <v>30000</v>
      </c>
      <c r="AK643" s="324" t="s">
        <v>55</v>
      </c>
      <c r="AL643" s="324" t="s">
        <v>55</v>
      </c>
      <c r="AM643" s="324" t="s">
        <v>55</v>
      </c>
    </row>
    <row r="644" spans="1:39" s="324" customFormat="1" ht="0.65" hidden="1" customHeight="1">
      <c r="A644" s="324">
        <v>2184</v>
      </c>
      <c r="G644" s="324">
        <v>2023</v>
      </c>
      <c r="H644" s="324" t="s">
        <v>645</v>
      </c>
      <c r="I644" s="324" t="s">
        <v>645</v>
      </c>
      <c r="J644" s="324" t="s">
        <v>645</v>
      </c>
      <c r="K644" s="324" t="s">
        <v>645</v>
      </c>
      <c r="L644" s="324" t="s">
        <v>645</v>
      </c>
      <c r="M644" s="324" t="s">
        <v>645</v>
      </c>
      <c r="N644" s="324" t="s">
        <v>645</v>
      </c>
      <c r="O644" s="324" t="s">
        <v>645</v>
      </c>
      <c r="P644" s="324" t="s">
        <v>645</v>
      </c>
      <c r="AA644" s="324">
        <v>11</v>
      </c>
      <c r="AB644" s="324" t="s">
        <v>645</v>
      </c>
      <c r="AC644" s="324" t="s">
        <v>55</v>
      </c>
      <c r="AD644" s="324" t="s">
        <v>55</v>
      </c>
      <c r="AE644" s="324">
        <v>0</v>
      </c>
      <c r="AF644" s="324" t="s">
        <v>533</v>
      </c>
      <c r="AG644" s="324">
        <v>90000</v>
      </c>
      <c r="AH644" s="324">
        <v>90000</v>
      </c>
      <c r="AI644" s="324" t="s">
        <v>55</v>
      </c>
      <c r="AJ644" s="324">
        <v>90000</v>
      </c>
      <c r="AK644" s="324" t="s">
        <v>55</v>
      </c>
      <c r="AL644" s="324" t="s">
        <v>55</v>
      </c>
      <c r="AM644" s="324" t="s">
        <v>55</v>
      </c>
    </row>
    <row r="645" spans="1:39" s="324" customFormat="1" ht="0.65" hidden="1" customHeight="1">
      <c r="A645" s="324">
        <v>2185</v>
      </c>
      <c r="G645" s="324">
        <v>2024</v>
      </c>
      <c r="H645" s="324" t="s">
        <v>645</v>
      </c>
      <c r="I645" s="324" t="s">
        <v>645</v>
      </c>
      <c r="J645" s="324" t="s">
        <v>645</v>
      </c>
      <c r="K645" s="324" t="s">
        <v>645</v>
      </c>
      <c r="L645" s="324" t="s">
        <v>645</v>
      </c>
      <c r="M645" s="324" t="s">
        <v>645</v>
      </c>
      <c r="N645" s="324" t="s">
        <v>645</v>
      </c>
      <c r="O645" s="324" t="s">
        <v>645</v>
      </c>
      <c r="P645" s="324" t="s">
        <v>645</v>
      </c>
      <c r="AA645" s="324">
        <v>12</v>
      </c>
      <c r="AB645" s="324" t="s">
        <v>645</v>
      </c>
      <c r="AC645" s="324" t="s">
        <v>55</v>
      </c>
      <c r="AD645" s="324" t="s">
        <v>55</v>
      </c>
      <c r="AE645" s="324">
        <v>0</v>
      </c>
      <c r="AF645" s="324" t="s">
        <v>536</v>
      </c>
      <c r="AG645" s="324">
        <v>90000</v>
      </c>
      <c r="AH645" s="324">
        <v>90000</v>
      </c>
      <c r="AI645" s="324" t="s">
        <v>55</v>
      </c>
      <c r="AJ645" s="324">
        <v>90000</v>
      </c>
      <c r="AK645" s="324" t="s">
        <v>55</v>
      </c>
      <c r="AL645" s="324" t="s">
        <v>55</v>
      </c>
      <c r="AM645" s="324" t="s">
        <v>55</v>
      </c>
    </row>
    <row r="646" spans="1:39" s="324" customFormat="1" ht="0.65" hidden="1" customHeight="1">
      <c r="A646" s="324">
        <v>2186</v>
      </c>
      <c r="AA646" s="324">
        <v>13</v>
      </c>
      <c r="AB646" s="324" t="s">
        <v>645</v>
      </c>
      <c r="AC646" s="324" t="s">
        <v>55</v>
      </c>
      <c r="AD646" s="324" t="s">
        <v>55</v>
      </c>
      <c r="AE646" s="324">
        <v>0</v>
      </c>
      <c r="AF646" s="324" t="s">
        <v>538</v>
      </c>
      <c r="AG646" s="324">
        <v>90000</v>
      </c>
      <c r="AH646" s="324">
        <v>90000</v>
      </c>
      <c r="AI646" s="324" t="s">
        <v>55</v>
      </c>
      <c r="AJ646" s="324">
        <v>90000</v>
      </c>
      <c r="AK646" s="324" t="s">
        <v>55</v>
      </c>
      <c r="AL646" s="324" t="s">
        <v>55</v>
      </c>
      <c r="AM646" s="324" t="s">
        <v>55</v>
      </c>
    </row>
    <row r="647" spans="1:39" s="324" customFormat="1" ht="0.65" hidden="1" customHeight="1">
      <c r="A647" s="324">
        <v>2187</v>
      </c>
      <c r="G647" s="324" t="s">
        <v>0</v>
      </c>
      <c r="H647" s="324" t="s">
        <v>76</v>
      </c>
      <c r="I647" s="324" t="s">
        <v>77</v>
      </c>
      <c r="J647" s="324" t="s">
        <v>78</v>
      </c>
      <c r="K647" s="324" t="s">
        <v>79</v>
      </c>
      <c r="AA647" s="324">
        <v>14</v>
      </c>
      <c r="AB647" s="324" t="s">
        <v>645</v>
      </c>
      <c r="AC647" s="324" t="s">
        <v>55</v>
      </c>
      <c r="AD647" s="324" t="s">
        <v>55</v>
      </c>
      <c r="AE647" s="324">
        <v>0</v>
      </c>
      <c r="AF647" s="324" t="s">
        <v>541</v>
      </c>
      <c r="AG647" s="324">
        <v>22500</v>
      </c>
      <c r="AH647" s="324">
        <v>22500</v>
      </c>
      <c r="AI647" s="324" t="s">
        <v>55</v>
      </c>
      <c r="AJ647" s="324">
        <v>22500</v>
      </c>
      <c r="AK647" s="324" t="s">
        <v>55</v>
      </c>
      <c r="AL647" s="324" t="s">
        <v>55</v>
      </c>
      <c r="AM647" s="324" t="s">
        <v>55</v>
      </c>
    </row>
    <row r="648" spans="1:39" s="324" customFormat="1" ht="0.65" hidden="1" customHeight="1">
      <c r="A648" s="324">
        <v>2188</v>
      </c>
      <c r="G648" s="324">
        <v>2021</v>
      </c>
      <c r="M648" s="324" t="s">
        <v>456</v>
      </c>
      <c r="N648" s="324" t="s">
        <v>645</v>
      </c>
      <c r="O648" s="324" t="s">
        <v>124</v>
      </c>
      <c r="P648" s="324" t="s">
        <v>645</v>
      </c>
      <c r="AA648" s="324">
        <v>15</v>
      </c>
      <c r="AB648" s="324" t="s">
        <v>645</v>
      </c>
      <c r="AC648" s="324" t="s">
        <v>55</v>
      </c>
      <c r="AD648" s="324" t="s">
        <v>55</v>
      </c>
      <c r="AE648" s="324">
        <v>0</v>
      </c>
      <c r="AF648" s="324" t="s">
        <v>544</v>
      </c>
      <c r="AG648" s="324">
        <v>22500</v>
      </c>
      <c r="AH648" s="324">
        <v>22500</v>
      </c>
      <c r="AI648" s="324" t="s">
        <v>55</v>
      </c>
      <c r="AJ648" s="324">
        <v>22500</v>
      </c>
      <c r="AK648" s="324" t="s">
        <v>55</v>
      </c>
      <c r="AL648" s="324" t="s">
        <v>55</v>
      </c>
      <c r="AM648" s="324" t="s">
        <v>55</v>
      </c>
    </row>
    <row r="649" spans="1:39" s="324" customFormat="1" ht="0.65" hidden="1" customHeight="1">
      <c r="A649" s="324">
        <v>2189</v>
      </c>
      <c r="G649" s="324">
        <v>2022</v>
      </c>
      <c r="H649" s="324" t="s">
        <v>645</v>
      </c>
      <c r="I649" s="324" t="s">
        <v>645</v>
      </c>
      <c r="J649" s="324" t="s">
        <v>645</v>
      </c>
      <c r="K649" s="324" t="s">
        <v>645</v>
      </c>
      <c r="M649" s="324" t="s">
        <v>457</v>
      </c>
      <c r="N649" s="324" t="s">
        <v>645</v>
      </c>
      <c r="O649" s="324" t="s">
        <v>125</v>
      </c>
      <c r="P649" s="324" t="s">
        <v>645</v>
      </c>
      <c r="AA649" s="324">
        <v>16</v>
      </c>
      <c r="AB649" s="324" t="s">
        <v>645</v>
      </c>
      <c r="AC649" s="324" t="s">
        <v>55</v>
      </c>
      <c r="AD649" s="324" t="s">
        <v>55</v>
      </c>
      <c r="AE649" s="324">
        <v>0</v>
      </c>
      <c r="AF649" s="324" t="s">
        <v>546</v>
      </c>
      <c r="AG649" s="324">
        <v>22500</v>
      </c>
      <c r="AH649" s="324">
        <v>22500</v>
      </c>
      <c r="AI649" s="324" t="s">
        <v>55</v>
      </c>
      <c r="AJ649" s="324">
        <v>22500</v>
      </c>
      <c r="AK649" s="324" t="s">
        <v>55</v>
      </c>
      <c r="AL649" s="324" t="s">
        <v>55</v>
      </c>
      <c r="AM649" s="324" t="s">
        <v>55</v>
      </c>
    </row>
    <row r="650" spans="1:39" s="324" customFormat="1" ht="0.65" hidden="1" customHeight="1">
      <c r="A650" s="324">
        <v>2190</v>
      </c>
      <c r="G650" s="324">
        <v>2023</v>
      </c>
      <c r="H650" s="324" t="s">
        <v>645</v>
      </c>
      <c r="I650" s="324" t="s">
        <v>645</v>
      </c>
      <c r="J650" s="324" t="s">
        <v>645</v>
      </c>
      <c r="K650" s="324" t="s">
        <v>645</v>
      </c>
      <c r="M650" s="324" t="s">
        <v>458</v>
      </c>
      <c r="N650" s="324" t="s">
        <v>645</v>
      </c>
      <c r="O650" s="324" t="s">
        <v>126</v>
      </c>
      <c r="P650" s="324" t="s">
        <v>645</v>
      </c>
      <c r="AA650" s="324">
        <v>17</v>
      </c>
      <c r="AB650" s="324" t="s">
        <v>645</v>
      </c>
      <c r="AC650" s="324" t="s">
        <v>55</v>
      </c>
      <c r="AD650" s="324" t="s">
        <v>55</v>
      </c>
      <c r="AE650" s="324">
        <v>0</v>
      </c>
      <c r="AF650" s="324" t="s">
        <v>549</v>
      </c>
      <c r="AG650" s="324">
        <v>67500</v>
      </c>
      <c r="AH650" s="324">
        <v>67500</v>
      </c>
      <c r="AI650" s="324" t="s">
        <v>55</v>
      </c>
      <c r="AJ650" s="324">
        <v>67500</v>
      </c>
      <c r="AK650" s="324" t="s">
        <v>55</v>
      </c>
      <c r="AL650" s="324" t="s">
        <v>55</v>
      </c>
      <c r="AM650" s="324" t="s">
        <v>55</v>
      </c>
    </row>
    <row r="651" spans="1:39" s="324" customFormat="1" ht="0.65" hidden="1" customHeight="1">
      <c r="A651" s="324">
        <v>2191</v>
      </c>
      <c r="G651" s="324">
        <v>2024</v>
      </c>
      <c r="H651" s="324" t="s">
        <v>645</v>
      </c>
      <c r="I651" s="324" t="s">
        <v>645</v>
      </c>
      <c r="J651" s="324" t="s">
        <v>645</v>
      </c>
      <c r="K651" s="324" t="s">
        <v>645</v>
      </c>
      <c r="M651" s="324" t="s">
        <v>459</v>
      </c>
      <c r="N651" s="324" t="s">
        <v>645</v>
      </c>
      <c r="AA651" s="324">
        <v>18</v>
      </c>
      <c r="AB651" s="324" t="s">
        <v>645</v>
      </c>
      <c r="AC651" s="324" t="s">
        <v>55</v>
      </c>
      <c r="AD651" s="324" t="s">
        <v>55</v>
      </c>
      <c r="AE651" s="324">
        <v>0</v>
      </c>
      <c r="AF651" s="324" t="s">
        <v>552</v>
      </c>
      <c r="AG651" s="324">
        <v>67500</v>
      </c>
      <c r="AH651" s="324">
        <v>67500</v>
      </c>
      <c r="AI651" s="324" t="s">
        <v>55</v>
      </c>
      <c r="AJ651" s="324">
        <v>67500</v>
      </c>
      <c r="AK651" s="324" t="s">
        <v>55</v>
      </c>
      <c r="AL651" s="324" t="s">
        <v>55</v>
      </c>
      <c r="AM651" s="324" t="s">
        <v>55</v>
      </c>
    </row>
    <row r="652" spans="1:39" s="324" customFormat="1" ht="0.65" hidden="1" customHeight="1">
      <c r="A652" s="324">
        <v>2192</v>
      </c>
      <c r="AA652" s="324">
        <v>19</v>
      </c>
      <c r="AB652" s="324" t="s">
        <v>645</v>
      </c>
      <c r="AC652" s="324" t="s">
        <v>55</v>
      </c>
      <c r="AD652" s="324" t="s">
        <v>55</v>
      </c>
      <c r="AE652" s="324">
        <v>0</v>
      </c>
      <c r="AF652" s="324" t="s">
        <v>554</v>
      </c>
      <c r="AG652" s="324">
        <v>67500</v>
      </c>
      <c r="AH652" s="324">
        <v>67500</v>
      </c>
      <c r="AI652" s="324" t="s">
        <v>55</v>
      </c>
      <c r="AJ652" s="324">
        <v>67500</v>
      </c>
      <c r="AK652" s="324" t="s">
        <v>55</v>
      </c>
      <c r="AL652" s="324" t="s">
        <v>55</v>
      </c>
      <c r="AM652" s="324" t="s">
        <v>55</v>
      </c>
    </row>
    <row r="653" spans="1:39" s="324" customFormat="1" ht="0.65" hidden="1" customHeight="1">
      <c r="A653" s="324">
        <v>2193</v>
      </c>
      <c r="O653" s="324" t="s">
        <v>13</v>
      </c>
      <c r="P653" s="324" t="s">
        <v>645</v>
      </c>
      <c r="AA653" s="324">
        <v>20</v>
      </c>
      <c r="AB653" s="324" t="s">
        <v>645</v>
      </c>
      <c r="AC653" s="324" t="s">
        <v>55</v>
      </c>
      <c r="AD653" s="324" t="s">
        <v>55</v>
      </c>
      <c r="AE653" s="324">
        <v>0</v>
      </c>
      <c r="AF653" s="324" t="s">
        <v>557</v>
      </c>
      <c r="AG653" s="324">
        <v>97500</v>
      </c>
      <c r="AH653" s="324">
        <v>97500</v>
      </c>
      <c r="AI653" s="324" t="s">
        <v>55</v>
      </c>
      <c r="AJ653" s="324">
        <v>97500</v>
      </c>
      <c r="AK653" s="324" t="s">
        <v>55</v>
      </c>
      <c r="AL653" s="324" t="s">
        <v>55</v>
      </c>
      <c r="AM653" s="324" t="s">
        <v>55</v>
      </c>
    </row>
    <row r="654" spans="1:39" s="324" customFormat="1" ht="0.65" hidden="1" customHeight="1">
      <c r="A654" s="324">
        <v>2194</v>
      </c>
      <c r="O654" s="324" t="s">
        <v>28</v>
      </c>
      <c r="P654" s="324" t="s">
        <v>645</v>
      </c>
      <c r="AA654" s="324">
        <v>21</v>
      </c>
      <c r="AB654" s="324" t="s">
        <v>645</v>
      </c>
      <c r="AC654" s="324" t="s">
        <v>55</v>
      </c>
      <c r="AD654" s="324" t="s">
        <v>55</v>
      </c>
      <c r="AE654" s="324">
        <v>0</v>
      </c>
      <c r="AF654" s="324" t="s">
        <v>560</v>
      </c>
      <c r="AG654" s="324">
        <v>97500</v>
      </c>
      <c r="AH654" s="324">
        <v>97500</v>
      </c>
      <c r="AI654" s="324" t="s">
        <v>55</v>
      </c>
      <c r="AJ654" s="324">
        <v>97500</v>
      </c>
      <c r="AK654" s="324" t="s">
        <v>55</v>
      </c>
      <c r="AL654" s="324" t="s">
        <v>55</v>
      </c>
      <c r="AM654" s="324" t="s">
        <v>55</v>
      </c>
    </row>
    <row r="655" spans="1:39" s="324" customFormat="1" ht="0.65" hidden="1" customHeight="1">
      <c r="A655" s="324">
        <v>2195</v>
      </c>
      <c r="O655" s="324" t="s">
        <v>29</v>
      </c>
      <c r="AA655" s="324">
        <v>22</v>
      </c>
      <c r="AB655" s="324" t="s">
        <v>645</v>
      </c>
      <c r="AC655" s="324" t="s">
        <v>55</v>
      </c>
      <c r="AD655" s="324" t="s">
        <v>55</v>
      </c>
      <c r="AE655" s="324">
        <v>0</v>
      </c>
      <c r="AF655" s="324" t="s">
        <v>562</v>
      </c>
      <c r="AG655" s="324">
        <v>97500</v>
      </c>
      <c r="AH655" s="324">
        <v>97500</v>
      </c>
      <c r="AI655" s="324" t="s">
        <v>55</v>
      </c>
      <c r="AJ655" s="324">
        <v>97500</v>
      </c>
      <c r="AK655" s="324" t="s">
        <v>55</v>
      </c>
      <c r="AL655" s="324" t="s">
        <v>55</v>
      </c>
      <c r="AM655" s="324" t="s">
        <v>55</v>
      </c>
    </row>
    <row r="656" spans="1:39" s="324" customFormat="1" ht="0.65" hidden="1" customHeight="1">
      <c r="A656" s="324">
        <v>2196</v>
      </c>
      <c r="O656" s="324" t="s">
        <v>30</v>
      </c>
      <c r="AA656" s="324">
        <v>23</v>
      </c>
      <c r="AB656" s="324" t="s">
        <v>645</v>
      </c>
      <c r="AC656" s="324" t="s">
        <v>55</v>
      </c>
      <c r="AD656" s="324" t="s">
        <v>55</v>
      </c>
      <c r="AE656" s="324">
        <v>0</v>
      </c>
      <c r="AF656" s="324" t="s">
        <v>565</v>
      </c>
      <c r="AG656" s="324">
        <v>30000</v>
      </c>
      <c r="AH656" s="324">
        <v>30000</v>
      </c>
      <c r="AI656" s="324" t="s">
        <v>55</v>
      </c>
      <c r="AJ656" s="324">
        <v>30000</v>
      </c>
      <c r="AK656" s="324" t="s">
        <v>55</v>
      </c>
      <c r="AL656" s="324" t="s">
        <v>55</v>
      </c>
      <c r="AM656" s="324" t="s">
        <v>55</v>
      </c>
    </row>
    <row r="657" spans="1:39" s="324" customFormat="1" ht="0.65" hidden="1" customHeight="1">
      <c r="A657" s="324">
        <v>2197</v>
      </c>
      <c r="AA657" s="324">
        <v>24</v>
      </c>
      <c r="AB657" s="324" t="s">
        <v>645</v>
      </c>
      <c r="AC657" s="324" t="s">
        <v>55</v>
      </c>
      <c r="AD657" s="324" t="s">
        <v>55</v>
      </c>
      <c r="AE657" s="324">
        <v>0</v>
      </c>
      <c r="AF657" s="324" t="s">
        <v>568</v>
      </c>
      <c r="AG657" s="324">
        <v>30000</v>
      </c>
      <c r="AH657" s="324">
        <v>30000</v>
      </c>
      <c r="AI657" s="324" t="s">
        <v>55</v>
      </c>
      <c r="AJ657" s="324">
        <v>30000</v>
      </c>
      <c r="AK657" s="324" t="s">
        <v>55</v>
      </c>
      <c r="AL657" s="324" t="s">
        <v>55</v>
      </c>
      <c r="AM657" s="324" t="s">
        <v>55</v>
      </c>
    </row>
    <row r="658" spans="1:39" s="324" customFormat="1" ht="0.65" hidden="1" customHeight="1">
      <c r="A658" s="324">
        <v>2198</v>
      </c>
      <c r="AA658" s="324">
        <v>25</v>
      </c>
      <c r="AB658" s="324" t="s">
        <v>645</v>
      </c>
      <c r="AC658" s="324" t="s">
        <v>55</v>
      </c>
      <c r="AD658" s="324" t="s">
        <v>55</v>
      </c>
      <c r="AE658" s="324">
        <v>0</v>
      </c>
      <c r="AF658" s="324" t="s">
        <v>570</v>
      </c>
      <c r="AG658" s="324">
        <v>30000</v>
      </c>
      <c r="AH658" s="324">
        <v>30000</v>
      </c>
      <c r="AI658" s="324" t="s">
        <v>55</v>
      </c>
      <c r="AJ658" s="324">
        <v>30000</v>
      </c>
      <c r="AK658" s="324" t="s">
        <v>55</v>
      </c>
      <c r="AL658" s="324" t="s">
        <v>55</v>
      </c>
      <c r="AM658" s="324" t="s">
        <v>55</v>
      </c>
    </row>
    <row r="659" spans="1:39" s="324" customFormat="1" ht="0.65" hidden="1" customHeight="1">
      <c r="A659" s="324">
        <v>2199</v>
      </c>
      <c r="AA659" s="324">
        <v>26</v>
      </c>
      <c r="AB659" s="324" t="s">
        <v>645</v>
      </c>
      <c r="AC659" s="324" t="s">
        <v>55</v>
      </c>
      <c r="AD659" s="324" t="s">
        <v>55</v>
      </c>
      <c r="AE659" s="324">
        <v>0</v>
      </c>
      <c r="AF659" s="324" t="s">
        <v>572</v>
      </c>
      <c r="AG659" s="324">
        <v>40000</v>
      </c>
      <c r="AH659" s="324">
        <v>40000</v>
      </c>
      <c r="AI659" s="324" t="s">
        <v>55</v>
      </c>
      <c r="AJ659" s="324">
        <v>40000</v>
      </c>
      <c r="AK659" s="324" t="s">
        <v>55</v>
      </c>
      <c r="AL659" s="324" t="s">
        <v>55</v>
      </c>
      <c r="AM659" s="324" t="s">
        <v>55</v>
      </c>
    </row>
    <row r="660" spans="1:39" s="324" customFormat="1" ht="0.65" hidden="1" customHeight="1">
      <c r="A660" s="324">
        <v>2200</v>
      </c>
      <c r="AA660" s="324">
        <v>27</v>
      </c>
      <c r="AB660" s="324" t="s">
        <v>645</v>
      </c>
      <c r="AC660" s="324" t="s">
        <v>55</v>
      </c>
      <c r="AD660" s="324" t="s">
        <v>55</v>
      </c>
      <c r="AE660" s="324">
        <v>0</v>
      </c>
      <c r="AF660" s="324" t="s">
        <v>575</v>
      </c>
      <c r="AG660" s="324">
        <v>40000</v>
      </c>
      <c r="AH660" s="324">
        <v>40000</v>
      </c>
      <c r="AI660" s="324" t="s">
        <v>55</v>
      </c>
      <c r="AJ660" s="324">
        <v>40000</v>
      </c>
      <c r="AK660" s="324" t="s">
        <v>55</v>
      </c>
      <c r="AL660" s="324" t="s">
        <v>55</v>
      </c>
      <c r="AM660" s="324" t="s">
        <v>55</v>
      </c>
    </row>
    <row r="661" spans="1:39" s="324" customFormat="1" ht="0.65" hidden="1" customHeight="1">
      <c r="A661" s="324">
        <v>2201</v>
      </c>
      <c r="AA661" s="324">
        <v>28</v>
      </c>
      <c r="AB661" s="324" t="s">
        <v>645</v>
      </c>
      <c r="AC661" s="324" t="s">
        <v>55</v>
      </c>
      <c r="AD661" s="324" t="s">
        <v>55</v>
      </c>
      <c r="AE661" s="324">
        <v>0</v>
      </c>
      <c r="AF661" s="324" t="s">
        <v>577</v>
      </c>
      <c r="AG661" s="324">
        <v>40000</v>
      </c>
      <c r="AH661" s="324">
        <v>40000</v>
      </c>
      <c r="AI661" s="324" t="s">
        <v>55</v>
      </c>
      <c r="AJ661" s="324">
        <v>40000</v>
      </c>
      <c r="AK661" s="324" t="s">
        <v>55</v>
      </c>
      <c r="AL661" s="324" t="s">
        <v>55</v>
      </c>
      <c r="AM661" s="324" t="s">
        <v>55</v>
      </c>
    </row>
    <row r="662" spans="1:39" s="324" customFormat="1" ht="0.65" hidden="1" customHeight="1">
      <c r="A662" s="324">
        <v>2202</v>
      </c>
      <c r="AA662" s="324">
        <v>29</v>
      </c>
      <c r="AB662" s="324" t="s">
        <v>645</v>
      </c>
      <c r="AC662" s="324" t="s">
        <v>55</v>
      </c>
      <c r="AD662" s="324" t="s">
        <v>55</v>
      </c>
      <c r="AE662" s="324">
        <v>0</v>
      </c>
      <c r="AF662" s="324" t="s">
        <v>579</v>
      </c>
      <c r="AG662" s="324">
        <v>-10000</v>
      </c>
      <c r="AH662" s="324">
        <v>-10000</v>
      </c>
      <c r="AI662" s="324" t="s">
        <v>55</v>
      </c>
      <c r="AJ662" s="324">
        <v>-10000</v>
      </c>
      <c r="AK662" s="324" t="s">
        <v>55</v>
      </c>
      <c r="AL662" s="324" t="s">
        <v>55</v>
      </c>
      <c r="AM662" s="324" t="s">
        <v>55</v>
      </c>
    </row>
    <row r="663" spans="1:39" s="324" customFormat="1" ht="0.65" hidden="1" customHeight="1">
      <c r="A663" s="324">
        <v>2203</v>
      </c>
      <c r="AA663" s="324">
        <v>30</v>
      </c>
      <c r="AB663" s="324" t="s">
        <v>645</v>
      </c>
      <c r="AC663" s="324" t="s">
        <v>55</v>
      </c>
      <c r="AD663" s="324" t="s">
        <v>55</v>
      </c>
      <c r="AE663" s="324">
        <v>0</v>
      </c>
      <c r="AF663" s="324" t="s">
        <v>582</v>
      </c>
      <c r="AG663" s="324">
        <v>-10000</v>
      </c>
      <c r="AH663" s="324">
        <v>-10000</v>
      </c>
      <c r="AI663" s="324" t="s">
        <v>55</v>
      </c>
      <c r="AJ663" s="324">
        <v>-10000</v>
      </c>
      <c r="AK663" s="324" t="s">
        <v>55</v>
      </c>
      <c r="AL663" s="324" t="s">
        <v>55</v>
      </c>
      <c r="AM663" s="324" t="s">
        <v>55</v>
      </c>
    </row>
    <row r="664" spans="1:39" s="324" customFormat="1" ht="0.65" hidden="1" customHeight="1">
      <c r="A664" s="324">
        <v>2204</v>
      </c>
      <c r="AA664" s="324">
        <v>31</v>
      </c>
      <c r="AB664" s="324" t="s">
        <v>645</v>
      </c>
      <c r="AC664" s="324" t="s">
        <v>55</v>
      </c>
      <c r="AD664" s="324" t="s">
        <v>55</v>
      </c>
      <c r="AE664" s="324">
        <v>0</v>
      </c>
      <c r="AF664" s="324" t="s">
        <v>584</v>
      </c>
      <c r="AG664" s="324">
        <v>-10000</v>
      </c>
      <c r="AH664" s="324">
        <v>-10000</v>
      </c>
      <c r="AI664" s="324" t="s">
        <v>55</v>
      </c>
      <c r="AJ664" s="324">
        <v>-10000</v>
      </c>
      <c r="AK664" s="324" t="s">
        <v>55</v>
      </c>
      <c r="AL664" s="324" t="s">
        <v>55</v>
      </c>
      <c r="AM664" s="324" t="s">
        <v>55</v>
      </c>
    </row>
    <row r="665" spans="1:39" s="324" customFormat="1" ht="0.65" hidden="1" customHeight="1">
      <c r="A665" s="324">
        <v>2205</v>
      </c>
      <c r="AA665" s="324">
        <v>32</v>
      </c>
      <c r="AB665" s="324" t="s">
        <v>645</v>
      </c>
      <c r="AC665" s="324" t="s">
        <v>55</v>
      </c>
      <c r="AD665" s="324" t="s">
        <v>55</v>
      </c>
      <c r="AE665" s="324">
        <v>0</v>
      </c>
      <c r="AF665" s="324" t="s">
        <v>586</v>
      </c>
      <c r="AG665" s="324">
        <v>-10000</v>
      </c>
      <c r="AH665" s="324">
        <v>-10000</v>
      </c>
      <c r="AI665" s="324" t="s">
        <v>55</v>
      </c>
      <c r="AJ665" s="324">
        <v>-10000</v>
      </c>
      <c r="AK665" s="324" t="s">
        <v>55</v>
      </c>
      <c r="AL665" s="324" t="s">
        <v>55</v>
      </c>
      <c r="AM665" s="324" t="s">
        <v>55</v>
      </c>
    </row>
    <row r="666" spans="1:39" s="324" customFormat="1" ht="0.65" hidden="1" customHeight="1">
      <c r="A666" s="324">
        <v>2206</v>
      </c>
      <c r="AA666" s="324">
        <v>33</v>
      </c>
      <c r="AB666" s="324" t="s">
        <v>645</v>
      </c>
      <c r="AC666" s="324" t="s">
        <v>55</v>
      </c>
      <c r="AD666" s="324" t="s">
        <v>55</v>
      </c>
      <c r="AE666" s="324">
        <v>0</v>
      </c>
      <c r="AF666" s="324" t="s">
        <v>589</v>
      </c>
      <c r="AG666" s="324">
        <v>0</v>
      </c>
      <c r="AH666" s="324">
        <v>0</v>
      </c>
      <c r="AI666" s="324" t="s">
        <v>55</v>
      </c>
      <c r="AJ666" s="324">
        <v>0</v>
      </c>
      <c r="AK666" s="324" t="s">
        <v>55</v>
      </c>
      <c r="AL666" s="324" t="s">
        <v>55</v>
      </c>
      <c r="AM666" s="324" t="s">
        <v>55</v>
      </c>
    </row>
    <row r="667" spans="1:39" s="324" customFormat="1" ht="0.65" hidden="1" customHeight="1">
      <c r="A667" s="324">
        <v>2207</v>
      </c>
      <c r="AA667" s="324">
        <v>34</v>
      </c>
      <c r="AB667" s="324" t="s">
        <v>645</v>
      </c>
      <c r="AC667" s="324" t="s">
        <v>55</v>
      </c>
      <c r="AD667" s="324" t="s">
        <v>55</v>
      </c>
      <c r="AE667" s="324">
        <v>0</v>
      </c>
      <c r="AF667" s="324" t="s">
        <v>590</v>
      </c>
      <c r="AG667" s="324">
        <v>0</v>
      </c>
      <c r="AH667" s="324">
        <v>0</v>
      </c>
      <c r="AI667" s="324" t="s">
        <v>55</v>
      </c>
      <c r="AJ667" s="324">
        <v>0</v>
      </c>
      <c r="AK667" s="324" t="s">
        <v>55</v>
      </c>
      <c r="AL667" s="324" t="s">
        <v>55</v>
      </c>
      <c r="AM667" s="324" t="s">
        <v>55</v>
      </c>
    </row>
    <row r="668" spans="1:39" s="324" customFormat="1" ht="0.65" hidden="1" customHeight="1">
      <c r="A668" s="324">
        <v>2208</v>
      </c>
      <c r="AA668" s="324">
        <v>35</v>
      </c>
      <c r="AB668" s="324" t="s">
        <v>645</v>
      </c>
      <c r="AC668" s="324" t="s">
        <v>55</v>
      </c>
      <c r="AD668" s="324" t="s">
        <v>55</v>
      </c>
      <c r="AE668" s="324">
        <v>0</v>
      </c>
      <c r="AF668" s="324" t="s">
        <v>592</v>
      </c>
      <c r="AG668" s="324">
        <v>107500</v>
      </c>
      <c r="AH668" s="324">
        <v>107500</v>
      </c>
      <c r="AI668" s="324" t="s">
        <v>55</v>
      </c>
      <c r="AJ668" s="324">
        <v>107500</v>
      </c>
      <c r="AK668" s="324" t="s">
        <v>55</v>
      </c>
      <c r="AL668" s="324" t="s">
        <v>55</v>
      </c>
      <c r="AM668" s="324" t="s">
        <v>55</v>
      </c>
    </row>
    <row r="669" spans="1:39" s="324" customFormat="1" ht="0.65" hidden="1" customHeight="1">
      <c r="A669" s="324">
        <v>2209</v>
      </c>
      <c r="AA669" s="324">
        <v>36</v>
      </c>
      <c r="AB669" s="324" t="s">
        <v>645</v>
      </c>
      <c r="AC669" s="324" t="s">
        <v>55</v>
      </c>
      <c r="AD669" s="324" t="s">
        <v>55</v>
      </c>
      <c r="AE669" s="324">
        <v>0</v>
      </c>
      <c r="AF669" s="324" t="s">
        <v>595</v>
      </c>
      <c r="AG669" s="324">
        <v>97500</v>
      </c>
      <c r="AH669" s="324">
        <v>97500</v>
      </c>
      <c r="AI669" s="324" t="s">
        <v>55</v>
      </c>
      <c r="AJ669" s="324">
        <v>97500</v>
      </c>
      <c r="AK669" s="324" t="s">
        <v>55</v>
      </c>
      <c r="AL669" s="324" t="s">
        <v>55</v>
      </c>
      <c r="AM669" s="324" t="s">
        <v>55</v>
      </c>
    </row>
    <row r="670" spans="1:39" s="324" customFormat="1" ht="0.65" hidden="1" customHeight="1">
      <c r="A670" s="324">
        <v>2210</v>
      </c>
      <c r="AA670" s="324">
        <v>37</v>
      </c>
      <c r="AB670" s="324" t="s">
        <v>645</v>
      </c>
      <c r="AC670" s="324" t="s">
        <v>55</v>
      </c>
      <c r="AD670" s="324" t="s">
        <v>55</v>
      </c>
      <c r="AE670" s="324">
        <v>0</v>
      </c>
      <c r="AF670" s="324" t="s">
        <v>598</v>
      </c>
      <c r="AG670" s="324">
        <v>97500</v>
      </c>
      <c r="AH670" s="324">
        <v>97500</v>
      </c>
      <c r="AI670" s="324" t="s">
        <v>55</v>
      </c>
      <c r="AJ670" s="324">
        <v>97500</v>
      </c>
      <c r="AK670" s="324" t="s">
        <v>55</v>
      </c>
      <c r="AL670" s="324" t="s">
        <v>55</v>
      </c>
      <c r="AM670" s="324" t="s">
        <v>55</v>
      </c>
    </row>
    <row r="671" spans="1:39" s="324" customFormat="1" ht="0.65" hidden="1" customHeight="1">
      <c r="A671" s="324">
        <v>2211</v>
      </c>
      <c r="AA671" s="324">
        <v>38</v>
      </c>
      <c r="AB671" s="324" t="s">
        <v>645</v>
      </c>
      <c r="AC671" s="324" t="s">
        <v>55</v>
      </c>
      <c r="AD671" s="324" t="s">
        <v>55</v>
      </c>
      <c r="AE671" s="324">
        <v>0</v>
      </c>
      <c r="AF671" s="324" t="s">
        <v>491</v>
      </c>
      <c r="AG671" s="324">
        <v>388125</v>
      </c>
      <c r="AH671" s="324">
        <v>388125</v>
      </c>
      <c r="AI671" s="324" t="s">
        <v>55</v>
      </c>
      <c r="AJ671" s="324">
        <v>388125</v>
      </c>
      <c r="AK671" s="324" t="s">
        <v>55</v>
      </c>
      <c r="AL671" s="324" t="s">
        <v>55</v>
      </c>
      <c r="AM671" s="324" t="s">
        <v>55</v>
      </c>
    </row>
    <row r="672" spans="1:39" s="324" customFormat="1" ht="0.65" hidden="1" customHeight="1">
      <c r="A672" s="324">
        <v>2212</v>
      </c>
      <c r="AA672" s="324">
        <v>39</v>
      </c>
      <c r="AB672" s="324" t="s">
        <v>645</v>
      </c>
      <c r="AC672" s="324" t="s">
        <v>55</v>
      </c>
      <c r="AD672" s="324" t="s">
        <v>55</v>
      </c>
      <c r="AE672" s="324">
        <v>0</v>
      </c>
      <c r="AF672" s="324" t="s">
        <v>493</v>
      </c>
      <c r="AG672" s="324">
        <v>-10000</v>
      </c>
      <c r="AH672" s="324">
        <v>-10000</v>
      </c>
      <c r="AI672" s="324" t="s">
        <v>55</v>
      </c>
      <c r="AJ672" s="324">
        <v>-10000</v>
      </c>
      <c r="AK672" s="324" t="s">
        <v>55</v>
      </c>
      <c r="AL672" s="324" t="s">
        <v>55</v>
      </c>
      <c r="AM672" s="324" t="s">
        <v>55</v>
      </c>
    </row>
    <row r="673" spans="1:39" s="324" customFormat="1" ht="0.65" hidden="1" customHeight="1">
      <c r="A673" s="324">
        <v>2213</v>
      </c>
      <c r="AA673" s="324">
        <v>40</v>
      </c>
      <c r="AB673" s="324" t="s">
        <v>645</v>
      </c>
      <c r="AC673" s="324" t="s">
        <v>55</v>
      </c>
      <c r="AD673" s="324" t="s">
        <v>55</v>
      </c>
      <c r="AE673" s="324">
        <v>0</v>
      </c>
      <c r="AF673" s="324" t="s">
        <v>494</v>
      </c>
      <c r="AG673" s="324">
        <v>378125</v>
      </c>
      <c r="AH673" s="324">
        <v>378125</v>
      </c>
      <c r="AI673" s="324" t="s">
        <v>55</v>
      </c>
      <c r="AJ673" s="324">
        <v>378125</v>
      </c>
      <c r="AK673" s="324" t="s">
        <v>55</v>
      </c>
      <c r="AL673" s="324" t="s">
        <v>55</v>
      </c>
      <c r="AM673" s="324" t="s">
        <v>55</v>
      </c>
    </row>
    <row r="674" spans="1:39" s="324" customFormat="1" ht="0.65" hidden="1" customHeight="1">
      <c r="A674" s="324">
        <v>2214</v>
      </c>
      <c r="AA674" s="324">
        <v>41</v>
      </c>
      <c r="AB674" s="324" t="s">
        <v>645</v>
      </c>
      <c r="AC674" s="324" t="s">
        <v>55</v>
      </c>
      <c r="AD674" s="324" t="s">
        <v>55</v>
      </c>
      <c r="AE674" s="324">
        <v>0</v>
      </c>
      <c r="AF674" s="324" t="s">
        <v>607</v>
      </c>
      <c r="AG674" s="324">
        <v>-543750</v>
      </c>
      <c r="AH674" s="324">
        <v>-543750</v>
      </c>
      <c r="AI674" s="324" t="s">
        <v>55</v>
      </c>
      <c r="AJ674" s="324">
        <v>-543750</v>
      </c>
      <c r="AK674" s="324" t="s">
        <v>55</v>
      </c>
      <c r="AL674" s="324" t="s">
        <v>55</v>
      </c>
      <c r="AM674" s="324" t="s">
        <v>55</v>
      </c>
    </row>
    <row r="675" spans="1:39" s="324" customFormat="1" ht="0.65" hidden="1" customHeight="1">
      <c r="A675" s="324">
        <v>2215</v>
      </c>
      <c r="AA675" s="324">
        <v>42</v>
      </c>
      <c r="AB675" s="324" t="s">
        <v>645</v>
      </c>
      <c r="AC675" s="324" t="s">
        <v>55</v>
      </c>
      <c r="AD675" s="324" t="s">
        <v>55</v>
      </c>
      <c r="AE675" s="324">
        <v>0</v>
      </c>
      <c r="AF675" s="324" t="s">
        <v>610</v>
      </c>
      <c r="AG675" s="324">
        <v>107500</v>
      </c>
      <c r="AH675" s="324">
        <v>107500</v>
      </c>
      <c r="AI675" s="324" t="s">
        <v>55</v>
      </c>
      <c r="AJ675" s="324">
        <v>107500</v>
      </c>
      <c r="AK675" s="324" t="s">
        <v>55</v>
      </c>
      <c r="AL675" s="324" t="s">
        <v>55</v>
      </c>
      <c r="AM675" s="324" t="s">
        <v>55</v>
      </c>
    </row>
    <row r="676" spans="1:39" s="324" customFormat="1" ht="0.65" hidden="1" customHeight="1">
      <c r="A676" s="324">
        <v>2216</v>
      </c>
      <c r="AA676" s="324">
        <v>43</v>
      </c>
      <c r="AB676" s="324" t="s">
        <v>645</v>
      </c>
      <c r="AC676" s="324" t="s">
        <v>55</v>
      </c>
      <c r="AD676" s="324" t="s">
        <v>55</v>
      </c>
      <c r="AE676" s="324">
        <v>0</v>
      </c>
      <c r="AF676" s="324" t="s">
        <v>611</v>
      </c>
      <c r="AG676" s="324">
        <v>97500</v>
      </c>
      <c r="AH676" s="324">
        <v>97500</v>
      </c>
      <c r="AI676" s="324" t="s">
        <v>55</v>
      </c>
      <c r="AJ676" s="324">
        <v>97500</v>
      </c>
      <c r="AK676" s="324" t="s">
        <v>55</v>
      </c>
      <c r="AL676" s="324" t="s">
        <v>55</v>
      </c>
      <c r="AM676" s="324" t="s">
        <v>55</v>
      </c>
    </row>
    <row r="677" spans="1:39" s="324" customFormat="1" ht="0.65" hidden="1" customHeight="1">
      <c r="A677" s="324">
        <v>2217</v>
      </c>
      <c r="AA677" s="324">
        <v>44</v>
      </c>
      <c r="AB677" s="324" t="s">
        <v>645</v>
      </c>
      <c r="AC677" s="324" t="s">
        <v>55</v>
      </c>
      <c r="AD677" s="324" t="s">
        <v>55</v>
      </c>
      <c r="AE677" s="324">
        <v>0</v>
      </c>
      <c r="AF677" s="324" t="s">
        <v>612</v>
      </c>
      <c r="AG677" s="324">
        <v>475625</v>
      </c>
      <c r="AH677" s="324">
        <v>475625</v>
      </c>
      <c r="AI677" s="324" t="s">
        <v>55</v>
      </c>
      <c r="AJ677" s="324">
        <v>475625</v>
      </c>
      <c r="AK677" s="324" t="s">
        <v>55</v>
      </c>
      <c r="AL677" s="324" t="s">
        <v>55</v>
      </c>
      <c r="AM677" s="324" t="s">
        <v>55</v>
      </c>
    </row>
    <row r="678" spans="1:39" s="324" customFormat="1" ht="0.65" hidden="1" customHeight="1">
      <c r="A678" s="324">
        <v>2218</v>
      </c>
      <c r="AA678" s="324">
        <v>45</v>
      </c>
      <c r="AB678" s="324" t="s">
        <v>645</v>
      </c>
      <c r="AC678" s="324" t="s">
        <v>55</v>
      </c>
      <c r="AD678" s="324" t="s">
        <v>55</v>
      </c>
      <c r="AE678" s="324">
        <v>0</v>
      </c>
      <c r="AF678" s="324" t="s">
        <v>124</v>
      </c>
      <c r="AG678" s="324">
        <v>4.4999999999999998E-2</v>
      </c>
      <c r="AH678" s="324">
        <v>4.4999999999999998E-2</v>
      </c>
      <c r="AI678" s="324" t="s">
        <v>55</v>
      </c>
      <c r="AJ678" s="324">
        <v>4.4999999999999998E-2</v>
      </c>
      <c r="AK678" s="324" t="s">
        <v>55</v>
      </c>
      <c r="AL678" s="324" t="s">
        <v>55</v>
      </c>
      <c r="AM678" s="324" t="s">
        <v>55</v>
      </c>
    </row>
    <row r="679" spans="1:39" s="324" customFormat="1" ht="0.65" hidden="1" customHeight="1">
      <c r="A679" s="324">
        <v>2219</v>
      </c>
      <c r="AA679" s="324">
        <v>46</v>
      </c>
      <c r="AB679" s="324" t="s">
        <v>645</v>
      </c>
      <c r="AC679" s="324" t="s">
        <v>55</v>
      </c>
      <c r="AD679" s="324" t="s">
        <v>55</v>
      </c>
      <c r="AE679" s="324">
        <v>0</v>
      </c>
      <c r="AF679" s="324" t="s">
        <v>125</v>
      </c>
      <c r="AG679" s="324">
        <v>0.08</v>
      </c>
      <c r="AH679" s="324">
        <v>0.08</v>
      </c>
      <c r="AI679" s="324" t="s">
        <v>55</v>
      </c>
      <c r="AJ679" s="324">
        <v>0.08</v>
      </c>
      <c r="AK679" s="324" t="s">
        <v>55</v>
      </c>
      <c r="AL679" s="324" t="s">
        <v>55</v>
      </c>
      <c r="AM679" s="324" t="s">
        <v>55</v>
      </c>
    </row>
    <row r="680" spans="1:39" s="324" customFormat="1" ht="0.65" hidden="1" customHeight="1">
      <c r="A680" s="324">
        <v>2220</v>
      </c>
      <c r="AA680" s="324">
        <v>47</v>
      </c>
      <c r="AB680" s="324" t="s">
        <v>645</v>
      </c>
      <c r="AC680" s="324" t="s">
        <v>55</v>
      </c>
      <c r="AD680" s="324" t="s">
        <v>55</v>
      </c>
      <c r="AE680" s="324">
        <v>0</v>
      </c>
      <c r="AF680" s="324" t="s">
        <v>126</v>
      </c>
      <c r="AG680" s="324">
        <v>5.3749999999999999E-2</v>
      </c>
      <c r="AH680" s="324">
        <v>5.3750000000000006E-2</v>
      </c>
      <c r="AI680" s="324" t="s">
        <v>55</v>
      </c>
      <c r="AJ680" s="324">
        <v>5.3749999999999999E-2</v>
      </c>
      <c r="AK680" s="324" t="s">
        <v>55</v>
      </c>
      <c r="AL680" s="324" t="s">
        <v>55</v>
      </c>
      <c r="AM680" s="324" t="s">
        <v>55</v>
      </c>
    </row>
    <row r="681" spans="1:39" s="324" customFormat="1" ht="0.65" hidden="1" customHeight="1">
      <c r="A681" s="324">
        <v>2221</v>
      </c>
      <c r="AA681" s="324">
        <v>48</v>
      </c>
      <c r="AB681" s="324" t="s">
        <v>645</v>
      </c>
      <c r="AC681" s="324" t="s">
        <v>55</v>
      </c>
      <c r="AD681" s="324" t="s">
        <v>55</v>
      </c>
      <c r="AE681" s="324">
        <v>0</v>
      </c>
      <c r="AF681" s="324" t="s">
        <v>13</v>
      </c>
      <c r="AG681" s="324">
        <v>52565.582461407641</v>
      </c>
      <c r="AH681" s="324">
        <v>52565.582461407641</v>
      </c>
      <c r="AI681" s="324" t="s">
        <v>55</v>
      </c>
      <c r="AJ681" s="324">
        <v>52565.582461407641</v>
      </c>
      <c r="AK681" s="324" t="s">
        <v>55</v>
      </c>
      <c r="AL681" s="324" t="s">
        <v>55</v>
      </c>
      <c r="AM681" s="324" t="s">
        <v>55</v>
      </c>
    </row>
    <row r="682" spans="1:39" s="324" customFormat="1" ht="0.65" hidden="1" customHeight="1">
      <c r="A682" s="324">
        <v>2222</v>
      </c>
      <c r="AA682" s="324">
        <v>49</v>
      </c>
      <c r="AB682" s="324" t="s">
        <v>645</v>
      </c>
      <c r="AC682" s="324" t="s">
        <v>55</v>
      </c>
      <c r="AD682" s="324" t="s">
        <v>55</v>
      </c>
      <c r="AE682" s="324">
        <v>0</v>
      </c>
      <c r="AF682" s="324" t="s">
        <v>28</v>
      </c>
      <c r="AG682" s="324">
        <v>9.3380333972086005E-2</v>
      </c>
      <c r="AH682" s="324">
        <v>9.3380333972086005E-2</v>
      </c>
      <c r="AI682" s="324" t="s">
        <v>55</v>
      </c>
      <c r="AJ682" s="324">
        <v>9.3380333972086005E-2</v>
      </c>
      <c r="AK682" s="324" t="s">
        <v>55</v>
      </c>
      <c r="AL682" s="324" t="s">
        <v>55</v>
      </c>
      <c r="AM682" s="324" t="s">
        <v>55</v>
      </c>
    </row>
    <row r="683" spans="1:39" s="324" customFormat="1" ht="0.65" hidden="1" customHeight="1">
      <c r="A683" s="324">
        <v>2223</v>
      </c>
      <c r="AH683" s="324" t="s">
        <v>207</v>
      </c>
      <c r="AI683" s="324">
        <v>0</v>
      </c>
      <c r="AJ683" s="324" t="s">
        <v>207</v>
      </c>
      <c r="AK683" s="324">
        <v>0</v>
      </c>
    </row>
    <row r="684" spans="1:39" s="324" customFormat="1" ht="0.65" hidden="1" customHeight="1"/>
    <row r="685" spans="1:39" s="324" customFormat="1" ht="0.65" hidden="1" customHeight="1"/>
    <row r="686" spans="1:39" s="324" customFormat="1" ht="0.65" hidden="1" customHeight="1"/>
    <row r="687" spans="1:39" s="324" customFormat="1" ht="0.65" hidden="1" customHeight="1">
      <c r="B687" s="324" t="s">
        <v>19</v>
      </c>
      <c r="D687" s="324" t="s">
        <v>336</v>
      </c>
      <c r="E687" s="324">
        <v>3</v>
      </c>
    </row>
    <row r="688" spans="1:39" s="324" customFormat="1" ht="0.65" hidden="1" customHeight="1">
      <c r="B688" s="324" t="s">
        <v>3951</v>
      </c>
      <c r="D688" s="324" t="s">
        <v>336</v>
      </c>
      <c r="E688" s="324" t="s">
        <v>486</v>
      </c>
      <c r="H688" s="324" t="s">
        <v>55</v>
      </c>
      <c r="I688" s="324" t="s">
        <v>55</v>
      </c>
      <c r="J688" s="324" t="s">
        <v>55</v>
      </c>
      <c r="K688" s="324" t="s">
        <v>55</v>
      </c>
      <c r="L688" s="324" t="s">
        <v>55</v>
      </c>
      <c r="M688" s="324" t="s">
        <v>55</v>
      </c>
      <c r="N688" s="324" t="s">
        <v>55</v>
      </c>
      <c r="O688" s="324" t="s">
        <v>55</v>
      </c>
      <c r="P688" s="324" t="s">
        <v>55</v>
      </c>
    </row>
    <row r="689" spans="1:33" s="324" customFormat="1" ht="0.65" hidden="1" customHeight="1">
      <c r="A689" s="324">
        <v>3001</v>
      </c>
      <c r="C689" s="324" t="s">
        <v>5</v>
      </c>
      <c r="D689" s="324">
        <v>2022</v>
      </c>
      <c r="G689" s="324" t="s">
        <v>0</v>
      </c>
      <c r="H689" s="324" t="s">
        <v>69</v>
      </c>
      <c r="I689" s="324" t="s">
        <v>70</v>
      </c>
      <c r="J689" s="324" t="s">
        <v>71</v>
      </c>
      <c r="K689" s="324" t="s">
        <v>72</v>
      </c>
      <c r="L689" s="324" t="s">
        <v>73</v>
      </c>
      <c r="M689" s="324" t="s">
        <v>74</v>
      </c>
      <c r="N689" s="324" t="s">
        <v>75</v>
      </c>
      <c r="O689" s="324" t="s">
        <v>80</v>
      </c>
      <c r="P689" s="324" t="s">
        <v>1</v>
      </c>
      <c r="U689" s="324" t="s">
        <v>151</v>
      </c>
      <c r="AD689" s="324" t="s">
        <v>455</v>
      </c>
    </row>
    <row r="690" spans="1:33" s="324" customFormat="1" ht="0.65" hidden="1" customHeight="1">
      <c r="A690" s="324">
        <v>3002</v>
      </c>
      <c r="G690" s="324">
        <v>2022</v>
      </c>
      <c r="H690" s="324">
        <v>0</v>
      </c>
      <c r="I690" s="324">
        <v>0</v>
      </c>
      <c r="J690" s="324">
        <v>0</v>
      </c>
      <c r="K690" s="324">
        <v>0</v>
      </c>
      <c r="L690" s="324">
        <v>0</v>
      </c>
      <c r="M690" s="324">
        <v>0</v>
      </c>
      <c r="N690" s="324">
        <v>0</v>
      </c>
      <c r="O690" s="324">
        <v>0</v>
      </c>
      <c r="P690" s="324">
        <v>-175000</v>
      </c>
      <c r="AD690" s="324" t="s">
        <v>487</v>
      </c>
    </row>
    <row r="691" spans="1:33" s="324" customFormat="1" ht="0.65" hidden="1" customHeight="1">
      <c r="A691" s="324">
        <v>3003</v>
      </c>
      <c r="C691" s="324" t="s">
        <v>32</v>
      </c>
      <c r="G691" s="324">
        <v>2023</v>
      </c>
      <c r="H691" s="324">
        <v>720000</v>
      </c>
      <c r="I691" s="324">
        <v>576000</v>
      </c>
      <c r="J691" s="324">
        <v>-16666.666666666672</v>
      </c>
      <c r="K691" s="324">
        <v>160666.66666666669</v>
      </c>
      <c r="L691" s="324">
        <v>40166.666666666672</v>
      </c>
      <c r="M691" s="324">
        <v>120500.00000000001</v>
      </c>
      <c r="N691" s="324">
        <v>103833.33333333334</v>
      </c>
      <c r="O691" s="324">
        <v>31833.333333333343</v>
      </c>
      <c r="P691" s="324">
        <v>31833.333333333343</v>
      </c>
      <c r="U691" s="324" t="s">
        <v>152</v>
      </c>
      <c r="Z691" s="324" t="s">
        <v>176</v>
      </c>
      <c r="AA691" s="324">
        <v>149235.38433886995</v>
      </c>
      <c r="AF691" s="324" t="s">
        <v>247</v>
      </c>
    </row>
    <row r="692" spans="1:33" s="324" customFormat="1" ht="0.65" hidden="1" customHeight="1">
      <c r="A692" s="324">
        <v>3004</v>
      </c>
      <c r="C692" s="324" t="s">
        <v>488</v>
      </c>
      <c r="D692" s="324">
        <v>300000</v>
      </c>
      <c r="E692" s="324" t="s">
        <v>55</v>
      </c>
      <c r="G692" s="324">
        <v>2024</v>
      </c>
      <c r="H692" s="324">
        <v>720000</v>
      </c>
      <c r="I692" s="324">
        <v>576000</v>
      </c>
      <c r="J692" s="324">
        <v>-16666.666666666672</v>
      </c>
      <c r="K692" s="324">
        <v>160666.66666666669</v>
      </c>
      <c r="L692" s="324">
        <v>40166.666666666672</v>
      </c>
      <c r="M692" s="324">
        <v>120500.00000000001</v>
      </c>
      <c r="N692" s="324">
        <v>103833.33333333334</v>
      </c>
      <c r="O692" s="324">
        <v>103833.33333333334</v>
      </c>
      <c r="P692" s="324">
        <v>103833.33333333334</v>
      </c>
      <c r="Y692" s="324" t="s">
        <v>139</v>
      </c>
      <c r="Z692" s="324" t="s">
        <v>174</v>
      </c>
      <c r="AF692" s="324" t="s">
        <v>248</v>
      </c>
    </row>
    <row r="693" spans="1:33" s="324" customFormat="1" ht="0.65" hidden="1" customHeight="1">
      <c r="A693" s="324">
        <v>3005</v>
      </c>
      <c r="C693" s="324" t="s">
        <v>6</v>
      </c>
      <c r="D693" s="324">
        <v>6</v>
      </c>
      <c r="G693" s="324">
        <v>2025</v>
      </c>
      <c r="H693" s="324">
        <v>720000</v>
      </c>
      <c r="I693" s="324">
        <v>576000</v>
      </c>
      <c r="J693" s="324">
        <v>-16666.666666666672</v>
      </c>
      <c r="K693" s="324">
        <v>160666.66666666669</v>
      </c>
      <c r="L693" s="324">
        <v>40166.666666666672</v>
      </c>
      <c r="M693" s="324">
        <v>120500.00000000001</v>
      </c>
      <c r="N693" s="324">
        <v>103833.33333333334</v>
      </c>
      <c r="O693" s="324">
        <v>103833.33333333334</v>
      </c>
      <c r="P693" s="324">
        <v>250833.33333333334</v>
      </c>
      <c r="T693" s="324" t="s">
        <v>187</v>
      </c>
      <c r="V693" s="324" t="s">
        <v>180</v>
      </c>
      <c r="X693" s="324" t="s">
        <v>177</v>
      </c>
      <c r="Y693" s="324" t="s">
        <v>173</v>
      </c>
      <c r="Z693" s="324" t="s">
        <v>175</v>
      </c>
      <c r="AA693" s="324" t="s">
        <v>172</v>
      </c>
      <c r="AD693" s="324" t="s">
        <v>177</v>
      </c>
      <c r="AE693" s="324" t="s">
        <v>246</v>
      </c>
      <c r="AF693" s="324" t="s">
        <v>249</v>
      </c>
      <c r="AG693" s="324" t="s">
        <v>462</v>
      </c>
    </row>
    <row r="694" spans="1:33" s="324" customFormat="1" ht="0.65" hidden="1" customHeight="1">
      <c r="A694" s="324">
        <v>3006</v>
      </c>
      <c r="C694" s="324" t="s">
        <v>489</v>
      </c>
      <c r="D694" s="324">
        <v>100000</v>
      </c>
      <c r="H694" s="324" t="s">
        <v>55</v>
      </c>
      <c r="I694" s="324" t="s">
        <v>55</v>
      </c>
      <c r="J694" s="324" t="s">
        <v>55</v>
      </c>
      <c r="K694" s="324" t="s">
        <v>55</v>
      </c>
      <c r="T694" s="324">
        <v>1</v>
      </c>
      <c r="U694" s="324" t="s">
        <v>153</v>
      </c>
      <c r="V694" s="324" t="s">
        <v>178</v>
      </c>
      <c r="W694" s="324" t="s">
        <v>55</v>
      </c>
      <c r="X694" s="324" t="s">
        <v>6</v>
      </c>
      <c r="Y694" s="324">
        <v>6</v>
      </c>
      <c r="Z694" s="324">
        <v>9</v>
      </c>
      <c r="AA694" s="324">
        <v>148493.70481090917</v>
      </c>
      <c r="AB694" s="324" t="s">
        <v>55</v>
      </c>
      <c r="AC694" s="324">
        <v>1</v>
      </c>
      <c r="AD694" s="324" t="s">
        <v>55</v>
      </c>
      <c r="AE694" s="324" t="s">
        <v>55</v>
      </c>
      <c r="AF694" s="324" t="s">
        <v>55</v>
      </c>
      <c r="AG694" s="324" t="s">
        <v>55</v>
      </c>
    </row>
    <row r="695" spans="1:33" s="324" customFormat="1" ht="0.65" hidden="1" customHeight="1">
      <c r="A695" s="324">
        <v>3007</v>
      </c>
      <c r="G695" s="324" t="s">
        <v>0</v>
      </c>
      <c r="H695" s="324" t="s">
        <v>76</v>
      </c>
      <c r="I695" s="324" t="s">
        <v>77</v>
      </c>
      <c r="J695" s="324" t="s">
        <v>78</v>
      </c>
      <c r="K695" s="324" t="s">
        <v>79</v>
      </c>
      <c r="N695" s="324" t="s">
        <v>55</v>
      </c>
      <c r="P695" s="324" t="s">
        <v>55</v>
      </c>
      <c r="T695" s="324">
        <v>2</v>
      </c>
      <c r="U695" s="324" t="s">
        <v>154</v>
      </c>
      <c r="V695" s="324" t="s">
        <v>178</v>
      </c>
      <c r="W695" s="324" t="s">
        <v>55</v>
      </c>
      <c r="X695" s="324" t="s">
        <v>488</v>
      </c>
      <c r="Y695" s="324">
        <v>300000</v>
      </c>
      <c r="Z695" s="324">
        <v>330000</v>
      </c>
      <c r="AA695" s="324">
        <v>125558.7158805035</v>
      </c>
      <c r="AB695" s="324" t="s">
        <v>55</v>
      </c>
    </row>
    <row r="696" spans="1:33" s="324" customFormat="1" ht="0.65" hidden="1" customHeight="1">
      <c r="A696" s="324">
        <v>3008</v>
      </c>
      <c r="C696" s="324" t="s">
        <v>34</v>
      </c>
      <c r="D696" s="324">
        <v>720000</v>
      </c>
      <c r="G696" s="324">
        <v>2022</v>
      </c>
      <c r="H696" s="324">
        <v>0</v>
      </c>
      <c r="I696" s="324">
        <v>0</v>
      </c>
      <c r="J696" s="324">
        <v>0</v>
      </c>
      <c r="K696" s="324">
        <v>0</v>
      </c>
      <c r="M696" s="324" t="s">
        <v>490</v>
      </c>
      <c r="N696" s="324">
        <v>175000</v>
      </c>
      <c r="O696" s="324" t="s">
        <v>124</v>
      </c>
      <c r="P696" s="324">
        <v>4.4999999999999998E-2</v>
      </c>
      <c r="T696" s="324">
        <v>3</v>
      </c>
      <c r="U696" s="324" t="s">
        <v>155</v>
      </c>
      <c r="V696" s="324" t="s">
        <v>178</v>
      </c>
      <c r="W696" s="324" t="s">
        <v>55</v>
      </c>
      <c r="X696" s="324" t="s">
        <v>489</v>
      </c>
      <c r="Y696" s="324">
        <v>100000</v>
      </c>
      <c r="Z696" s="324">
        <v>90000</v>
      </c>
      <c r="AA696" s="324">
        <v>143134.55665562462</v>
      </c>
      <c r="AB696" s="324" t="s">
        <v>55</v>
      </c>
      <c r="AC696" s="324">
        <v>2</v>
      </c>
      <c r="AD696" s="324" t="s">
        <v>55</v>
      </c>
      <c r="AE696" s="324" t="s">
        <v>55</v>
      </c>
      <c r="AF696" s="324" t="s">
        <v>55</v>
      </c>
      <c r="AG696" s="324" t="s">
        <v>55</v>
      </c>
    </row>
    <row r="697" spans="1:33" s="324" customFormat="1" ht="0.65" hidden="1" customHeight="1">
      <c r="A697" s="324">
        <v>3009</v>
      </c>
      <c r="C697" s="324" t="s">
        <v>35</v>
      </c>
      <c r="D697" s="324">
        <v>576000</v>
      </c>
      <c r="G697" s="324">
        <v>2023</v>
      </c>
      <c r="H697" s="324">
        <v>120000</v>
      </c>
      <c r="I697" s="324">
        <v>48000</v>
      </c>
      <c r="J697" s="324">
        <v>72000</v>
      </c>
      <c r="K697" s="324">
        <v>72000</v>
      </c>
      <c r="M697" s="324" t="s">
        <v>491</v>
      </c>
      <c r="N697" s="324">
        <v>75000</v>
      </c>
      <c r="O697" s="324" t="s">
        <v>125</v>
      </c>
      <c r="P697" s="324">
        <v>0.08</v>
      </c>
      <c r="T697" s="324">
        <v>4</v>
      </c>
      <c r="U697" s="324" t="s">
        <v>156</v>
      </c>
      <c r="V697" s="324" t="s">
        <v>179</v>
      </c>
      <c r="W697" s="324" t="s">
        <v>55</v>
      </c>
      <c r="X697" s="324" t="s">
        <v>492</v>
      </c>
      <c r="Y697" s="324">
        <v>100000</v>
      </c>
      <c r="Z697" s="324">
        <v>110000.00000000001</v>
      </c>
      <c r="AA697" s="324">
        <v>156735.38433886995</v>
      </c>
      <c r="AB697" s="324" t="s">
        <v>55</v>
      </c>
    </row>
    <row r="698" spans="1:33" s="324" customFormat="1" ht="0.65" hidden="1" customHeight="1">
      <c r="A698" s="324">
        <v>3010</v>
      </c>
      <c r="G698" s="324">
        <v>2024</v>
      </c>
      <c r="H698" s="324">
        <v>120000</v>
      </c>
      <c r="I698" s="324">
        <v>48000</v>
      </c>
      <c r="J698" s="324">
        <v>72000</v>
      </c>
      <c r="K698" s="324">
        <v>0</v>
      </c>
      <c r="M698" s="324" t="s">
        <v>493</v>
      </c>
      <c r="N698" s="324">
        <v>72000</v>
      </c>
      <c r="O698" s="324" t="s">
        <v>126</v>
      </c>
      <c r="P698" s="324">
        <v>7.1249999999999994E-2</v>
      </c>
      <c r="T698" s="324">
        <v>5</v>
      </c>
      <c r="U698" s="324" t="s">
        <v>157</v>
      </c>
      <c r="V698" s="324" t="s">
        <v>178</v>
      </c>
      <c r="W698" s="324" t="s">
        <v>55</v>
      </c>
      <c r="X698" s="324" t="s">
        <v>6</v>
      </c>
      <c r="Y698" s="324">
        <v>3</v>
      </c>
      <c r="Z698" s="324">
        <v>2</v>
      </c>
      <c r="AA698" s="324">
        <v>147752.02528294837</v>
      </c>
      <c r="AB698" s="324" t="s">
        <v>55</v>
      </c>
      <c r="AC698" s="324">
        <v>3</v>
      </c>
      <c r="AD698" s="324" t="s">
        <v>55</v>
      </c>
      <c r="AE698" s="324" t="s">
        <v>55</v>
      </c>
      <c r="AF698" s="324" t="s">
        <v>55</v>
      </c>
      <c r="AG698" s="324" t="s">
        <v>55</v>
      </c>
    </row>
    <row r="699" spans="1:33" s="324" customFormat="1" ht="0.65" hidden="1" customHeight="1">
      <c r="A699" s="324">
        <v>3011</v>
      </c>
      <c r="C699" s="324" t="s">
        <v>7</v>
      </c>
      <c r="D699" s="324">
        <v>60</v>
      </c>
      <c r="G699" s="324">
        <v>2025</v>
      </c>
      <c r="H699" s="324">
        <v>120000</v>
      </c>
      <c r="I699" s="324">
        <v>48000</v>
      </c>
      <c r="J699" s="324">
        <v>72000</v>
      </c>
      <c r="K699" s="324">
        <v>0</v>
      </c>
      <c r="M699" s="324" t="s">
        <v>494</v>
      </c>
      <c r="N699" s="324">
        <v>147000</v>
      </c>
      <c r="T699" s="324">
        <v>6</v>
      </c>
      <c r="U699" s="324" t="s">
        <v>158</v>
      </c>
      <c r="V699" s="324" t="s">
        <v>179</v>
      </c>
      <c r="W699" s="324" t="s">
        <v>55</v>
      </c>
      <c r="X699" s="324" t="s">
        <v>495</v>
      </c>
      <c r="Y699" s="324">
        <v>200000</v>
      </c>
      <c r="Z699" s="324">
        <v>220000.00000000003</v>
      </c>
      <c r="AA699" s="324">
        <v>149871.49407218874</v>
      </c>
      <c r="AB699" s="324" t="s">
        <v>55</v>
      </c>
    </row>
    <row r="700" spans="1:33" s="324" customFormat="1" ht="0.65" hidden="1" customHeight="1">
      <c r="A700" s="324">
        <v>3012</v>
      </c>
      <c r="C700" s="324" t="s">
        <v>8</v>
      </c>
      <c r="D700" s="324">
        <v>30</v>
      </c>
      <c r="T700" s="324">
        <v>7</v>
      </c>
      <c r="U700" s="324" t="s">
        <v>159</v>
      </c>
      <c r="V700" s="324" t="s">
        <v>178</v>
      </c>
      <c r="W700" s="324" t="s">
        <v>55</v>
      </c>
      <c r="X700" s="324" t="s">
        <v>492</v>
      </c>
      <c r="Y700" s="324">
        <v>100000</v>
      </c>
      <c r="Z700" s="324">
        <v>90000</v>
      </c>
      <c r="AA700" s="324">
        <v>141735.38433886995</v>
      </c>
      <c r="AB700" s="324" t="s">
        <v>55</v>
      </c>
      <c r="AC700" s="324">
        <v>4</v>
      </c>
      <c r="AD700" s="324" t="s">
        <v>55</v>
      </c>
      <c r="AE700" s="324" t="s">
        <v>55</v>
      </c>
      <c r="AF700" s="324" t="s">
        <v>55</v>
      </c>
      <c r="AG700" s="324" t="s">
        <v>55</v>
      </c>
    </row>
    <row r="701" spans="1:33" s="324" customFormat="1" ht="0.65" hidden="1" customHeight="1">
      <c r="A701" s="324">
        <v>3013</v>
      </c>
      <c r="O701" s="324" t="s">
        <v>13</v>
      </c>
      <c r="P701" s="324">
        <v>149235.38433886995</v>
      </c>
      <c r="T701" s="324">
        <v>8</v>
      </c>
      <c r="U701" s="324" t="s">
        <v>160</v>
      </c>
      <c r="V701" s="324" t="s">
        <v>178</v>
      </c>
      <c r="W701" s="324" t="s">
        <v>55</v>
      </c>
      <c r="X701" s="324" t="s">
        <v>489</v>
      </c>
      <c r="Y701" s="324">
        <v>50000</v>
      </c>
      <c r="Z701" s="324">
        <v>55000.000000000007</v>
      </c>
      <c r="AA701" s="324">
        <v>146184.97049724727</v>
      </c>
      <c r="AB701" s="324" t="s">
        <v>55</v>
      </c>
    </row>
    <row r="702" spans="1:33" s="324" customFormat="1" ht="0.65" hidden="1" customHeight="1">
      <c r="A702" s="324">
        <v>3014</v>
      </c>
      <c r="C702" s="324" t="s">
        <v>33</v>
      </c>
      <c r="O702" s="324" t="s">
        <v>28</v>
      </c>
      <c r="P702" s="324">
        <v>0.37357216681627725</v>
      </c>
      <c r="T702" s="324">
        <v>9</v>
      </c>
      <c r="U702" s="324" t="s">
        <v>161</v>
      </c>
      <c r="V702" s="324" t="s">
        <v>179</v>
      </c>
      <c r="W702" s="324" t="s">
        <v>55</v>
      </c>
      <c r="X702" s="324" t="s">
        <v>34</v>
      </c>
      <c r="Y702" s="324">
        <v>720000</v>
      </c>
      <c r="Z702" s="324">
        <v>792000.00000000012</v>
      </c>
      <c r="AA702" s="324">
        <v>289184.88629470411</v>
      </c>
      <c r="AB702" s="324" t="s">
        <v>55</v>
      </c>
      <c r="AC702" s="324">
        <v>5</v>
      </c>
      <c r="AD702" s="324" t="s">
        <v>55</v>
      </c>
      <c r="AE702" s="324" t="s">
        <v>55</v>
      </c>
      <c r="AF702" s="324" t="s">
        <v>55</v>
      </c>
      <c r="AG702" s="324" t="s">
        <v>55</v>
      </c>
    </row>
    <row r="703" spans="1:33" s="324" customFormat="1" ht="0.65" hidden="1" customHeight="1">
      <c r="A703" s="324">
        <v>3015</v>
      </c>
      <c r="C703" s="324" t="s">
        <v>492</v>
      </c>
      <c r="D703" s="324">
        <v>100000</v>
      </c>
      <c r="K703" s="324" t="s">
        <v>127</v>
      </c>
      <c r="L703" s="324" t="s">
        <v>36</v>
      </c>
      <c r="M703" s="324" t="s">
        <v>55</v>
      </c>
      <c r="T703" s="324">
        <v>10</v>
      </c>
      <c r="U703" s="324" t="s">
        <v>162</v>
      </c>
      <c r="V703" s="324" t="s">
        <v>178</v>
      </c>
      <c r="W703" s="324" t="s">
        <v>55</v>
      </c>
      <c r="X703" s="324" t="s">
        <v>7</v>
      </c>
      <c r="Y703" s="324">
        <v>60</v>
      </c>
      <c r="Z703" s="324">
        <v>90</v>
      </c>
      <c r="AA703" s="324">
        <v>142032.67091568446</v>
      </c>
      <c r="AB703" s="324" t="s">
        <v>55</v>
      </c>
    </row>
    <row r="704" spans="1:33" s="324" customFormat="1" ht="0.65" hidden="1" customHeight="1">
      <c r="A704" s="324">
        <v>3016</v>
      </c>
      <c r="C704" s="324" t="s">
        <v>495</v>
      </c>
      <c r="D704" s="324">
        <v>200000</v>
      </c>
      <c r="E704" s="324" t="s">
        <v>55</v>
      </c>
      <c r="K704" s="324" t="s">
        <v>496</v>
      </c>
      <c r="L704" s="324" t="s">
        <v>424</v>
      </c>
      <c r="T704" s="324">
        <v>11</v>
      </c>
      <c r="U704" s="324" t="s">
        <v>163</v>
      </c>
      <c r="V704" s="324" t="s">
        <v>179</v>
      </c>
      <c r="W704" s="324" t="s">
        <v>55</v>
      </c>
      <c r="X704" s="324" t="s">
        <v>35</v>
      </c>
      <c r="Y704" s="324">
        <v>576000</v>
      </c>
      <c r="Z704" s="324">
        <v>518400</v>
      </c>
      <c r="AA704" s="324">
        <v>261771.20297739198</v>
      </c>
      <c r="AB704" s="324" t="s">
        <v>55</v>
      </c>
      <c r="AC704" s="324">
        <v>6</v>
      </c>
      <c r="AD704" s="324" t="s">
        <v>55</v>
      </c>
      <c r="AE704" s="324" t="s">
        <v>55</v>
      </c>
      <c r="AF704" s="324" t="s">
        <v>55</v>
      </c>
      <c r="AG704" s="324" t="s">
        <v>55</v>
      </c>
    </row>
    <row r="705" spans="1:33" s="324" customFormat="1" ht="0.65" hidden="1" customHeight="1">
      <c r="A705" s="324">
        <v>3017</v>
      </c>
      <c r="C705" s="324" t="s">
        <v>6</v>
      </c>
      <c r="D705" s="324">
        <v>3</v>
      </c>
      <c r="K705" s="324" t="s">
        <v>410</v>
      </c>
      <c r="L705" s="324">
        <v>0</v>
      </c>
      <c r="M705" s="324" t="s">
        <v>337</v>
      </c>
      <c r="T705" s="324">
        <v>12</v>
      </c>
      <c r="U705" s="324" t="s">
        <v>164</v>
      </c>
      <c r="V705" s="324" t="s">
        <v>178</v>
      </c>
      <c r="W705" s="324" t="s">
        <v>55</v>
      </c>
      <c r="X705" s="324" t="s">
        <v>8</v>
      </c>
      <c r="Y705" s="324">
        <v>30</v>
      </c>
      <c r="Z705" s="324">
        <v>0</v>
      </c>
      <c r="AA705" s="324">
        <v>143473.21360032156</v>
      </c>
      <c r="AB705" s="324" t="s">
        <v>55</v>
      </c>
    </row>
    <row r="706" spans="1:33" s="324" customFormat="1" ht="0.65" hidden="1" customHeight="1">
      <c r="A706" s="324">
        <v>3018</v>
      </c>
      <c r="C706" s="324" t="s">
        <v>489</v>
      </c>
      <c r="D706" s="324">
        <v>50000</v>
      </c>
      <c r="N706" s="324" t="s">
        <v>55</v>
      </c>
      <c r="T706" s="324">
        <v>13</v>
      </c>
      <c r="U706" s="324" t="s">
        <v>165</v>
      </c>
      <c r="V706" s="324" t="s">
        <v>178</v>
      </c>
      <c r="W706" s="324" t="s">
        <v>55</v>
      </c>
      <c r="X706" s="324" t="s">
        <v>10</v>
      </c>
      <c r="Y706" s="324">
        <v>180000</v>
      </c>
      <c r="Z706" s="324">
        <v>198000.00000000003</v>
      </c>
      <c r="AA706" s="324">
        <v>148372.98664488961</v>
      </c>
      <c r="AB706" s="324" t="s">
        <v>55</v>
      </c>
      <c r="AC706" s="324">
        <v>7</v>
      </c>
      <c r="AD706" s="324" t="s">
        <v>55</v>
      </c>
      <c r="AE706" s="324" t="s">
        <v>55</v>
      </c>
      <c r="AF706" s="324" t="s">
        <v>55</v>
      </c>
      <c r="AG706" s="324" t="s">
        <v>55</v>
      </c>
    </row>
    <row r="707" spans="1:33" s="324" customFormat="1" ht="0.65" hidden="1" customHeight="1">
      <c r="A707" s="324">
        <v>3019</v>
      </c>
      <c r="K707" s="324" t="s">
        <v>413</v>
      </c>
      <c r="L707" s="324">
        <v>33</v>
      </c>
      <c r="M707" s="324" t="s">
        <v>55</v>
      </c>
      <c r="T707" s="324">
        <v>14</v>
      </c>
      <c r="U707" s="324" t="s">
        <v>166</v>
      </c>
      <c r="V707" s="324" t="s">
        <v>179</v>
      </c>
      <c r="W707" s="324" t="s">
        <v>55</v>
      </c>
      <c r="X707" s="324" t="s">
        <v>12</v>
      </c>
      <c r="Y707" s="324">
        <v>0.03</v>
      </c>
      <c r="Z707" s="324">
        <v>1.9999999999999997E-2</v>
      </c>
      <c r="AA707" s="324">
        <v>155071.51115351083</v>
      </c>
      <c r="AB707" s="324" t="s">
        <v>55</v>
      </c>
    </row>
    <row r="708" spans="1:33" s="324" customFormat="1" ht="0.65" hidden="1" customHeight="1">
      <c r="A708" s="324">
        <v>3020</v>
      </c>
      <c r="C708" s="324" t="s">
        <v>4</v>
      </c>
      <c r="D708" s="324">
        <v>0.25</v>
      </c>
      <c r="K708" s="324" t="s">
        <v>479</v>
      </c>
      <c r="N708" s="324" t="s">
        <v>466</v>
      </c>
      <c r="T708" s="324">
        <v>15</v>
      </c>
      <c r="U708" s="324" t="s">
        <v>167</v>
      </c>
      <c r="V708" s="324" t="s">
        <v>178</v>
      </c>
      <c r="W708" s="324" t="s">
        <v>55</v>
      </c>
      <c r="X708" s="324" t="s">
        <v>11</v>
      </c>
      <c r="Y708" s="324">
        <v>450000</v>
      </c>
      <c r="Z708" s="324">
        <v>495000.00000000006</v>
      </c>
      <c r="AA708" s="324">
        <v>146373.71552190377</v>
      </c>
      <c r="AB708" s="324" t="s">
        <v>55</v>
      </c>
      <c r="AC708" s="324">
        <v>8</v>
      </c>
      <c r="AD708" s="324" t="s">
        <v>55</v>
      </c>
      <c r="AE708" s="324" t="s">
        <v>55</v>
      </c>
      <c r="AF708" s="324" t="s">
        <v>55</v>
      </c>
      <c r="AG708" s="324" t="s">
        <v>55</v>
      </c>
    </row>
    <row r="709" spans="1:33" s="324" customFormat="1" ht="0.65" hidden="1" customHeight="1">
      <c r="A709" s="324">
        <v>3021</v>
      </c>
      <c r="D709" s="324" t="s">
        <v>9</v>
      </c>
      <c r="K709" s="324" t="s">
        <v>409</v>
      </c>
      <c r="L709" s="324" t="s">
        <v>38</v>
      </c>
      <c r="M709" s="324" t="s">
        <v>55</v>
      </c>
      <c r="N709" s="324" t="s">
        <v>467</v>
      </c>
      <c r="O709" s="324" t="s">
        <v>468</v>
      </c>
      <c r="T709" s="324">
        <v>16</v>
      </c>
      <c r="U709" s="324" t="s">
        <v>168</v>
      </c>
      <c r="V709" s="324" t="s">
        <v>181</v>
      </c>
      <c r="W709" s="324" t="s">
        <v>55</v>
      </c>
      <c r="X709" s="324" t="s">
        <v>3</v>
      </c>
      <c r="Y709" s="324">
        <v>9000000</v>
      </c>
      <c r="Z709" s="324">
        <v>9900000</v>
      </c>
      <c r="AA709" s="324">
        <v>151456.87081343678</v>
      </c>
      <c r="AB709" s="324" t="s">
        <v>55</v>
      </c>
    </row>
    <row r="710" spans="1:33" s="324" customFormat="1" ht="0.65" hidden="1" customHeight="1">
      <c r="A710" s="324">
        <v>3022</v>
      </c>
      <c r="N710" s="324" t="s">
        <v>469</v>
      </c>
      <c r="O710" s="324" t="s">
        <v>470</v>
      </c>
      <c r="T710" s="324">
        <v>17</v>
      </c>
      <c r="U710" s="324" t="s">
        <v>169</v>
      </c>
      <c r="V710" s="324" t="s">
        <v>178</v>
      </c>
      <c r="W710" s="324" t="s">
        <v>55</v>
      </c>
      <c r="X710" s="324" t="s">
        <v>2</v>
      </c>
      <c r="Y710" s="324">
        <v>3000000</v>
      </c>
      <c r="Z710" s="324">
        <v>1500000</v>
      </c>
      <c r="AA710" s="324">
        <v>145900.3617362474</v>
      </c>
      <c r="AB710" s="324" t="s">
        <v>55</v>
      </c>
      <c r="AC710" s="324">
        <v>9</v>
      </c>
      <c r="AD710" s="324" t="s">
        <v>55</v>
      </c>
      <c r="AE710" s="324" t="s">
        <v>55</v>
      </c>
      <c r="AF710" s="324" t="s">
        <v>55</v>
      </c>
      <c r="AG710" s="324" t="s">
        <v>55</v>
      </c>
    </row>
    <row r="711" spans="1:33" s="324" customFormat="1" ht="0.65" hidden="1" customHeight="1">
      <c r="A711" s="324">
        <v>3023</v>
      </c>
      <c r="C711" s="324" t="s">
        <v>10</v>
      </c>
      <c r="D711" s="324">
        <v>180000</v>
      </c>
      <c r="N711" s="324" t="s">
        <v>471</v>
      </c>
      <c r="O711" s="324" t="s">
        <v>472</v>
      </c>
      <c r="T711" s="324">
        <v>18</v>
      </c>
      <c r="U711" s="324" t="s">
        <v>170</v>
      </c>
      <c r="V711" s="324" t="s">
        <v>181</v>
      </c>
      <c r="W711" s="324" t="s">
        <v>55</v>
      </c>
      <c r="X711" s="324" t="s">
        <v>4</v>
      </c>
      <c r="Y711" s="324">
        <v>0.25</v>
      </c>
      <c r="Z711" s="324">
        <v>0.3</v>
      </c>
      <c r="AA711" s="324">
        <v>137825.19575384245</v>
      </c>
      <c r="AB711" s="324" t="s">
        <v>55</v>
      </c>
    </row>
    <row r="712" spans="1:33" s="324" customFormat="1" ht="0.65" hidden="1" customHeight="1">
      <c r="A712" s="324">
        <v>3024</v>
      </c>
      <c r="C712" s="324" t="s">
        <v>11</v>
      </c>
      <c r="D712" s="324">
        <v>450000</v>
      </c>
      <c r="I712" s="324" t="s">
        <v>320</v>
      </c>
      <c r="K712" s="324" t="s">
        <v>497</v>
      </c>
      <c r="L712" s="324" t="s">
        <v>498</v>
      </c>
      <c r="M712" s="324" t="s">
        <v>55</v>
      </c>
      <c r="T712" s="324">
        <v>19</v>
      </c>
      <c r="U712" s="324" t="s">
        <v>171</v>
      </c>
      <c r="V712" s="324" t="s">
        <v>181</v>
      </c>
      <c r="W712" s="324" t="s">
        <v>55</v>
      </c>
      <c r="X712" s="324" t="s">
        <v>14</v>
      </c>
      <c r="Y712" s="324" t="s">
        <v>16</v>
      </c>
      <c r="Z712" s="324">
        <v>4</v>
      </c>
      <c r="AA712" s="324">
        <v>223291.03220732338</v>
      </c>
      <c r="AB712" s="324" t="s">
        <v>55</v>
      </c>
      <c r="AC712" s="324">
        <v>10</v>
      </c>
      <c r="AD712" s="324" t="s">
        <v>55</v>
      </c>
      <c r="AE712" s="324" t="s">
        <v>55</v>
      </c>
      <c r="AF712" s="324" t="s">
        <v>55</v>
      </c>
      <c r="AG712" s="324" t="s">
        <v>55</v>
      </c>
    </row>
    <row r="713" spans="1:33" s="324" customFormat="1" ht="0.65" hidden="1" customHeight="1">
      <c r="A713" s="324">
        <v>3025</v>
      </c>
      <c r="C713" s="324" t="s">
        <v>12</v>
      </c>
      <c r="D713" s="324">
        <v>0.03</v>
      </c>
    </row>
    <row r="714" spans="1:33" s="324" customFormat="1" ht="0.65" hidden="1" customHeight="1">
      <c r="A714" s="324">
        <v>3026</v>
      </c>
      <c r="C714" s="324" t="s">
        <v>2</v>
      </c>
      <c r="D714" s="324">
        <v>3000000</v>
      </c>
      <c r="I714" s="324" t="s">
        <v>318</v>
      </c>
      <c r="K714" s="324" t="s">
        <v>497</v>
      </c>
      <c r="L714" s="324" t="s">
        <v>498</v>
      </c>
      <c r="M714" s="324" t="s">
        <v>1198</v>
      </c>
      <c r="AC714" s="324">
        <v>11</v>
      </c>
      <c r="AD714" s="324" t="s">
        <v>55</v>
      </c>
      <c r="AE714" s="324" t="s">
        <v>55</v>
      </c>
      <c r="AF714" s="324" t="s">
        <v>55</v>
      </c>
      <c r="AG714" s="324" t="s">
        <v>55</v>
      </c>
    </row>
    <row r="715" spans="1:33" s="324" customFormat="1" ht="0.65" hidden="1" customHeight="1">
      <c r="A715" s="324">
        <v>3027</v>
      </c>
      <c r="C715" s="324" t="s">
        <v>3</v>
      </c>
      <c r="D715" s="324">
        <v>9000000</v>
      </c>
      <c r="U715" s="324" t="s">
        <v>127</v>
      </c>
      <c r="V715" s="324" t="s">
        <v>36</v>
      </c>
      <c r="W715" s="324" t="s">
        <v>55</v>
      </c>
    </row>
    <row r="716" spans="1:33" s="324" customFormat="1" ht="0.65" hidden="1" customHeight="1">
      <c r="A716" s="324">
        <v>3028</v>
      </c>
      <c r="AC716" s="324">
        <v>12</v>
      </c>
      <c r="AD716" s="324" t="s">
        <v>55</v>
      </c>
      <c r="AE716" s="324" t="s">
        <v>55</v>
      </c>
      <c r="AF716" s="324" t="s">
        <v>55</v>
      </c>
      <c r="AG716" s="324" t="s">
        <v>55</v>
      </c>
    </row>
    <row r="717" spans="1:33" s="324" customFormat="1" ht="0.65" hidden="1" customHeight="1">
      <c r="A717" s="324">
        <v>3029</v>
      </c>
      <c r="C717" s="324" t="s">
        <v>14</v>
      </c>
      <c r="D717" s="324" t="s">
        <v>16</v>
      </c>
      <c r="V717" s="324">
        <v>0</v>
      </c>
    </row>
    <row r="718" spans="1:33" s="324" customFormat="1" ht="0.65" hidden="1" customHeight="1">
      <c r="A718" s="324">
        <v>3030</v>
      </c>
      <c r="G718" s="324" t="s">
        <v>128</v>
      </c>
      <c r="M718" s="324" t="s">
        <v>500</v>
      </c>
      <c r="AC718" s="324">
        <v>13</v>
      </c>
      <c r="AD718" s="324" t="s">
        <v>55</v>
      </c>
      <c r="AE718" s="324" t="s">
        <v>55</v>
      </c>
      <c r="AF718" s="324" t="s">
        <v>55</v>
      </c>
      <c r="AG718" s="324" t="s">
        <v>55</v>
      </c>
    </row>
    <row r="719" spans="1:33" s="324" customFormat="1" ht="0.65" hidden="1" customHeight="1">
      <c r="A719" s="324">
        <v>3031</v>
      </c>
      <c r="B719" s="324" t="s">
        <v>460</v>
      </c>
      <c r="F719" s="324">
        <v>1</v>
      </c>
      <c r="I719" s="324" t="s">
        <v>129</v>
      </c>
      <c r="J719" s="324">
        <v>1</v>
      </c>
      <c r="K719" s="324" t="s">
        <v>501</v>
      </c>
      <c r="U719" s="324" t="s">
        <v>204</v>
      </c>
      <c r="V719" s="324">
        <v>12</v>
      </c>
      <c r="W719" s="324" t="s">
        <v>55</v>
      </c>
    </row>
    <row r="720" spans="1:33" s="324" customFormat="1" ht="0.65" hidden="1" customHeight="1">
      <c r="A720" s="324">
        <v>3032</v>
      </c>
      <c r="F720" s="324">
        <v>1.5</v>
      </c>
      <c r="I720" s="324" t="s">
        <v>138</v>
      </c>
      <c r="J720" s="324">
        <v>1.5</v>
      </c>
      <c r="K720" s="324" t="s">
        <v>502</v>
      </c>
      <c r="Z720" s="324" t="s">
        <v>291</v>
      </c>
      <c r="AC720" s="324">
        <v>14</v>
      </c>
      <c r="AD720" s="324" t="s">
        <v>55</v>
      </c>
      <c r="AE720" s="324" t="s">
        <v>55</v>
      </c>
      <c r="AF720" s="324" t="s">
        <v>55</v>
      </c>
      <c r="AG720" s="324" t="s">
        <v>55</v>
      </c>
    </row>
    <row r="721" spans="1:33" s="324" customFormat="1" ht="0.65" hidden="1" customHeight="1">
      <c r="A721" s="324">
        <v>3033</v>
      </c>
      <c r="F721" s="324">
        <v>1.5</v>
      </c>
      <c r="I721" s="324" t="s">
        <v>130</v>
      </c>
      <c r="J721" s="324">
        <v>1.5</v>
      </c>
      <c r="K721" s="324" t="s">
        <v>502</v>
      </c>
      <c r="W721" s="324" t="s">
        <v>139</v>
      </c>
      <c r="X721" s="324" t="s">
        <v>174</v>
      </c>
      <c r="Z721" s="324" t="s">
        <v>1199</v>
      </c>
      <c r="AA721" s="324">
        <v>-5762.1707385483896</v>
      </c>
      <c r="AB721" s="324">
        <v>-5762.1707385483896</v>
      </c>
    </row>
    <row r="722" spans="1:33" s="324" customFormat="1" ht="0.65" hidden="1" customHeight="1">
      <c r="A722" s="324">
        <v>3034</v>
      </c>
      <c r="F722" s="324">
        <v>1</v>
      </c>
      <c r="I722" s="324" t="s">
        <v>131</v>
      </c>
      <c r="J722" s="324">
        <v>1</v>
      </c>
      <c r="K722" s="324" t="s">
        <v>501</v>
      </c>
      <c r="V722" s="324" t="s">
        <v>177</v>
      </c>
      <c r="W722" s="324" t="s">
        <v>173</v>
      </c>
      <c r="X722" s="324" t="s">
        <v>175</v>
      </c>
      <c r="Z722" s="324">
        <v>-5762.1707385483896</v>
      </c>
      <c r="AA722" s="324">
        <v>-5762.1707385483896</v>
      </c>
      <c r="AB722" s="324">
        <v>-5762.1707385483896</v>
      </c>
      <c r="AC722" s="324">
        <v>15</v>
      </c>
      <c r="AD722" s="324" t="s">
        <v>55</v>
      </c>
      <c r="AE722" s="324" t="s">
        <v>55</v>
      </c>
      <c r="AF722" s="324" t="s">
        <v>55</v>
      </c>
      <c r="AG722" s="324" t="s">
        <v>55</v>
      </c>
    </row>
    <row r="723" spans="1:33" s="324" customFormat="1" ht="0.65" hidden="1" customHeight="1">
      <c r="A723" s="324">
        <v>3035</v>
      </c>
      <c r="F723" s="324">
        <v>1</v>
      </c>
      <c r="I723" s="324" t="s">
        <v>132</v>
      </c>
      <c r="J723" s="324">
        <v>1</v>
      </c>
      <c r="K723" s="324" t="s">
        <v>501</v>
      </c>
      <c r="T723" s="324">
        <v>12</v>
      </c>
      <c r="U723" s="324" t="s">
        <v>164</v>
      </c>
      <c r="V723" s="324" t="s">
        <v>8</v>
      </c>
      <c r="W723" s="324">
        <v>30</v>
      </c>
      <c r="X723" s="324">
        <v>0</v>
      </c>
      <c r="Z723" s="324">
        <v>-5762.1707385483896</v>
      </c>
      <c r="AA723" s="324">
        <v>-5762.1707385483896</v>
      </c>
      <c r="AB723" s="324">
        <v>-5762.1707385483896</v>
      </c>
    </row>
    <row r="724" spans="1:33" s="324" customFormat="1" ht="0.65" hidden="1" customHeight="1">
      <c r="A724" s="324">
        <v>3036</v>
      </c>
      <c r="F724" s="324">
        <v>0.5</v>
      </c>
      <c r="I724" s="324" t="s">
        <v>133</v>
      </c>
      <c r="J724" s="324">
        <v>0.5</v>
      </c>
      <c r="K724" s="324" t="s">
        <v>504</v>
      </c>
      <c r="V724" s="324" t="s">
        <v>13</v>
      </c>
      <c r="W724" s="324">
        <v>149235.38433886995</v>
      </c>
      <c r="X724" s="324">
        <v>143473.21360032156</v>
      </c>
      <c r="Z724" s="324">
        <v>-5762.1707385483896</v>
      </c>
      <c r="AA724" s="324">
        <v>-5762.1707385483896</v>
      </c>
      <c r="AB724" s="324">
        <v>-5762.1707385483896</v>
      </c>
      <c r="AC724" s="324">
        <v>16</v>
      </c>
      <c r="AD724" s="324" t="s">
        <v>55</v>
      </c>
      <c r="AE724" s="324" t="s">
        <v>55</v>
      </c>
      <c r="AF724" s="324" t="s">
        <v>55</v>
      </c>
      <c r="AG724" s="324" t="s">
        <v>55</v>
      </c>
    </row>
    <row r="725" spans="1:33" s="324" customFormat="1" ht="0.65" hidden="1" customHeight="1">
      <c r="A725" s="324">
        <v>3037</v>
      </c>
      <c r="F725" s="324">
        <v>0.5</v>
      </c>
      <c r="I725" s="324" t="s">
        <v>134</v>
      </c>
      <c r="J725" s="324">
        <v>0.5</v>
      </c>
      <c r="K725" s="324" t="s">
        <v>504</v>
      </c>
      <c r="V725" s="324" t="s">
        <v>505</v>
      </c>
      <c r="X725" s="324">
        <v>-5762.1707385483896</v>
      </c>
      <c r="Z725" s="324">
        <v>-5762.1707385483896</v>
      </c>
      <c r="AA725" s="324">
        <v>-5762.1707385483896</v>
      </c>
      <c r="AB725" s="324">
        <v>-5762.1707385483896</v>
      </c>
    </row>
    <row r="726" spans="1:33" s="324" customFormat="1" ht="0.65" hidden="1" customHeight="1">
      <c r="A726" s="324">
        <v>3038</v>
      </c>
      <c r="F726" s="324">
        <v>1</v>
      </c>
      <c r="I726" s="324" t="s">
        <v>135</v>
      </c>
      <c r="J726" s="324">
        <v>1</v>
      </c>
      <c r="K726" s="324" t="s">
        <v>501</v>
      </c>
      <c r="Z726" s="324">
        <v>-5762.1707385483896</v>
      </c>
      <c r="AA726" s="324">
        <v>-5762.1707385483896</v>
      </c>
      <c r="AB726" s="324">
        <v>-5762.1707385483896</v>
      </c>
      <c r="AC726" s="324">
        <v>17</v>
      </c>
      <c r="AD726" s="324" t="s">
        <v>55</v>
      </c>
      <c r="AE726" s="324" t="s">
        <v>55</v>
      </c>
      <c r="AF726" s="324" t="s">
        <v>55</v>
      </c>
      <c r="AG726" s="324" t="s">
        <v>55</v>
      </c>
    </row>
    <row r="727" spans="1:33" s="324" customFormat="1" ht="0.65" hidden="1" customHeight="1">
      <c r="A727" s="324">
        <v>3039</v>
      </c>
      <c r="F727" s="324">
        <v>0.5</v>
      </c>
      <c r="I727" s="324" t="s">
        <v>13</v>
      </c>
      <c r="J727" s="324">
        <v>0.5</v>
      </c>
      <c r="K727" s="324" t="s">
        <v>504</v>
      </c>
    </row>
    <row r="728" spans="1:33" s="324" customFormat="1" ht="0.65" hidden="1" customHeight="1">
      <c r="A728" s="324">
        <v>3040</v>
      </c>
      <c r="F728" s="324">
        <v>0.5</v>
      </c>
      <c r="I728" s="324" t="s">
        <v>28</v>
      </c>
      <c r="J728" s="324">
        <v>0.5</v>
      </c>
      <c r="K728" s="324" t="s">
        <v>504</v>
      </c>
      <c r="U728" s="324" t="s">
        <v>196</v>
      </c>
      <c r="AC728" s="324">
        <v>18</v>
      </c>
      <c r="AD728" s="324" t="s">
        <v>55</v>
      </c>
      <c r="AE728" s="324" t="s">
        <v>55</v>
      </c>
      <c r="AF728" s="324" t="s">
        <v>55</v>
      </c>
      <c r="AG728" s="324" t="s">
        <v>55</v>
      </c>
    </row>
    <row r="729" spans="1:33" s="324" customFormat="1" ht="0.65" hidden="1" customHeight="1">
      <c r="A729" s="324">
        <v>3041</v>
      </c>
      <c r="F729" s="324">
        <v>1</v>
      </c>
      <c r="I729" s="324" t="s">
        <v>136</v>
      </c>
      <c r="J729" s="324">
        <v>1</v>
      </c>
      <c r="K729" s="324" t="s">
        <v>501</v>
      </c>
    </row>
    <row r="730" spans="1:33" s="324" customFormat="1" ht="0.65" hidden="1" customHeight="1">
      <c r="A730" s="324">
        <v>3042</v>
      </c>
      <c r="F730" s="324">
        <v>10</v>
      </c>
      <c r="I730" s="324" t="s">
        <v>137</v>
      </c>
      <c r="J730" s="324">
        <v>10</v>
      </c>
      <c r="K730" s="324" t="s">
        <v>506</v>
      </c>
      <c r="AC730" s="324">
        <v>19</v>
      </c>
      <c r="AD730" s="324" t="s">
        <v>55</v>
      </c>
      <c r="AE730" s="324" t="s">
        <v>55</v>
      </c>
      <c r="AF730" s="324" t="s">
        <v>55</v>
      </c>
      <c r="AG730" s="324" t="s">
        <v>55</v>
      </c>
    </row>
    <row r="731" spans="1:33" s="324" customFormat="1" ht="0.65" hidden="1" customHeight="1">
      <c r="A731" s="324">
        <v>3043</v>
      </c>
    </row>
    <row r="732" spans="1:33" s="324" customFormat="1" ht="0.65" hidden="1" customHeight="1">
      <c r="A732" s="324">
        <v>3044</v>
      </c>
      <c r="AC732" s="324">
        <v>20</v>
      </c>
      <c r="AD732" s="324" t="s">
        <v>55</v>
      </c>
      <c r="AE732" s="324" t="s">
        <v>55</v>
      </c>
      <c r="AF732" s="324" t="s">
        <v>55</v>
      </c>
      <c r="AG732" s="324" t="s">
        <v>55</v>
      </c>
    </row>
    <row r="733" spans="1:33" s="324" customFormat="1" ht="0.65" hidden="1" customHeight="1">
      <c r="A733" s="324">
        <v>3045</v>
      </c>
    </row>
    <row r="734" spans="1:33" s="324" customFormat="1" ht="0.65" hidden="1" customHeight="1">
      <c r="A734" s="324">
        <v>3046</v>
      </c>
    </row>
    <row r="735" spans="1:33" s="324" customFormat="1" ht="0.65" hidden="1" customHeight="1">
      <c r="A735" s="324">
        <v>3047</v>
      </c>
      <c r="G735" s="324">
        <v>1</v>
      </c>
      <c r="H735" s="324">
        <v>2</v>
      </c>
      <c r="I735" s="324">
        <v>3</v>
      </c>
      <c r="J735" s="324">
        <v>4</v>
      </c>
      <c r="K735" s="324">
        <v>5</v>
      </c>
      <c r="L735" s="324">
        <v>6</v>
      </c>
      <c r="M735" s="324">
        <v>7</v>
      </c>
      <c r="N735" s="324">
        <v>8</v>
      </c>
      <c r="O735" s="324">
        <v>9</v>
      </c>
      <c r="P735" s="324">
        <v>10</v>
      </c>
    </row>
    <row r="736" spans="1:33" s="324" customFormat="1" ht="0.65" hidden="1" customHeight="1">
      <c r="A736" s="324">
        <v>3048</v>
      </c>
      <c r="G736" s="324" t="s">
        <v>212</v>
      </c>
      <c r="H736" s="324" t="s">
        <v>213</v>
      </c>
      <c r="I736" s="324" t="s">
        <v>214</v>
      </c>
      <c r="J736" s="324" t="s">
        <v>215</v>
      </c>
      <c r="K736" s="324" t="s">
        <v>216</v>
      </c>
      <c r="L736" s="324" t="s">
        <v>218</v>
      </c>
      <c r="M736" s="324" t="s">
        <v>219</v>
      </c>
      <c r="N736" s="324" t="s">
        <v>220</v>
      </c>
      <c r="O736" s="324" t="s">
        <v>221</v>
      </c>
      <c r="P736" s="324" t="s">
        <v>222</v>
      </c>
    </row>
    <row r="737" spans="1:42" s="324" customFormat="1" ht="0.65" hidden="1" customHeight="1">
      <c r="A737" s="324">
        <v>3049</v>
      </c>
      <c r="G737" s="324">
        <v>72000</v>
      </c>
      <c r="H737" s="324">
        <v>144000</v>
      </c>
      <c r="I737" s="324" t="s">
        <v>55</v>
      </c>
      <c r="J737" s="324" t="s">
        <v>55</v>
      </c>
      <c r="K737" s="324" t="s">
        <v>55</v>
      </c>
      <c r="L737" s="324" t="s">
        <v>55</v>
      </c>
      <c r="M737" s="324" t="s">
        <v>55</v>
      </c>
      <c r="N737" s="324" t="s">
        <v>55</v>
      </c>
      <c r="O737" s="324" t="s">
        <v>1198</v>
      </c>
      <c r="P737" s="324" t="s">
        <v>507</v>
      </c>
    </row>
    <row r="738" spans="1:42" s="324" customFormat="1" ht="0.65" hidden="1" customHeight="1">
      <c r="A738" s="324">
        <v>3050</v>
      </c>
      <c r="G738" s="324" t="s">
        <v>267</v>
      </c>
      <c r="H738" s="324" t="s">
        <v>268</v>
      </c>
      <c r="I738" s="324" t="s">
        <v>55</v>
      </c>
      <c r="J738" s="324" t="s">
        <v>55</v>
      </c>
      <c r="K738" s="324" t="s">
        <v>55</v>
      </c>
      <c r="L738" s="324" t="s">
        <v>55</v>
      </c>
      <c r="M738" s="324" t="s">
        <v>55</v>
      </c>
      <c r="N738" s="324" t="s">
        <v>55</v>
      </c>
      <c r="O738" s="324" t="s">
        <v>55</v>
      </c>
      <c r="P738" s="324" t="s">
        <v>55</v>
      </c>
    </row>
    <row r="739" spans="1:42" s="324" customFormat="1" ht="0.65" hidden="1" customHeight="1">
      <c r="A739" s="324">
        <v>3051</v>
      </c>
    </row>
    <row r="740" spans="1:42" s="324" customFormat="1" ht="0.65" hidden="1" customHeight="1">
      <c r="A740" s="324">
        <v>3052</v>
      </c>
      <c r="B740" s="324">
        <v>2</v>
      </c>
      <c r="C740" s="324">
        <v>3</v>
      </c>
      <c r="D740" s="324">
        <v>4</v>
      </c>
      <c r="E740" s="324">
        <v>5</v>
      </c>
      <c r="F740" s="324">
        <v>6</v>
      </c>
      <c r="G740" s="324">
        <v>7</v>
      </c>
      <c r="H740" s="324">
        <v>8</v>
      </c>
      <c r="I740" s="324">
        <v>9</v>
      </c>
      <c r="J740" s="324">
        <v>10</v>
      </c>
      <c r="K740" s="324">
        <v>11</v>
      </c>
      <c r="L740" s="324">
        <v>12</v>
      </c>
      <c r="M740" s="324">
        <v>13</v>
      </c>
      <c r="N740" s="324">
        <v>14</v>
      </c>
      <c r="O740" s="324">
        <v>15</v>
      </c>
      <c r="P740" s="324">
        <v>16</v>
      </c>
      <c r="Q740" s="324">
        <v>17</v>
      </c>
      <c r="R740" s="324">
        <v>18</v>
      </c>
      <c r="S740" s="324">
        <v>19</v>
      </c>
      <c r="T740" s="324">
        <v>20</v>
      </c>
      <c r="U740" s="324">
        <v>21</v>
      </c>
      <c r="V740" s="324">
        <v>22</v>
      </c>
      <c r="W740" s="324">
        <v>23</v>
      </c>
      <c r="X740" s="324">
        <v>24</v>
      </c>
      <c r="Y740" s="324">
        <v>25</v>
      </c>
      <c r="Z740" s="324">
        <v>26</v>
      </c>
      <c r="AA740" s="324">
        <v>27</v>
      </c>
      <c r="AB740" s="324">
        <v>28</v>
      </c>
      <c r="AC740" s="324">
        <v>29</v>
      </c>
      <c r="AD740" s="324">
        <v>30</v>
      </c>
      <c r="AE740" s="324">
        <v>31</v>
      </c>
      <c r="AF740" s="324">
        <v>32</v>
      </c>
      <c r="AG740" s="324">
        <v>33</v>
      </c>
      <c r="AH740" s="324">
        <v>34</v>
      </c>
      <c r="AI740" s="324">
        <v>35</v>
      </c>
      <c r="AJ740" s="324">
        <v>36</v>
      </c>
      <c r="AK740" s="324">
        <v>37</v>
      </c>
      <c r="AL740" s="324">
        <v>38</v>
      </c>
      <c r="AM740" s="324">
        <v>39</v>
      </c>
      <c r="AN740" s="324">
        <v>40</v>
      </c>
      <c r="AO740" s="324">
        <v>41</v>
      </c>
      <c r="AP740" s="324">
        <v>42</v>
      </c>
    </row>
    <row r="741" spans="1:42" s="324" customFormat="1" ht="0.65" hidden="1" customHeight="1">
      <c r="A741" s="324">
        <v>3053</v>
      </c>
    </row>
    <row r="742" spans="1:42" s="324" customFormat="1" ht="0.65" hidden="1" customHeight="1">
      <c r="A742" s="324">
        <v>3054</v>
      </c>
      <c r="B742" s="324">
        <v>300000</v>
      </c>
      <c r="C742" s="324">
        <v>300000</v>
      </c>
      <c r="D742" s="324">
        <v>1</v>
      </c>
      <c r="G742" s="324" t="s">
        <v>0</v>
      </c>
      <c r="H742" s="324" t="s">
        <v>69</v>
      </c>
      <c r="I742" s="324" t="s">
        <v>70</v>
      </c>
      <c r="J742" s="324" t="s">
        <v>71</v>
      </c>
      <c r="K742" s="324" t="s">
        <v>72</v>
      </c>
      <c r="L742" s="324" t="s">
        <v>73</v>
      </c>
      <c r="M742" s="324" t="s">
        <v>74</v>
      </c>
      <c r="N742" s="324" t="s">
        <v>75</v>
      </c>
      <c r="O742" s="324" t="s">
        <v>80</v>
      </c>
      <c r="P742" s="324" t="s">
        <v>1</v>
      </c>
    </row>
    <row r="743" spans="1:42" s="324" customFormat="1" ht="0.65" hidden="1" customHeight="1">
      <c r="A743" s="324">
        <v>3055</v>
      </c>
      <c r="B743" s="324">
        <v>6</v>
      </c>
      <c r="C743" s="324">
        <v>6</v>
      </c>
      <c r="D743" s="324">
        <v>1</v>
      </c>
      <c r="G743" s="324">
        <v>2022</v>
      </c>
      <c r="P743" s="324">
        <v>41</v>
      </c>
    </row>
    <row r="744" spans="1:42" s="324" customFormat="1" ht="0.65" hidden="1" customHeight="1">
      <c r="A744" s="324">
        <v>3056</v>
      </c>
      <c r="B744" s="324">
        <v>100000</v>
      </c>
      <c r="C744" s="324">
        <v>100000</v>
      </c>
      <c r="D744" s="324">
        <v>1</v>
      </c>
      <c r="G744" s="324">
        <v>2023</v>
      </c>
      <c r="H744" s="324">
        <v>2</v>
      </c>
      <c r="I744" s="324">
        <v>5</v>
      </c>
      <c r="J744" s="324">
        <v>8</v>
      </c>
      <c r="K744" s="324">
        <v>11</v>
      </c>
      <c r="L744" s="324">
        <v>14</v>
      </c>
      <c r="M744" s="324">
        <v>17</v>
      </c>
      <c r="N744" s="324">
        <v>20</v>
      </c>
      <c r="O744" s="324">
        <v>35</v>
      </c>
      <c r="P744" s="324">
        <v>42</v>
      </c>
    </row>
    <row r="745" spans="1:42" s="324" customFormat="1" ht="0.65" hidden="1" customHeight="1">
      <c r="A745" s="324">
        <v>3057</v>
      </c>
      <c r="G745" s="324">
        <v>2024</v>
      </c>
      <c r="H745" s="324">
        <v>3</v>
      </c>
      <c r="I745" s="324">
        <v>6</v>
      </c>
      <c r="J745" s="324">
        <v>9</v>
      </c>
      <c r="K745" s="324">
        <v>12</v>
      </c>
      <c r="L745" s="324">
        <v>15</v>
      </c>
      <c r="M745" s="324">
        <v>18</v>
      </c>
      <c r="N745" s="324">
        <v>21</v>
      </c>
      <c r="O745" s="324">
        <v>36</v>
      </c>
      <c r="P745" s="324">
        <v>43</v>
      </c>
    </row>
    <row r="746" spans="1:42" s="324" customFormat="1" ht="0.65" hidden="1" customHeight="1">
      <c r="A746" s="324">
        <v>3058</v>
      </c>
      <c r="B746" s="324">
        <v>720000</v>
      </c>
      <c r="C746" s="324">
        <v>720000</v>
      </c>
      <c r="D746" s="324">
        <v>1</v>
      </c>
      <c r="G746" s="324">
        <v>2025</v>
      </c>
      <c r="H746" s="324">
        <v>4</v>
      </c>
      <c r="I746" s="324">
        <v>7</v>
      </c>
      <c r="J746" s="324">
        <v>10</v>
      </c>
      <c r="K746" s="324">
        <v>13</v>
      </c>
      <c r="L746" s="324">
        <v>16</v>
      </c>
      <c r="M746" s="324">
        <v>19</v>
      </c>
      <c r="N746" s="324">
        <v>22</v>
      </c>
      <c r="O746" s="324">
        <v>37</v>
      </c>
      <c r="P746" s="324">
        <v>44</v>
      </c>
    </row>
    <row r="747" spans="1:42" s="324" customFormat="1" ht="0.65" hidden="1" customHeight="1">
      <c r="A747" s="324">
        <v>3059</v>
      </c>
      <c r="B747" s="324">
        <v>576000</v>
      </c>
      <c r="C747" s="324">
        <v>576000</v>
      </c>
      <c r="D747" s="324">
        <v>1</v>
      </c>
    </row>
    <row r="748" spans="1:42" s="324" customFormat="1" ht="0.65" hidden="1" customHeight="1">
      <c r="A748" s="324">
        <v>3060</v>
      </c>
      <c r="G748" s="324" t="s">
        <v>0</v>
      </c>
      <c r="H748" s="324" t="s">
        <v>76</v>
      </c>
      <c r="I748" s="324" t="s">
        <v>77</v>
      </c>
      <c r="J748" s="324" t="s">
        <v>78</v>
      </c>
      <c r="K748" s="324" t="s">
        <v>79</v>
      </c>
    </row>
    <row r="749" spans="1:42" s="324" customFormat="1" ht="0.65" hidden="1" customHeight="1">
      <c r="A749" s="324">
        <v>3061</v>
      </c>
      <c r="B749" s="324">
        <v>60</v>
      </c>
      <c r="C749" s="324">
        <v>60</v>
      </c>
      <c r="D749" s="324">
        <v>1</v>
      </c>
      <c r="G749" s="324">
        <v>2022</v>
      </c>
      <c r="M749" s="324" t="s">
        <v>490</v>
      </c>
      <c r="N749" s="324">
        <v>1</v>
      </c>
      <c r="O749" s="324" t="s">
        <v>124</v>
      </c>
      <c r="P749" s="324">
        <v>45</v>
      </c>
    </row>
    <row r="750" spans="1:42" s="324" customFormat="1" ht="0.65" hidden="1" customHeight="1">
      <c r="A750" s="324">
        <v>3062</v>
      </c>
      <c r="B750" s="324">
        <v>30</v>
      </c>
      <c r="C750" s="324">
        <v>30</v>
      </c>
      <c r="D750" s="324">
        <v>1</v>
      </c>
      <c r="G750" s="324">
        <v>2023</v>
      </c>
      <c r="H750" s="324">
        <v>23</v>
      </c>
      <c r="I750" s="324">
        <v>26</v>
      </c>
      <c r="J750" s="324">
        <v>29</v>
      </c>
      <c r="K750" s="324">
        <v>32</v>
      </c>
      <c r="M750" s="324" t="s">
        <v>491</v>
      </c>
      <c r="N750" s="324">
        <v>38</v>
      </c>
      <c r="O750" s="324" t="s">
        <v>125</v>
      </c>
      <c r="P750" s="324">
        <v>46</v>
      </c>
    </row>
    <row r="751" spans="1:42" s="324" customFormat="1" ht="0.65" hidden="1" customHeight="1">
      <c r="A751" s="324">
        <v>3063</v>
      </c>
      <c r="G751" s="324">
        <v>2024</v>
      </c>
      <c r="H751" s="324">
        <v>24</v>
      </c>
      <c r="I751" s="324">
        <v>27</v>
      </c>
      <c r="J751" s="324">
        <v>30</v>
      </c>
      <c r="K751" s="324">
        <v>33</v>
      </c>
      <c r="M751" s="324" t="s">
        <v>493</v>
      </c>
      <c r="N751" s="324">
        <v>39</v>
      </c>
      <c r="O751" s="324" t="s">
        <v>126</v>
      </c>
      <c r="P751" s="324">
        <v>47</v>
      </c>
    </row>
    <row r="752" spans="1:42" s="324" customFormat="1" ht="0.65" hidden="1" customHeight="1">
      <c r="A752" s="324">
        <v>3064</v>
      </c>
      <c r="G752" s="324">
        <v>2025</v>
      </c>
      <c r="H752" s="324">
        <v>25</v>
      </c>
      <c r="I752" s="324">
        <v>28</v>
      </c>
      <c r="J752" s="324">
        <v>31</v>
      </c>
      <c r="K752" s="324">
        <v>34</v>
      </c>
      <c r="M752" s="324" t="s">
        <v>494</v>
      </c>
      <c r="N752" s="324">
        <v>40</v>
      </c>
    </row>
    <row r="753" spans="1:31" s="324" customFormat="1" ht="0.65" hidden="1" customHeight="1">
      <c r="A753" s="324">
        <v>3065</v>
      </c>
      <c r="B753" s="324">
        <v>100000</v>
      </c>
      <c r="C753" s="324">
        <v>100000</v>
      </c>
      <c r="D753" s="324">
        <v>1</v>
      </c>
    </row>
    <row r="754" spans="1:31" s="324" customFormat="1" ht="0.65" hidden="1" customHeight="1">
      <c r="A754" s="324">
        <v>3066</v>
      </c>
      <c r="B754" s="324">
        <v>200000</v>
      </c>
      <c r="C754" s="324">
        <v>200000</v>
      </c>
      <c r="D754" s="324">
        <v>1</v>
      </c>
      <c r="O754" s="324" t="s">
        <v>13</v>
      </c>
      <c r="P754" s="324">
        <v>48</v>
      </c>
    </row>
    <row r="755" spans="1:31" s="324" customFormat="1" ht="0.65" hidden="1" customHeight="1">
      <c r="A755" s="324">
        <v>3067</v>
      </c>
      <c r="B755" s="324">
        <v>3</v>
      </c>
      <c r="C755" s="324">
        <v>3</v>
      </c>
      <c r="D755" s="324">
        <v>1</v>
      </c>
      <c r="O755" s="324" t="s">
        <v>28</v>
      </c>
      <c r="P755" s="324">
        <v>49</v>
      </c>
    </row>
    <row r="756" spans="1:31" s="324" customFormat="1" ht="0.65" hidden="1" customHeight="1">
      <c r="A756" s="324">
        <v>3068</v>
      </c>
      <c r="B756" s="324">
        <v>50000</v>
      </c>
      <c r="C756" s="324">
        <v>50000</v>
      </c>
      <c r="D756" s="324">
        <v>1</v>
      </c>
      <c r="O756" s="324" t="s">
        <v>29</v>
      </c>
      <c r="P756" s="324">
        <v>50</v>
      </c>
    </row>
    <row r="757" spans="1:31" s="324" customFormat="1" ht="0.65" hidden="1" customHeight="1">
      <c r="A757" s="324">
        <v>3069</v>
      </c>
      <c r="O757" s="324" t="s">
        <v>30</v>
      </c>
      <c r="P757" s="324">
        <v>51</v>
      </c>
    </row>
    <row r="758" spans="1:31" s="324" customFormat="1" ht="0.65" hidden="1" customHeight="1">
      <c r="A758" s="324">
        <v>3070</v>
      </c>
      <c r="B758" s="324">
        <v>0.25</v>
      </c>
      <c r="C758" s="324">
        <v>0.25</v>
      </c>
      <c r="D758" s="324">
        <v>1</v>
      </c>
    </row>
    <row r="759" spans="1:31" s="324" customFormat="1" ht="0.65" hidden="1" customHeight="1">
      <c r="A759" s="324">
        <v>3071</v>
      </c>
    </row>
    <row r="760" spans="1:31" s="324" customFormat="1" ht="0.65" hidden="1" customHeight="1">
      <c r="A760" s="324">
        <v>3072</v>
      </c>
    </row>
    <row r="761" spans="1:31" s="324" customFormat="1" ht="0.65" hidden="1" customHeight="1">
      <c r="A761" s="324">
        <v>3073</v>
      </c>
      <c r="B761" s="324">
        <v>180000</v>
      </c>
      <c r="C761" s="324">
        <v>180000</v>
      </c>
      <c r="D761" s="324">
        <v>1</v>
      </c>
    </row>
    <row r="762" spans="1:31" s="324" customFormat="1" ht="0.65" hidden="1" customHeight="1">
      <c r="A762" s="324">
        <v>3074</v>
      </c>
      <c r="B762" s="324">
        <v>450000</v>
      </c>
      <c r="C762" s="324">
        <v>450000</v>
      </c>
      <c r="D762" s="324">
        <v>1</v>
      </c>
      <c r="K762" s="324" t="s">
        <v>475</v>
      </c>
      <c r="M762" s="324" t="s">
        <v>212</v>
      </c>
      <c r="N762" s="324" t="s">
        <v>213</v>
      </c>
      <c r="O762" s="324" t="s">
        <v>214</v>
      </c>
      <c r="P762" s="324" t="s">
        <v>215</v>
      </c>
      <c r="Q762" s="324" t="s">
        <v>216</v>
      </c>
      <c r="R762" s="324" t="s">
        <v>218</v>
      </c>
      <c r="S762" s="324" t="s">
        <v>219</v>
      </c>
      <c r="T762" s="324" t="s">
        <v>220</v>
      </c>
      <c r="U762" s="324" t="s">
        <v>473</v>
      </c>
      <c r="V762" s="324" t="s">
        <v>474</v>
      </c>
      <c r="X762" s="324" t="s">
        <v>223</v>
      </c>
      <c r="Y762" s="324" t="s">
        <v>224</v>
      </c>
      <c r="Z762" s="324" t="s">
        <v>225</v>
      </c>
      <c r="AA762" s="324" t="s">
        <v>226</v>
      </c>
      <c r="AB762" s="324" t="s">
        <v>227</v>
      </c>
      <c r="AC762" s="324" t="s">
        <v>228</v>
      </c>
      <c r="AD762" s="324" t="s">
        <v>229</v>
      </c>
      <c r="AE762" s="324" t="s">
        <v>230</v>
      </c>
    </row>
    <row r="763" spans="1:31" s="324" customFormat="1" ht="0.65" hidden="1" customHeight="1">
      <c r="A763" s="324">
        <v>3075</v>
      </c>
      <c r="B763" s="324">
        <v>0.03</v>
      </c>
      <c r="C763" s="324">
        <v>0.03</v>
      </c>
      <c r="D763" s="324">
        <v>1</v>
      </c>
      <c r="F763" s="324">
        <v>1</v>
      </c>
      <c r="G763" s="324">
        <v>1</v>
      </c>
      <c r="H763" s="324" t="s">
        <v>490</v>
      </c>
      <c r="I763" s="324">
        <v>175000</v>
      </c>
      <c r="J763" s="324">
        <v>175000</v>
      </c>
      <c r="K763" s="324" t="s">
        <v>1200</v>
      </c>
      <c r="M763" s="324">
        <v>300000</v>
      </c>
      <c r="N763" s="324">
        <v>200000</v>
      </c>
      <c r="O763" s="324">
        <v>225000</v>
      </c>
      <c r="P763" s="324">
        <v>400000</v>
      </c>
      <c r="U763" s="324" t="s">
        <v>1200</v>
      </c>
      <c r="V763" s="324" t="s">
        <v>509</v>
      </c>
      <c r="X763" s="324" t="s">
        <v>231</v>
      </c>
      <c r="Y763" s="324" t="s">
        <v>250</v>
      </c>
      <c r="Z763" s="324" t="s">
        <v>251</v>
      </c>
      <c r="AA763" s="324" t="s">
        <v>232</v>
      </c>
    </row>
    <row r="764" spans="1:31" s="324" customFormat="1" ht="0.65" hidden="1" customHeight="1">
      <c r="A764" s="324">
        <v>3076</v>
      </c>
      <c r="B764" s="324">
        <v>3000000</v>
      </c>
      <c r="C764" s="324">
        <v>3000000</v>
      </c>
      <c r="D764" s="324">
        <v>1</v>
      </c>
      <c r="F764" s="324">
        <v>1</v>
      </c>
      <c r="G764" s="324">
        <v>2</v>
      </c>
      <c r="H764" s="324" t="s">
        <v>510</v>
      </c>
      <c r="I764" s="324">
        <v>720000</v>
      </c>
      <c r="J764" s="324">
        <v>720000</v>
      </c>
      <c r="K764" s="324" t="s">
        <v>1201</v>
      </c>
      <c r="M764" s="324">
        <v>600000</v>
      </c>
      <c r="N764" s="324">
        <v>120000</v>
      </c>
      <c r="U764" s="324" t="s">
        <v>1201</v>
      </c>
      <c r="V764" s="324" t="s">
        <v>512</v>
      </c>
      <c r="X764" s="324" t="s">
        <v>233</v>
      </c>
    </row>
    <row r="765" spans="1:31" s="324" customFormat="1" ht="0.65" hidden="1" customHeight="1">
      <c r="A765" s="324">
        <v>3077</v>
      </c>
      <c r="B765" s="324">
        <v>9000000</v>
      </c>
      <c r="C765" s="324">
        <v>9000000</v>
      </c>
      <c r="D765" s="324">
        <v>1</v>
      </c>
      <c r="F765" s="324">
        <v>1</v>
      </c>
      <c r="G765" s="324">
        <v>3</v>
      </c>
      <c r="H765" s="324" t="s">
        <v>513</v>
      </c>
      <c r="I765" s="324">
        <v>720000</v>
      </c>
      <c r="J765" s="324">
        <v>720000</v>
      </c>
      <c r="K765" s="324" t="s">
        <v>1201</v>
      </c>
      <c r="M765" s="324">
        <v>600000</v>
      </c>
      <c r="N765" s="324">
        <v>120000</v>
      </c>
      <c r="O765" s="324">
        <v>1440000</v>
      </c>
      <c r="U765" s="324" t="s">
        <v>1201</v>
      </c>
      <c r="V765" s="324" t="s">
        <v>514</v>
      </c>
      <c r="X765" s="324" t="s">
        <v>233</v>
      </c>
      <c r="Y765" s="324" t="s">
        <v>252</v>
      </c>
      <c r="Z765" s="324" t="s">
        <v>234</v>
      </c>
    </row>
    <row r="766" spans="1:31" s="324" customFormat="1" ht="0.65" hidden="1" customHeight="1">
      <c r="A766" s="324">
        <v>3078</v>
      </c>
      <c r="F766" s="324">
        <v>1</v>
      </c>
      <c r="G766" s="324">
        <v>4</v>
      </c>
      <c r="H766" s="324" t="s">
        <v>515</v>
      </c>
      <c r="I766" s="324">
        <v>720000</v>
      </c>
      <c r="J766" s="324">
        <v>720000</v>
      </c>
      <c r="K766" s="324" t="s">
        <v>1201</v>
      </c>
      <c r="M766" s="324">
        <v>600000</v>
      </c>
      <c r="N766" s="324">
        <v>120000</v>
      </c>
      <c r="O766" s="324">
        <v>2160000</v>
      </c>
      <c r="U766" s="324" t="s">
        <v>1201</v>
      </c>
      <c r="V766" s="324" t="s">
        <v>516</v>
      </c>
      <c r="X766" s="324" t="s">
        <v>233</v>
      </c>
      <c r="Y766" s="324" t="s">
        <v>252</v>
      </c>
      <c r="Z766" s="324" t="s">
        <v>235</v>
      </c>
    </row>
    <row r="767" spans="1:31" s="324" customFormat="1" ht="0.65" hidden="1" customHeight="1">
      <c r="A767" s="324">
        <v>3079</v>
      </c>
      <c r="C767" s="324" t="s">
        <v>422</v>
      </c>
      <c r="D767" s="324">
        <v>28</v>
      </c>
      <c r="F767" s="324">
        <v>1</v>
      </c>
      <c r="G767" s="324">
        <v>5</v>
      </c>
      <c r="H767" s="324" t="s">
        <v>517</v>
      </c>
      <c r="I767" s="324">
        <v>576000</v>
      </c>
      <c r="J767" s="324">
        <v>576000</v>
      </c>
      <c r="K767" s="324" t="s">
        <v>1202</v>
      </c>
      <c r="M767" s="324">
        <v>528000</v>
      </c>
      <c r="N767" s="324">
        <v>48000</v>
      </c>
      <c r="U767" s="324" t="s">
        <v>1202</v>
      </c>
      <c r="V767" s="324" t="s">
        <v>519</v>
      </c>
      <c r="X767" s="324" t="s">
        <v>236</v>
      </c>
      <c r="Y767" s="324" t="s">
        <v>253</v>
      </c>
    </row>
    <row r="768" spans="1:31" s="324" customFormat="1" ht="0.65" hidden="1" customHeight="1">
      <c r="A768" s="324">
        <v>3080</v>
      </c>
      <c r="C768" s="324" t="s">
        <v>423</v>
      </c>
      <c r="D768" s="324" t="s">
        <v>520</v>
      </c>
      <c r="F768" s="324">
        <v>1</v>
      </c>
      <c r="G768" s="324">
        <v>6</v>
      </c>
      <c r="H768" s="324" t="s">
        <v>521</v>
      </c>
      <c r="I768" s="324">
        <v>576000</v>
      </c>
      <c r="J768" s="324">
        <v>576000</v>
      </c>
      <c r="K768" s="324" t="s">
        <v>1202</v>
      </c>
      <c r="M768" s="324">
        <v>528000</v>
      </c>
      <c r="N768" s="324">
        <v>48000</v>
      </c>
      <c r="O768" s="324">
        <v>1152000</v>
      </c>
      <c r="U768" s="324" t="s">
        <v>1202</v>
      </c>
      <c r="V768" s="324" t="s">
        <v>522</v>
      </c>
      <c r="X768" s="324" t="s">
        <v>236</v>
      </c>
      <c r="Y768" s="324" t="s">
        <v>253</v>
      </c>
      <c r="Z768" s="324" t="s">
        <v>237</v>
      </c>
    </row>
    <row r="769" spans="1:28" s="324" customFormat="1" ht="0.65" hidden="1" customHeight="1">
      <c r="A769" s="324">
        <v>3081</v>
      </c>
      <c r="F769" s="324">
        <v>1</v>
      </c>
      <c r="G769" s="324">
        <v>7</v>
      </c>
      <c r="H769" s="324" t="s">
        <v>523</v>
      </c>
      <c r="I769" s="324">
        <v>576000</v>
      </c>
      <c r="J769" s="324">
        <v>576000</v>
      </c>
      <c r="K769" s="324" t="s">
        <v>1202</v>
      </c>
      <c r="M769" s="324">
        <v>528000</v>
      </c>
      <c r="N769" s="324">
        <v>48000</v>
      </c>
      <c r="O769" s="324">
        <v>1728000</v>
      </c>
      <c r="U769" s="324" t="s">
        <v>1202</v>
      </c>
      <c r="V769" s="324" t="s">
        <v>524</v>
      </c>
      <c r="X769" s="324" t="s">
        <v>236</v>
      </c>
      <c r="Y769" s="324" t="s">
        <v>253</v>
      </c>
      <c r="Z769" s="324" t="s">
        <v>238</v>
      </c>
    </row>
    <row r="770" spans="1:28" s="324" customFormat="1" ht="0.65" hidden="1" customHeight="1">
      <c r="A770" s="324">
        <v>3082</v>
      </c>
      <c r="B770" s="324">
        <v>2022</v>
      </c>
      <c r="C770" s="324">
        <v>2022</v>
      </c>
      <c r="D770" s="324">
        <v>1</v>
      </c>
      <c r="F770" s="324">
        <v>1</v>
      </c>
      <c r="G770" s="324">
        <v>8</v>
      </c>
      <c r="H770" s="324" t="s">
        <v>525</v>
      </c>
      <c r="I770" s="324">
        <v>-16666.666666666672</v>
      </c>
      <c r="J770" s="324">
        <v>-16666.666666666672</v>
      </c>
      <c r="K770" s="324" t="s">
        <v>1203</v>
      </c>
      <c r="M770" s="324">
        <v>50000</v>
      </c>
      <c r="N770" s="324">
        <v>116666.66666666667</v>
      </c>
      <c r="O770" s="324">
        <v>16666.666666666664</v>
      </c>
      <c r="P770" s="324">
        <v>16666.666666666672</v>
      </c>
      <c r="U770" s="324" t="s">
        <v>1203</v>
      </c>
      <c r="V770" s="324" t="s">
        <v>527</v>
      </c>
      <c r="X770" s="324" t="s">
        <v>239</v>
      </c>
      <c r="Y770" s="324" t="s">
        <v>240</v>
      </c>
      <c r="Z770" s="324" t="s">
        <v>241</v>
      </c>
      <c r="AA770" s="324" t="s">
        <v>242</v>
      </c>
    </row>
    <row r="771" spans="1:28" s="324" customFormat="1" ht="0.65" hidden="1" customHeight="1">
      <c r="A771" s="324">
        <v>3083</v>
      </c>
      <c r="B771" s="324">
        <v>2023</v>
      </c>
      <c r="C771" s="324">
        <v>2023</v>
      </c>
      <c r="D771" s="324">
        <v>1</v>
      </c>
      <c r="F771" s="324">
        <v>1</v>
      </c>
      <c r="G771" s="324">
        <v>9</v>
      </c>
      <c r="H771" s="324" t="s">
        <v>528</v>
      </c>
      <c r="I771" s="324">
        <v>-16666.666666666672</v>
      </c>
      <c r="J771" s="324">
        <v>-16666.666666666672</v>
      </c>
      <c r="K771" s="324" t="s">
        <v>1203</v>
      </c>
      <c r="M771" s="324">
        <v>50000</v>
      </c>
      <c r="N771" s="324">
        <v>116666.66666666667</v>
      </c>
      <c r="O771" s="324">
        <v>16666.666666666664</v>
      </c>
      <c r="P771" s="324">
        <v>16666.666666666672</v>
      </c>
      <c r="U771" s="324" t="s">
        <v>1203</v>
      </c>
      <c r="V771" s="324" t="s">
        <v>529</v>
      </c>
      <c r="X771" s="324" t="s">
        <v>239</v>
      </c>
      <c r="Y771" s="324" t="s">
        <v>240</v>
      </c>
      <c r="Z771" s="324" t="s">
        <v>241</v>
      </c>
      <c r="AA771" s="324" t="s">
        <v>242</v>
      </c>
    </row>
    <row r="772" spans="1:28" s="324" customFormat="1" ht="0.65" hidden="1" customHeight="1">
      <c r="A772" s="324">
        <v>3084</v>
      </c>
      <c r="B772" s="324">
        <v>2024</v>
      </c>
      <c r="C772" s="324">
        <v>2024</v>
      </c>
      <c r="D772" s="324">
        <v>1</v>
      </c>
      <c r="F772" s="324">
        <v>1</v>
      </c>
      <c r="G772" s="324">
        <v>10</v>
      </c>
      <c r="H772" s="324" t="s">
        <v>530</v>
      </c>
      <c r="I772" s="324">
        <v>-16666.666666666672</v>
      </c>
      <c r="J772" s="324">
        <v>-16666.666666666672</v>
      </c>
      <c r="K772" s="324" t="s">
        <v>1203</v>
      </c>
      <c r="M772" s="324">
        <v>50000</v>
      </c>
      <c r="N772" s="324">
        <v>116666.66666666667</v>
      </c>
      <c r="O772" s="324">
        <v>16666.666666666664</v>
      </c>
      <c r="P772" s="324">
        <v>16666.666666666672</v>
      </c>
      <c r="Q772" s="324">
        <v>-16666.666666666672</v>
      </c>
      <c r="U772" s="324" t="s">
        <v>1203</v>
      </c>
      <c r="V772" s="324" t="s">
        <v>532</v>
      </c>
      <c r="X772" s="324" t="s">
        <v>239</v>
      </c>
      <c r="Y772" s="324" t="s">
        <v>240</v>
      </c>
      <c r="Z772" s="324" t="s">
        <v>241</v>
      </c>
      <c r="AA772" s="324" t="s">
        <v>242</v>
      </c>
      <c r="AB772" s="324" t="s">
        <v>254</v>
      </c>
    </row>
    <row r="773" spans="1:28" s="324" customFormat="1" ht="0.65" hidden="1" customHeight="1">
      <c r="A773" s="324">
        <v>3085</v>
      </c>
      <c r="B773" s="324">
        <v>2025</v>
      </c>
      <c r="C773" s="324">
        <v>2025</v>
      </c>
      <c r="D773" s="324">
        <v>1</v>
      </c>
      <c r="F773" s="324">
        <v>1</v>
      </c>
      <c r="G773" s="324">
        <v>11</v>
      </c>
      <c r="H773" s="324" t="s">
        <v>533</v>
      </c>
      <c r="I773" s="324">
        <v>160666.66666666669</v>
      </c>
      <c r="J773" s="324">
        <v>160666.66666666669</v>
      </c>
      <c r="K773" s="324" t="s">
        <v>1204</v>
      </c>
      <c r="M773" s="324">
        <v>127333.33333333333</v>
      </c>
      <c r="N773" s="324">
        <v>144000</v>
      </c>
      <c r="O773" s="324">
        <v>1312666.6666666667</v>
      </c>
      <c r="U773" s="324" t="s">
        <v>1204</v>
      </c>
      <c r="V773" s="324" t="s">
        <v>535</v>
      </c>
      <c r="X773" s="324" t="s">
        <v>243</v>
      </c>
      <c r="Y773" s="324" t="s">
        <v>255</v>
      </c>
      <c r="Z773" s="324" t="s">
        <v>341</v>
      </c>
    </row>
    <row r="774" spans="1:28" s="324" customFormat="1" ht="0.65" hidden="1" customHeight="1">
      <c r="A774" s="324">
        <v>3086</v>
      </c>
      <c r="F774" s="324">
        <v>1</v>
      </c>
      <c r="G774" s="324">
        <v>12</v>
      </c>
      <c r="H774" s="324" t="s">
        <v>536</v>
      </c>
      <c r="I774" s="324">
        <v>160666.66666666669</v>
      </c>
      <c r="J774" s="324">
        <v>160666.66666666669</v>
      </c>
      <c r="K774" s="324" t="s">
        <v>1204</v>
      </c>
      <c r="M774" s="324">
        <v>127333.33333333333</v>
      </c>
      <c r="N774" s="324">
        <v>144000</v>
      </c>
      <c r="O774" s="324">
        <v>1312666.6666666667</v>
      </c>
      <c r="U774" s="324" t="s">
        <v>1204</v>
      </c>
      <c r="V774" s="324" t="s">
        <v>537</v>
      </c>
      <c r="X774" s="324" t="s">
        <v>243</v>
      </c>
      <c r="Y774" s="324" t="s">
        <v>255</v>
      </c>
      <c r="Z774" s="324" t="s">
        <v>341</v>
      </c>
    </row>
    <row r="775" spans="1:28" s="324" customFormat="1" ht="0.65" hidden="1" customHeight="1">
      <c r="A775" s="324">
        <v>3087</v>
      </c>
      <c r="F775" s="324">
        <v>1</v>
      </c>
      <c r="G775" s="324">
        <v>13</v>
      </c>
      <c r="H775" s="324" t="s">
        <v>538</v>
      </c>
      <c r="I775" s="324">
        <v>160666.66666666669</v>
      </c>
      <c r="J775" s="324">
        <v>160666.66666666669</v>
      </c>
      <c r="K775" s="324" t="s">
        <v>1204</v>
      </c>
      <c r="M775" s="324">
        <v>127333.33333333333</v>
      </c>
      <c r="N775" s="324">
        <v>144000</v>
      </c>
      <c r="O775" s="324">
        <v>1246000</v>
      </c>
      <c r="U775" s="324" t="s">
        <v>1204</v>
      </c>
      <c r="V775" s="324" t="s">
        <v>540</v>
      </c>
      <c r="X775" s="324" t="s">
        <v>243</v>
      </c>
      <c r="Y775" s="324" t="s">
        <v>255</v>
      </c>
      <c r="Z775" s="324" t="s">
        <v>341</v>
      </c>
    </row>
    <row r="776" spans="1:28" s="324" customFormat="1" ht="0.65" hidden="1" customHeight="1">
      <c r="A776" s="324">
        <v>3088</v>
      </c>
      <c r="B776" s="324">
        <v>2022</v>
      </c>
      <c r="C776" s="324">
        <v>2022</v>
      </c>
      <c r="D776" s="324">
        <v>1</v>
      </c>
      <c r="F776" s="324">
        <v>1</v>
      </c>
      <c r="G776" s="324">
        <v>14</v>
      </c>
      <c r="H776" s="324" t="s">
        <v>541</v>
      </c>
      <c r="I776" s="324">
        <v>40166.666666666672</v>
      </c>
      <c r="J776" s="324">
        <v>40166.666666666672</v>
      </c>
      <c r="K776" s="324" t="s">
        <v>1205</v>
      </c>
      <c r="M776" s="324">
        <v>0</v>
      </c>
      <c r="N776" s="324">
        <v>48200.000000000007</v>
      </c>
      <c r="O776" s="324">
        <v>120500.00000000001</v>
      </c>
      <c r="U776" s="324" t="s">
        <v>1205</v>
      </c>
      <c r="V776" s="324" t="s">
        <v>543</v>
      </c>
      <c r="X776" s="324" t="s">
        <v>279</v>
      </c>
      <c r="Y776" s="324" t="s">
        <v>280</v>
      </c>
      <c r="Z776" s="324" t="s">
        <v>342</v>
      </c>
    </row>
    <row r="777" spans="1:28" s="324" customFormat="1" ht="0.65" hidden="1" customHeight="1">
      <c r="A777" s="324">
        <v>3089</v>
      </c>
      <c r="B777" s="324">
        <v>2023</v>
      </c>
      <c r="C777" s="324">
        <v>2023</v>
      </c>
      <c r="D777" s="324">
        <v>1</v>
      </c>
      <c r="F777" s="324">
        <v>1</v>
      </c>
      <c r="G777" s="324">
        <v>15</v>
      </c>
      <c r="H777" s="324" t="s">
        <v>544</v>
      </c>
      <c r="I777" s="324">
        <v>40166.666666666672</v>
      </c>
      <c r="J777" s="324">
        <v>40166.666666666672</v>
      </c>
      <c r="K777" s="324" t="s">
        <v>1205</v>
      </c>
      <c r="M777" s="324">
        <v>0</v>
      </c>
      <c r="N777" s="324">
        <v>48200.000000000007</v>
      </c>
      <c r="O777" s="324">
        <v>120500.00000000001</v>
      </c>
      <c r="U777" s="324" t="s">
        <v>1205</v>
      </c>
      <c r="V777" s="324" t="s">
        <v>545</v>
      </c>
      <c r="X777" s="324" t="s">
        <v>279</v>
      </c>
      <c r="Y777" s="324" t="s">
        <v>280</v>
      </c>
      <c r="Z777" s="324" t="s">
        <v>342</v>
      </c>
    </row>
    <row r="778" spans="1:28" s="324" customFormat="1" ht="0.65" hidden="1" customHeight="1">
      <c r="A778" s="324">
        <v>3090</v>
      </c>
      <c r="B778" s="324">
        <v>2024</v>
      </c>
      <c r="C778" s="324">
        <v>2024</v>
      </c>
      <c r="D778" s="324">
        <v>1</v>
      </c>
      <c r="F778" s="324">
        <v>1</v>
      </c>
      <c r="G778" s="324">
        <v>16</v>
      </c>
      <c r="H778" s="324" t="s">
        <v>546</v>
      </c>
      <c r="I778" s="324">
        <v>40166.666666666672</v>
      </c>
      <c r="J778" s="324">
        <v>40166.666666666672</v>
      </c>
      <c r="K778" s="324" t="s">
        <v>1205</v>
      </c>
      <c r="M778" s="324">
        <v>0</v>
      </c>
      <c r="N778" s="324">
        <v>48200.000000000007</v>
      </c>
      <c r="O778" s="324">
        <v>70500</v>
      </c>
      <c r="U778" s="324" t="s">
        <v>1205</v>
      </c>
      <c r="V778" s="324" t="s">
        <v>548</v>
      </c>
      <c r="X778" s="324" t="s">
        <v>279</v>
      </c>
      <c r="Y778" s="324" t="s">
        <v>280</v>
      </c>
      <c r="Z778" s="324" t="s">
        <v>342</v>
      </c>
    </row>
    <row r="779" spans="1:28" s="324" customFormat="1" ht="0.65" hidden="1" customHeight="1">
      <c r="A779" s="324">
        <v>3091</v>
      </c>
      <c r="B779" s="324">
        <v>2025</v>
      </c>
      <c r="C779" s="324">
        <v>2025</v>
      </c>
      <c r="D779" s="324">
        <v>1</v>
      </c>
      <c r="F779" s="324">
        <v>1</v>
      </c>
      <c r="G779" s="324">
        <v>17</v>
      </c>
      <c r="H779" s="324" t="s">
        <v>549</v>
      </c>
      <c r="I779" s="324">
        <v>120500.00000000001</v>
      </c>
      <c r="J779" s="324">
        <v>120500.00000000001</v>
      </c>
      <c r="K779" s="324" t="s">
        <v>1206</v>
      </c>
      <c r="M779" s="324">
        <v>200833.33333333337</v>
      </c>
      <c r="U779" s="324" t="s">
        <v>1206</v>
      </c>
      <c r="V779" s="324" t="s">
        <v>551</v>
      </c>
      <c r="X779" s="324" t="s">
        <v>256</v>
      </c>
    </row>
    <row r="780" spans="1:28" s="324" customFormat="1" ht="0.65" hidden="1" customHeight="1">
      <c r="A780" s="324">
        <v>3092</v>
      </c>
      <c r="F780" s="324">
        <v>1</v>
      </c>
      <c r="G780" s="324">
        <v>18</v>
      </c>
      <c r="H780" s="324" t="s">
        <v>552</v>
      </c>
      <c r="I780" s="324">
        <v>120500.00000000001</v>
      </c>
      <c r="J780" s="324">
        <v>120500.00000000001</v>
      </c>
      <c r="K780" s="324" t="s">
        <v>1206</v>
      </c>
      <c r="M780" s="324">
        <v>200833.33333333337</v>
      </c>
      <c r="U780" s="324" t="s">
        <v>1206</v>
      </c>
      <c r="V780" s="324" t="s">
        <v>553</v>
      </c>
      <c r="X780" s="324" t="s">
        <v>256</v>
      </c>
    </row>
    <row r="781" spans="1:28" s="324" customFormat="1" ht="0.65" hidden="1" customHeight="1">
      <c r="A781" s="324">
        <v>3093</v>
      </c>
      <c r="B781" s="324">
        <v>0</v>
      </c>
      <c r="C781" s="324">
        <v>0</v>
      </c>
      <c r="D781" s="324">
        <v>1</v>
      </c>
      <c r="F781" s="324">
        <v>1</v>
      </c>
      <c r="G781" s="324">
        <v>19</v>
      </c>
      <c r="H781" s="324" t="s">
        <v>554</v>
      </c>
      <c r="I781" s="324">
        <v>120500.00000000001</v>
      </c>
      <c r="J781" s="324">
        <v>120500.00000000001</v>
      </c>
      <c r="K781" s="324" t="s">
        <v>1206</v>
      </c>
      <c r="M781" s="324">
        <v>200833.33333333337</v>
      </c>
      <c r="U781" s="324" t="s">
        <v>1206</v>
      </c>
      <c r="V781" s="324" t="s">
        <v>556</v>
      </c>
      <c r="X781" s="324" t="s">
        <v>256</v>
      </c>
    </row>
    <row r="782" spans="1:28" s="324" customFormat="1" ht="0.65" hidden="1" customHeight="1">
      <c r="A782" s="324">
        <v>3094</v>
      </c>
      <c r="B782" s="324">
        <v>0</v>
      </c>
      <c r="C782" s="324">
        <v>0</v>
      </c>
      <c r="D782" s="324">
        <v>1</v>
      </c>
      <c r="F782" s="324">
        <v>1</v>
      </c>
      <c r="G782" s="324">
        <v>20</v>
      </c>
      <c r="H782" s="324" t="s">
        <v>557</v>
      </c>
      <c r="I782" s="324">
        <v>103833.33333333334</v>
      </c>
      <c r="J782" s="324">
        <v>103833.33333333334</v>
      </c>
      <c r="K782" s="324" t="s">
        <v>1207</v>
      </c>
      <c r="M782" s="324">
        <v>120500.00000000001</v>
      </c>
      <c r="N782" s="324">
        <v>137166.66666666669</v>
      </c>
      <c r="U782" s="324" t="s">
        <v>1207</v>
      </c>
      <c r="V782" s="324" t="s">
        <v>559</v>
      </c>
      <c r="X782" s="324" t="s">
        <v>257</v>
      </c>
      <c r="Y782" s="324" t="s">
        <v>258</v>
      </c>
    </row>
    <row r="783" spans="1:28" s="324" customFormat="1" ht="0.65" hidden="1" customHeight="1">
      <c r="A783" s="324">
        <v>3095</v>
      </c>
      <c r="B783" s="324">
        <v>0</v>
      </c>
      <c r="C783" s="324">
        <v>0</v>
      </c>
      <c r="D783" s="324">
        <v>1</v>
      </c>
      <c r="F783" s="324">
        <v>1</v>
      </c>
      <c r="G783" s="324">
        <v>21</v>
      </c>
      <c r="H783" s="324" t="s">
        <v>560</v>
      </c>
      <c r="I783" s="324">
        <v>103833.33333333334</v>
      </c>
      <c r="J783" s="324">
        <v>103833.33333333334</v>
      </c>
      <c r="K783" s="324" t="s">
        <v>1207</v>
      </c>
      <c r="M783" s="324">
        <v>120500.00000000001</v>
      </c>
      <c r="N783" s="324">
        <v>137166.66666666669</v>
      </c>
      <c r="U783" s="324" t="s">
        <v>1207</v>
      </c>
      <c r="V783" s="324" t="s">
        <v>561</v>
      </c>
      <c r="X783" s="324" t="s">
        <v>257</v>
      </c>
      <c r="Y783" s="324" t="s">
        <v>258</v>
      </c>
    </row>
    <row r="784" spans="1:28" s="324" customFormat="1" ht="0.65" hidden="1" customHeight="1">
      <c r="A784" s="324">
        <v>3096</v>
      </c>
      <c r="F784" s="324">
        <v>1</v>
      </c>
      <c r="G784" s="324">
        <v>22</v>
      </c>
      <c r="H784" s="324" t="s">
        <v>562</v>
      </c>
      <c r="I784" s="324">
        <v>103833.33333333334</v>
      </c>
      <c r="J784" s="324">
        <v>103833.33333333334</v>
      </c>
      <c r="K784" s="324" t="s">
        <v>1207</v>
      </c>
      <c r="M784" s="324">
        <v>120500.00000000001</v>
      </c>
      <c r="N784" s="324">
        <v>137166.66666666669</v>
      </c>
      <c r="U784" s="324" t="s">
        <v>1207</v>
      </c>
      <c r="V784" s="324" t="s">
        <v>564</v>
      </c>
      <c r="X784" s="324" t="s">
        <v>257</v>
      </c>
      <c r="Y784" s="324" t="s">
        <v>258</v>
      </c>
    </row>
    <row r="785" spans="1:28" s="324" customFormat="1" ht="0.65" hidden="1" customHeight="1">
      <c r="A785" s="324">
        <v>3097</v>
      </c>
      <c r="F785" s="324">
        <v>1</v>
      </c>
      <c r="G785" s="324">
        <v>23</v>
      </c>
      <c r="H785" s="324" t="s">
        <v>565</v>
      </c>
      <c r="I785" s="324">
        <v>120000</v>
      </c>
      <c r="J785" s="324">
        <v>120000</v>
      </c>
      <c r="K785" s="324" t="s">
        <v>1208</v>
      </c>
      <c r="M785" s="324">
        <v>600000</v>
      </c>
      <c r="N785" s="324">
        <v>60000</v>
      </c>
      <c r="O785" s="324">
        <v>720000</v>
      </c>
      <c r="U785" s="324" t="s">
        <v>1208</v>
      </c>
      <c r="V785" s="324" t="s">
        <v>567</v>
      </c>
      <c r="X785" s="324" t="s">
        <v>259</v>
      </c>
      <c r="Y785" s="324" t="s">
        <v>260</v>
      </c>
      <c r="Z785" s="324" t="s">
        <v>343</v>
      </c>
    </row>
    <row r="786" spans="1:28" s="324" customFormat="1" ht="0.65" hidden="1" customHeight="1">
      <c r="A786" s="324">
        <v>3098</v>
      </c>
      <c r="F786" s="324">
        <v>1</v>
      </c>
      <c r="G786" s="324">
        <v>24</v>
      </c>
      <c r="H786" s="324" t="s">
        <v>568</v>
      </c>
      <c r="I786" s="324">
        <v>120000</v>
      </c>
      <c r="J786" s="324">
        <v>120000</v>
      </c>
      <c r="K786" s="324" t="s">
        <v>1208</v>
      </c>
      <c r="M786" s="324">
        <v>600000</v>
      </c>
      <c r="N786" s="324">
        <v>60000</v>
      </c>
      <c r="O786" s="324">
        <v>240000</v>
      </c>
      <c r="U786" s="324" t="s">
        <v>1208</v>
      </c>
      <c r="V786" s="324" t="s">
        <v>569</v>
      </c>
      <c r="X786" s="324" t="s">
        <v>259</v>
      </c>
      <c r="Y786" s="324" t="s">
        <v>260</v>
      </c>
      <c r="Z786" s="324" t="s">
        <v>261</v>
      </c>
    </row>
    <row r="787" spans="1:28" s="324" customFormat="1" ht="0.65" hidden="1" customHeight="1">
      <c r="A787" s="324">
        <v>3099</v>
      </c>
      <c r="F787" s="324">
        <v>1</v>
      </c>
      <c r="G787" s="324">
        <v>25</v>
      </c>
      <c r="H787" s="324" t="s">
        <v>570</v>
      </c>
      <c r="I787" s="324">
        <v>120000</v>
      </c>
      <c r="J787" s="324">
        <v>120000</v>
      </c>
      <c r="K787" s="324" t="s">
        <v>1208</v>
      </c>
      <c r="M787" s="324">
        <v>600000</v>
      </c>
      <c r="N787" s="324">
        <v>60000</v>
      </c>
      <c r="O787" s="324">
        <v>360000</v>
      </c>
      <c r="U787" s="324" t="s">
        <v>1208</v>
      </c>
      <c r="V787" s="324" t="s">
        <v>571</v>
      </c>
      <c r="X787" s="324" t="s">
        <v>259</v>
      </c>
      <c r="Y787" s="324" t="s">
        <v>260</v>
      </c>
      <c r="Z787" s="324" t="s">
        <v>261</v>
      </c>
    </row>
    <row r="788" spans="1:28" s="324" customFormat="1" ht="0.65" hidden="1" customHeight="1">
      <c r="A788" s="324">
        <v>3100</v>
      </c>
      <c r="F788" s="324">
        <v>1</v>
      </c>
      <c r="G788" s="324">
        <v>26</v>
      </c>
      <c r="H788" s="324" t="s">
        <v>572</v>
      </c>
      <c r="I788" s="324">
        <v>48000</v>
      </c>
      <c r="J788" s="324">
        <v>48000</v>
      </c>
      <c r="K788" s="324" t="s">
        <v>1209</v>
      </c>
      <c r="M788" s="324">
        <v>528000</v>
      </c>
      <c r="N788" s="324">
        <v>96000</v>
      </c>
      <c r="O788" s="324">
        <v>576000</v>
      </c>
      <c r="U788" s="324" t="s">
        <v>1209</v>
      </c>
      <c r="V788" s="324" t="s">
        <v>574</v>
      </c>
      <c r="X788" s="324" t="s">
        <v>262</v>
      </c>
      <c r="Y788" s="324" t="s">
        <v>263</v>
      </c>
      <c r="Z788" s="324" t="s">
        <v>344</v>
      </c>
    </row>
    <row r="789" spans="1:28" s="324" customFormat="1" ht="0.65" hidden="1" customHeight="1">
      <c r="A789" s="324">
        <v>3101</v>
      </c>
      <c r="F789" s="324">
        <v>1</v>
      </c>
      <c r="G789" s="324">
        <v>27</v>
      </c>
      <c r="H789" s="324" t="s">
        <v>575</v>
      </c>
      <c r="I789" s="324">
        <v>48000</v>
      </c>
      <c r="J789" s="324">
        <v>48000</v>
      </c>
      <c r="K789" s="324" t="s">
        <v>1209</v>
      </c>
      <c r="M789" s="324">
        <v>528000</v>
      </c>
      <c r="N789" s="324">
        <v>96000</v>
      </c>
      <c r="O789" s="324">
        <v>96000</v>
      </c>
      <c r="U789" s="324" t="s">
        <v>1209</v>
      </c>
      <c r="V789" s="324" t="s">
        <v>576</v>
      </c>
      <c r="X789" s="324" t="s">
        <v>262</v>
      </c>
      <c r="Y789" s="324" t="s">
        <v>263</v>
      </c>
      <c r="Z789" s="324" t="s">
        <v>264</v>
      </c>
    </row>
    <row r="790" spans="1:28" s="324" customFormat="1" ht="0.65" hidden="1" customHeight="1">
      <c r="A790" s="324">
        <v>3102</v>
      </c>
      <c r="F790" s="324">
        <v>1</v>
      </c>
      <c r="G790" s="324">
        <v>28</v>
      </c>
      <c r="H790" s="324" t="s">
        <v>577</v>
      </c>
      <c r="I790" s="324">
        <v>48000</v>
      </c>
      <c r="J790" s="324">
        <v>48000</v>
      </c>
      <c r="K790" s="324" t="s">
        <v>1209</v>
      </c>
      <c r="M790" s="324">
        <v>528000</v>
      </c>
      <c r="N790" s="324">
        <v>96000</v>
      </c>
      <c r="O790" s="324">
        <v>144000</v>
      </c>
      <c r="U790" s="324" t="s">
        <v>1209</v>
      </c>
      <c r="V790" s="324" t="s">
        <v>578</v>
      </c>
      <c r="X790" s="324" t="s">
        <v>262</v>
      </c>
      <c r="Y790" s="324" t="s">
        <v>263</v>
      </c>
      <c r="Z790" s="324" t="s">
        <v>264</v>
      </c>
    </row>
    <row r="791" spans="1:28" s="324" customFormat="1" ht="0.65" hidden="1" customHeight="1">
      <c r="A791" s="324">
        <v>3103</v>
      </c>
      <c r="F791" s="324">
        <v>1</v>
      </c>
      <c r="G791" s="324">
        <v>29</v>
      </c>
      <c r="H791" s="324" t="s">
        <v>579</v>
      </c>
      <c r="I791" s="324">
        <v>72000</v>
      </c>
      <c r="J791" s="324">
        <v>72000</v>
      </c>
      <c r="K791" s="324" t="s">
        <v>1210</v>
      </c>
      <c r="M791" s="324">
        <v>168000</v>
      </c>
      <c r="N791" s="324">
        <v>0</v>
      </c>
      <c r="O791" s="324">
        <v>120000</v>
      </c>
      <c r="U791" s="324" t="s">
        <v>1210</v>
      </c>
      <c r="V791" s="324" t="s">
        <v>581</v>
      </c>
      <c r="X791" s="324" t="s">
        <v>265</v>
      </c>
      <c r="Y791" s="324" t="s">
        <v>266</v>
      </c>
      <c r="Z791" s="324" t="s">
        <v>281</v>
      </c>
    </row>
    <row r="792" spans="1:28" s="324" customFormat="1" ht="0.65" hidden="1" customHeight="1">
      <c r="A792" s="324">
        <v>3104</v>
      </c>
      <c r="F792" s="324">
        <v>1</v>
      </c>
      <c r="G792" s="324">
        <v>30</v>
      </c>
      <c r="H792" s="324" t="s">
        <v>582</v>
      </c>
      <c r="I792" s="324">
        <v>72000</v>
      </c>
      <c r="J792" s="324">
        <v>72000</v>
      </c>
      <c r="K792" s="324" t="s">
        <v>1210</v>
      </c>
      <c r="M792" s="324">
        <v>168000</v>
      </c>
      <c r="N792" s="324">
        <v>0</v>
      </c>
      <c r="O792" s="324">
        <v>120000</v>
      </c>
      <c r="U792" s="324" t="s">
        <v>1210</v>
      </c>
      <c r="V792" s="324" t="s">
        <v>583</v>
      </c>
      <c r="X792" s="324" t="s">
        <v>265</v>
      </c>
      <c r="Y792" s="324" t="s">
        <v>266</v>
      </c>
      <c r="Z792" s="324" t="s">
        <v>281</v>
      </c>
    </row>
    <row r="793" spans="1:28" s="324" customFormat="1" ht="0.65" hidden="1" customHeight="1">
      <c r="A793" s="324">
        <v>3105</v>
      </c>
      <c r="F793" s="324">
        <v>1</v>
      </c>
      <c r="G793" s="324">
        <v>31</v>
      </c>
      <c r="H793" s="324" t="s">
        <v>584</v>
      </c>
      <c r="I793" s="324">
        <v>72000</v>
      </c>
      <c r="J793" s="324">
        <v>72000</v>
      </c>
      <c r="K793" s="324" t="s">
        <v>1210</v>
      </c>
      <c r="M793" s="324">
        <v>168000</v>
      </c>
      <c r="N793" s="324">
        <v>0</v>
      </c>
      <c r="O793" s="324">
        <v>120000</v>
      </c>
      <c r="U793" s="324" t="s">
        <v>1210</v>
      </c>
      <c r="V793" s="324" t="s">
        <v>585</v>
      </c>
      <c r="X793" s="324" t="s">
        <v>265</v>
      </c>
      <c r="Y793" s="324" t="s">
        <v>266</v>
      </c>
      <c r="Z793" s="324" t="s">
        <v>281</v>
      </c>
    </row>
    <row r="794" spans="1:28" s="324" customFormat="1" ht="0.65" hidden="1" customHeight="1">
      <c r="A794" s="324">
        <v>3106</v>
      </c>
      <c r="F794" s="324">
        <v>1</v>
      </c>
      <c r="G794" s="324">
        <v>32</v>
      </c>
      <c r="H794" s="324" t="s">
        <v>586</v>
      </c>
      <c r="I794" s="324">
        <v>72000</v>
      </c>
      <c r="J794" s="324">
        <v>72000</v>
      </c>
      <c r="K794" s="324" t="s">
        <v>1211</v>
      </c>
      <c r="U794" s="324" t="s">
        <v>1211</v>
      </c>
      <c r="V794" s="324" t="s">
        <v>588</v>
      </c>
    </row>
    <row r="795" spans="1:28" s="324" customFormat="1" ht="0.65" hidden="1" customHeight="1">
      <c r="A795" s="324">
        <v>3107</v>
      </c>
      <c r="F795" s="324">
        <v>1</v>
      </c>
      <c r="G795" s="324">
        <v>33</v>
      </c>
      <c r="H795" s="324" t="s">
        <v>589</v>
      </c>
      <c r="I795" s="324">
        <v>0</v>
      </c>
      <c r="J795" s="324">
        <v>0</v>
      </c>
      <c r="K795" s="324" t="s">
        <v>1198</v>
      </c>
      <c r="M795" s="324">
        <v>72000</v>
      </c>
      <c r="N795" s="324">
        <v>144000</v>
      </c>
      <c r="U795" s="324" t="s">
        <v>1198</v>
      </c>
      <c r="V795" s="324" t="s">
        <v>507</v>
      </c>
      <c r="X795" s="324" t="s">
        <v>267</v>
      </c>
      <c r="Y795" s="324" t="s">
        <v>268</v>
      </c>
    </row>
    <row r="796" spans="1:28" s="324" customFormat="1" ht="0.65" hidden="1" customHeight="1">
      <c r="A796" s="324">
        <v>3108</v>
      </c>
      <c r="F796" s="324">
        <v>1</v>
      </c>
      <c r="G796" s="324">
        <v>34</v>
      </c>
      <c r="H796" s="324" t="s">
        <v>590</v>
      </c>
      <c r="I796" s="324">
        <v>0</v>
      </c>
      <c r="J796" s="324">
        <v>0</v>
      </c>
      <c r="K796" s="324" t="s">
        <v>1198</v>
      </c>
      <c r="M796" s="324">
        <v>72000</v>
      </c>
      <c r="N796" s="324">
        <v>144000</v>
      </c>
      <c r="U796" s="324" t="s">
        <v>1198</v>
      </c>
      <c r="V796" s="324" t="s">
        <v>591</v>
      </c>
      <c r="X796" s="324" t="s">
        <v>267</v>
      </c>
      <c r="Y796" s="324" t="s">
        <v>268</v>
      </c>
    </row>
    <row r="797" spans="1:28" s="324" customFormat="1" ht="0.65" hidden="1" customHeight="1">
      <c r="A797" s="324">
        <v>3109</v>
      </c>
      <c r="F797" s="324">
        <v>1</v>
      </c>
      <c r="G797" s="324">
        <v>35</v>
      </c>
      <c r="H797" s="324" t="s">
        <v>592</v>
      </c>
      <c r="I797" s="324">
        <v>31833.333333333343</v>
      </c>
      <c r="J797" s="324">
        <v>31833.333333333343</v>
      </c>
      <c r="K797" s="324" t="s">
        <v>1212</v>
      </c>
      <c r="M797" s="324">
        <v>175833.33333333334</v>
      </c>
      <c r="N797" s="324">
        <v>103833.33333333334</v>
      </c>
      <c r="U797" s="324" t="s">
        <v>1212</v>
      </c>
      <c r="V797" s="324" t="s">
        <v>594</v>
      </c>
      <c r="X797" s="324" t="s">
        <v>269</v>
      </c>
      <c r="Y797" s="324" t="s">
        <v>282</v>
      </c>
    </row>
    <row r="798" spans="1:28" s="324" customFormat="1" ht="0.65" hidden="1" customHeight="1">
      <c r="A798" s="324">
        <v>3110</v>
      </c>
      <c r="F798" s="324">
        <v>1</v>
      </c>
      <c r="G798" s="324">
        <v>36</v>
      </c>
      <c r="H798" s="324" t="s">
        <v>595</v>
      </c>
      <c r="I798" s="324">
        <v>103833.33333333334</v>
      </c>
      <c r="J798" s="324">
        <v>103833.33333333334</v>
      </c>
      <c r="K798" s="324" t="s">
        <v>1213</v>
      </c>
      <c r="M798" s="324">
        <v>31833.333333333343</v>
      </c>
      <c r="U798" s="324" t="s">
        <v>1213</v>
      </c>
      <c r="V798" s="324" t="s">
        <v>597</v>
      </c>
      <c r="X798" s="324" t="s">
        <v>270</v>
      </c>
    </row>
    <row r="799" spans="1:28" s="324" customFormat="1" ht="0.65" hidden="1" customHeight="1">
      <c r="A799" s="324">
        <v>3111</v>
      </c>
      <c r="F799" s="324">
        <v>1</v>
      </c>
      <c r="G799" s="324">
        <v>37</v>
      </c>
      <c r="H799" s="324" t="s">
        <v>598</v>
      </c>
      <c r="I799" s="324">
        <v>103833.33333333334</v>
      </c>
      <c r="J799" s="324">
        <v>103833.33333333334</v>
      </c>
      <c r="K799" s="324" t="s">
        <v>1213</v>
      </c>
      <c r="M799" s="324">
        <v>31833.333333333343</v>
      </c>
      <c r="U799" s="324" t="s">
        <v>1213</v>
      </c>
      <c r="V799" s="324" t="s">
        <v>600</v>
      </c>
      <c r="X799" s="324" t="s">
        <v>270</v>
      </c>
    </row>
    <row r="800" spans="1:28" s="324" customFormat="1" ht="0.65" hidden="1" customHeight="1">
      <c r="A800" s="324">
        <v>3112</v>
      </c>
      <c r="F800" s="324">
        <v>1</v>
      </c>
      <c r="G800" s="324">
        <v>38</v>
      </c>
      <c r="H800" s="324" t="s">
        <v>491</v>
      </c>
      <c r="I800" s="324">
        <v>75000</v>
      </c>
      <c r="J800" s="324">
        <v>75000</v>
      </c>
      <c r="K800" s="324" t="s">
        <v>1214</v>
      </c>
      <c r="M800" s="324">
        <v>50000</v>
      </c>
      <c r="N800" s="324">
        <v>37500</v>
      </c>
      <c r="O800" s="324">
        <v>147000</v>
      </c>
      <c r="P800" s="324">
        <v>112500</v>
      </c>
      <c r="Q800" s="324">
        <v>87500</v>
      </c>
      <c r="U800" s="324" t="s">
        <v>1214</v>
      </c>
      <c r="V800" s="324" t="s">
        <v>602</v>
      </c>
      <c r="X800" s="324" t="s">
        <v>271</v>
      </c>
      <c r="Y800" s="324" t="s">
        <v>272</v>
      </c>
      <c r="Z800" s="324" t="s">
        <v>273</v>
      </c>
      <c r="AA800" s="324" t="s">
        <v>283</v>
      </c>
      <c r="AB800" s="324" t="s">
        <v>345</v>
      </c>
    </row>
    <row r="801" spans="1:28" s="324" customFormat="1" ht="0.65" hidden="1" customHeight="1">
      <c r="A801" s="324">
        <v>3113</v>
      </c>
      <c r="F801" s="324">
        <v>1</v>
      </c>
      <c r="G801" s="324">
        <v>39</v>
      </c>
      <c r="H801" s="324" t="s">
        <v>493</v>
      </c>
      <c r="I801" s="324">
        <v>72000</v>
      </c>
      <c r="J801" s="324">
        <v>72000</v>
      </c>
      <c r="K801" s="324" t="s">
        <v>1215</v>
      </c>
      <c r="M801" s="324">
        <v>0</v>
      </c>
      <c r="U801" s="324" t="s">
        <v>1215</v>
      </c>
      <c r="V801" s="324" t="s">
        <v>604</v>
      </c>
      <c r="X801" s="324" t="s">
        <v>289</v>
      </c>
    </row>
    <row r="802" spans="1:28" s="324" customFormat="1" ht="0.65" hidden="1" customHeight="1">
      <c r="A802" s="324">
        <v>3114</v>
      </c>
      <c r="F802" s="324">
        <v>1</v>
      </c>
      <c r="G802" s="324">
        <v>40</v>
      </c>
      <c r="H802" s="324" t="s">
        <v>494</v>
      </c>
      <c r="I802" s="324">
        <v>147000</v>
      </c>
      <c r="J802" s="324">
        <v>147000</v>
      </c>
      <c r="K802" s="324" t="s">
        <v>1216</v>
      </c>
      <c r="M802" s="324">
        <v>3000</v>
      </c>
      <c r="N802" s="324">
        <v>75000</v>
      </c>
      <c r="O802" s="324">
        <v>72000</v>
      </c>
      <c r="U802" s="324" t="s">
        <v>1216</v>
      </c>
      <c r="V802" s="324" t="s">
        <v>606</v>
      </c>
      <c r="X802" s="324" t="s">
        <v>274</v>
      </c>
      <c r="Y802" s="324" t="s">
        <v>284</v>
      </c>
      <c r="Z802" s="324" t="s">
        <v>285</v>
      </c>
    </row>
    <row r="803" spans="1:28" s="324" customFormat="1" ht="0.65" hidden="1" customHeight="1">
      <c r="A803" s="324">
        <v>3115</v>
      </c>
      <c r="F803" s="324">
        <v>1</v>
      </c>
      <c r="G803" s="324">
        <v>41</v>
      </c>
      <c r="H803" s="324" t="s">
        <v>607</v>
      </c>
      <c r="I803" s="324">
        <v>-175000</v>
      </c>
      <c r="J803" s="324">
        <v>-175000</v>
      </c>
      <c r="K803" s="324" t="s">
        <v>1217</v>
      </c>
      <c r="M803" s="324">
        <v>175000</v>
      </c>
      <c r="U803" s="324" t="s">
        <v>1217</v>
      </c>
      <c r="V803" s="324" t="s">
        <v>609</v>
      </c>
      <c r="X803" s="324" t="s">
        <v>275</v>
      </c>
    </row>
    <row r="804" spans="1:28" s="324" customFormat="1" ht="0.65" hidden="1" customHeight="1">
      <c r="A804" s="324">
        <v>3116</v>
      </c>
      <c r="F804" s="324">
        <v>1</v>
      </c>
      <c r="G804" s="324">
        <v>42</v>
      </c>
      <c r="H804" s="324" t="s">
        <v>610</v>
      </c>
      <c r="I804" s="324">
        <v>31833.333333333343</v>
      </c>
      <c r="J804" s="324">
        <v>31833.333333333343</v>
      </c>
      <c r="K804" s="324" t="s">
        <v>1212</v>
      </c>
      <c r="U804" s="324" t="s">
        <v>1212</v>
      </c>
      <c r="V804" s="324" t="s">
        <v>594</v>
      </c>
    </row>
    <row r="805" spans="1:28" s="324" customFormat="1" ht="0.65" hidden="1" customHeight="1">
      <c r="A805" s="324">
        <v>3117</v>
      </c>
      <c r="F805" s="324">
        <v>1</v>
      </c>
      <c r="G805" s="324">
        <v>43</v>
      </c>
      <c r="H805" s="324" t="s">
        <v>611</v>
      </c>
      <c r="I805" s="324">
        <v>103833.33333333334</v>
      </c>
      <c r="J805" s="324">
        <v>103833.33333333334</v>
      </c>
      <c r="K805" s="324" t="s">
        <v>1213</v>
      </c>
      <c r="U805" s="324" t="s">
        <v>1213</v>
      </c>
      <c r="V805" s="324" t="s">
        <v>597</v>
      </c>
    </row>
    <row r="806" spans="1:28" s="324" customFormat="1" ht="0.65" hidden="1" customHeight="1">
      <c r="A806" s="324">
        <v>3118</v>
      </c>
      <c r="F806" s="324">
        <v>1</v>
      </c>
      <c r="G806" s="324">
        <v>44</v>
      </c>
      <c r="H806" s="324" t="s">
        <v>612</v>
      </c>
      <c r="I806" s="324">
        <v>250833.33333333334</v>
      </c>
      <c r="J806" s="324">
        <v>250833.33333333334</v>
      </c>
      <c r="K806" s="324" t="s">
        <v>1218</v>
      </c>
      <c r="M806" s="324">
        <v>103833.33333333334</v>
      </c>
      <c r="N806" s="324">
        <v>-43166.666666666657</v>
      </c>
      <c r="U806" s="324" t="s">
        <v>1218</v>
      </c>
      <c r="V806" s="324" t="s">
        <v>614</v>
      </c>
      <c r="X806" s="324" t="s">
        <v>276</v>
      </c>
      <c r="Y806" s="324" t="s">
        <v>346</v>
      </c>
    </row>
    <row r="807" spans="1:28" s="324" customFormat="1" ht="0.65" hidden="1" customHeight="1">
      <c r="A807" s="324">
        <v>3119</v>
      </c>
      <c r="F807" s="324">
        <v>1</v>
      </c>
      <c r="G807" s="324">
        <v>45</v>
      </c>
      <c r="H807" s="324" t="s">
        <v>414</v>
      </c>
      <c r="I807" s="324">
        <v>4.4999999999999998E-2</v>
      </c>
      <c r="J807" s="324">
        <v>4.4999999999999998E-2</v>
      </c>
      <c r="K807" s="324" t="s">
        <v>1219</v>
      </c>
      <c r="M807" s="324">
        <v>0.06</v>
      </c>
      <c r="N807" s="324">
        <v>180000</v>
      </c>
      <c r="O807" s="324">
        <v>1.4999999999999999E-2</v>
      </c>
      <c r="P807" s="324">
        <v>7.4999999999999997E-2</v>
      </c>
      <c r="U807" s="324" t="s">
        <v>1219</v>
      </c>
      <c r="V807" s="324" t="s">
        <v>616</v>
      </c>
      <c r="X807" s="324" t="s">
        <v>277</v>
      </c>
      <c r="Y807" s="324" t="s">
        <v>347</v>
      </c>
      <c r="Z807" s="324" t="s">
        <v>348</v>
      </c>
      <c r="AA807" s="324" t="s">
        <v>349</v>
      </c>
    </row>
    <row r="808" spans="1:28" s="324" customFormat="1" ht="0.65" hidden="1" customHeight="1">
      <c r="A808" s="324">
        <v>3120</v>
      </c>
      <c r="F808" s="324">
        <v>1</v>
      </c>
      <c r="G808" s="324">
        <v>46</v>
      </c>
      <c r="H808" s="324" t="s">
        <v>415</v>
      </c>
      <c r="I808" s="324">
        <v>0.08</v>
      </c>
      <c r="J808" s="324">
        <v>0.08</v>
      </c>
      <c r="K808" s="324" t="s">
        <v>1220</v>
      </c>
      <c r="M808" s="324">
        <v>0.05</v>
      </c>
      <c r="N808" s="324">
        <v>450000</v>
      </c>
      <c r="O808" s="324">
        <v>2.0000000000000004E-2</v>
      </c>
      <c r="U808" s="324" t="s">
        <v>1220</v>
      </c>
      <c r="V808" s="324" t="s">
        <v>618</v>
      </c>
      <c r="X808" s="324" t="s">
        <v>278</v>
      </c>
      <c r="Y808" s="324" t="s">
        <v>350</v>
      </c>
      <c r="Z808" s="324" t="s">
        <v>351</v>
      </c>
    </row>
    <row r="809" spans="1:28" s="324" customFormat="1" ht="0.65" hidden="1" customHeight="1">
      <c r="A809" s="324">
        <v>3121</v>
      </c>
      <c r="F809" s="324">
        <v>1</v>
      </c>
      <c r="G809" s="324">
        <v>47</v>
      </c>
      <c r="H809" s="324" t="s">
        <v>416</v>
      </c>
      <c r="I809" s="324">
        <v>7.1249999999999994E-2</v>
      </c>
      <c r="J809" s="324">
        <v>7.1249999999999994E-2</v>
      </c>
      <c r="K809" s="324" t="s">
        <v>1221</v>
      </c>
      <c r="U809" s="324" t="s">
        <v>1221</v>
      </c>
      <c r="V809" s="324" t="s">
        <v>620</v>
      </c>
    </row>
    <row r="810" spans="1:28" s="324" customFormat="1" ht="0.65" hidden="1" customHeight="1">
      <c r="A810" s="324">
        <v>3122</v>
      </c>
      <c r="F810" s="324">
        <v>1</v>
      </c>
      <c r="G810" s="324">
        <v>48</v>
      </c>
      <c r="H810" s="324" t="s">
        <v>13</v>
      </c>
      <c r="I810" s="324">
        <v>149235.38433886995</v>
      </c>
      <c r="J810" s="324">
        <v>149235.38433886995</v>
      </c>
      <c r="K810" s="324" t="s">
        <v>1222</v>
      </c>
      <c r="M810" s="324">
        <v>170350.21139012527</v>
      </c>
      <c r="N810" s="324">
        <v>142615.24327253638</v>
      </c>
      <c r="O810" s="324">
        <v>139309.5769791085</v>
      </c>
      <c r="P810" s="324">
        <v>324235.38433886995</v>
      </c>
      <c r="Q810" s="324">
        <v>499235.38433886995</v>
      </c>
      <c r="U810" s="324" t="s">
        <v>1222</v>
      </c>
      <c r="V810" s="324" t="s">
        <v>622</v>
      </c>
      <c r="X810" s="324" t="s">
        <v>286</v>
      </c>
      <c r="Y810" s="324" t="s">
        <v>287</v>
      </c>
      <c r="Z810" s="324" t="s">
        <v>288</v>
      </c>
      <c r="AA810" s="324" t="s">
        <v>352</v>
      </c>
      <c r="AB810" s="324" t="s">
        <v>353</v>
      </c>
    </row>
    <row r="811" spans="1:28" s="324" customFormat="1" ht="0.65" hidden="1" customHeight="1">
      <c r="A811" s="324">
        <v>3123</v>
      </c>
      <c r="F811" s="324">
        <v>1</v>
      </c>
      <c r="G811" s="324">
        <v>49</v>
      </c>
      <c r="H811" s="324" t="s">
        <v>28</v>
      </c>
      <c r="I811" s="324">
        <v>0.37357216681627725</v>
      </c>
      <c r="J811" s="324">
        <v>0.37357216681627725</v>
      </c>
      <c r="K811" s="324" t="s">
        <v>1223</v>
      </c>
      <c r="U811" s="324" t="s">
        <v>1223</v>
      </c>
      <c r="V811" s="324" t="s">
        <v>624</v>
      </c>
    </row>
    <row r="812" spans="1:28" s="324" customFormat="1" ht="0.65" hidden="1" customHeight="1">
      <c r="A812" s="324">
        <v>3124</v>
      </c>
      <c r="M812" s="324">
        <v>1</v>
      </c>
      <c r="N812" s="324">
        <v>2</v>
      </c>
      <c r="O812" s="324">
        <v>3</v>
      </c>
      <c r="P812" s="324">
        <v>4</v>
      </c>
      <c r="Q812" s="324">
        <v>5</v>
      </c>
      <c r="R812" s="324">
        <v>6</v>
      </c>
      <c r="S812" s="324">
        <v>7</v>
      </c>
      <c r="T812" s="324">
        <v>8</v>
      </c>
      <c r="U812" s="324">
        <v>9</v>
      </c>
      <c r="V812" s="324">
        <v>10</v>
      </c>
    </row>
    <row r="813" spans="1:28" s="324" customFormat="1" ht="0.65" hidden="1" customHeight="1">
      <c r="A813" s="324">
        <v>3125</v>
      </c>
    </row>
    <row r="814" spans="1:28" s="324" customFormat="1" ht="0.65" hidden="1" customHeight="1">
      <c r="A814" s="324">
        <v>3126</v>
      </c>
    </row>
    <row r="815" spans="1:28" s="324" customFormat="1" ht="0.65" hidden="1" customHeight="1">
      <c r="A815" s="324">
        <v>3127</v>
      </c>
      <c r="K815" s="324" t="s">
        <v>211</v>
      </c>
    </row>
    <row r="816" spans="1:28" s="324" customFormat="1" ht="0.65" hidden="1" customHeight="1">
      <c r="A816" s="324">
        <v>3128</v>
      </c>
    </row>
    <row r="817" spans="1:21" s="324" customFormat="1" ht="0.65" hidden="1" customHeight="1">
      <c r="A817" s="324">
        <v>3129</v>
      </c>
    </row>
    <row r="818" spans="1:21" s="324" customFormat="1" ht="0.65" hidden="1" customHeight="1">
      <c r="A818" s="324">
        <v>3130</v>
      </c>
    </row>
    <row r="819" spans="1:21" s="324" customFormat="1" ht="0.65" hidden="1" customHeight="1">
      <c r="A819" s="324">
        <v>3131</v>
      </c>
    </row>
    <row r="820" spans="1:21" s="324" customFormat="1" ht="0.65" hidden="1" customHeight="1">
      <c r="A820" s="324">
        <v>3132</v>
      </c>
    </row>
    <row r="821" spans="1:21" s="324" customFormat="1" ht="0.65" hidden="1" customHeight="1">
      <c r="A821" s="324">
        <v>3133</v>
      </c>
    </row>
    <row r="822" spans="1:21" s="324" customFormat="1" ht="0.65" hidden="1" customHeight="1">
      <c r="A822" s="324">
        <v>3134</v>
      </c>
    </row>
    <row r="823" spans="1:21" s="324" customFormat="1" ht="0.65" hidden="1" customHeight="1">
      <c r="A823" s="324">
        <v>3135</v>
      </c>
    </row>
    <row r="824" spans="1:21" s="324" customFormat="1" ht="0.65" hidden="1" customHeight="1">
      <c r="A824" s="324">
        <v>3136</v>
      </c>
    </row>
    <row r="825" spans="1:21" s="324" customFormat="1" ht="0.65" hidden="1" customHeight="1">
      <c r="A825" s="324">
        <v>3137</v>
      </c>
    </row>
    <row r="826" spans="1:21" s="324" customFormat="1" ht="0.65" hidden="1" customHeight="1">
      <c r="A826" s="324">
        <v>3138</v>
      </c>
    </row>
    <row r="827" spans="1:21" s="324" customFormat="1" ht="0.65" hidden="1" customHeight="1">
      <c r="A827" s="324">
        <v>3139</v>
      </c>
    </row>
    <row r="828" spans="1:21" s="324" customFormat="1" ht="0.65" hidden="1" customHeight="1">
      <c r="A828" s="324">
        <v>3140</v>
      </c>
    </row>
    <row r="829" spans="1:21" s="324" customFormat="1" ht="0.65" hidden="1" customHeight="1">
      <c r="A829" s="324">
        <v>3141</v>
      </c>
    </row>
    <row r="830" spans="1:21" s="324" customFormat="1" ht="0.65" hidden="1" customHeight="1">
      <c r="A830" s="324">
        <v>3142</v>
      </c>
    </row>
    <row r="831" spans="1:21" s="324" customFormat="1" ht="0.65" hidden="1" customHeight="1">
      <c r="A831" s="324">
        <v>3143</v>
      </c>
    </row>
    <row r="832" spans="1:21" s="324" customFormat="1" ht="0.65" hidden="1" customHeight="1">
      <c r="A832" s="324">
        <v>3144</v>
      </c>
      <c r="U832" s="324" t="s">
        <v>1224</v>
      </c>
    </row>
    <row r="833" spans="1:32" s="324" customFormat="1" ht="0.65" hidden="1" customHeight="1">
      <c r="A833" s="324">
        <v>3145</v>
      </c>
      <c r="G833" s="324" t="s">
        <v>0</v>
      </c>
      <c r="H833" s="324" t="s">
        <v>69</v>
      </c>
      <c r="I833" s="324" t="s">
        <v>70</v>
      </c>
      <c r="J833" s="324" t="s">
        <v>71</v>
      </c>
      <c r="K833" s="324" t="s">
        <v>72</v>
      </c>
      <c r="L833" s="324" t="s">
        <v>73</v>
      </c>
      <c r="M833" s="324" t="s">
        <v>74</v>
      </c>
      <c r="N833" s="324" t="s">
        <v>75</v>
      </c>
      <c r="O833" s="324" t="s">
        <v>80</v>
      </c>
      <c r="P833" s="324" t="s">
        <v>1</v>
      </c>
      <c r="V833" s="324" t="s">
        <v>182</v>
      </c>
      <c r="W833" s="324" t="s">
        <v>183</v>
      </c>
      <c r="X833" s="324" t="s">
        <v>184</v>
      </c>
      <c r="Y833" s="324" t="s">
        <v>185</v>
      </c>
    </row>
    <row r="834" spans="1:32" s="324" customFormat="1" ht="0.65" hidden="1" customHeight="1">
      <c r="A834" s="324">
        <v>3146</v>
      </c>
      <c r="G834" s="324">
        <v>2022</v>
      </c>
      <c r="H834" s="324">
        <v>0</v>
      </c>
      <c r="I834" s="324">
        <v>0</v>
      </c>
      <c r="J834" s="324">
        <v>0</v>
      </c>
      <c r="K834" s="324">
        <v>0</v>
      </c>
      <c r="L834" s="324">
        <v>0</v>
      </c>
      <c r="M834" s="324">
        <v>0</v>
      </c>
      <c r="N834" s="324">
        <v>0</v>
      </c>
      <c r="O834" s="324">
        <v>0</v>
      </c>
      <c r="P834" s="324">
        <v>-175000</v>
      </c>
      <c r="T834" s="324">
        <v>1</v>
      </c>
      <c r="U834" s="324" t="s">
        <v>153</v>
      </c>
      <c r="V834" s="324" t="s">
        <v>178</v>
      </c>
      <c r="W834" s="324">
        <v>148493.70481090917</v>
      </c>
      <c r="X834" s="324">
        <v>-741.67952796077589</v>
      </c>
      <c r="Y834" s="324">
        <v>-741.67952796077952</v>
      </c>
      <c r="AA834" s="324" t="s">
        <v>188</v>
      </c>
      <c r="AB834" s="324" t="s">
        <v>1225</v>
      </c>
      <c r="AD834" s="324">
        <v>-175000</v>
      </c>
      <c r="AE834" s="324">
        <v>162792.77919052623</v>
      </c>
      <c r="AF834" s="324">
        <v>-175000</v>
      </c>
    </row>
    <row r="835" spans="1:32" s="324" customFormat="1" ht="0.65" hidden="1" customHeight="1">
      <c r="A835" s="324">
        <v>3147</v>
      </c>
      <c r="G835" s="324">
        <v>2023</v>
      </c>
      <c r="H835" s="324">
        <v>720000</v>
      </c>
      <c r="I835" s="324">
        <v>576000</v>
      </c>
      <c r="J835" s="324">
        <v>-16666.666666666672</v>
      </c>
      <c r="K835" s="324">
        <v>160666.66666666669</v>
      </c>
      <c r="L835" s="324">
        <v>40166.666666666672</v>
      </c>
      <c r="M835" s="324">
        <v>120500.00000000001</v>
      </c>
      <c r="N835" s="324">
        <v>103833.33333333334</v>
      </c>
      <c r="O835" s="324">
        <v>31833.333333333343</v>
      </c>
      <c r="P835" s="324">
        <v>31833.333333333343</v>
      </c>
      <c r="T835" s="324">
        <v>2</v>
      </c>
      <c r="U835" s="324" t="s">
        <v>154</v>
      </c>
      <c r="V835" s="324" t="s">
        <v>178</v>
      </c>
      <c r="W835" s="324">
        <v>125558.71588050353</v>
      </c>
      <c r="X835" s="324">
        <v>-23676.668458366417</v>
      </c>
      <c r="Y835" s="324">
        <v>-23676.668458366425</v>
      </c>
      <c r="AA835" s="324" t="s">
        <v>197</v>
      </c>
      <c r="AB835" s="324" t="s">
        <v>1226</v>
      </c>
      <c r="AD835" s="324">
        <v>31833.333333333328</v>
      </c>
      <c r="AF835" s="324">
        <v>31833.333333333328</v>
      </c>
    </row>
    <row r="836" spans="1:32" s="324" customFormat="1" ht="0.65" hidden="1" customHeight="1">
      <c r="A836" s="324">
        <v>3148</v>
      </c>
      <c r="G836" s="324">
        <v>2024</v>
      </c>
      <c r="H836" s="324">
        <v>720000</v>
      </c>
      <c r="I836" s="324">
        <v>576000</v>
      </c>
      <c r="J836" s="324">
        <v>-16666.666666666672</v>
      </c>
      <c r="K836" s="324">
        <v>160666.66666666669</v>
      </c>
      <c r="L836" s="324">
        <v>40166.666666666672</v>
      </c>
      <c r="M836" s="324">
        <v>120500.00000000001</v>
      </c>
      <c r="N836" s="324">
        <v>103833.33333333334</v>
      </c>
      <c r="O836" s="324">
        <v>103833.33333333334</v>
      </c>
      <c r="P836" s="324">
        <v>103833.33333333334</v>
      </c>
      <c r="T836" s="324">
        <v>3</v>
      </c>
      <c r="U836" s="324" t="s">
        <v>155</v>
      </c>
      <c r="V836" s="324" t="s">
        <v>178</v>
      </c>
      <c r="W836" s="324">
        <v>143134.55665562459</v>
      </c>
      <c r="X836" s="324">
        <v>-6100.8276832453557</v>
      </c>
      <c r="Y836" s="324">
        <v>-6100.8276832453375</v>
      </c>
      <c r="AA836" s="324" t="s">
        <v>191</v>
      </c>
      <c r="AB836" s="324" t="s">
        <v>1227</v>
      </c>
      <c r="AD836" s="324">
        <v>103833.33333333333</v>
      </c>
      <c r="AF836" s="324">
        <v>103833.33333333333</v>
      </c>
    </row>
    <row r="837" spans="1:32" s="324" customFormat="1" ht="0.65" hidden="1" customHeight="1">
      <c r="A837" s="324">
        <v>3149</v>
      </c>
      <c r="G837" s="324">
        <v>2025</v>
      </c>
      <c r="H837" s="324">
        <v>720000</v>
      </c>
      <c r="I837" s="324">
        <v>576000</v>
      </c>
      <c r="J837" s="324">
        <v>-16666.666666666672</v>
      </c>
      <c r="K837" s="324">
        <v>160666.66666666669</v>
      </c>
      <c r="L837" s="324">
        <v>40166.666666666672</v>
      </c>
      <c r="M837" s="324">
        <v>120500.00000000001</v>
      </c>
      <c r="N837" s="324">
        <v>103833.33333333334</v>
      </c>
      <c r="O837" s="324">
        <v>103833.33333333334</v>
      </c>
      <c r="P837" s="324">
        <v>250833.33333333334</v>
      </c>
      <c r="T837" s="324">
        <v>4</v>
      </c>
      <c r="U837" s="324" t="s">
        <v>156</v>
      </c>
      <c r="V837" s="324" t="s">
        <v>179</v>
      </c>
      <c r="W837" s="324">
        <v>156735.38433886995</v>
      </c>
      <c r="X837" s="324">
        <v>7500</v>
      </c>
      <c r="Y837" s="324">
        <v>7500.0000000000109</v>
      </c>
      <c r="AA837" s="324" t="s">
        <v>198</v>
      </c>
      <c r="AB837" s="324" t="s">
        <v>1228</v>
      </c>
      <c r="AD837" s="324">
        <v>267500</v>
      </c>
      <c r="AF837" s="324">
        <v>267500</v>
      </c>
    </row>
    <row r="838" spans="1:32" s="324" customFormat="1" ht="0.65" hidden="1" customHeight="1">
      <c r="A838" s="324">
        <v>3150</v>
      </c>
      <c r="T838" s="324">
        <v>5</v>
      </c>
      <c r="U838" s="324" t="s">
        <v>157</v>
      </c>
      <c r="V838" s="324" t="s">
        <v>178</v>
      </c>
      <c r="W838" s="324">
        <v>147752.02528294839</v>
      </c>
      <c r="X838" s="324">
        <v>-1483.3590559215518</v>
      </c>
      <c r="Y838" s="324">
        <v>-1483.3590559215809</v>
      </c>
      <c r="AA838" s="324" t="s">
        <v>192</v>
      </c>
      <c r="AB838" s="324" t="s">
        <v>1229</v>
      </c>
      <c r="AD838" s="324">
        <v>7.1249999999999994E-2</v>
      </c>
      <c r="AF838" s="324">
        <v>7.1249999999999994E-2</v>
      </c>
    </row>
    <row r="839" spans="1:32" s="324" customFormat="1" ht="0.65" hidden="1" customHeight="1">
      <c r="A839" s="324">
        <v>3151</v>
      </c>
      <c r="G839" s="324" t="s">
        <v>0</v>
      </c>
      <c r="H839" s="324" t="s">
        <v>76</v>
      </c>
      <c r="I839" s="324" t="s">
        <v>77</v>
      </c>
      <c r="J839" s="324" t="s">
        <v>78</v>
      </c>
      <c r="K839" s="324" t="s">
        <v>79</v>
      </c>
      <c r="T839" s="324">
        <v>6</v>
      </c>
      <c r="U839" s="324" t="s">
        <v>158</v>
      </c>
      <c r="V839" s="324" t="s">
        <v>179</v>
      </c>
      <c r="W839" s="324">
        <v>149871.49407218874</v>
      </c>
      <c r="X839" s="324">
        <v>636.10973331879359</v>
      </c>
      <c r="Y839" s="324">
        <v>636.1097333187945</v>
      </c>
      <c r="AA839" s="324" t="s">
        <v>193</v>
      </c>
      <c r="AB839" s="324" t="s">
        <v>1230</v>
      </c>
      <c r="AD839" s="324">
        <v>162792.77919052623</v>
      </c>
      <c r="AF839" s="324">
        <v>162792.77919052623</v>
      </c>
    </row>
    <row r="840" spans="1:32" s="324" customFormat="1" ht="0.65" hidden="1" customHeight="1">
      <c r="A840" s="324">
        <v>3152</v>
      </c>
      <c r="G840" s="324">
        <v>2022</v>
      </c>
      <c r="H840" s="324">
        <v>0</v>
      </c>
      <c r="I840" s="324">
        <v>0</v>
      </c>
      <c r="J840" s="324">
        <v>0</v>
      </c>
      <c r="K840" s="324">
        <v>0</v>
      </c>
      <c r="M840" s="324" t="s">
        <v>490</v>
      </c>
      <c r="N840" s="324">
        <v>175000</v>
      </c>
      <c r="O840" s="324" t="s">
        <v>124</v>
      </c>
      <c r="P840" s="324">
        <v>4.4999999999999998E-2</v>
      </c>
      <c r="T840" s="324">
        <v>7</v>
      </c>
      <c r="U840" s="324" t="s">
        <v>159</v>
      </c>
      <c r="V840" s="324" t="s">
        <v>178</v>
      </c>
      <c r="W840" s="324">
        <v>141735.38433886995</v>
      </c>
      <c r="X840" s="324">
        <v>-7500</v>
      </c>
      <c r="Y840" s="324">
        <v>-7500</v>
      </c>
      <c r="AA840" s="324" t="s">
        <v>194</v>
      </c>
      <c r="AB840" s="324" t="s">
        <v>1231</v>
      </c>
      <c r="AF840" s="324">
        <v>162792.77919052623</v>
      </c>
    </row>
    <row r="841" spans="1:32" s="324" customFormat="1" ht="0.65" hidden="1" customHeight="1">
      <c r="A841" s="324">
        <v>3153</v>
      </c>
      <c r="G841" s="324">
        <v>2023</v>
      </c>
      <c r="H841" s="324">
        <v>120000</v>
      </c>
      <c r="I841" s="324">
        <v>48000</v>
      </c>
      <c r="J841" s="324">
        <v>72000</v>
      </c>
      <c r="K841" s="324">
        <v>72000</v>
      </c>
      <c r="M841" s="324" t="s">
        <v>491</v>
      </c>
      <c r="N841" s="324">
        <v>75000</v>
      </c>
      <c r="O841" s="324" t="s">
        <v>125</v>
      </c>
      <c r="P841" s="324">
        <v>0.08</v>
      </c>
      <c r="T841" s="324">
        <v>8</v>
      </c>
      <c r="U841" s="324" t="s">
        <v>160</v>
      </c>
      <c r="V841" s="324" t="s">
        <v>178</v>
      </c>
      <c r="W841" s="324">
        <v>146184.97049724724</v>
      </c>
      <c r="X841" s="324">
        <v>-3050.413841622707</v>
      </c>
      <c r="Y841" s="324">
        <v>-3050.4138416226733</v>
      </c>
      <c r="AA841" s="324" t="s">
        <v>195</v>
      </c>
      <c r="AB841" s="324" t="s">
        <v>1232</v>
      </c>
    </row>
    <row r="842" spans="1:32" s="324" customFormat="1" ht="0.65" hidden="1" customHeight="1">
      <c r="A842" s="324">
        <v>3154</v>
      </c>
      <c r="G842" s="324">
        <v>2024</v>
      </c>
      <c r="H842" s="324">
        <v>120000</v>
      </c>
      <c r="I842" s="324">
        <v>48000</v>
      </c>
      <c r="J842" s="324">
        <v>72000</v>
      </c>
      <c r="K842" s="324">
        <v>0</v>
      </c>
      <c r="M842" s="324" t="s">
        <v>493</v>
      </c>
      <c r="N842" s="324">
        <v>72000</v>
      </c>
      <c r="O842" s="324" t="s">
        <v>126</v>
      </c>
      <c r="P842" s="324">
        <v>7.1249999999999994E-2</v>
      </c>
      <c r="T842" s="324">
        <v>9</v>
      </c>
      <c r="U842" s="324" t="s">
        <v>161</v>
      </c>
      <c r="V842" s="324" t="s">
        <v>179</v>
      </c>
      <c r="W842" s="324">
        <v>289184.88629470416</v>
      </c>
      <c r="X842" s="324">
        <v>139949.50195583422</v>
      </c>
      <c r="Y842" s="324">
        <v>139949.50195583422</v>
      </c>
      <c r="AA842" s="324" t="s">
        <v>199</v>
      </c>
      <c r="AB842" s="324" t="s">
        <v>1233</v>
      </c>
      <c r="AD842" s="324">
        <v>-175000</v>
      </c>
    </row>
    <row r="843" spans="1:32" s="324" customFormat="1" ht="0.65" hidden="1" customHeight="1">
      <c r="A843" s="324">
        <v>3155</v>
      </c>
      <c r="G843" s="324">
        <v>2025</v>
      </c>
      <c r="H843" s="324">
        <v>120000</v>
      </c>
      <c r="I843" s="324">
        <v>48000</v>
      </c>
      <c r="J843" s="324">
        <v>72000</v>
      </c>
      <c r="K843" s="324">
        <v>0</v>
      </c>
      <c r="M843" s="324" t="s">
        <v>494</v>
      </c>
      <c r="N843" s="324">
        <v>147000</v>
      </c>
      <c r="T843" s="324">
        <v>10</v>
      </c>
      <c r="U843" s="324" t="s">
        <v>162</v>
      </c>
      <c r="V843" s="324" t="s">
        <v>178</v>
      </c>
      <c r="W843" s="324">
        <v>142032.67091568443</v>
      </c>
      <c r="X843" s="324">
        <v>-7202.7134231855161</v>
      </c>
      <c r="Y843" s="324">
        <v>-7202.713423185487</v>
      </c>
      <c r="AA843" s="324" t="s">
        <v>200</v>
      </c>
      <c r="AB843" s="324" t="s">
        <v>1234</v>
      </c>
      <c r="AD843" s="324">
        <v>31833.333333333328</v>
      </c>
    </row>
    <row r="844" spans="1:32" s="324" customFormat="1" ht="0.65" hidden="1" customHeight="1">
      <c r="A844" s="324">
        <v>3156</v>
      </c>
      <c r="T844" s="324">
        <v>11</v>
      </c>
      <c r="U844" s="324" t="s">
        <v>163</v>
      </c>
      <c r="V844" s="324" t="s">
        <v>179</v>
      </c>
      <c r="W844" s="324">
        <v>261771.20297739207</v>
      </c>
      <c r="X844" s="324">
        <v>112535.81863852212</v>
      </c>
      <c r="Y844" s="324">
        <v>112535.81863852203</v>
      </c>
      <c r="AA844" s="324" t="s">
        <v>201</v>
      </c>
      <c r="AB844" s="324" t="s">
        <v>1235</v>
      </c>
      <c r="AD844" s="324">
        <v>103833.33333333333</v>
      </c>
    </row>
    <row r="845" spans="1:32" s="324" customFormat="1" ht="0.65" hidden="1" customHeight="1">
      <c r="A845" s="324">
        <v>3157</v>
      </c>
      <c r="O845" s="324" t="s">
        <v>13</v>
      </c>
      <c r="P845" s="324">
        <v>149235.38433886995</v>
      </c>
      <c r="T845" s="324">
        <v>12</v>
      </c>
      <c r="U845" s="324" t="s">
        <v>164</v>
      </c>
      <c r="V845" s="324" t="s">
        <v>178</v>
      </c>
      <c r="W845" s="324">
        <v>143473.21360032156</v>
      </c>
      <c r="X845" s="324">
        <v>-5762.1707385483896</v>
      </c>
      <c r="Y845" s="324">
        <v>-5762.1707385483896</v>
      </c>
      <c r="AA845" s="324" t="s">
        <v>196</v>
      </c>
      <c r="AB845" s="324" t="s">
        <v>1199</v>
      </c>
      <c r="AD845" s="324">
        <v>103833.33333333333</v>
      </c>
    </row>
    <row r="846" spans="1:32" s="324" customFormat="1" ht="0.65" hidden="1" customHeight="1">
      <c r="A846" s="324">
        <v>3158</v>
      </c>
      <c r="O846" s="324" t="s">
        <v>28</v>
      </c>
      <c r="P846" s="324">
        <v>0.37357216681627725</v>
      </c>
      <c r="T846" s="324">
        <v>13</v>
      </c>
      <c r="U846" s="324" t="s">
        <v>165</v>
      </c>
      <c r="V846" s="324" t="s">
        <v>178</v>
      </c>
      <c r="W846" s="324">
        <v>148372.98664488952</v>
      </c>
      <c r="X846" s="324">
        <v>-862.39769398042699</v>
      </c>
      <c r="Y846" s="324">
        <v>-862.39769398036037</v>
      </c>
      <c r="Z846" s="324">
        <v>7.2374999999999995E-2</v>
      </c>
      <c r="AA846" s="324" t="s">
        <v>202</v>
      </c>
      <c r="AB846" s="324" t="s">
        <v>1236</v>
      </c>
      <c r="AD846" s="324">
        <v>238333.33333333331</v>
      </c>
    </row>
    <row r="847" spans="1:32" s="324" customFormat="1" ht="0.65" hidden="1" customHeight="1">
      <c r="A847" s="324">
        <v>3159</v>
      </c>
      <c r="O847" s="324" t="s">
        <v>29</v>
      </c>
      <c r="P847" s="324">
        <v>0.85277362479354257</v>
      </c>
      <c r="T847" s="324">
        <v>14</v>
      </c>
      <c r="U847" s="324" t="s">
        <v>166</v>
      </c>
      <c r="V847" s="324" t="s">
        <v>179</v>
      </c>
      <c r="W847" s="324">
        <v>155071.51115351083</v>
      </c>
      <c r="X847" s="324">
        <v>5836.1268146408838</v>
      </c>
      <c r="Y847" s="324">
        <v>5836.1268146408847</v>
      </c>
      <c r="Z847" s="324">
        <v>6.3750000000000015E-2</v>
      </c>
      <c r="AA847" s="324" t="s">
        <v>189</v>
      </c>
      <c r="AB847" s="324" t="s">
        <v>1237</v>
      </c>
      <c r="AD847" s="324">
        <v>7.1249999999999994E-2</v>
      </c>
    </row>
    <row r="848" spans="1:32" s="324" customFormat="1" ht="0.65" hidden="1" customHeight="1">
      <c r="A848" s="324">
        <v>3160</v>
      </c>
      <c r="O848" s="324" t="s">
        <v>30</v>
      </c>
      <c r="P848" s="324">
        <v>3</v>
      </c>
      <c r="T848" s="324">
        <v>15</v>
      </c>
      <c r="U848" s="324" t="s">
        <v>167</v>
      </c>
      <c r="V848" s="324" t="s">
        <v>178</v>
      </c>
      <c r="W848" s="324">
        <v>146373.71552190377</v>
      </c>
      <c r="X848" s="324">
        <v>-2861.6688169661793</v>
      </c>
      <c r="Y848" s="324">
        <v>-2861.6688169661775</v>
      </c>
      <c r="Z848" s="324">
        <v>7.4999999999999997E-2</v>
      </c>
      <c r="AA848" s="324" t="s">
        <v>190</v>
      </c>
      <c r="AB848" s="324" t="s">
        <v>1238</v>
      </c>
      <c r="AD848" s="324">
        <v>210635.35439947614</v>
      </c>
    </row>
    <row r="849" spans="1:39" s="324" customFormat="1" ht="0.65" hidden="1" customHeight="1">
      <c r="A849" s="324">
        <v>3161</v>
      </c>
      <c r="T849" s="324">
        <v>16</v>
      </c>
      <c r="U849" s="324" t="s">
        <v>168</v>
      </c>
      <c r="V849" s="324" t="s">
        <v>181</v>
      </c>
      <c r="W849" s="324">
        <v>151456.87081343675</v>
      </c>
      <c r="X849" s="324">
        <v>2221.4864745668019</v>
      </c>
      <c r="Y849" s="324">
        <v>2221.4864745668392</v>
      </c>
      <c r="Z849" s="324">
        <v>6.8372093023255809E-2</v>
      </c>
      <c r="AA849" s="324" t="s">
        <v>427</v>
      </c>
      <c r="AB849" s="324" t="s">
        <v>1239</v>
      </c>
      <c r="AD849" s="324">
        <v>223291.03220732341</v>
      </c>
    </row>
    <row r="850" spans="1:39" s="324" customFormat="1" ht="0.65" hidden="1" customHeight="1">
      <c r="A850" s="324">
        <v>3162</v>
      </c>
      <c r="P850" s="324">
        <v>1</v>
      </c>
      <c r="T850" s="324">
        <v>17</v>
      </c>
      <c r="U850" s="324" t="s">
        <v>169</v>
      </c>
      <c r="V850" s="324" t="s">
        <v>178</v>
      </c>
      <c r="W850" s="324">
        <v>145900.36173624737</v>
      </c>
      <c r="X850" s="324">
        <v>-3335.0226026225719</v>
      </c>
      <c r="Y850" s="324">
        <v>-3335.0226026225678</v>
      </c>
      <c r="Z850" s="324">
        <v>7.5624999999999998E-2</v>
      </c>
      <c r="AA850" s="324" t="s">
        <v>425</v>
      </c>
      <c r="AB850" s="324" t="s">
        <v>1240</v>
      </c>
    </row>
    <row r="851" spans="1:39" s="324" customFormat="1" ht="0.65" hidden="1" customHeight="1">
      <c r="A851" s="324">
        <v>3163</v>
      </c>
      <c r="H851" s="324">
        <v>1</v>
      </c>
      <c r="I851" s="324">
        <v>1</v>
      </c>
      <c r="J851" s="324">
        <v>1</v>
      </c>
      <c r="K851" s="324">
        <v>1</v>
      </c>
      <c r="L851" s="324">
        <v>1</v>
      </c>
      <c r="M851" s="324">
        <v>1</v>
      </c>
      <c r="N851" s="324">
        <v>1</v>
      </c>
      <c r="O851" s="324">
        <v>1</v>
      </c>
      <c r="P851" s="324">
        <v>1</v>
      </c>
      <c r="T851" s="324">
        <v>18</v>
      </c>
      <c r="U851" s="324" t="s">
        <v>170</v>
      </c>
      <c r="V851" s="324" t="s">
        <v>181</v>
      </c>
      <c r="W851" s="324">
        <v>137825.19575384242</v>
      </c>
      <c r="X851" s="324">
        <v>-11410.188585027528</v>
      </c>
      <c r="Y851" s="324">
        <v>-11410.188585027505</v>
      </c>
      <c r="Z851" s="324">
        <v>7.0499999999999993E-2</v>
      </c>
      <c r="AA851" s="324" t="s">
        <v>203</v>
      </c>
      <c r="AB851" s="324" t="s">
        <v>1241</v>
      </c>
    </row>
    <row r="852" spans="1:39" s="324" customFormat="1" ht="0.65" hidden="1" customHeight="1">
      <c r="A852" s="324">
        <v>3164</v>
      </c>
      <c r="H852" s="324">
        <v>1</v>
      </c>
      <c r="I852" s="324">
        <v>1</v>
      </c>
      <c r="J852" s="324">
        <v>1</v>
      </c>
      <c r="K852" s="324">
        <v>1</v>
      </c>
      <c r="L852" s="324">
        <v>1</v>
      </c>
      <c r="M852" s="324">
        <v>1</v>
      </c>
      <c r="N852" s="324">
        <v>1</v>
      </c>
      <c r="O852" s="324">
        <v>1</v>
      </c>
      <c r="P852" s="324">
        <v>1</v>
      </c>
      <c r="T852" s="324">
        <v>19</v>
      </c>
      <c r="U852" s="324" t="s">
        <v>171</v>
      </c>
      <c r="V852" s="324" t="s">
        <v>181</v>
      </c>
      <c r="W852" s="324">
        <v>223291.03220732341</v>
      </c>
      <c r="X852" s="324">
        <v>74055.647868453467</v>
      </c>
      <c r="Y852" s="324">
        <v>74055.647868453438</v>
      </c>
      <c r="AA852" s="324" t="s">
        <v>426</v>
      </c>
      <c r="AB852" s="324" t="s">
        <v>1242</v>
      </c>
    </row>
    <row r="853" spans="1:39" s="324" customFormat="1" ht="0.65" hidden="1" customHeight="1">
      <c r="A853" s="324">
        <v>3165</v>
      </c>
      <c r="H853" s="324">
        <v>1</v>
      </c>
      <c r="I853" s="324">
        <v>1</v>
      </c>
      <c r="J853" s="324">
        <v>1</v>
      </c>
      <c r="K853" s="324">
        <v>1</v>
      </c>
      <c r="L853" s="324">
        <v>1</v>
      </c>
      <c r="M853" s="324">
        <v>1</v>
      </c>
      <c r="N853" s="324">
        <v>1</v>
      </c>
      <c r="O853" s="324">
        <v>1</v>
      </c>
      <c r="P853" s="324">
        <v>1</v>
      </c>
    </row>
    <row r="854" spans="1:39" s="324" customFormat="1" ht="0.65" hidden="1" customHeight="1">
      <c r="A854" s="324">
        <v>3166</v>
      </c>
    </row>
    <row r="855" spans="1:39" s="324" customFormat="1" ht="0.65" hidden="1" customHeight="1">
      <c r="A855" s="324">
        <v>3167</v>
      </c>
      <c r="X855" s="324" t="s">
        <v>186</v>
      </c>
      <c r="Y855" s="324">
        <v>0</v>
      </c>
    </row>
    <row r="856" spans="1:39" s="324" customFormat="1" ht="0.65" hidden="1" customHeight="1">
      <c r="A856" s="324">
        <v>3168</v>
      </c>
      <c r="N856" s="324">
        <v>1</v>
      </c>
      <c r="P856" s="324">
        <v>1</v>
      </c>
    </row>
    <row r="857" spans="1:39" s="324" customFormat="1" ht="0.65" hidden="1" customHeight="1">
      <c r="A857" s="324">
        <v>3169</v>
      </c>
      <c r="H857" s="324">
        <v>1</v>
      </c>
      <c r="I857" s="324">
        <v>1</v>
      </c>
      <c r="J857" s="324">
        <v>1</v>
      </c>
      <c r="K857" s="324">
        <v>1</v>
      </c>
      <c r="N857" s="324">
        <v>1</v>
      </c>
      <c r="P857" s="324">
        <v>1</v>
      </c>
    </row>
    <row r="858" spans="1:39" s="324" customFormat="1" ht="0.65" hidden="1" customHeight="1">
      <c r="A858" s="324">
        <v>3170</v>
      </c>
      <c r="H858" s="324">
        <v>1</v>
      </c>
      <c r="I858" s="324">
        <v>1</v>
      </c>
      <c r="J858" s="324">
        <v>1</v>
      </c>
      <c r="K858" s="324">
        <v>1</v>
      </c>
      <c r="N858" s="324">
        <v>1</v>
      </c>
      <c r="P858" s="324">
        <v>1</v>
      </c>
    </row>
    <row r="859" spans="1:39" s="324" customFormat="1" ht="0.65" hidden="1" customHeight="1">
      <c r="A859" s="324">
        <v>3171</v>
      </c>
      <c r="H859" s="324">
        <v>1</v>
      </c>
      <c r="I859" s="324">
        <v>1</v>
      </c>
      <c r="J859" s="324">
        <v>1</v>
      </c>
      <c r="K859" s="324">
        <v>1</v>
      </c>
      <c r="N859" s="324">
        <v>1</v>
      </c>
    </row>
    <row r="860" spans="1:39" s="324" customFormat="1" ht="0.65" hidden="1" customHeight="1">
      <c r="A860" s="324">
        <v>3172</v>
      </c>
      <c r="AI860" s="324">
        <v>1E-4</v>
      </c>
      <c r="AJ860" s="324" t="s">
        <v>244</v>
      </c>
    </row>
    <row r="861" spans="1:39" s="324" customFormat="1" ht="0.65" hidden="1" customHeight="1">
      <c r="A861" s="324">
        <v>3173</v>
      </c>
      <c r="P861" s="324">
        <v>1</v>
      </c>
      <c r="AC861" s="324" t="s">
        <v>463</v>
      </c>
      <c r="AD861" s="324" t="s">
        <v>208</v>
      </c>
      <c r="AG861" s="324" t="s">
        <v>210</v>
      </c>
      <c r="AH861" s="324" t="s">
        <v>209</v>
      </c>
      <c r="AI861" s="324" t="s">
        <v>206</v>
      </c>
      <c r="AJ861" s="324" t="s">
        <v>245</v>
      </c>
      <c r="AK861" s="324" t="s">
        <v>206</v>
      </c>
      <c r="AL861" s="324" t="s">
        <v>205</v>
      </c>
    </row>
    <row r="862" spans="1:39" s="324" customFormat="1" ht="0.65" hidden="1" customHeight="1">
      <c r="A862" s="324">
        <v>3174</v>
      </c>
      <c r="P862" s="324">
        <v>1</v>
      </c>
      <c r="AA862" s="324">
        <v>1</v>
      </c>
      <c r="AB862" s="324" t="s">
        <v>645</v>
      </c>
      <c r="AC862" s="324" t="s">
        <v>55</v>
      </c>
      <c r="AD862" s="324" t="s">
        <v>55</v>
      </c>
      <c r="AE862" s="324">
        <v>0</v>
      </c>
      <c r="AF862" s="324" t="s">
        <v>490</v>
      </c>
      <c r="AG862" s="324">
        <v>175000</v>
      </c>
      <c r="AH862" s="324">
        <v>175000</v>
      </c>
      <c r="AI862" s="324" t="s">
        <v>55</v>
      </c>
      <c r="AJ862" s="324">
        <v>175000</v>
      </c>
      <c r="AK862" s="324" t="s">
        <v>55</v>
      </c>
      <c r="AL862" s="324" t="s">
        <v>55</v>
      </c>
      <c r="AM862" s="324" t="s">
        <v>55</v>
      </c>
    </row>
    <row r="863" spans="1:39" s="324" customFormat="1" ht="0.65" hidden="1" customHeight="1">
      <c r="A863" s="324">
        <v>3175</v>
      </c>
      <c r="AA863" s="324">
        <v>2</v>
      </c>
      <c r="AB863" s="324" t="s">
        <v>645</v>
      </c>
      <c r="AC863" s="324" t="s">
        <v>55</v>
      </c>
      <c r="AD863" s="324" t="s">
        <v>55</v>
      </c>
      <c r="AE863" s="324">
        <v>0</v>
      </c>
      <c r="AF863" s="324" t="s">
        <v>510</v>
      </c>
      <c r="AG863" s="324">
        <v>720000</v>
      </c>
      <c r="AH863" s="324">
        <v>720000</v>
      </c>
      <c r="AI863" s="324" t="s">
        <v>55</v>
      </c>
      <c r="AJ863" s="324">
        <v>720000</v>
      </c>
      <c r="AK863" s="324" t="s">
        <v>55</v>
      </c>
      <c r="AL863" s="324" t="s">
        <v>55</v>
      </c>
      <c r="AM863" s="324" t="s">
        <v>55</v>
      </c>
    </row>
    <row r="864" spans="1:39" s="324" customFormat="1" ht="0.65" hidden="1" customHeight="1">
      <c r="A864" s="324">
        <v>3176</v>
      </c>
      <c r="G864" s="324" t="s">
        <v>411</v>
      </c>
      <c r="H864" s="324">
        <v>49</v>
      </c>
      <c r="AA864" s="324">
        <v>3</v>
      </c>
      <c r="AB864" s="324" t="s">
        <v>645</v>
      </c>
      <c r="AC864" s="324" t="s">
        <v>55</v>
      </c>
      <c r="AD864" s="324" t="s">
        <v>55</v>
      </c>
      <c r="AE864" s="324">
        <v>0</v>
      </c>
      <c r="AF864" s="324" t="s">
        <v>513</v>
      </c>
      <c r="AG864" s="324">
        <v>720000</v>
      </c>
      <c r="AH864" s="324">
        <v>720000</v>
      </c>
      <c r="AI864" s="324" t="s">
        <v>55</v>
      </c>
      <c r="AJ864" s="324">
        <v>720000</v>
      </c>
      <c r="AK864" s="324" t="s">
        <v>55</v>
      </c>
      <c r="AL864" s="324" t="s">
        <v>55</v>
      </c>
      <c r="AM864" s="324" t="s">
        <v>55</v>
      </c>
    </row>
    <row r="865" spans="1:39" s="324" customFormat="1" ht="0.65" hidden="1" customHeight="1">
      <c r="A865" s="324">
        <v>3177</v>
      </c>
      <c r="G865" s="324" t="s">
        <v>412</v>
      </c>
      <c r="AA865" s="324">
        <v>4</v>
      </c>
      <c r="AB865" s="324" t="s">
        <v>645</v>
      </c>
      <c r="AC865" s="324" t="s">
        <v>55</v>
      </c>
      <c r="AD865" s="324" t="s">
        <v>55</v>
      </c>
      <c r="AE865" s="324">
        <v>0</v>
      </c>
      <c r="AF865" s="324" t="s">
        <v>515</v>
      </c>
      <c r="AG865" s="324">
        <v>720000</v>
      </c>
      <c r="AH865" s="324">
        <v>720000</v>
      </c>
      <c r="AI865" s="324" t="s">
        <v>55</v>
      </c>
      <c r="AJ865" s="324">
        <v>720000</v>
      </c>
      <c r="AK865" s="324" t="s">
        <v>55</v>
      </c>
      <c r="AL865" s="324" t="s">
        <v>55</v>
      </c>
      <c r="AM865" s="324" t="s">
        <v>55</v>
      </c>
    </row>
    <row r="866" spans="1:39" s="324" customFormat="1" ht="0.65" hidden="1" customHeight="1">
      <c r="A866" s="324">
        <v>3178</v>
      </c>
      <c r="AA866" s="324">
        <v>5</v>
      </c>
      <c r="AB866" s="324" t="s">
        <v>645</v>
      </c>
      <c r="AC866" s="324" t="s">
        <v>55</v>
      </c>
      <c r="AD866" s="324" t="s">
        <v>55</v>
      </c>
      <c r="AE866" s="324">
        <v>0</v>
      </c>
      <c r="AF866" s="324" t="s">
        <v>517</v>
      </c>
      <c r="AG866" s="324">
        <v>576000</v>
      </c>
      <c r="AH866" s="324">
        <v>576000</v>
      </c>
      <c r="AI866" s="324" t="s">
        <v>55</v>
      </c>
      <c r="AJ866" s="324">
        <v>576000</v>
      </c>
      <c r="AK866" s="324" t="s">
        <v>55</v>
      </c>
      <c r="AL866" s="324" t="s">
        <v>55</v>
      </c>
      <c r="AM866" s="324" t="s">
        <v>55</v>
      </c>
    </row>
    <row r="867" spans="1:39" s="324" customFormat="1" ht="0.65" hidden="1" customHeight="1">
      <c r="A867" s="324">
        <v>3179</v>
      </c>
      <c r="AA867" s="324">
        <v>6</v>
      </c>
      <c r="AB867" s="324" t="s">
        <v>645</v>
      </c>
      <c r="AC867" s="324" t="s">
        <v>55</v>
      </c>
      <c r="AD867" s="324" t="s">
        <v>55</v>
      </c>
      <c r="AE867" s="324">
        <v>0</v>
      </c>
      <c r="AF867" s="324" t="s">
        <v>521</v>
      </c>
      <c r="AG867" s="324">
        <v>576000</v>
      </c>
      <c r="AH867" s="324">
        <v>576000</v>
      </c>
      <c r="AI867" s="324" t="s">
        <v>55</v>
      </c>
      <c r="AJ867" s="324">
        <v>576000</v>
      </c>
      <c r="AK867" s="324" t="s">
        <v>55</v>
      </c>
      <c r="AL867" s="324" t="s">
        <v>55</v>
      </c>
      <c r="AM867" s="324" t="s">
        <v>55</v>
      </c>
    </row>
    <row r="868" spans="1:39" s="324" customFormat="1" ht="0.65" hidden="1" customHeight="1">
      <c r="A868" s="324">
        <v>3180</v>
      </c>
      <c r="AA868" s="324">
        <v>7</v>
      </c>
      <c r="AB868" s="324" t="s">
        <v>645</v>
      </c>
      <c r="AC868" s="324" t="s">
        <v>55</v>
      </c>
      <c r="AD868" s="324" t="s">
        <v>55</v>
      </c>
      <c r="AE868" s="324">
        <v>0</v>
      </c>
      <c r="AF868" s="324" t="s">
        <v>523</v>
      </c>
      <c r="AG868" s="324">
        <v>576000</v>
      </c>
      <c r="AH868" s="324">
        <v>576000</v>
      </c>
      <c r="AI868" s="324" t="s">
        <v>55</v>
      </c>
      <c r="AJ868" s="324">
        <v>576000</v>
      </c>
      <c r="AK868" s="324" t="s">
        <v>55</v>
      </c>
      <c r="AL868" s="324" t="s">
        <v>55</v>
      </c>
      <c r="AM868" s="324" t="s">
        <v>55</v>
      </c>
    </row>
    <row r="869" spans="1:39" s="324" customFormat="1" ht="0.65" hidden="1" customHeight="1">
      <c r="A869" s="324">
        <v>3181</v>
      </c>
      <c r="G869" s="324" t="s">
        <v>0</v>
      </c>
      <c r="H869" s="324" t="s">
        <v>69</v>
      </c>
      <c r="I869" s="324" t="s">
        <v>70</v>
      </c>
      <c r="J869" s="324" t="s">
        <v>71</v>
      </c>
      <c r="K869" s="324" t="s">
        <v>72</v>
      </c>
      <c r="L869" s="324" t="s">
        <v>73</v>
      </c>
      <c r="M869" s="324" t="s">
        <v>74</v>
      </c>
      <c r="N869" s="324" t="s">
        <v>75</v>
      </c>
      <c r="O869" s="324" t="s">
        <v>80</v>
      </c>
      <c r="P869" s="324" t="s">
        <v>1</v>
      </c>
      <c r="AA869" s="324">
        <v>8</v>
      </c>
      <c r="AB869" s="324" t="s">
        <v>645</v>
      </c>
      <c r="AC869" s="324" t="s">
        <v>55</v>
      </c>
      <c r="AD869" s="324" t="s">
        <v>55</v>
      </c>
      <c r="AE869" s="324">
        <v>0</v>
      </c>
      <c r="AF869" s="324" t="s">
        <v>525</v>
      </c>
      <c r="AG869" s="324">
        <v>-16666.666666666672</v>
      </c>
      <c r="AH869" s="324">
        <v>-16666.666666666672</v>
      </c>
      <c r="AI869" s="324" t="s">
        <v>55</v>
      </c>
      <c r="AJ869" s="324">
        <v>-16666.666666666672</v>
      </c>
      <c r="AK869" s="324" t="s">
        <v>55</v>
      </c>
      <c r="AL869" s="324" t="s">
        <v>55</v>
      </c>
      <c r="AM869" s="324" t="s">
        <v>55</v>
      </c>
    </row>
    <row r="870" spans="1:39" s="324" customFormat="1" ht="0.65" hidden="1" customHeight="1">
      <c r="A870" s="324">
        <v>3182</v>
      </c>
      <c r="G870" s="324">
        <v>2021</v>
      </c>
      <c r="P870" s="324" t="s">
        <v>645</v>
      </c>
      <c r="AA870" s="324">
        <v>9</v>
      </c>
      <c r="AB870" s="324" t="s">
        <v>645</v>
      </c>
      <c r="AC870" s="324" t="s">
        <v>55</v>
      </c>
      <c r="AD870" s="324" t="s">
        <v>55</v>
      </c>
      <c r="AE870" s="324">
        <v>0</v>
      </c>
      <c r="AF870" s="324" t="s">
        <v>528</v>
      </c>
      <c r="AG870" s="324">
        <v>-16666.666666666672</v>
      </c>
      <c r="AH870" s="324">
        <v>-16666.666666666672</v>
      </c>
      <c r="AI870" s="324" t="s">
        <v>55</v>
      </c>
      <c r="AJ870" s="324">
        <v>-16666.666666666672</v>
      </c>
      <c r="AK870" s="324" t="s">
        <v>55</v>
      </c>
      <c r="AL870" s="324" t="s">
        <v>55</v>
      </c>
      <c r="AM870" s="324" t="s">
        <v>55</v>
      </c>
    </row>
    <row r="871" spans="1:39" s="324" customFormat="1" ht="0.65" hidden="1" customHeight="1">
      <c r="A871" s="324">
        <v>3183</v>
      </c>
      <c r="G871" s="324">
        <v>2022</v>
      </c>
      <c r="H871" s="324" t="s">
        <v>645</v>
      </c>
      <c r="I871" s="324" t="s">
        <v>645</v>
      </c>
      <c r="J871" s="324" t="s">
        <v>645</v>
      </c>
      <c r="K871" s="324" t="s">
        <v>645</v>
      </c>
      <c r="L871" s="324" t="s">
        <v>645</v>
      </c>
      <c r="M871" s="324" t="s">
        <v>645</v>
      </c>
      <c r="N871" s="324" t="s">
        <v>645</v>
      </c>
      <c r="O871" s="324" t="s">
        <v>645</v>
      </c>
      <c r="P871" s="324" t="s">
        <v>645</v>
      </c>
      <c r="AA871" s="324">
        <v>10</v>
      </c>
      <c r="AB871" s="324" t="s">
        <v>645</v>
      </c>
      <c r="AC871" s="324" t="s">
        <v>55</v>
      </c>
      <c r="AD871" s="324" t="s">
        <v>55</v>
      </c>
      <c r="AE871" s="324">
        <v>0</v>
      </c>
      <c r="AF871" s="324" t="s">
        <v>530</v>
      </c>
      <c r="AG871" s="324">
        <v>-16666.666666666672</v>
      </c>
      <c r="AH871" s="324">
        <v>-16666.666666666672</v>
      </c>
      <c r="AI871" s="324" t="s">
        <v>55</v>
      </c>
      <c r="AJ871" s="324">
        <v>-16666.666666666672</v>
      </c>
      <c r="AK871" s="324" t="s">
        <v>55</v>
      </c>
      <c r="AL871" s="324" t="s">
        <v>55</v>
      </c>
      <c r="AM871" s="324" t="s">
        <v>55</v>
      </c>
    </row>
    <row r="872" spans="1:39" s="324" customFormat="1" ht="0.65" hidden="1" customHeight="1">
      <c r="A872" s="324">
        <v>3184</v>
      </c>
      <c r="G872" s="324">
        <v>2023</v>
      </c>
      <c r="H872" s="324" t="s">
        <v>645</v>
      </c>
      <c r="I872" s="324" t="s">
        <v>645</v>
      </c>
      <c r="J872" s="324" t="s">
        <v>645</v>
      </c>
      <c r="K872" s="324" t="s">
        <v>645</v>
      </c>
      <c r="L872" s="324" t="s">
        <v>645</v>
      </c>
      <c r="M872" s="324" t="s">
        <v>645</v>
      </c>
      <c r="N872" s="324" t="s">
        <v>645</v>
      </c>
      <c r="O872" s="324" t="s">
        <v>645</v>
      </c>
      <c r="P872" s="324" t="s">
        <v>645</v>
      </c>
      <c r="AA872" s="324">
        <v>11</v>
      </c>
      <c r="AB872" s="324" t="s">
        <v>645</v>
      </c>
      <c r="AC872" s="324" t="s">
        <v>55</v>
      </c>
      <c r="AD872" s="324" t="s">
        <v>55</v>
      </c>
      <c r="AE872" s="324">
        <v>0</v>
      </c>
      <c r="AF872" s="324" t="s">
        <v>533</v>
      </c>
      <c r="AG872" s="324">
        <v>160666.66666666669</v>
      </c>
      <c r="AH872" s="324">
        <v>160666.66666666669</v>
      </c>
      <c r="AI872" s="324" t="s">
        <v>55</v>
      </c>
      <c r="AJ872" s="324">
        <v>160666.66666666669</v>
      </c>
      <c r="AK872" s="324" t="s">
        <v>55</v>
      </c>
      <c r="AL872" s="324" t="s">
        <v>55</v>
      </c>
      <c r="AM872" s="324" t="s">
        <v>55</v>
      </c>
    </row>
    <row r="873" spans="1:39" s="324" customFormat="1" ht="0.65" hidden="1" customHeight="1">
      <c r="A873" s="324">
        <v>3185</v>
      </c>
      <c r="G873" s="324">
        <v>2024</v>
      </c>
      <c r="H873" s="324" t="s">
        <v>645</v>
      </c>
      <c r="I873" s="324" t="s">
        <v>645</v>
      </c>
      <c r="J873" s="324" t="s">
        <v>645</v>
      </c>
      <c r="K873" s="324" t="s">
        <v>645</v>
      </c>
      <c r="L873" s="324" t="s">
        <v>645</v>
      </c>
      <c r="M873" s="324" t="s">
        <v>645</v>
      </c>
      <c r="N873" s="324" t="s">
        <v>645</v>
      </c>
      <c r="O873" s="324" t="s">
        <v>645</v>
      </c>
      <c r="P873" s="324" t="s">
        <v>645</v>
      </c>
      <c r="AA873" s="324">
        <v>12</v>
      </c>
      <c r="AB873" s="324" t="s">
        <v>645</v>
      </c>
      <c r="AC873" s="324" t="s">
        <v>55</v>
      </c>
      <c r="AD873" s="324" t="s">
        <v>55</v>
      </c>
      <c r="AE873" s="324">
        <v>0</v>
      </c>
      <c r="AF873" s="324" t="s">
        <v>536</v>
      </c>
      <c r="AG873" s="324">
        <v>160666.66666666669</v>
      </c>
      <c r="AH873" s="324">
        <v>160666.66666666669</v>
      </c>
      <c r="AI873" s="324" t="s">
        <v>55</v>
      </c>
      <c r="AJ873" s="324">
        <v>160666.66666666669</v>
      </c>
      <c r="AK873" s="324" t="s">
        <v>55</v>
      </c>
      <c r="AL873" s="324" t="s">
        <v>55</v>
      </c>
      <c r="AM873" s="324" t="s">
        <v>55</v>
      </c>
    </row>
    <row r="874" spans="1:39" s="324" customFormat="1" ht="0.65" hidden="1" customHeight="1">
      <c r="A874" s="324">
        <v>3186</v>
      </c>
      <c r="AA874" s="324">
        <v>13</v>
      </c>
      <c r="AB874" s="324" t="s">
        <v>645</v>
      </c>
      <c r="AC874" s="324" t="s">
        <v>55</v>
      </c>
      <c r="AD874" s="324" t="s">
        <v>55</v>
      </c>
      <c r="AE874" s="324">
        <v>0</v>
      </c>
      <c r="AF874" s="324" t="s">
        <v>538</v>
      </c>
      <c r="AG874" s="324">
        <v>160666.66666666669</v>
      </c>
      <c r="AH874" s="324">
        <v>160666.66666666669</v>
      </c>
      <c r="AI874" s="324" t="s">
        <v>55</v>
      </c>
      <c r="AJ874" s="324">
        <v>160666.66666666669</v>
      </c>
      <c r="AK874" s="324" t="s">
        <v>55</v>
      </c>
      <c r="AL874" s="324" t="s">
        <v>55</v>
      </c>
      <c r="AM874" s="324" t="s">
        <v>55</v>
      </c>
    </row>
    <row r="875" spans="1:39" s="324" customFormat="1" ht="0.65" hidden="1" customHeight="1">
      <c r="A875" s="324">
        <v>3187</v>
      </c>
      <c r="G875" s="324" t="s">
        <v>0</v>
      </c>
      <c r="H875" s="324" t="s">
        <v>76</v>
      </c>
      <c r="I875" s="324" t="s">
        <v>77</v>
      </c>
      <c r="J875" s="324" t="s">
        <v>78</v>
      </c>
      <c r="K875" s="324" t="s">
        <v>79</v>
      </c>
      <c r="AA875" s="324">
        <v>14</v>
      </c>
      <c r="AB875" s="324" t="s">
        <v>645</v>
      </c>
      <c r="AC875" s="324" t="s">
        <v>55</v>
      </c>
      <c r="AD875" s="324" t="s">
        <v>55</v>
      </c>
      <c r="AE875" s="324">
        <v>0</v>
      </c>
      <c r="AF875" s="324" t="s">
        <v>541</v>
      </c>
      <c r="AG875" s="324">
        <v>40166.666666666672</v>
      </c>
      <c r="AH875" s="324">
        <v>40166.666666666672</v>
      </c>
      <c r="AI875" s="324" t="s">
        <v>55</v>
      </c>
      <c r="AJ875" s="324">
        <v>40166.666666666672</v>
      </c>
      <c r="AK875" s="324" t="s">
        <v>55</v>
      </c>
      <c r="AL875" s="324" t="s">
        <v>55</v>
      </c>
      <c r="AM875" s="324" t="s">
        <v>55</v>
      </c>
    </row>
    <row r="876" spans="1:39" s="324" customFormat="1" ht="0.65" hidden="1" customHeight="1">
      <c r="A876" s="324">
        <v>3188</v>
      </c>
      <c r="G876" s="324">
        <v>2021</v>
      </c>
      <c r="M876" s="324" t="s">
        <v>456</v>
      </c>
      <c r="N876" s="324" t="s">
        <v>645</v>
      </c>
      <c r="O876" s="324" t="s">
        <v>124</v>
      </c>
      <c r="P876" s="324" t="s">
        <v>645</v>
      </c>
      <c r="AA876" s="324">
        <v>15</v>
      </c>
      <c r="AB876" s="324" t="s">
        <v>645</v>
      </c>
      <c r="AC876" s="324" t="s">
        <v>55</v>
      </c>
      <c r="AD876" s="324" t="s">
        <v>55</v>
      </c>
      <c r="AE876" s="324">
        <v>0</v>
      </c>
      <c r="AF876" s="324" t="s">
        <v>544</v>
      </c>
      <c r="AG876" s="324">
        <v>40166.666666666672</v>
      </c>
      <c r="AH876" s="324">
        <v>40166.666666666672</v>
      </c>
      <c r="AI876" s="324" t="s">
        <v>55</v>
      </c>
      <c r="AJ876" s="324">
        <v>40166.666666666672</v>
      </c>
      <c r="AK876" s="324" t="s">
        <v>55</v>
      </c>
      <c r="AL876" s="324" t="s">
        <v>55</v>
      </c>
      <c r="AM876" s="324" t="s">
        <v>55</v>
      </c>
    </row>
    <row r="877" spans="1:39" s="324" customFormat="1" ht="0.65" hidden="1" customHeight="1">
      <c r="A877" s="324">
        <v>3189</v>
      </c>
      <c r="G877" s="324">
        <v>2022</v>
      </c>
      <c r="H877" s="324" t="s">
        <v>645</v>
      </c>
      <c r="I877" s="324" t="s">
        <v>645</v>
      </c>
      <c r="J877" s="324" t="s">
        <v>645</v>
      </c>
      <c r="K877" s="324" t="s">
        <v>645</v>
      </c>
      <c r="M877" s="324" t="s">
        <v>457</v>
      </c>
      <c r="N877" s="324" t="s">
        <v>645</v>
      </c>
      <c r="O877" s="324" t="s">
        <v>125</v>
      </c>
      <c r="P877" s="324" t="s">
        <v>645</v>
      </c>
      <c r="AA877" s="324">
        <v>16</v>
      </c>
      <c r="AB877" s="324" t="s">
        <v>645</v>
      </c>
      <c r="AC877" s="324" t="s">
        <v>55</v>
      </c>
      <c r="AD877" s="324" t="s">
        <v>55</v>
      </c>
      <c r="AE877" s="324">
        <v>0</v>
      </c>
      <c r="AF877" s="324" t="s">
        <v>546</v>
      </c>
      <c r="AG877" s="324">
        <v>40166.666666666672</v>
      </c>
      <c r="AH877" s="324">
        <v>40166.666666666672</v>
      </c>
      <c r="AI877" s="324" t="s">
        <v>55</v>
      </c>
      <c r="AJ877" s="324">
        <v>40166.666666666672</v>
      </c>
      <c r="AK877" s="324" t="s">
        <v>55</v>
      </c>
      <c r="AL877" s="324" t="s">
        <v>55</v>
      </c>
      <c r="AM877" s="324" t="s">
        <v>55</v>
      </c>
    </row>
    <row r="878" spans="1:39" s="324" customFormat="1" ht="0.65" hidden="1" customHeight="1">
      <c r="A878" s="324">
        <v>3190</v>
      </c>
      <c r="G878" s="324">
        <v>2023</v>
      </c>
      <c r="H878" s="324" t="s">
        <v>645</v>
      </c>
      <c r="I878" s="324" t="s">
        <v>645</v>
      </c>
      <c r="J878" s="324" t="s">
        <v>645</v>
      </c>
      <c r="K878" s="324" t="s">
        <v>645</v>
      </c>
      <c r="M878" s="324" t="s">
        <v>458</v>
      </c>
      <c r="N878" s="324" t="s">
        <v>645</v>
      </c>
      <c r="O878" s="324" t="s">
        <v>126</v>
      </c>
      <c r="P878" s="324" t="s">
        <v>645</v>
      </c>
      <c r="AA878" s="324">
        <v>17</v>
      </c>
      <c r="AB878" s="324" t="s">
        <v>645</v>
      </c>
      <c r="AC878" s="324" t="s">
        <v>55</v>
      </c>
      <c r="AD878" s="324" t="s">
        <v>55</v>
      </c>
      <c r="AE878" s="324">
        <v>0</v>
      </c>
      <c r="AF878" s="324" t="s">
        <v>549</v>
      </c>
      <c r="AG878" s="324">
        <v>120500.00000000001</v>
      </c>
      <c r="AH878" s="324">
        <v>120500.00000000001</v>
      </c>
      <c r="AI878" s="324" t="s">
        <v>55</v>
      </c>
      <c r="AJ878" s="324">
        <v>120500.00000000001</v>
      </c>
      <c r="AK878" s="324" t="s">
        <v>55</v>
      </c>
      <c r="AL878" s="324" t="s">
        <v>55</v>
      </c>
      <c r="AM878" s="324" t="s">
        <v>55</v>
      </c>
    </row>
    <row r="879" spans="1:39" s="324" customFormat="1" ht="0.65" hidden="1" customHeight="1">
      <c r="A879" s="324">
        <v>3191</v>
      </c>
      <c r="G879" s="324">
        <v>2024</v>
      </c>
      <c r="H879" s="324" t="s">
        <v>645</v>
      </c>
      <c r="I879" s="324" t="s">
        <v>645</v>
      </c>
      <c r="J879" s="324" t="s">
        <v>645</v>
      </c>
      <c r="K879" s="324" t="s">
        <v>645</v>
      </c>
      <c r="M879" s="324" t="s">
        <v>459</v>
      </c>
      <c r="N879" s="324" t="s">
        <v>645</v>
      </c>
      <c r="AA879" s="324">
        <v>18</v>
      </c>
      <c r="AB879" s="324" t="s">
        <v>645</v>
      </c>
      <c r="AC879" s="324" t="s">
        <v>55</v>
      </c>
      <c r="AD879" s="324" t="s">
        <v>55</v>
      </c>
      <c r="AE879" s="324">
        <v>0</v>
      </c>
      <c r="AF879" s="324" t="s">
        <v>552</v>
      </c>
      <c r="AG879" s="324">
        <v>120500.00000000001</v>
      </c>
      <c r="AH879" s="324">
        <v>120500.00000000001</v>
      </c>
      <c r="AI879" s="324" t="s">
        <v>55</v>
      </c>
      <c r="AJ879" s="324">
        <v>120500.00000000001</v>
      </c>
      <c r="AK879" s="324" t="s">
        <v>55</v>
      </c>
      <c r="AL879" s="324" t="s">
        <v>55</v>
      </c>
      <c r="AM879" s="324" t="s">
        <v>55</v>
      </c>
    </row>
    <row r="880" spans="1:39" s="324" customFormat="1" ht="0.65" hidden="1" customHeight="1">
      <c r="A880" s="324">
        <v>3192</v>
      </c>
      <c r="AA880" s="324">
        <v>19</v>
      </c>
      <c r="AB880" s="324" t="s">
        <v>645</v>
      </c>
      <c r="AC880" s="324" t="s">
        <v>55</v>
      </c>
      <c r="AD880" s="324" t="s">
        <v>55</v>
      </c>
      <c r="AE880" s="324">
        <v>0</v>
      </c>
      <c r="AF880" s="324" t="s">
        <v>554</v>
      </c>
      <c r="AG880" s="324">
        <v>120500.00000000001</v>
      </c>
      <c r="AH880" s="324">
        <v>120500.00000000001</v>
      </c>
      <c r="AI880" s="324" t="s">
        <v>55</v>
      </c>
      <c r="AJ880" s="324">
        <v>120500.00000000001</v>
      </c>
      <c r="AK880" s="324" t="s">
        <v>55</v>
      </c>
      <c r="AL880" s="324" t="s">
        <v>55</v>
      </c>
      <c r="AM880" s="324" t="s">
        <v>55</v>
      </c>
    </row>
    <row r="881" spans="1:39" s="324" customFormat="1" ht="0.65" hidden="1" customHeight="1">
      <c r="A881" s="324">
        <v>3193</v>
      </c>
      <c r="O881" s="324" t="s">
        <v>13</v>
      </c>
      <c r="P881" s="324" t="s">
        <v>645</v>
      </c>
      <c r="AA881" s="324">
        <v>20</v>
      </c>
      <c r="AB881" s="324" t="s">
        <v>645</v>
      </c>
      <c r="AC881" s="324" t="s">
        <v>55</v>
      </c>
      <c r="AD881" s="324" t="s">
        <v>55</v>
      </c>
      <c r="AE881" s="324">
        <v>0</v>
      </c>
      <c r="AF881" s="324" t="s">
        <v>557</v>
      </c>
      <c r="AG881" s="324">
        <v>103833.33333333334</v>
      </c>
      <c r="AH881" s="324">
        <v>103833.33333333334</v>
      </c>
      <c r="AI881" s="324" t="s">
        <v>55</v>
      </c>
      <c r="AJ881" s="324">
        <v>103833.33333333334</v>
      </c>
      <c r="AK881" s="324" t="s">
        <v>55</v>
      </c>
      <c r="AL881" s="324" t="s">
        <v>55</v>
      </c>
      <c r="AM881" s="324" t="s">
        <v>55</v>
      </c>
    </row>
    <row r="882" spans="1:39" s="324" customFormat="1" ht="0.65" hidden="1" customHeight="1">
      <c r="A882" s="324">
        <v>3194</v>
      </c>
      <c r="O882" s="324" t="s">
        <v>28</v>
      </c>
      <c r="P882" s="324" t="s">
        <v>645</v>
      </c>
      <c r="AA882" s="324">
        <v>21</v>
      </c>
      <c r="AB882" s="324" t="s">
        <v>645</v>
      </c>
      <c r="AC882" s="324" t="s">
        <v>55</v>
      </c>
      <c r="AD882" s="324" t="s">
        <v>55</v>
      </c>
      <c r="AE882" s="324">
        <v>0</v>
      </c>
      <c r="AF882" s="324" t="s">
        <v>560</v>
      </c>
      <c r="AG882" s="324">
        <v>103833.33333333334</v>
      </c>
      <c r="AH882" s="324">
        <v>103833.33333333334</v>
      </c>
      <c r="AI882" s="324" t="s">
        <v>55</v>
      </c>
      <c r="AJ882" s="324">
        <v>103833.33333333334</v>
      </c>
      <c r="AK882" s="324" t="s">
        <v>55</v>
      </c>
      <c r="AL882" s="324" t="s">
        <v>55</v>
      </c>
      <c r="AM882" s="324" t="s">
        <v>55</v>
      </c>
    </row>
    <row r="883" spans="1:39" s="324" customFormat="1" ht="0.65" hidden="1" customHeight="1">
      <c r="A883" s="324">
        <v>3195</v>
      </c>
      <c r="O883" s="324" t="s">
        <v>29</v>
      </c>
      <c r="AA883" s="324">
        <v>22</v>
      </c>
      <c r="AB883" s="324" t="s">
        <v>645</v>
      </c>
      <c r="AC883" s="324" t="s">
        <v>55</v>
      </c>
      <c r="AD883" s="324" t="s">
        <v>55</v>
      </c>
      <c r="AE883" s="324">
        <v>0</v>
      </c>
      <c r="AF883" s="324" t="s">
        <v>562</v>
      </c>
      <c r="AG883" s="324">
        <v>103833.33333333334</v>
      </c>
      <c r="AH883" s="324">
        <v>103833.33333333334</v>
      </c>
      <c r="AI883" s="324" t="s">
        <v>55</v>
      </c>
      <c r="AJ883" s="324">
        <v>103833.33333333334</v>
      </c>
      <c r="AK883" s="324" t="s">
        <v>55</v>
      </c>
      <c r="AL883" s="324" t="s">
        <v>55</v>
      </c>
      <c r="AM883" s="324" t="s">
        <v>55</v>
      </c>
    </row>
    <row r="884" spans="1:39" s="324" customFormat="1" ht="0.65" hidden="1" customHeight="1">
      <c r="A884" s="324">
        <v>3196</v>
      </c>
      <c r="O884" s="324" t="s">
        <v>30</v>
      </c>
      <c r="AA884" s="324">
        <v>23</v>
      </c>
      <c r="AB884" s="324" t="s">
        <v>645</v>
      </c>
      <c r="AC884" s="324" t="s">
        <v>55</v>
      </c>
      <c r="AD884" s="324" t="s">
        <v>55</v>
      </c>
      <c r="AE884" s="324">
        <v>0</v>
      </c>
      <c r="AF884" s="324" t="s">
        <v>565</v>
      </c>
      <c r="AG884" s="324">
        <v>120000</v>
      </c>
      <c r="AH884" s="324">
        <v>120000</v>
      </c>
      <c r="AI884" s="324" t="s">
        <v>55</v>
      </c>
      <c r="AJ884" s="324">
        <v>120000</v>
      </c>
      <c r="AK884" s="324" t="s">
        <v>55</v>
      </c>
      <c r="AL884" s="324" t="s">
        <v>55</v>
      </c>
      <c r="AM884" s="324" t="s">
        <v>55</v>
      </c>
    </row>
    <row r="885" spans="1:39" s="324" customFormat="1" ht="0.65" hidden="1" customHeight="1">
      <c r="A885" s="324">
        <v>3197</v>
      </c>
      <c r="AA885" s="324">
        <v>24</v>
      </c>
      <c r="AB885" s="324" t="s">
        <v>645</v>
      </c>
      <c r="AC885" s="324" t="s">
        <v>55</v>
      </c>
      <c r="AD885" s="324" t="s">
        <v>55</v>
      </c>
      <c r="AE885" s="324">
        <v>0</v>
      </c>
      <c r="AF885" s="324" t="s">
        <v>568</v>
      </c>
      <c r="AG885" s="324">
        <v>120000</v>
      </c>
      <c r="AH885" s="324">
        <v>120000</v>
      </c>
      <c r="AI885" s="324" t="s">
        <v>55</v>
      </c>
      <c r="AJ885" s="324">
        <v>120000</v>
      </c>
      <c r="AK885" s="324" t="s">
        <v>55</v>
      </c>
      <c r="AL885" s="324" t="s">
        <v>55</v>
      </c>
      <c r="AM885" s="324" t="s">
        <v>55</v>
      </c>
    </row>
    <row r="886" spans="1:39" s="324" customFormat="1" ht="0.65" hidden="1" customHeight="1">
      <c r="A886" s="324">
        <v>3198</v>
      </c>
      <c r="AA886" s="324">
        <v>25</v>
      </c>
      <c r="AB886" s="324" t="s">
        <v>645</v>
      </c>
      <c r="AC886" s="324" t="s">
        <v>55</v>
      </c>
      <c r="AD886" s="324" t="s">
        <v>55</v>
      </c>
      <c r="AE886" s="324">
        <v>0</v>
      </c>
      <c r="AF886" s="324" t="s">
        <v>570</v>
      </c>
      <c r="AG886" s="324">
        <v>120000</v>
      </c>
      <c r="AH886" s="324">
        <v>120000</v>
      </c>
      <c r="AI886" s="324" t="s">
        <v>55</v>
      </c>
      <c r="AJ886" s="324">
        <v>120000</v>
      </c>
      <c r="AK886" s="324" t="s">
        <v>55</v>
      </c>
      <c r="AL886" s="324" t="s">
        <v>55</v>
      </c>
      <c r="AM886" s="324" t="s">
        <v>55</v>
      </c>
    </row>
    <row r="887" spans="1:39" s="324" customFormat="1" ht="0.65" hidden="1" customHeight="1">
      <c r="A887" s="324">
        <v>3199</v>
      </c>
      <c r="AA887" s="324">
        <v>26</v>
      </c>
      <c r="AB887" s="324" t="s">
        <v>645</v>
      </c>
      <c r="AC887" s="324" t="s">
        <v>55</v>
      </c>
      <c r="AD887" s="324" t="s">
        <v>55</v>
      </c>
      <c r="AE887" s="324">
        <v>0</v>
      </c>
      <c r="AF887" s="324" t="s">
        <v>572</v>
      </c>
      <c r="AG887" s="324">
        <v>48000</v>
      </c>
      <c r="AH887" s="324">
        <v>48000</v>
      </c>
      <c r="AI887" s="324" t="s">
        <v>55</v>
      </c>
      <c r="AJ887" s="324">
        <v>48000</v>
      </c>
      <c r="AK887" s="324" t="s">
        <v>55</v>
      </c>
      <c r="AL887" s="324" t="s">
        <v>55</v>
      </c>
      <c r="AM887" s="324" t="s">
        <v>55</v>
      </c>
    </row>
    <row r="888" spans="1:39" s="324" customFormat="1" ht="0.65" hidden="1" customHeight="1">
      <c r="A888" s="324">
        <v>3200</v>
      </c>
      <c r="AA888" s="324">
        <v>27</v>
      </c>
      <c r="AB888" s="324" t="s">
        <v>645</v>
      </c>
      <c r="AC888" s="324" t="s">
        <v>55</v>
      </c>
      <c r="AD888" s="324" t="s">
        <v>55</v>
      </c>
      <c r="AE888" s="324">
        <v>0</v>
      </c>
      <c r="AF888" s="324" t="s">
        <v>575</v>
      </c>
      <c r="AG888" s="324">
        <v>48000</v>
      </c>
      <c r="AH888" s="324">
        <v>48000</v>
      </c>
      <c r="AI888" s="324" t="s">
        <v>55</v>
      </c>
      <c r="AJ888" s="324">
        <v>48000</v>
      </c>
      <c r="AK888" s="324" t="s">
        <v>55</v>
      </c>
      <c r="AL888" s="324" t="s">
        <v>55</v>
      </c>
      <c r="AM888" s="324" t="s">
        <v>55</v>
      </c>
    </row>
    <row r="889" spans="1:39" s="324" customFormat="1" ht="0.65" hidden="1" customHeight="1">
      <c r="A889" s="324">
        <v>3201</v>
      </c>
      <c r="AA889" s="324">
        <v>28</v>
      </c>
      <c r="AB889" s="324" t="s">
        <v>645</v>
      </c>
      <c r="AC889" s="324" t="s">
        <v>55</v>
      </c>
      <c r="AD889" s="324" t="s">
        <v>55</v>
      </c>
      <c r="AE889" s="324">
        <v>0</v>
      </c>
      <c r="AF889" s="324" t="s">
        <v>577</v>
      </c>
      <c r="AG889" s="324">
        <v>48000</v>
      </c>
      <c r="AH889" s="324">
        <v>48000</v>
      </c>
      <c r="AI889" s="324" t="s">
        <v>55</v>
      </c>
      <c r="AJ889" s="324">
        <v>48000</v>
      </c>
      <c r="AK889" s="324" t="s">
        <v>55</v>
      </c>
      <c r="AL889" s="324" t="s">
        <v>55</v>
      </c>
      <c r="AM889" s="324" t="s">
        <v>55</v>
      </c>
    </row>
    <row r="890" spans="1:39" s="324" customFormat="1" ht="0.65" hidden="1" customHeight="1">
      <c r="A890" s="324">
        <v>3202</v>
      </c>
      <c r="AA890" s="324">
        <v>29</v>
      </c>
      <c r="AB890" s="324" t="s">
        <v>645</v>
      </c>
      <c r="AC890" s="324" t="s">
        <v>55</v>
      </c>
      <c r="AD890" s="324" t="s">
        <v>55</v>
      </c>
      <c r="AE890" s="324">
        <v>0</v>
      </c>
      <c r="AF890" s="324" t="s">
        <v>579</v>
      </c>
      <c r="AG890" s="324">
        <v>72000</v>
      </c>
      <c r="AH890" s="324">
        <v>72000</v>
      </c>
      <c r="AI890" s="324" t="s">
        <v>55</v>
      </c>
      <c r="AJ890" s="324">
        <v>72000</v>
      </c>
      <c r="AK890" s="324" t="s">
        <v>55</v>
      </c>
      <c r="AL890" s="324" t="s">
        <v>55</v>
      </c>
      <c r="AM890" s="324" t="s">
        <v>55</v>
      </c>
    </row>
    <row r="891" spans="1:39" s="324" customFormat="1" ht="0.65" hidden="1" customHeight="1">
      <c r="A891" s="324">
        <v>3203</v>
      </c>
      <c r="AA891" s="324">
        <v>30</v>
      </c>
      <c r="AB891" s="324" t="s">
        <v>645</v>
      </c>
      <c r="AC891" s="324" t="s">
        <v>55</v>
      </c>
      <c r="AD891" s="324" t="s">
        <v>55</v>
      </c>
      <c r="AE891" s="324">
        <v>0</v>
      </c>
      <c r="AF891" s="324" t="s">
        <v>582</v>
      </c>
      <c r="AG891" s="324">
        <v>72000</v>
      </c>
      <c r="AH891" s="324">
        <v>72000</v>
      </c>
      <c r="AI891" s="324" t="s">
        <v>55</v>
      </c>
      <c r="AJ891" s="324">
        <v>72000</v>
      </c>
      <c r="AK891" s="324" t="s">
        <v>55</v>
      </c>
      <c r="AL891" s="324" t="s">
        <v>55</v>
      </c>
      <c r="AM891" s="324" t="s">
        <v>55</v>
      </c>
    </row>
    <row r="892" spans="1:39" s="324" customFormat="1" ht="0.65" hidden="1" customHeight="1">
      <c r="A892" s="324">
        <v>3204</v>
      </c>
      <c r="AA892" s="324">
        <v>31</v>
      </c>
      <c r="AB892" s="324" t="s">
        <v>645</v>
      </c>
      <c r="AC892" s="324" t="s">
        <v>55</v>
      </c>
      <c r="AD892" s="324" t="s">
        <v>55</v>
      </c>
      <c r="AE892" s="324">
        <v>0</v>
      </c>
      <c r="AF892" s="324" t="s">
        <v>584</v>
      </c>
      <c r="AG892" s="324">
        <v>72000</v>
      </c>
      <c r="AH892" s="324">
        <v>72000</v>
      </c>
      <c r="AI892" s="324" t="s">
        <v>55</v>
      </c>
      <c r="AJ892" s="324">
        <v>72000</v>
      </c>
      <c r="AK892" s="324" t="s">
        <v>55</v>
      </c>
      <c r="AL892" s="324" t="s">
        <v>55</v>
      </c>
      <c r="AM892" s="324" t="s">
        <v>55</v>
      </c>
    </row>
    <row r="893" spans="1:39" s="324" customFormat="1" ht="0.65" hidden="1" customHeight="1">
      <c r="A893" s="324">
        <v>3205</v>
      </c>
      <c r="AA893" s="324">
        <v>32</v>
      </c>
      <c r="AB893" s="324" t="s">
        <v>645</v>
      </c>
      <c r="AC893" s="324" t="s">
        <v>55</v>
      </c>
      <c r="AD893" s="324" t="s">
        <v>55</v>
      </c>
      <c r="AE893" s="324">
        <v>0</v>
      </c>
      <c r="AF893" s="324" t="s">
        <v>586</v>
      </c>
      <c r="AG893" s="324">
        <v>72000</v>
      </c>
      <c r="AH893" s="324">
        <v>72000</v>
      </c>
      <c r="AI893" s="324" t="s">
        <v>55</v>
      </c>
      <c r="AJ893" s="324">
        <v>72000</v>
      </c>
      <c r="AK893" s="324" t="s">
        <v>55</v>
      </c>
      <c r="AL893" s="324" t="s">
        <v>55</v>
      </c>
      <c r="AM893" s="324" t="s">
        <v>55</v>
      </c>
    </row>
    <row r="894" spans="1:39" s="324" customFormat="1" ht="0.65" hidden="1" customHeight="1">
      <c r="A894" s="324">
        <v>3206</v>
      </c>
      <c r="AA894" s="324">
        <v>33</v>
      </c>
      <c r="AB894" s="324" t="s">
        <v>645</v>
      </c>
      <c r="AC894" s="324" t="s">
        <v>55</v>
      </c>
      <c r="AD894" s="324" t="s">
        <v>55</v>
      </c>
      <c r="AE894" s="324">
        <v>0</v>
      </c>
      <c r="AF894" s="324" t="s">
        <v>589</v>
      </c>
      <c r="AG894" s="324">
        <v>0</v>
      </c>
      <c r="AH894" s="324">
        <v>0</v>
      </c>
      <c r="AI894" s="324" t="s">
        <v>55</v>
      </c>
      <c r="AJ894" s="324">
        <v>0</v>
      </c>
      <c r="AK894" s="324" t="s">
        <v>55</v>
      </c>
      <c r="AL894" s="324" t="s">
        <v>55</v>
      </c>
      <c r="AM894" s="324" t="s">
        <v>55</v>
      </c>
    </row>
    <row r="895" spans="1:39" s="324" customFormat="1" ht="0.65" hidden="1" customHeight="1">
      <c r="A895" s="324">
        <v>3207</v>
      </c>
      <c r="AA895" s="324">
        <v>34</v>
      </c>
      <c r="AB895" s="324" t="s">
        <v>645</v>
      </c>
      <c r="AC895" s="324" t="s">
        <v>55</v>
      </c>
      <c r="AD895" s="324" t="s">
        <v>55</v>
      </c>
      <c r="AE895" s="324">
        <v>0</v>
      </c>
      <c r="AF895" s="324" t="s">
        <v>590</v>
      </c>
      <c r="AG895" s="324">
        <v>0</v>
      </c>
      <c r="AH895" s="324">
        <v>0</v>
      </c>
      <c r="AI895" s="324" t="s">
        <v>55</v>
      </c>
      <c r="AJ895" s="324">
        <v>0</v>
      </c>
      <c r="AK895" s="324" t="s">
        <v>55</v>
      </c>
      <c r="AL895" s="324" t="s">
        <v>55</v>
      </c>
      <c r="AM895" s="324" t="s">
        <v>55</v>
      </c>
    </row>
    <row r="896" spans="1:39" s="324" customFormat="1" ht="0.65" hidden="1" customHeight="1">
      <c r="A896" s="324">
        <v>3208</v>
      </c>
      <c r="AA896" s="324">
        <v>35</v>
      </c>
      <c r="AB896" s="324" t="s">
        <v>645</v>
      </c>
      <c r="AC896" s="324" t="s">
        <v>55</v>
      </c>
      <c r="AD896" s="324" t="s">
        <v>55</v>
      </c>
      <c r="AE896" s="324">
        <v>0</v>
      </c>
      <c r="AF896" s="324" t="s">
        <v>592</v>
      </c>
      <c r="AG896" s="324">
        <v>31833.333333333343</v>
      </c>
      <c r="AH896" s="324">
        <v>31833.333333333343</v>
      </c>
      <c r="AI896" s="324" t="s">
        <v>55</v>
      </c>
      <c r="AJ896" s="324">
        <v>31833.333333333343</v>
      </c>
      <c r="AK896" s="324" t="s">
        <v>55</v>
      </c>
      <c r="AL896" s="324" t="s">
        <v>55</v>
      </c>
      <c r="AM896" s="324" t="s">
        <v>55</v>
      </c>
    </row>
    <row r="897" spans="1:39" s="324" customFormat="1" ht="0.65" hidden="1" customHeight="1">
      <c r="A897" s="324">
        <v>3209</v>
      </c>
      <c r="AA897" s="324">
        <v>36</v>
      </c>
      <c r="AB897" s="324" t="s">
        <v>645</v>
      </c>
      <c r="AC897" s="324" t="s">
        <v>55</v>
      </c>
      <c r="AD897" s="324" t="s">
        <v>55</v>
      </c>
      <c r="AE897" s="324">
        <v>0</v>
      </c>
      <c r="AF897" s="324" t="s">
        <v>595</v>
      </c>
      <c r="AG897" s="324">
        <v>103833.33333333334</v>
      </c>
      <c r="AH897" s="324">
        <v>103833.33333333334</v>
      </c>
      <c r="AI897" s="324" t="s">
        <v>55</v>
      </c>
      <c r="AJ897" s="324">
        <v>103833.33333333334</v>
      </c>
      <c r="AK897" s="324" t="s">
        <v>55</v>
      </c>
      <c r="AL897" s="324" t="s">
        <v>55</v>
      </c>
      <c r="AM897" s="324" t="s">
        <v>55</v>
      </c>
    </row>
    <row r="898" spans="1:39" s="324" customFormat="1" ht="0.65" hidden="1" customHeight="1">
      <c r="A898" s="324">
        <v>3210</v>
      </c>
      <c r="AA898" s="324">
        <v>37</v>
      </c>
      <c r="AB898" s="324" t="s">
        <v>645</v>
      </c>
      <c r="AC898" s="324" t="s">
        <v>55</v>
      </c>
      <c r="AD898" s="324" t="s">
        <v>55</v>
      </c>
      <c r="AE898" s="324">
        <v>0</v>
      </c>
      <c r="AF898" s="324" t="s">
        <v>598</v>
      </c>
      <c r="AG898" s="324">
        <v>103833.33333333334</v>
      </c>
      <c r="AH898" s="324">
        <v>103833.33333333334</v>
      </c>
      <c r="AI898" s="324" t="s">
        <v>55</v>
      </c>
      <c r="AJ898" s="324">
        <v>103833.33333333334</v>
      </c>
      <c r="AK898" s="324" t="s">
        <v>55</v>
      </c>
      <c r="AL898" s="324" t="s">
        <v>55</v>
      </c>
      <c r="AM898" s="324" t="s">
        <v>55</v>
      </c>
    </row>
    <row r="899" spans="1:39" s="324" customFormat="1" ht="0.65" hidden="1" customHeight="1">
      <c r="A899" s="324">
        <v>3211</v>
      </c>
      <c r="AA899" s="324">
        <v>38</v>
      </c>
      <c r="AB899" s="324" t="s">
        <v>645</v>
      </c>
      <c r="AC899" s="324" t="s">
        <v>55</v>
      </c>
      <c r="AD899" s="324" t="s">
        <v>55</v>
      </c>
      <c r="AE899" s="324">
        <v>0</v>
      </c>
      <c r="AF899" s="324" t="s">
        <v>491</v>
      </c>
      <c r="AG899" s="324">
        <v>75000</v>
      </c>
      <c r="AH899" s="324">
        <v>75000</v>
      </c>
      <c r="AI899" s="324" t="s">
        <v>55</v>
      </c>
      <c r="AJ899" s="324">
        <v>75000</v>
      </c>
      <c r="AK899" s="324" t="s">
        <v>55</v>
      </c>
      <c r="AL899" s="324" t="s">
        <v>55</v>
      </c>
      <c r="AM899" s="324" t="s">
        <v>55</v>
      </c>
    </row>
    <row r="900" spans="1:39" s="324" customFormat="1" ht="0.65" hidden="1" customHeight="1">
      <c r="A900" s="324">
        <v>3212</v>
      </c>
      <c r="AA900" s="324">
        <v>39</v>
      </c>
      <c r="AB900" s="324" t="s">
        <v>645</v>
      </c>
      <c r="AC900" s="324" t="s">
        <v>55</v>
      </c>
      <c r="AD900" s="324" t="s">
        <v>55</v>
      </c>
      <c r="AE900" s="324">
        <v>0</v>
      </c>
      <c r="AF900" s="324" t="s">
        <v>493</v>
      </c>
      <c r="AG900" s="324">
        <v>72000</v>
      </c>
      <c r="AH900" s="324">
        <v>72000</v>
      </c>
      <c r="AI900" s="324" t="s">
        <v>55</v>
      </c>
      <c r="AJ900" s="324">
        <v>72000</v>
      </c>
      <c r="AK900" s="324" t="s">
        <v>55</v>
      </c>
      <c r="AL900" s="324" t="s">
        <v>55</v>
      </c>
      <c r="AM900" s="324" t="s">
        <v>55</v>
      </c>
    </row>
    <row r="901" spans="1:39" s="324" customFormat="1" ht="0.65" hidden="1" customHeight="1">
      <c r="A901" s="324">
        <v>3213</v>
      </c>
      <c r="AA901" s="324">
        <v>40</v>
      </c>
      <c r="AB901" s="324" t="s">
        <v>645</v>
      </c>
      <c r="AC901" s="324" t="s">
        <v>55</v>
      </c>
      <c r="AD901" s="324" t="s">
        <v>55</v>
      </c>
      <c r="AE901" s="324">
        <v>0</v>
      </c>
      <c r="AF901" s="324" t="s">
        <v>494</v>
      </c>
      <c r="AG901" s="324">
        <v>147000</v>
      </c>
      <c r="AH901" s="324">
        <v>147000</v>
      </c>
      <c r="AI901" s="324" t="s">
        <v>55</v>
      </c>
      <c r="AJ901" s="324">
        <v>147000</v>
      </c>
      <c r="AK901" s="324" t="s">
        <v>55</v>
      </c>
      <c r="AL901" s="324" t="s">
        <v>55</v>
      </c>
      <c r="AM901" s="324" t="s">
        <v>55</v>
      </c>
    </row>
    <row r="902" spans="1:39" s="324" customFormat="1" ht="0.65" hidden="1" customHeight="1">
      <c r="A902" s="324">
        <v>3214</v>
      </c>
      <c r="AA902" s="324">
        <v>41</v>
      </c>
      <c r="AB902" s="324" t="s">
        <v>645</v>
      </c>
      <c r="AC902" s="324" t="s">
        <v>55</v>
      </c>
      <c r="AD902" s="324" t="s">
        <v>55</v>
      </c>
      <c r="AE902" s="324">
        <v>0</v>
      </c>
      <c r="AF902" s="324" t="s">
        <v>607</v>
      </c>
      <c r="AG902" s="324">
        <v>-175000</v>
      </c>
      <c r="AH902" s="324">
        <v>-175000</v>
      </c>
      <c r="AI902" s="324" t="s">
        <v>55</v>
      </c>
      <c r="AJ902" s="324">
        <v>-175000</v>
      </c>
      <c r="AK902" s="324" t="s">
        <v>55</v>
      </c>
      <c r="AL902" s="324" t="s">
        <v>55</v>
      </c>
      <c r="AM902" s="324" t="s">
        <v>55</v>
      </c>
    </row>
    <row r="903" spans="1:39" s="324" customFormat="1" ht="0.65" hidden="1" customHeight="1">
      <c r="A903" s="324">
        <v>3215</v>
      </c>
      <c r="AA903" s="324">
        <v>42</v>
      </c>
      <c r="AB903" s="324" t="s">
        <v>645</v>
      </c>
      <c r="AC903" s="324" t="s">
        <v>55</v>
      </c>
      <c r="AD903" s="324" t="s">
        <v>55</v>
      </c>
      <c r="AE903" s="324">
        <v>0</v>
      </c>
      <c r="AF903" s="324" t="s">
        <v>610</v>
      </c>
      <c r="AG903" s="324">
        <v>31833.333333333343</v>
      </c>
      <c r="AH903" s="324">
        <v>31833.333333333343</v>
      </c>
      <c r="AI903" s="324" t="s">
        <v>55</v>
      </c>
      <c r="AJ903" s="324">
        <v>31833.333333333343</v>
      </c>
      <c r="AK903" s="324" t="s">
        <v>55</v>
      </c>
      <c r="AL903" s="324" t="s">
        <v>55</v>
      </c>
      <c r="AM903" s="324" t="s">
        <v>55</v>
      </c>
    </row>
    <row r="904" spans="1:39" s="324" customFormat="1" ht="0.65" hidden="1" customHeight="1">
      <c r="A904" s="324">
        <v>3216</v>
      </c>
      <c r="AA904" s="324">
        <v>43</v>
      </c>
      <c r="AB904" s="324" t="s">
        <v>645</v>
      </c>
      <c r="AC904" s="324" t="s">
        <v>55</v>
      </c>
      <c r="AD904" s="324" t="s">
        <v>55</v>
      </c>
      <c r="AE904" s="324">
        <v>0</v>
      </c>
      <c r="AF904" s="324" t="s">
        <v>611</v>
      </c>
      <c r="AG904" s="324">
        <v>103833.33333333334</v>
      </c>
      <c r="AH904" s="324">
        <v>103833.33333333334</v>
      </c>
      <c r="AI904" s="324" t="s">
        <v>55</v>
      </c>
      <c r="AJ904" s="324">
        <v>103833.33333333334</v>
      </c>
      <c r="AK904" s="324" t="s">
        <v>55</v>
      </c>
      <c r="AL904" s="324" t="s">
        <v>55</v>
      </c>
      <c r="AM904" s="324" t="s">
        <v>55</v>
      </c>
    </row>
    <row r="905" spans="1:39" s="324" customFormat="1" ht="0.65" hidden="1" customHeight="1">
      <c r="A905" s="324">
        <v>3217</v>
      </c>
      <c r="AA905" s="324">
        <v>44</v>
      </c>
      <c r="AB905" s="324" t="s">
        <v>645</v>
      </c>
      <c r="AC905" s="324" t="s">
        <v>55</v>
      </c>
      <c r="AD905" s="324" t="s">
        <v>55</v>
      </c>
      <c r="AE905" s="324">
        <v>0</v>
      </c>
      <c r="AF905" s="324" t="s">
        <v>612</v>
      </c>
      <c r="AG905" s="324">
        <v>250833.33333333334</v>
      </c>
      <c r="AH905" s="324">
        <v>250833.33333333334</v>
      </c>
      <c r="AI905" s="324" t="s">
        <v>55</v>
      </c>
      <c r="AJ905" s="324">
        <v>250833.33333333334</v>
      </c>
      <c r="AK905" s="324" t="s">
        <v>55</v>
      </c>
      <c r="AL905" s="324" t="s">
        <v>55</v>
      </c>
      <c r="AM905" s="324" t="s">
        <v>55</v>
      </c>
    </row>
    <row r="906" spans="1:39" s="324" customFormat="1" ht="0.65" hidden="1" customHeight="1">
      <c r="A906" s="324">
        <v>3218</v>
      </c>
      <c r="AA906" s="324">
        <v>45</v>
      </c>
      <c r="AB906" s="324" t="s">
        <v>645</v>
      </c>
      <c r="AC906" s="324" t="s">
        <v>55</v>
      </c>
      <c r="AD906" s="324" t="s">
        <v>55</v>
      </c>
      <c r="AE906" s="324">
        <v>0</v>
      </c>
      <c r="AF906" s="324" t="s">
        <v>124</v>
      </c>
      <c r="AG906" s="324">
        <v>4.4999999999999998E-2</v>
      </c>
      <c r="AH906" s="324">
        <v>4.4999999999999998E-2</v>
      </c>
      <c r="AI906" s="324" t="s">
        <v>55</v>
      </c>
      <c r="AJ906" s="324">
        <v>4.4999999999999998E-2</v>
      </c>
      <c r="AK906" s="324" t="s">
        <v>55</v>
      </c>
      <c r="AL906" s="324" t="s">
        <v>55</v>
      </c>
      <c r="AM906" s="324" t="s">
        <v>55</v>
      </c>
    </row>
    <row r="907" spans="1:39" s="324" customFormat="1" ht="0.65" hidden="1" customHeight="1">
      <c r="A907" s="324">
        <v>3219</v>
      </c>
      <c r="AA907" s="324">
        <v>46</v>
      </c>
      <c r="AB907" s="324" t="s">
        <v>645</v>
      </c>
      <c r="AC907" s="324" t="s">
        <v>55</v>
      </c>
      <c r="AD907" s="324" t="s">
        <v>55</v>
      </c>
      <c r="AE907" s="324">
        <v>0</v>
      </c>
      <c r="AF907" s="324" t="s">
        <v>125</v>
      </c>
      <c r="AG907" s="324">
        <v>0.08</v>
      </c>
      <c r="AH907" s="324">
        <v>0.08</v>
      </c>
      <c r="AI907" s="324" t="s">
        <v>55</v>
      </c>
      <c r="AJ907" s="324">
        <v>0.08</v>
      </c>
      <c r="AK907" s="324" t="s">
        <v>55</v>
      </c>
      <c r="AL907" s="324" t="s">
        <v>55</v>
      </c>
      <c r="AM907" s="324" t="s">
        <v>55</v>
      </c>
    </row>
    <row r="908" spans="1:39" s="324" customFormat="1" ht="0.65" hidden="1" customHeight="1">
      <c r="A908" s="324">
        <v>3220</v>
      </c>
      <c r="AA908" s="324">
        <v>47</v>
      </c>
      <c r="AB908" s="324" t="s">
        <v>645</v>
      </c>
      <c r="AC908" s="324" t="s">
        <v>55</v>
      </c>
      <c r="AD908" s="324" t="s">
        <v>55</v>
      </c>
      <c r="AE908" s="324">
        <v>0</v>
      </c>
      <c r="AF908" s="324" t="s">
        <v>126</v>
      </c>
      <c r="AG908" s="324">
        <v>7.1249999999999994E-2</v>
      </c>
      <c r="AH908" s="324">
        <v>7.1249999999999994E-2</v>
      </c>
      <c r="AI908" s="324" t="s">
        <v>55</v>
      </c>
      <c r="AJ908" s="324">
        <v>7.1249999999999994E-2</v>
      </c>
      <c r="AK908" s="324" t="s">
        <v>55</v>
      </c>
      <c r="AL908" s="324" t="s">
        <v>55</v>
      </c>
      <c r="AM908" s="324" t="s">
        <v>55</v>
      </c>
    </row>
    <row r="909" spans="1:39" s="324" customFormat="1" ht="0.65" hidden="1" customHeight="1">
      <c r="A909" s="324">
        <v>3221</v>
      </c>
      <c r="AA909" s="324">
        <v>48</v>
      </c>
      <c r="AB909" s="324" t="s">
        <v>645</v>
      </c>
      <c r="AC909" s="324" t="s">
        <v>55</v>
      </c>
      <c r="AD909" s="324" t="s">
        <v>55</v>
      </c>
      <c r="AE909" s="324">
        <v>0</v>
      </c>
      <c r="AF909" s="324" t="s">
        <v>13</v>
      </c>
      <c r="AG909" s="324">
        <v>149235.38433886995</v>
      </c>
      <c r="AH909" s="324">
        <v>149235.38433886995</v>
      </c>
      <c r="AI909" s="324" t="s">
        <v>55</v>
      </c>
      <c r="AJ909" s="324">
        <v>149235.38433886995</v>
      </c>
      <c r="AK909" s="324" t="s">
        <v>55</v>
      </c>
      <c r="AL909" s="324" t="s">
        <v>55</v>
      </c>
      <c r="AM909" s="324" t="s">
        <v>55</v>
      </c>
    </row>
    <row r="910" spans="1:39" s="324" customFormat="1" ht="0.65" hidden="1" customHeight="1">
      <c r="A910" s="324">
        <v>3222</v>
      </c>
      <c r="AA910" s="324">
        <v>49</v>
      </c>
      <c r="AB910" s="324" t="s">
        <v>645</v>
      </c>
      <c r="AC910" s="324" t="s">
        <v>55</v>
      </c>
      <c r="AD910" s="324" t="s">
        <v>55</v>
      </c>
      <c r="AE910" s="324">
        <v>0</v>
      </c>
      <c r="AF910" s="324" t="s">
        <v>28</v>
      </c>
      <c r="AG910" s="324">
        <v>0.37357216681627725</v>
      </c>
      <c r="AH910" s="324">
        <v>0.37357216681627725</v>
      </c>
      <c r="AI910" s="324" t="s">
        <v>55</v>
      </c>
      <c r="AJ910" s="324">
        <v>0.37357216681627725</v>
      </c>
      <c r="AK910" s="324" t="s">
        <v>55</v>
      </c>
      <c r="AL910" s="324" t="s">
        <v>55</v>
      </c>
      <c r="AM910" s="324" t="s">
        <v>55</v>
      </c>
    </row>
    <row r="911" spans="1:39" s="324" customFormat="1" ht="0.65" hidden="1" customHeight="1">
      <c r="A911" s="324">
        <v>3223</v>
      </c>
      <c r="AH911" s="324" t="s">
        <v>207</v>
      </c>
      <c r="AI911" s="324">
        <v>0</v>
      </c>
      <c r="AJ911" s="324" t="s">
        <v>207</v>
      </c>
      <c r="AK911" s="324">
        <v>0</v>
      </c>
    </row>
    <row r="912" spans="1:39" s="324" customFormat="1" ht="0.65" hidden="1" customHeight="1"/>
    <row r="913" spans="1:33" s="324" customFormat="1" ht="0.65" hidden="1" customHeight="1"/>
    <row r="914" spans="1:33" s="324" customFormat="1" ht="0.65" hidden="1" customHeight="1"/>
    <row r="915" spans="1:33" s="324" customFormat="1" ht="0.65" hidden="1" customHeight="1">
      <c r="B915" s="324" t="s">
        <v>19</v>
      </c>
      <c r="D915" s="324" t="s">
        <v>336</v>
      </c>
      <c r="E915" s="324">
        <v>4</v>
      </c>
    </row>
    <row r="916" spans="1:33" s="324" customFormat="1" ht="0.65" hidden="1" customHeight="1">
      <c r="B916" s="324" t="s">
        <v>3951</v>
      </c>
      <c r="D916" s="324" t="s">
        <v>336</v>
      </c>
      <c r="E916" s="324" t="s">
        <v>486</v>
      </c>
      <c r="H916" s="324" t="s">
        <v>55</v>
      </c>
      <c r="I916" s="324" t="s">
        <v>55</v>
      </c>
      <c r="J916" s="324" t="s">
        <v>55</v>
      </c>
      <c r="K916" s="324" t="s">
        <v>55</v>
      </c>
      <c r="L916" s="324" t="s">
        <v>55</v>
      </c>
      <c r="M916" s="324" t="s">
        <v>55</v>
      </c>
      <c r="N916" s="324" t="s">
        <v>55</v>
      </c>
      <c r="O916" s="324" t="s">
        <v>55</v>
      </c>
      <c r="P916" s="324" t="s">
        <v>55</v>
      </c>
    </row>
    <row r="917" spans="1:33" s="324" customFormat="1" ht="0.65" hidden="1" customHeight="1">
      <c r="A917" s="324">
        <v>4001</v>
      </c>
      <c r="C917" s="324" t="s">
        <v>5</v>
      </c>
      <c r="D917" s="324">
        <v>2022</v>
      </c>
      <c r="G917" s="324" t="s">
        <v>0</v>
      </c>
      <c r="H917" s="324" t="s">
        <v>69</v>
      </c>
      <c r="I917" s="324" t="s">
        <v>70</v>
      </c>
      <c r="J917" s="324" t="s">
        <v>71</v>
      </c>
      <c r="K917" s="324" t="s">
        <v>72</v>
      </c>
      <c r="L917" s="324" t="s">
        <v>73</v>
      </c>
      <c r="M917" s="324" t="s">
        <v>74</v>
      </c>
      <c r="N917" s="324" t="s">
        <v>75</v>
      </c>
      <c r="O917" s="324" t="s">
        <v>80</v>
      </c>
      <c r="P917" s="324" t="s">
        <v>1</v>
      </c>
      <c r="U917" s="324" t="s">
        <v>151</v>
      </c>
      <c r="AD917" s="324" t="s">
        <v>455</v>
      </c>
    </row>
    <row r="918" spans="1:33" s="324" customFormat="1" ht="0.65" hidden="1" customHeight="1">
      <c r="A918" s="324">
        <v>4002</v>
      </c>
      <c r="G918" s="324">
        <v>2022</v>
      </c>
      <c r="H918" s="324">
        <v>0</v>
      </c>
      <c r="I918" s="324">
        <v>0</v>
      </c>
      <c r="J918" s="324">
        <v>0</v>
      </c>
      <c r="K918" s="324">
        <v>0</v>
      </c>
      <c r="L918" s="324">
        <v>0</v>
      </c>
      <c r="M918" s="324">
        <v>0</v>
      </c>
      <c r="N918" s="324">
        <v>0</v>
      </c>
      <c r="O918" s="324">
        <v>0</v>
      </c>
      <c r="P918" s="324">
        <v>-306250</v>
      </c>
      <c r="AD918" s="324" t="s">
        <v>487</v>
      </c>
    </row>
    <row r="919" spans="1:33" s="324" customFormat="1" ht="0.65" hidden="1" customHeight="1">
      <c r="A919" s="324">
        <v>4003</v>
      </c>
      <c r="C919" s="324" t="s">
        <v>32</v>
      </c>
      <c r="G919" s="324">
        <v>2023</v>
      </c>
      <c r="H919" s="324">
        <v>600000</v>
      </c>
      <c r="I919" s="324">
        <v>500000</v>
      </c>
      <c r="J919" s="324">
        <v>-12500</v>
      </c>
      <c r="K919" s="324">
        <v>112500</v>
      </c>
      <c r="L919" s="324">
        <v>28125</v>
      </c>
      <c r="M919" s="324">
        <v>84375</v>
      </c>
      <c r="N919" s="324">
        <v>71875</v>
      </c>
      <c r="O919" s="324">
        <v>46875</v>
      </c>
      <c r="P919" s="324">
        <v>46875</v>
      </c>
      <c r="U919" s="324" t="s">
        <v>152</v>
      </c>
      <c r="Z919" s="324" t="s">
        <v>176</v>
      </c>
      <c r="AA919" s="324">
        <v>-36847.959271750646</v>
      </c>
      <c r="AF919" s="324" t="s">
        <v>247</v>
      </c>
    </row>
    <row r="920" spans="1:33" s="324" customFormat="1" ht="0.65" hidden="1" customHeight="1">
      <c r="A920" s="324">
        <v>4004</v>
      </c>
      <c r="C920" s="324" t="s">
        <v>488</v>
      </c>
      <c r="D920" s="324">
        <v>500000</v>
      </c>
      <c r="E920" s="324" t="s">
        <v>55</v>
      </c>
      <c r="G920" s="324">
        <v>2024</v>
      </c>
      <c r="H920" s="324">
        <v>600000</v>
      </c>
      <c r="I920" s="324">
        <v>500000</v>
      </c>
      <c r="J920" s="324">
        <v>-12500</v>
      </c>
      <c r="K920" s="324">
        <v>112500</v>
      </c>
      <c r="L920" s="324">
        <v>28125</v>
      </c>
      <c r="M920" s="324">
        <v>84375</v>
      </c>
      <c r="N920" s="324">
        <v>71875</v>
      </c>
      <c r="O920" s="324">
        <v>71875</v>
      </c>
      <c r="P920" s="324">
        <v>71875</v>
      </c>
      <c r="Y920" s="324" t="s">
        <v>139</v>
      </c>
      <c r="Z920" s="324" t="s">
        <v>174</v>
      </c>
      <c r="AF920" s="324" t="s">
        <v>248</v>
      </c>
    </row>
    <row r="921" spans="1:33" s="324" customFormat="1" ht="0.65" hidden="1" customHeight="1">
      <c r="A921" s="324">
        <v>4005</v>
      </c>
      <c r="C921" s="324" t="s">
        <v>6</v>
      </c>
      <c r="D921" s="324">
        <v>10</v>
      </c>
      <c r="G921" s="324">
        <v>2025</v>
      </c>
      <c r="H921" s="324">
        <v>600000</v>
      </c>
      <c r="I921" s="324">
        <v>500000</v>
      </c>
      <c r="J921" s="324">
        <v>-12500</v>
      </c>
      <c r="K921" s="324">
        <v>112500</v>
      </c>
      <c r="L921" s="324">
        <v>28125</v>
      </c>
      <c r="M921" s="324">
        <v>84375</v>
      </c>
      <c r="N921" s="324">
        <v>71875</v>
      </c>
      <c r="O921" s="324">
        <v>71875</v>
      </c>
      <c r="P921" s="324">
        <v>210937.5</v>
      </c>
      <c r="T921" s="324" t="s">
        <v>187</v>
      </c>
      <c r="V921" s="324" t="s">
        <v>180</v>
      </c>
      <c r="X921" s="324" t="s">
        <v>177</v>
      </c>
      <c r="Y921" s="324" t="s">
        <v>173</v>
      </c>
      <c r="Z921" s="324" t="s">
        <v>175</v>
      </c>
      <c r="AA921" s="324" t="s">
        <v>172</v>
      </c>
      <c r="AD921" s="324" t="s">
        <v>177</v>
      </c>
      <c r="AE921" s="324" t="s">
        <v>246</v>
      </c>
      <c r="AF921" s="324" t="s">
        <v>249</v>
      </c>
      <c r="AG921" s="324" t="s">
        <v>462</v>
      </c>
    </row>
    <row r="922" spans="1:33" s="324" customFormat="1" ht="0.65" hidden="1" customHeight="1">
      <c r="A922" s="324">
        <v>4006</v>
      </c>
      <c r="C922" s="324" t="s">
        <v>489</v>
      </c>
      <c r="D922" s="324">
        <v>100000</v>
      </c>
      <c r="H922" s="324" t="s">
        <v>55</v>
      </c>
      <c r="I922" s="324" t="s">
        <v>55</v>
      </c>
      <c r="J922" s="324" t="s">
        <v>55</v>
      </c>
      <c r="K922" s="324" t="s">
        <v>55</v>
      </c>
      <c r="T922" s="324">
        <v>1</v>
      </c>
      <c r="U922" s="324" t="s">
        <v>153</v>
      </c>
      <c r="V922" s="324" t="s">
        <v>178</v>
      </c>
      <c r="W922" s="324" t="s">
        <v>55</v>
      </c>
      <c r="X922" s="324" t="s">
        <v>6</v>
      </c>
      <c r="Y922" s="324">
        <v>10</v>
      </c>
      <c r="Z922" s="324">
        <v>15</v>
      </c>
      <c r="AA922" s="324">
        <v>-37703.367922213132</v>
      </c>
      <c r="AB922" s="324" t="s">
        <v>55</v>
      </c>
      <c r="AC922" s="324">
        <v>1</v>
      </c>
      <c r="AD922" s="324" t="s">
        <v>55</v>
      </c>
      <c r="AE922" s="324" t="s">
        <v>55</v>
      </c>
      <c r="AF922" s="324" t="s">
        <v>55</v>
      </c>
      <c r="AG922" s="324" t="s">
        <v>55</v>
      </c>
    </row>
    <row r="923" spans="1:33" s="324" customFormat="1" ht="0.65" hidden="1" customHeight="1">
      <c r="A923" s="324">
        <v>4007</v>
      </c>
      <c r="G923" s="324" t="s">
        <v>0</v>
      </c>
      <c r="H923" s="324" t="s">
        <v>76</v>
      </c>
      <c r="I923" s="324" t="s">
        <v>77</v>
      </c>
      <c r="J923" s="324" t="s">
        <v>78</v>
      </c>
      <c r="K923" s="324" t="s">
        <v>79</v>
      </c>
      <c r="N923" s="324" t="s">
        <v>55</v>
      </c>
      <c r="P923" s="324" t="s">
        <v>55</v>
      </c>
      <c r="T923" s="324">
        <v>2</v>
      </c>
      <c r="U923" s="324" t="s">
        <v>154</v>
      </c>
      <c r="V923" s="324" t="s">
        <v>178</v>
      </c>
      <c r="W923" s="324" t="s">
        <v>55</v>
      </c>
      <c r="X923" s="324" t="s">
        <v>488</v>
      </c>
      <c r="Y923" s="324">
        <v>500000</v>
      </c>
      <c r="Z923" s="324">
        <v>550000</v>
      </c>
      <c r="AA923" s="324">
        <v>-76804.985446227773</v>
      </c>
      <c r="AB923" s="324" t="s">
        <v>55</v>
      </c>
    </row>
    <row r="924" spans="1:33" s="324" customFormat="1" ht="0.65" hidden="1" customHeight="1">
      <c r="A924" s="324">
        <v>4008</v>
      </c>
      <c r="C924" s="324" t="s">
        <v>34</v>
      </c>
      <c r="D924" s="324">
        <v>600000</v>
      </c>
      <c r="G924" s="324">
        <v>2022</v>
      </c>
      <c r="H924" s="324">
        <v>0</v>
      </c>
      <c r="I924" s="324">
        <v>0</v>
      </c>
      <c r="J924" s="324">
        <v>0</v>
      </c>
      <c r="K924" s="324">
        <v>0</v>
      </c>
      <c r="M924" s="324" t="s">
        <v>490</v>
      </c>
      <c r="N924" s="324">
        <v>306250</v>
      </c>
      <c r="O924" s="324" t="s">
        <v>124</v>
      </c>
      <c r="P924" s="324">
        <v>0.06</v>
      </c>
      <c r="T924" s="324">
        <v>3</v>
      </c>
      <c r="U924" s="324" t="s">
        <v>155</v>
      </c>
      <c r="V924" s="324" t="s">
        <v>178</v>
      </c>
      <c r="W924" s="324" t="s">
        <v>55</v>
      </c>
      <c r="X924" s="324" t="s">
        <v>489</v>
      </c>
      <c r="Y924" s="324">
        <v>100000</v>
      </c>
      <c r="Z924" s="324">
        <v>90000</v>
      </c>
      <c r="AA924" s="324">
        <v>-42719.770009981112</v>
      </c>
      <c r="AB924" s="324" t="s">
        <v>55</v>
      </c>
      <c r="AC924" s="324">
        <v>2</v>
      </c>
      <c r="AD924" s="324" t="s">
        <v>55</v>
      </c>
      <c r="AE924" s="324" t="s">
        <v>55</v>
      </c>
      <c r="AF924" s="324" t="s">
        <v>55</v>
      </c>
      <c r="AG924" s="324" t="s">
        <v>55</v>
      </c>
    </row>
    <row r="925" spans="1:33" s="324" customFormat="1" ht="0.65" hidden="1" customHeight="1">
      <c r="A925" s="324">
        <v>4009</v>
      </c>
      <c r="C925" s="324" t="s">
        <v>35</v>
      </c>
      <c r="D925" s="324">
        <v>500000</v>
      </c>
      <c r="G925" s="324">
        <v>2023</v>
      </c>
      <c r="H925" s="324">
        <v>150000</v>
      </c>
      <c r="I925" s="324">
        <v>125000</v>
      </c>
      <c r="J925" s="324">
        <v>25000</v>
      </c>
      <c r="K925" s="324">
        <v>25000</v>
      </c>
      <c r="M925" s="324" t="s">
        <v>491</v>
      </c>
      <c r="N925" s="324">
        <v>114062.5</v>
      </c>
      <c r="O925" s="324" t="s">
        <v>125</v>
      </c>
      <c r="P925" s="324">
        <v>0.11</v>
      </c>
      <c r="T925" s="324">
        <v>4</v>
      </c>
      <c r="U925" s="324" t="s">
        <v>156</v>
      </c>
      <c r="V925" s="324" t="s">
        <v>179</v>
      </c>
      <c r="W925" s="324" t="s">
        <v>55</v>
      </c>
      <c r="X925" s="324" t="s">
        <v>492</v>
      </c>
      <c r="Y925" s="324">
        <v>175000</v>
      </c>
      <c r="Z925" s="324">
        <v>192500.00000000003</v>
      </c>
      <c r="AA925" s="324">
        <v>-23722.959271750624</v>
      </c>
      <c r="AB925" s="324" t="s">
        <v>55</v>
      </c>
    </row>
    <row r="926" spans="1:33" s="324" customFormat="1" ht="0.65" hidden="1" customHeight="1">
      <c r="A926" s="324">
        <v>4010</v>
      </c>
      <c r="G926" s="324">
        <v>2024</v>
      </c>
      <c r="H926" s="324">
        <v>150000</v>
      </c>
      <c r="I926" s="324">
        <v>125000</v>
      </c>
      <c r="J926" s="324">
        <v>25000</v>
      </c>
      <c r="K926" s="324">
        <v>0</v>
      </c>
      <c r="M926" s="324" t="s">
        <v>493</v>
      </c>
      <c r="N926" s="324">
        <v>25000</v>
      </c>
      <c r="O926" s="324" t="s">
        <v>126</v>
      </c>
      <c r="P926" s="324">
        <v>8.5000000000000006E-2</v>
      </c>
      <c r="T926" s="324">
        <v>5</v>
      </c>
      <c r="U926" s="324" t="s">
        <v>157</v>
      </c>
      <c r="V926" s="324" t="s">
        <v>178</v>
      </c>
      <c r="W926" s="324" t="s">
        <v>55</v>
      </c>
      <c r="X926" s="324" t="s">
        <v>6</v>
      </c>
      <c r="Y926" s="324">
        <v>4</v>
      </c>
      <c r="Z926" s="324">
        <v>3</v>
      </c>
      <c r="AA926" s="324">
        <v>-37917.220084828747</v>
      </c>
      <c r="AB926" s="324" t="s">
        <v>55</v>
      </c>
      <c r="AC926" s="324">
        <v>3</v>
      </c>
      <c r="AD926" s="324" t="s">
        <v>55</v>
      </c>
      <c r="AE926" s="324" t="s">
        <v>55</v>
      </c>
      <c r="AF926" s="324" t="s">
        <v>55</v>
      </c>
      <c r="AG926" s="324" t="s">
        <v>55</v>
      </c>
    </row>
    <row r="927" spans="1:33" s="324" customFormat="1" ht="0.65" hidden="1" customHeight="1">
      <c r="A927" s="324">
        <v>4011</v>
      </c>
      <c r="C927" s="324" t="s">
        <v>7</v>
      </c>
      <c r="D927" s="324">
        <v>90</v>
      </c>
      <c r="G927" s="324">
        <v>2025</v>
      </c>
      <c r="H927" s="324">
        <v>150000</v>
      </c>
      <c r="I927" s="324">
        <v>125000</v>
      </c>
      <c r="J927" s="324">
        <v>25000</v>
      </c>
      <c r="K927" s="324">
        <v>0</v>
      </c>
      <c r="M927" s="324" t="s">
        <v>494</v>
      </c>
      <c r="N927" s="324">
        <v>139062.5</v>
      </c>
      <c r="T927" s="324">
        <v>6</v>
      </c>
      <c r="U927" s="324" t="s">
        <v>158</v>
      </c>
      <c r="V927" s="324" t="s">
        <v>179</v>
      </c>
      <c r="W927" s="324" t="s">
        <v>55</v>
      </c>
      <c r="X927" s="324" t="s">
        <v>495</v>
      </c>
      <c r="Y927" s="324">
        <v>250000</v>
      </c>
      <c r="Z927" s="324">
        <v>275000</v>
      </c>
      <c r="AA927" s="324">
        <v>-35811.913130866145</v>
      </c>
      <c r="AB927" s="324" t="s">
        <v>55</v>
      </c>
    </row>
    <row r="928" spans="1:33" s="324" customFormat="1" ht="0.65" hidden="1" customHeight="1">
      <c r="A928" s="324">
        <v>4012</v>
      </c>
      <c r="C928" s="324" t="s">
        <v>8</v>
      </c>
      <c r="D928" s="324">
        <v>90</v>
      </c>
      <c r="T928" s="324">
        <v>7</v>
      </c>
      <c r="U928" s="324" t="s">
        <v>159</v>
      </c>
      <c r="V928" s="324" t="s">
        <v>178</v>
      </c>
      <c r="W928" s="324" t="s">
        <v>55</v>
      </c>
      <c r="X928" s="324" t="s">
        <v>492</v>
      </c>
      <c r="Y928" s="324">
        <v>175000</v>
      </c>
      <c r="Z928" s="324">
        <v>157500</v>
      </c>
      <c r="AA928" s="324">
        <v>-49972.959271750646</v>
      </c>
      <c r="AB928" s="324" t="s">
        <v>55</v>
      </c>
      <c r="AC928" s="324">
        <v>4</v>
      </c>
      <c r="AD928" s="324" t="s">
        <v>55</v>
      </c>
      <c r="AE928" s="324" t="s">
        <v>55</v>
      </c>
      <c r="AF928" s="324" t="s">
        <v>55</v>
      </c>
      <c r="AG928" s="324" t="s">
        <v>55</v>
      </c>
    </row>
    <row r="929" spans="1:33" s="324" customFormat="1" ht="0.65" hidden="1" customHeight="1">
      <c r="A929" s="324">
        <v>4013</v>
      </c>
      <c r="O929" s="324" t="s">
        <v>13</v>
      </c>
      <c r="P929" s="324">
        <v>-36847.959271750646</v>
      </c>
      <c r="T929" s="324">
        <v>8</v>
      </c>
      <c r="U929" s="324" t="s">
        <v>160</v>
      </c>
      <c r="V929" s="324" t="s">
        <v>178</v>
      </c>
      <c r="W929" s="324" t="s">
        <v>55</v>
      </c>
      <c r="X929" s="324" t="s">
        <v>489</v>
      </c>
      <c r="Y929" s="324">
        <v>43750</v>
      </c>
      <c r="Z929" s="324">
        <v>48125.000000000007</v>
      </c>
      <c r="AA929" s="324">
        <v>-39416.876469726478</v>
      </c>
      <c r="AB929" s="324" t="s">
        <v>55</v>
      </c>
    </row>
    <row r="930" spans="1:33" s="324" customFormat="1" ht="0.65" hidden="1" customHeight="1">
      <c r="A930" s="324">
        <v>4014</v>
      </c>
      <c r="C930" s="324" t="s">
        <v>33</v>
      </c>
      <c r="O930" s="324" t="s">
        <v>28</v>
      </c>
      <c r="P930" s="324">
        <v>3.0062994449785885E-2</v>
      </c>
      <c r="T930" s="324">
        <v>9</v>
      </c>
      <c r="U930" s="324" t="s">
        <v>161</v>
      </c>
      <c r="V930" s="324" t="s">
        <v>179</v>
      </c>
      <c r="W930" s="324" t="s">
        <v>55</v>
      </c>
      <c r="X930" s="324" t="s">
        <v>34</v>
      </c>
      <c r="Y930" s="324">
        <v>600000</v>
      </c>
      <c r="Z930" s="324">
        <v>660000</v>
      </c>
      <c r="AA930" s="324">
        <v>76001.784125226914</v>
      </c>
      <c r="AB930" s="324" t="s">
        <v>55</v>
      </c>
      <c r="AC930" s="324">
        <v>5</v>
      </c>
      <c r="AD930" s="324" t="s">
        <v>55</v>
      </c>
      <c r="AE930" s="324" t="s">
        <v>55</v>
      </c>
      <c r="AF930" s="324" t="s">
        <v>55</v>
      </c>
      <c r="AG930" s="324" t="s">
        <v>55</v>
      </c>
    </row>
    <row r="931" spans="1:33" s="324" customFormat="1" ht="0.65" hidden="1" customHeight="1">
      <c r="A931" s="324">
        <v>4015</v>
      </c>
      <c r="C931" s="324" t="s">
        <v>492</v>
      </c>
      <c r="D931" s="324">
        <v>175000</v>
      </c>
      <c r="K931" s="324" t="s">
        <v>127</v>
      </c>
      <c r="L931" s="324" t="s">
        <v>36</v>
      </c>
      <c r="M931" s="324" t="s">
        <v>55</v>
      </c>
      <c r="T931" s="324">
        <v>10</v>
      </c>
      <c r="U931" s="324" t="s">
        <v>162</v>
      </c>
      <c r="V931" s="324" t="s">
        <v>178</v>
      </c>
      <c r="W931" s="324" t="s">
        <v>55</v>
      </c>
      <c r="X931" s="324" t="s">
        <v>7</v>
      </c>
      <c r="Y931" s="324">
        <v>90</v>
      </c>
      <c r="Z931" s="324">
        <v>120</v>
      </c>
      <c r="AA931" s="324">
        <v>-43785.503658969952</v>
      </c>
      <c r="AB931" s="324" t="s">
        <v>55</v>
      </c>
    </row>
    <row r="932" spans="1:33" s="324" customFormat="1" ht="0.65" hidden="1" customHeight="1">
      <c r="A932" s="324">
        <v>4016</v>
      </c>
      <c r="C932" s="324" t="s">
        <v>495</v>
      </c>
      <c r="D932" s="324">
        <v>250000</v>
      </c>
      <c r="E932" s="324" t="s">
        <v>55</v>
      </c>
      <c r="K932" s="324" t="s">
        <v>496</v>
      </c>
      <c r="L932" s="324" t="s">
        <v>424</v>
      </c>
      <c r="T932" s="324">
        <v>11</v>
      </c>
      <c r="U932" s="324" t="s">
        <v>163</v>
      </c>
      <c r="V932" s="324" t="s">
        <v>179</v>
      </c>
      <c r="W932" s="324" t="s">
        <v>55</v>
      </c>
      <c r="X932" s="324" t="s">
        <v>35</v>
      </c>
      <c r="Y932" s="324">
        <v>500000</v>
      </c>
      <c r="Z932" s="324">
        <v>450000</v>
      </c>
      <c r="AA932" s="324">
        <v>57193.493559063994</v>
      </c>
      <c r="AB932" s="324" t="s">
        <v>55</v>
      </c>
      <c r="AC932" s="324">
        <v>6</v>
      </c>
      <c r="AD932" s="324" t="s">
        <v>55</v>
      </c>
      <c r="AE932" s="324" t="s">
        <v>55</v>
      </c>
      <c r="AF932" s="324" t="s">
        <v>55</v>
      </c>
      <c r="AG932" s="324" t="s">
        <v>55</v>
      </c>
    </row>
    <row r="933" spans="1:33" s="324" customFormat="1" ht="0.65" hidden="1" customHeight="1">
      <c r="A933" s="324">
        <v>4017</v>
      </c>
      <c r="C933" s="324" t="s">
        <v>6</v>
      </c>
      <c r="D933" s="324">
        <v>4</v>
      </c>
      <c r="K933" s="324" t="s">
        <v>410</v>
      </c>
      <c r="L933" s="324">
        <v>0</v>
      </c>
      <c r="M933" s="324" t="s">
        <v>337</v>
      </c>
      <c r="T933" s="324">
        <v>12</v>
      </c>
      <c r="U933" s="324" t="s">
        <v>164</v>
      </c>
      <c r="V933" s="324" t="s">
        <v>178</v>
      </c>
      <c r="W933" s="324" t="s">
        <v>55</v>
      </c>
      <c r="X933" s="324" t="s">
        <v>8</v>
      </c>
      <c r="Y933" s="324">
        <v>90</v>
      </c>
      <c r="Z933" s="324">
        <v>60</v>
      </c>
      <c r="AA933" s="324">
        <v>-42629.246261100059</v>
      </c>
      <c r="AB933" s="324" t="s">
        <v>55</v>
      </c>
    </row>
    <row r="934" spans="1:33" s="324" customFormat="1" ht="0.65" hidden="1" customHeight="1">
      <c r="A934" s="324">
        <v>4018</v>
      </c>
      <c r="C934" s="324" t="s">
        <v>489</v>
      </c>
      <c r="D934" s="324">
        <v>43750</v>
      </c>
      <c r="N934" s="324" t="s">
        <v>55</v>
      </c>
      <c r="T934" s="324">
        <v>13</v>
      </c>
      <c r="U934" s="324" t="s">
        <v>165</v>
      </c>
      <c r="V934" s="324" t="s">
        <v>178</v>
      </c>
      <c r="W934" s="324" t="s">
        <v>55</v>
      </c>
      <c r="X934" s="324" t="s">
        <v>10</v>
      </c>
      <c r="Y934" s="324">
        <v>400000</v>
      </c>
      <c r="Z934" s="324">
        <v>440000.00000000006</v>
      </c>
      <c r="AA934" s="324">
        <v>-38665.641661988964</v>
      </c>
      <c r="AB934" s="324" t="s">
        <v>55</v>
      </c>
      <c r="AC934" s="324">
        <v>7</v>
      </c>
      <c r="AD934" s="324" t="s">
        <v>55</v>
      </c>
      <c r="AE934" s="324" t="s">
        <v>55</v>
      </c>
      <c r="AF934" s="324" t="s">
        <v>55</v>
      </c>
      <c r="AG934" s="324" t="s">
        <v>55</v>
      </c>
    </row>
    <row r="935" spans="1:33" s="324" customFormat="1" ht="0.65" hidden="1" customHeight="1">
      <c r="A935" s="324">
        <v>4019</v>
      </c>
      <c r="K935" s="324" t="s">
        <v>413</v>
      </c>
      <c r="L935" s="324">
        <v>33</v>
      </c>
      <c r="M935" s="324" t="s">
        <v>55</v>
      </c>
      <c r="T935" s="324">
        <v>14</v>
      </c>
      <c r="U935" s="324" t="s">
        <v>166</v>
      </c>
      <c r="V935" s="324" t="s">
        <v>179</v>
      </c>
      <c r="W935" s="324" t="s">
        <v>55</v>
      </c>
      <c r="X935" s="324" t="s">
        <v>12</v>
      </c>
      <c r="Y935" s="324">
        <v>0.01</v>
      </c>
      <c r="Z935" s="324">
        <v>0</v>
      </c>
      <c r="AA935" s="324">
        <v>-33777.006172839552</v>
      </c>
      <c r="AB935" s="324" t="s">
        <v>55</v>
      </c>
    </row>
    <row r="936" spans="1:33" s="324" customFormat="1" ht="0.65" hidden="1" customHeight="1">
      <c r="A936" s="324">
        <v>4020</v>
      </c>
      <c r="C936" s="324" t="s">
        <v>4</v>
      </c>
      <c r="D936" s="324">
        <v>0.25</v>
      </c>
      <c r="K936" s="324" t="s">
        <v>479</v>
      </c>
      <c r="N936" s="324" t="s">
        <v>466</v>
      </c>
      <c r="T936" s="324">
        <v>15</v>
      </c>
      <c r="U936" s="324" t="s">
        <v>167</v>
      </c>
      <c r="V936" s="324" t="s">
        <v>178</v>
      </c>
      <c r="W936" s="324" t="s">
        <v>55</v>
      </c>
      <c r="X936" s="324" t="s">
        <v>11</v>
      </c>
      <c r="Y936" s="324">
        <v>500000</v>
      </c>
      <c r="Z936" s="324">
        <v>550000</v>
      </c>
      <c r="AA936" s="324">
        <v>-39867.210502621987</v>
      </c>
      <c r="AB936" s="324" t="s">
        <v>55</v>
      </c>
      <c r="AC936" s="324">
        <v>8</v>
      </c>
      <c r="AD936" s="324" t="s">
        <v>55</v>
      </c>
      <c r="AE936" s="324" t="s">
        <v>55</v>
      </c>
      <c r="AF936" s="324" t="s">
        <v>55</v>
      </c>
      <c r="AG936" s="324" t="s">
        <v>55</v>
      </c>
    </row>
    <row r="937" spans="1:33" s="324" customFormat="1" ht="0.65" hidden="1" customHeight="1">
      <c r="A937" s="324">
        <v>4021</v>
      </c>
      <c r="D937" s="324" t="s">
        <v>9</v>
      </c>
      <c r="K937" s="324" t="s">
        <v>409</v>
      </c>
      <c r="L937" s="324" t="s">
        <v>38</v>
      </c>
      <c r="M937" s="324" t="s">
        <v>55</v>
      </c>
      <c r="N937" s="324" t="s">
        <v>467</v>
      </c>
      <c r="O937" s="324" t="s">
        <v>468</v>
      </c>
      <c r="T937" s="324">
        <v>16</v>
      </c>
      <c r="U937" s="324" t="s">
        <v>168</v>
      </c>
      <c r="V937" s="324" t="s">
        <v>181</v>
      </c>
      <c r="W937" s="324" t="s">
        <v>55</v>
      </c>
      <c r="X937" s="324" t="s">
        <v>3</v>
      </c>
      <c r="Y937" s="324">
        <v>5000000</v>
      </c>
      <c r="Z937" s="324">
        <v>5500000</v>
      </c>
      <c r="AA937" s="324">
        <v>-34659.763750390688</v>
      </c>
      <c r="AB937" s="324" t="s">
        <v>55</v>
      </c>
    </row>
    <row r="938" spans="1:33" s="324" customFormat="1" ht="0.65" hidden="1" customHeight="1">
      <c r="A938" s="324">
        <v>4022</v>
      </c>
      <c r="N938" s="324" t="s">
        <v>469</v>
      </c>
      <c r="O938" s="324" t="s">
        <v>470</v>
      </c>
      <c r="T938" s="324">
        <v>17</v>
      </c>
      <c r="U938" s="324" t="s">
        <v>169</v>
      </c>
      <c r="V938" s="324" t="s">
        <v>178</v>
      </c>
      <c r="W938" s="324" t="s">
        <v>55</v>
      </c>
      <c r="X938" s="324" t="s">
        <v>2</v>
      </c>
      <c r="Y938" s="324">
        <v>5000000</v>
      </c>
      <c r="Z938" s="324">
        <v>2500000</v>
      </c>
      <c r="AA938" s="324">
        <v>-44301.595683677326</v>
      </c>
      <c r="AB938" s="324" t="s">
        <v>55</v>
      </c>
      <c r="AC938" s="324">
        <v>9</v>
      </c>
      <c r="AD938" s="324" t="s">
        <v>55</v>
      </c>
      <c r="AE938" s="324" t="s">
        <v>55</v>
      </c>
      <c r="AF938" s="324" t="s">
        <v>55</v>
      </c>
      <c r="AG938" s="324" t="s">
        <v>55</v>
      </c>
    </row>
    <row r="939" spans="1:33" s="324" customFormat="1" ht="0.65" hidden="1" customHeight="1">
      <c r="A939" s="324">
        <v>4023</v>
      </c>
      <c r="C939" s="324" t="s">
        <v>10</v>
      </c>
      <c r="D939" s="324">
        <v>400000</v>
      </c>
      <c r="N939" s="324" t="s">
        <v>471</v>
      </c>
      <c r="O939" s="324" t="s">
        <v>472</v>
      </c>
      <c r="T939" s="324">
        <v>18</v>
      </c>
      <c r="U939" s="324" t="s">
        <v>170</v>
      </c>
      <c r="V939" s="324" t="s">
        <v>181</v>
      </c>
      <c r="W939" s="324" t="s">
        <v>55</v>
      </c>
      <c r="X939" s="324" t="s">
        <v>4</v>
      </c>
      <c r="Y939" s="324">
        <v>0.25</v>
      </c>
      <c r="Z939" s="324">
        <v>0.3</v>
      </c>
      <c r="AA939" s="324">
        <v>-37191.284269530035</v>
      </c>
      <c r="AB939" s="324" t="s">
        <v>55</v>
      </c>
    </row>
    <row r="940" spans="1:33" s="324" customFormat="1" ht="0.65" hidden="1" customHeight="1">
      <c r="A940" s="324">
        <v>4024</v>
      </c>
      <c r="C940" s="324" t="s">
        <v>11</v>
      </c>
      <c r="D940" s="324">
        <v>500000</v>
      </c>
      <c r="I940" s="324" t="s">
        <v>320</v>
      </c>
      <c r="K940" s="324" t="s">
        <v>497</v>
      </c>
      <c r="L940" s="324" t="s">
        <v>498</v>
      </c>
      <c r="M940" s="324" t="s">
        <v>55</v>
      </c>
      <c r="T940" s="324">
        <v>19</v>
      </c>
      <c r="U940" s="324" t="s">
        <v>171</v>
      </c>
      <c r="V940" s="324" t="s">
        <v>181</v>
      </c>
      <c r="W940" s="324" t="s">
        <v>55</v>
      </c>
      <c r="X940" s="324" t="s">
        <v>14</v>
      </c>
      <c r="Y940" s="324" t="s">
        <v>16</v>
      </c>
      <c r="Z940" s="324">
        <v>4</v>
      </c>
      <c r="AA940" s="324">
        <v>8740.8785163348221</v>
      </c>
      <c r="AB940" s="324" t="s">
        <v>55</v>
      </c>
      <c r="AC940" s="324">
        <v>10</v>
      </c>
      <c r="AD940" s="324" t="s">
        <v>55</v>
      </c>
      <c r="AE940" s="324" t="s">
        <v>55</v>
      </c>
      <c r="AF940" s="324" t="s">
        <v>55</v>
      </c>
      <c r="AG940" s="324" t="s">
        <v>55</v>
      </c>
    </row>
    <row r="941" spans="1:33" s="324" customFormat="1" ht="0.65" hidden="1" customHeight="1">
      <c r="A941" s="324">
        <v>4025</v>
      </c>
      <c r="C941" s="324" t="s">
        <v>12</v>
      </c>
      <c r="D941" s="324">
        <v>0.01</v>
      </c>
    </row>
    <row r="942" spans="1:33" s="324" customFormat="1" ht="0.65" hidden="1" customHeight="1">
      <c r="A942" s="324">
        <v>4026</v>
      </c>
      <c r="C942" s="324" t="s">
        <v>2</v>
      </c>
      <c r="D942" s="324">
        <v>5000000</v>
      </c>
      <c r="I942" s="324" t="s">
        <v>318</v>
      </c>
      <c r="K942" s="324" t="s">
        <v>497</v>
      </c>
      <c r="L942" s="324" t="s">
        <v>498</v>
      </c>
      <c r="M942" s="324" t="s">
        <v>1405</v>
      </c>
      <c r="AC942" s="324">
        <v>11</v>
      </c>
      <c r="AD942" s="324" t="s">
        <v>55</v>
      </c>
      <c r="AE942" s="324" t="s">
        <v>55</v>
      </c>
      <c r="AF942" s="324" t="s">
        <v>55</v>
      </c>
      <c r="AG942" s="324" t="s">
        <v>55</v>
      </c>
    </row>
    <row r="943" spans="1:33" s="324" customFormat="1" ht="0.65" hidden="1" customHeight="1">
      <c r="A943" s="324">
        <v>4027</v>
      </c>
      <c r="C943" s="324" t="s">
        <v>3</v>
      </c>
      <c r="D943" s="324">
        <v>5000000</v>
      </c>
      <c r="U943" s="324" t="s">
        <v>127</v>
      </c>
      <c r="V943" s="324" t="s">
        <v>36</v>
      </c>
      <c r="W943" s="324" t="s">
        <v>55</v>
      </c>
    </row>
    <row r="944" spans="1:33" s="324" customFormat="1" ht="0.65" hidden="1" customHeight="1">
      <c r="A944" s="324">
        <v>4028</v>
      </c>
      <c r="AC944" s="324">
        <v>12</v>
      </c>
      <c r="AD944" s="324" t="s">
        <v>55</v>
      </c>
      <c r="AE944" s="324" t="s">
        <v>55</v>
      </c>
      <c r="AF944" s="324" t="s">
        <v>55</v>
      </c>
      <c r="AG944" s="324" t="s">
        <v>55</v>
      </c>
    </row>
    <row r="945" spans="1:33" s="324" customFormat="1" ht="0.65" hidden="1" customHeight="1">
      <c r="A945" s="324">
        <v>4029</v>
      </c>
      <c r="C945" s="324" t="s">
        <v>14</v>
      </c>
      <c r="D945" s="324" t="s">
        <v>16</v>
      </c>
      <c r="V945" s="324">
        <v>0</v>
      </c>
    </row>
    <row r="946" spans="1:33" s="324" customFormat="1" ht="0.65" hidden="1" customHeight="1">
      <c r="A946" s="324">
        <v>4030</v>
      </c>
      <c r="G946" s="324" t="s">
        <v>128</v>
      </c>
      <c r="M946" s="324" t="s">
        <v>500</v>
      </c>
      <c r="AC946" s="324">
        <v>13</v>
      </c>
      <c r="AD946" s="324" t="s">
        <v>55</v>
      </c>
      <c r="AE946" s="324" t="s">
        <v>55</v>
      </c>
      <c r="AF946" s="324" t="s">
        <v>55</v>
      </c>
      <c r="AG946" s="324" t="s">
        <v>55</v>
      </c>
    </row>
    <row r="947" spans="1:33" s="324" customFormat="1" ht="0.65" hidden="1" customHeight="1">
      <c r="A947" s="324">
        <v>4031</v>
      </c>
      <c r="B947" s="324" t="s">
        <v>460</v>
      </c>
      <c r="F947" s="324">
        <v>1</v>
      </c>
      <c r="I947" s="324" t="s">
        <v>129</v>
      </c>
      <c r="J947" s="324">
        <v>1</v>
      </c>
      <c r="K947" s="324" t="s">
        <v>501</v>
      </c>
      <c r="U947" s="324" t="s">
        <v>204</v>
      </c>
      <c r="V947" s="324">
        <v>12</v>
      </c>
      <c r="W947" s="324" t="s">
        <v>55</v>
      </c>
    </row>
    <row r="948" spans="1:33" s="324" customFormat="1" ht="0.65" hidden="1" customHeight="1">
      <c r="A948" s="324">
        <v>4032</v>
      </c>
      <c r="F948" s="324">
        <v>1.5</v>
      </c>
      <c r="I948" s="324" t="s">
        <v>138</v>
      </c>
      <c r="J948" s="324">
        <v>1.5</v>
      </c>
      <c r="K948" s="324" t="s">
        <v>502</v>
      </c>
      <c r="Z948" s="324" t="s">
        <v>291</v>
      </c>
      <c r="AC948" s="324">
        <v>14</v>
      </c>
      <c r="AD948" s="324" t="s">
        <v>55</v>
      </c>
      <c r="AE948" s="324" t="s">
        <v>55</v>
      </c>
      <c r="AF948" s="324" t="s">
        <v>55</v>
      </c>
      <c r="AG948" s="324" t="s">
        <v>55</v>
      </c>
    </row>
    <row r="949" spans="1:33" s="324" customFormat="1" ht="0.65" hidden="1" customHeight="1">
      <c r="A949" s="324">
        <v>4033</v>
      </c>
      <c r="F949" s="324">
        <v>1.5</v>
      </c>
      <c r="I949" s="324" t="s">
        <v>130</v>
      </c>
      <c r="J949" s="324">
        <v>1.5</v>
      </c>
      <c r="K949" s="324" t="s">
        <v>502</v>
      </c>
      <c r="W949" s="324" t="s">
        <v>139</v>
      </c>
      <c r="X949" s="324" t="s">
        <v>174</v>
      </c>
      <c r="Z949" s="324" t="s">
        <v>1406</v>
      </c>
      <c r="AA949" s="324">
        <v>-5781.2869893494135</v>
      </c>
      <c r="AB949" s="324">
        <v>-5781.2869893494135</v>
      </c>
    </row>
    <row r="950" spans="1:33" s="324" customFormat="1" ht="0.65" hidden="1" customHeight="1">
      <c r="A950" s="324">
        <v>4034</v>
      </c>
      <c r="F950" s="324">
        <v>1</v>
      </c>
      <c r="I950" s="324" t="s">
        <v>131</v>
      </c>
      <c r="J950" s="324">
        <v>1</v>
      </c>
      <c r="K950" s="324" t="s">
        <v>501</v>
      </c>
      <c r="V950" s="324" t="s">
        <v>177</v>
      </c>
      <c r="W950" s="324" t="s">
        <v>173</v>
      </c>
      <c r="X950" s="324" t="s">
        <v>175</v>
      </c>
      <c r="Z950" s="324">
        <v>-5781.2869893494135</v>
      </c>
      <c r="AA950" s="324">
        <v>-5781.2869893494135</v>
      </c>
      <c r="AB950" s="324">
        <v>-5781.2869893494135</v>
      </c>
      <c r="AC950" s="324">
        <v>15</v>
      </c>
      <c r="AD950" s="324" t="s">
        <v>55</v>
      </c>
      <c r="AE950" s="324" t="s">
        <v>55</v>
      </c>
      <c r="AF950" s="324" t="s">
        <v>55</v>
      </c>
      <c r="AG950" s="324" t="s">
        <v>55</v>
      </c>
    </row>
    <row r="951" spans="1:33" s="324" customFormat="1" ht="0.65" hidden="1" customHeight="1">
      <c r="A951" s="324">
        <v>4035</v>
      </c>
      <c r="F951" s="324">
        <v>1</v>
      </c>
      <c r="I951" s="324" t="s">
        <v>132</v>
      </c>
      <c r="J951" s="324">
        <v>1</v>
      </c>
      <c r="K951" s="324" t="s">
        <v>501</v>
      </c>
      <c r="T951" s="324">
        <v>12</v>
      </c>
      <c r="U951" s="324" t="s">
        <v>164</v>
      </c>
      <c r="V951" s="324" t="s">
        <v>8</v>
      </c>
      <c r="W951" s="324">
        <v>90</v>
      </c>
      <c r="X951" s="324">
        <v>60</v>
      </c>
      <c r="Z951" s="324">
        <v>-5781.2869893494135</v>
      </c>
      <c r="AA951" s="324">
        <v>-5781.2869893494135</v>
      </c>
      <c r="AB951" s="324">
        <v>-5781.2869893494135</v>
      </c>
    </row>
    <row r="952" spans="1:33" s="324" customFormat="1" ht="0.65" hidden="1" customHeight="1">
      <c r="A952" s="324">
        <v>4036</v>
      </c>
      <c r="F952" s="324">
        <v>0.5</v>
      </c>
      <c r="I952" s="324" t="s">
        <v>133</v>
      </c>
      <c r="J952" s="324">
        <v>0.5</v>
      </c>
      <c r="K952" s="324" t="s">
        <v>504</v>
      </c>
      <c r="V952" s="324" t="s">
        <v>13</v>
      </c>
      <c r="W952" s="324">
        <v>-36847.959271750646</v>
      </c>
      <c r="X952" s="324">
        <v>-42629.246261099994</v>
      </c>
      <c r="Z952" s="324">
        <v>-5781.2869893494135</v>
      </c>
      <c r="AA952" s="324">
        <v>-5781.2869893494135</v>
      </c>
      <c r="AB952" s="324">
        <v>-5781.2869893494135</v>
      </c>
      <c r="AC952" s="324">
        <v>16</v>
      </c>
      <c r="AD952" s="324" t="s">
        <v>55</v>
      </c>
      <c r="AE952" s="324" t="s">
        <v>55</v>
      </c>
      <c r="AF952" s="324" t="s">
        <v>55</v>
      </c>
      <c r="AG952" s="324" t="s">
        <v>55</v>
      </c>
    </row>
    <row r="953" spans="1:33" s="324" customFormat="1" ht="0.65" hidden="1" customHeight="1">
      <c r="A953" s="324">
        <v>4037</v>
      </c>
      <c r="F953" s="324">
        <v>0.5</v>
      </c>
      <c r="I953" s="324" t="s">
        <v>134</v>
      </c>
      <c r="J953" s="324">
        <v>0.5</v>
      </c>
      <c r="K953" s="324" t="s">
        <v>504</v>
      </c>
      <c r="V953" s="324" t="s">
        <v>505</v>
      </c>
      <c r="X953" s="324">
        <v>-5781.2869893494135</v>
      </c>
      <c r="Z953" s="324">
        <v>-5781.2869893494135</v>
      </c>
      <c r="AA953" s="324">
        <v>-5781.2869893494135</v>
      </c>
      <c r="AB953" s="324">
        <v>-5781.2869893494135</v>
      </c>
    </row>
    <row r="954" spans="1:33" s="324" customFormat="1" ht="0.65" hidden="1" customHeight="1">
      <c r="A954" s="324">
        <v>4038</v>
      </c>
      <c r="F954" s="324">
        <v>1</v>
      </c>
      <c r="I954" s="324" t="s">
        <v>135</v>
      </c>
      <c r="J954" s="324">
        <v>1</v>
      </c>
      <c r="K954" s="324" t="s">
        <v>501</v>
      </c>
      <c r="Z954" s="324">
        <v>-5781.2869893494135</v>
      </c>
      <c r="AA954" s="324">
        <v>-5781.2869893494135</v>
      </c>
      <c r="AB954" s="324">
        <v>-5781.2869893494135</v>
      </c>
      <c r="AC954" s="324">
        <v>17</v>
      </c>
      <c r="AD954" s="324" t="s">
        <v>55</v>
      </c>
      <c r="AE954" s="324" t="s">
        <v>55</v>
      </c>
      <c r="AF954" s="324" t="s">
        <v>55</v>
      </c>
      <c r="AG954" s="324" t="s">
        <v>55</v>
      </c>
    </row>
    <row r="955" spans="1:33" s="324" customFormat="1" ht="0.65" hidden="1" customHeight="1">
      <c r="A955" s="324">
        <v>4039</v>
      </c>
      <c r="F955" s="324">
        <v>0.5</v>
      </c>
      <c r="I955" s="324" t="s">
        <v>13</v>
      </c>
      <c r="J955" s="324">
        <v>0.5</v>
      </c>
      <c r="K955" s="324" t="s">
        <v>504</v>
      </c>
    </row>
    <row r="956" spans="1:33" s="324" customFormat="1" ht="0.65" hidden="1" customHeight="1">
      <c r="A956" s="324">
        <v>4040</v>
      </c>
      <c r="F956" s="324">
        <v>0.5</v>
      </c>
      <c r="I956" s="324" t="s">
        <v>28</v>
      </c>
      <c r="J956" s="324">
        <v>0.5</v>
      </c>
      <c r="K956" s="324" t="s">
        <v>504</v>
      </c>
      <c r="U956" s="324" t="s">
        <v>196</v>
      </c>
      <c r="AC956" s="324">
        <v>18</v>
      </c>
      <c r="AD956" s="324" t="s">
        <v>55</v>
      </c>
      <c r="AE956" s="324" t="s">
        <v>55</v>
      </c>
      <c r="AF956" s="324" t="s">
        <v>55</v>
      </c>
      <c r="AG956" s="324" t="s">
        <v>55</v>
      </c>
    </row>
    <row r="957" spans="1:33" s="324" customFormat="1" ht="0.65" hidden="1" customHeight="1">
      <c r="A957" s="324">
        <v>4041</v>
      </c>
      <c r="F957" s="324">
        <v>1</v>
      </c>
      <c r="I957" s="324" t="s">
        <v>136</v>
      </c>
      <c r="J957" s="324">
        <v>1</v>
      </c>
      <c r="K957" s="324" t="s">
        <v>501</v>
      </c>
    </row>
    <row r="958" spans="1:33" s="324" customFormat="1" ht="0.65" hidden="1" customHeight="1">
      <c r="A958" s="324">
        <v>4042</v>
      </c>
      <c r="F958" s="324">
        <v>10</v>
      </c>
      <c r="I958" s="324" t="s">
        <v>137</v>
      </c>
      <c r="J958" s="324">
        <v>10</v>
      </c>
      <c r="K958" s="324" t="s">
        <v>506</v>
      </c>
      <c r="AC958" s="324">
        <v>19</v>
      </c>
      <c r="AD958" s="324" t="s">
        <v>55</v>
      </c>
      <c r="AE958" s="324" t="s">
        <v>55</v>
      </c>
      <c r="AF958" s="324" t="s">
        <v>55</v>
      </c>
      <c r="AG958" s="324" t="s">
        <v>55</v>
      </c>
    </row>
    <row r="959" spans="1:33" s="324" customFormat="1" ht="0.65" hidden="1" customHeight="1">
      <c r="A959" s="324">
        <v>4043</v>
      </c>
    </row>
    <row r="960" spans="1:33" s="324" customFormat="1" ht="0.65" hidden="1" customHeight="1">
      <c r="A960" s="324">
        <v>4044</v>
      </c>
      <c r="AC960" s="324">
        <v>20</v>
      </c>
      <c r="AD960" s="324" t="s">
        <v>55</v>
      </c>
      <c r="AE960" s="324" t="s">
        <v>55</v>
      </c>
      <c r="AF960" s="324" t="s">
        <v>55</v>
      </c>
      <c r="AG960" s="324" t="s">
        <v>55</v>
      </c>
    </row>
    <row r="961" spans="1:42" s="324" customFormat="1" ht="0.65" hidden="1" customHeight="1">
      <c r="A961" s="324">
        <v>4045</v>
      </c>
    </row>
    <row r="962" spans="1:42" s="324" customFormat="1" ht="0.65" hidden="1" customHeight="1">
      <c r="A962" s="324">
        <v>4046</v>
      </c>
    </row>
    <row r="963" spans="1:42" s="324" customFormat="1" ht="0.65" hidden="1" customHeight="1">
      <c r="A963" s="324">
        <v>4047</v>
      </c>
      <c r="G963" s="324">
        <v>1</v>
      </c>
      <c r="H963" s="324">
        <v>2</v>
      </c>
      <c r="I963" s="324">
        <v>3</v>
      </c>
      <c r="J963" s="324">
        <v>4</v>
      </c>
      <c r="K963" s="324">
        <v>5</v>
      </c>
      <c r="L963" s="324">
        <v>6</v>
      </c>
      <c r="M963" s="324">
        <v>7</v>
      </c>
      <c r="N963" s="324">
        <v>8</v>
      </c>
      <c r="O963" s="324">
        <v>9</v>
      </c>
      <c r="P963" s="324">
        <v>10</v>
      </c>
    </row>
    <row r="964" spans="1:42" s="324" customFormat="1" ht="0.65" hidden="1" customHeight="1">
      <c r="A964" s="324">
        <v>4048</v>
      </c>
      <c r="G964" s="324" t="s">
        <v>212</v>
      </c>
      <c r="H964" s="324" t="s">
        <v>213</v>
      </c>
      <c r="I964" s="324" t="s">
        <v>214</v>
      </c>
      <c r="J964" s="324" t="s">
        <v>215</v>
      </c>
      <c r="K964" s="324" t="s">
        <v>216</v>
      </c>
      <c r="L964" s="324" t="s">
        <v>218</v>
      </c>
      <c r="M964" s="324" t="s">
        <v>219</v>
      </c>
      <c r="N964" s="324" t="s">
        <v>220</v>
      </c>
      <c r="O964" s="324" t="s">
        <v>221</v>
      </c>
      <c r="P964" s="324" t="s">
        <v>222</v>
      </c>
    </row>
    <row r="965" spans="1:42" s="324" customFormat="1" ht="0.65" hidden="1" customHeight="1">
      <c r="A965" s="324">
        <v>4049</v>
      </c>
      <c r="G965" s="324">
        <v>25000</v>
      </c>
      <c r="H965" s="324">
        <v>50000</v>
      </c>
      <c r="I965" s="324" t="s">
        <v>55</v>
      </c>
      <c r="J965" s="324" t="s">
        <v>55</v>
      </c>
      <c r="K965" s="324" t="s">
        <v>55</v>
      </c>
      <c r="L965" s="324" t="s">
        <v>55</v>
      </c>
      <c r="M965" s="324" t="s">
        <v>55</v>
      </c>
      <c r="N965" s="324" t="s">
        <v>55</v>
      </c>
      <c r="O965" s="324" t="s">
        <v>1405</v>
      </c>
      <c r="P965" s="324" t="s">
        <v>507</v>
      </c>
    </row>
    <row r="966" spans="1:42" s="324" customFormat="1" ht="0.65" hidden="1" customHeight="1">
      <c r="A966" s="324">
        <v>4050</v>
      </c>
      <c r="G966" s="324" t="s">
        <v>267</v>
      </c>
      <c r="H966" s="324" t="s">
        <v>268</v>
      </c>
      <c r="I966" s="324" t="s">
        <v>55</v>
      </c>
      <c r="J966" s="324" t="s">
        <v>55</v>
      </c>
      <c r="K966" s="324" t="s">
        <v>55</v>
      </c>
      <c r="L966" s="324" t="s">
        <v>55</v>
      </c>
      <c r="M966" s="324" t="s">
        <v>55</v>
      </c>
      <c r="N966" s="324" t="s">
        <v>55</v>
      </c>
      <c r="O966" s="324" t="s">
        <v>55</v>
      </c>
      <c r="P966" s="324" t="s">
        <v>55</v>
      </c>
    </row>
    <row r="967" spans="1:42" s="324" customFormat="1" ht="0.65" hidden="1" customHeight="1">
      <c r="A967" s="324">
        <v>4051</v>
      </c>
    </row>
    <row r="968" spans="1:42" s="324" customFormat="1" ht="0.65" hidden="1" customHeight="1">
      <c r="A968" s="324">
        <v>4052</v>
      </c>
      <c r="B968" s="324">
        <v>2</v>
      </c>
      <c r="C968" s="324">
        <v>3</v>
      </c>
      <c r="D968" s="324">
        <v>4</v>
      </c>
      <c r="E968" s="324">
        <v>5</v>
      </c>
      <c r="F968" s="324">
        <v>6</v>
      </c>
      <c r="G968" s="324">
        <v>7</v>
      </c>
      <c r="H968" s="324">
        <v>8</v>
      </c>
      <c r="I968" s="324">
        <v>9</v>
      </c>
      <c r="J968" s="324">
        <v>10</v>
      </c>
      <c r="K968" s="324">
        <v>11</v>
      </c>
      <c r="L968" s="324">
        <v>12</v>
      </c>
      <c r="M968" s="324">
        <v>13</v>
      </c>
      <c r="N968" s="324">
        <v>14</v>
      </c>
      <c r="O968" s="324">
        <v>15</v>
      </c>
      <c r="P968" s="324">
        <v>16</v>
      </c>
      <c r="Q968" s="324">
        <v>17</v>
      </c>
      <c r="R968" s="324">
        <v>18</v>
      </c>
      <c r="S968" s="324">
        <v>19</v>
      </c>
      <c r="T968" s="324">
        <v>20</v>
      </c>
      <c r="U968" s="324">
        <v>21</v>
      </c>
      <c r="V968" s="324">
        <v>22</v>
      </c>
      <c r="W968" s="324">
        <v>23</v>
      </c>
      <c r="X968" s="324">
        <v>24</v>
      </c>
      <c r="Y968" s="324">
        <v>25</v>
      </c>
      <c r="Z968" s="324">
        <v>26</v>
      </c>
      <c r="AA968" s="324">
        <v>27</v>
      </c>
      <c r="AB968" s="324">
        <v>28</v>
      </c>
      <c r="AC968" s="324">
        <v>29</v>
      </c>
      <c r="AD968" s="324">
        <v>30</v>
      </c>
      <c r="AE968" s="324">
        <v>31</v>
      </c>
      <c r="AF968" s="324">
        <v>32</v>
      </c>
      <c r="AG968" s="324">
        <v>33</v>
      </c>
      <c r="AH968" s="324">
        <v>34</v>
      </c>
      <c r="AI968" s="324">
        <v>35</v>
      </c>
      <c r="AJ968" s="324">
        <v>36</v>
      </c>
      <c r="AK968" s="324">
        <v>37</v>
      </c>
      <c r="AL968" s="324">
        <v>38</v>
      </c>
      <c r="AM968" s="324">
        <v>39</v>
      </c>
      <c r="AN968" s="324">
        <v>40</v>
      </c>
      <c r="AO968" s="324">
        <v>41</v>
      </c>
      <c r="AP968" s="324">
        <v>42</v>
      </c>
    </row>
    <row r="969" spans="1:42" s="324" customFormat="1" ht="0.65" hidden="1" customHeight="1">
      <c r="A969" s="324">
        <v>4053</v>
      </c>
    </row>
    <row r="970" spans="1:42" s="324" customFormat="1" ht="0.65" hidden="1" customHeight="1">
      <c r="A970" s="324">
        <v>4054</v>
      </c>
      <c r="B970" s="324">
        <v>500000</v>
      </c>
      <c r="C970" s="324">
        <v>500000</v>
      </c>
      <c r="D970" s="324">
        <v>1</v>
      </c>
      <c r="G970" s="324" t="s">
        <v>0</v>
      </c>
      <c r="H970" s="324" t="s">
        <v>69</v>
      </c>
      <c r="I970" s="324" t="s">
        <v>70</v>
      </c>
      <c r="J970" s="324" t="s">
        <v>71</v>
      </c>
      <c r="K970" s="324" t="s">
        <v>72</v>
      </c>
      <c r="L970" s="324" t="s">
        <v>73</v>
      </c>
      <c r="M970" s="324" t="s">
        <v>74</v>
      </c>
      <c r="N970" s="324" t="s">
        <v>75</v>
      </c>
      <c r="O970" s="324" t="s">
        <v>80</v>
      </c>
      <c r="P970" s="324" t="s">
        <v>1</v>
      </c>
    </row>
    <row r="971" spans="1:42" s="324" customFormat="1" ht="0.65" hidden="1" customHeight="1">
      <c r="A971" s="324">
        <v>4055</v>
      </c>
      <c r="B971" s="324">
        <v>10</v>
      </c>
      <c r="C971" s="324">
        <v>10</v>
      </c>
      <c r="D971" s="324">
        <v>1</v>
      </c>
      <c r="G971" s="324">
        <v>2022</v>
      </c>
      <c r="P971" s="324">
        <v>41</v>
      </c>
    </row>
    <row r="972" spans="1:42" s="324" customFormat="1" ht="0.65" hidden="1" customHeight="1">
      <c r="A972" s="324">
        <v>4056</v>
      </c>
      <c r="B972" s="324">
        <v>100000</v>
      </c>
      <c r="C972" s="324">
        <v>100000</v>
      </c>
      <c r="D972" s="324">
        <v>1</v>
      </c>
      <c r="G972" s="324">
        <v>2023</v>
      </c>
      <c r="H972" s="324">
        <v>2</v>
      </c>
      <c r="I972" s="324">
        <v>5</v>
      </c>
      <c r="J972" s="324">
        <v>8</v>
      </c>
      <c r="K972" s="324">
        <v>11</v>
      </c>
      <c r="L972" s="324">
        <v>14</v>
      </c>
      <c r="M972" s="324">
        <v>17</v>
      </c>
      <c r="N972" s="324">
        <v>20</v>
      </c>
      <c r="O972" s="324">
        <v>35</v>
      </c>
      <c r="P972" s="324">
        <v>42</v>
      </c>
    </row>
    <row r="973" spans="1:42" s="324" customFormat="1" ht="0.65" hidden="1" customHeight="1">
      <c r="A973" s="324">
        <v>4057</v>
      </c>
      <c r="G973" s="324">
        <v>2024</v>
      </c>
      <c r="H973" s="324">
        <v>3</v>
      </c>
      <c r="I973" s="324">
        <v>6</v>
      </c>
      <c r="J973" s="324">
        <v>9</v>
      </c>
      <c r="K973" s="324">
        <v>12</v>
      </c>
      <c r="L973" s="324">
        <v>15</v>
      </c>
      <c r="M973" s="324">
        <v>18</v>
      </c>
      <c r="N973" s="324">
        <v>21</v>
      </c>
      <c r="O973" s="324">
        <v>36</v>
      </c>
      <c r="P973" s="324">
        <v>43</v>
      </c>
    </row>
    <row r="974" spans="1:42" s="324" customFormat="1" ht="0.65" hidden="1" customHeight="1">
      <c r="A974" s="324">
        <v>4058</v>
      </c>
      <c r="B974" s="324">
        <v>600000</v>
      </c>
      <c r="C974" s="324">
        <v>600000</v>
      </c>
      <c r="D974" s="324">
        <v>1</v>
      </c>
      <c r="G974" s="324">
        <v>2025</v>
      </c>
      <c r="H974" s="324">
        <v>4</v>
      </c>
      <c r="I974" s="324">
        <v>7</v>
      </c>
      <c r="J974" s="324">
        <v>10</v>
      </c>
      <c r="K974" s="324">
        <v>13</v>
      </c>
      <c r="L974" s="324">
        <v>16</v>
      </c>
      <c r="M974" s="324">
        <v>19</v>
      </c>
      <c r="N974" s="324">
        <v>22</v>
      </c>
      <c r="O974" s="324">
        <v>37</v>
      </c>
      <c r="P974" s="324">
        <v>44</v>
      </c>
    </row>
    <row r="975" spans="1:42" s="324" customFormat="1" ht="0.65" hidden="1" customHeight="1">
      <c r="A975" s="324">
        <v>4059</v>
      </c>
      <c r="B975" s="324">
        <v>500000</v>
      </c>
      <c r="C975" s="324">
        <v>500000</v>
      </c>
      <c r="D975" s="324">
        <v>1</v>
      </c>
    </row>
    <row r="976" spans="1:42" s="324" customFormat="1" ht="0.65" hidden="1" customHeight="1">
      <c r="A976" s="324">
        <v>4060</v>
      </c>
      <c r="G976" s="324" t="s">
        <v>0</v>
      </c>
      <c r="H976" s="324" t="s">
        <v>76</v>
      </c>
      <c r="I976" s="324" t="s">
        <v>77</v>
      </c>
      <c r="J976" s="324" t="s">
        <v>78</v>
      </c>
      <c r="K976" s="324" t="s">
        <v>79</v>
      </c>
    </row>
    <row r="977" spans="1:31" s="324" customFormat="1" ht="0.65" hidden="1" customHeight="1">
      <c r="A977" s="324">
        <v>4061</v>
      </c>
      <c r="B977" s="324">
        <v>90</v>
      </c>
      <c r="C977" s="324">
        <v>90</v>
      </c>
      <c r="D977" s="324">
        <v>1</v>
      </c>
      <c r="G977" s="324">
        <v>2022</v>
      </c>
      <c r="M977" s="324" t="s">
        <v>490</v>
      </c>
      <c r="N977" s="324">
        <v>1</v>
      </c>
      <c r="O977" s="324" t="s">
        <v>124</v>
      </c>
      <c r="P977" s="324">
        <v>45</v>
      </c>
    </row>
    <row r="978" spans="1:31" s="324" customFormat="1" ht="0.65" hidden="1" customHeight="1">
      <c r="A978" s="324">
        <v>4062</v>
      </c>
      <c r="B978" s="324">
        <v>90</v>
      </c>
      <c r="C978" s="324">
        <v>90</v>
      </c>
      <c r="D978" s="324">
        <v>1</v>
      </c>
      <c r="G978" s="324">
        <v>2023</v>
      </c>
      <c r="H978" s="324">
        <v>23</v>
      </c>
      <c r="I978" s="324">
        <v>26</v>
      </c>
      <c r="J978" s="324">
        <v>29</v>
      </c>
      <c r="K978" s="324">
        <v>32</v>
      </c>
      <c r="M978" s="324" t="s">
        <v>491</v>
      </c>
      <c r="N978" s="324">
        <v>38</v>
      </c>
      <c r="O978" s="324" t="s">
        <v>125</v>
      </c>
      <c r="P978" s="324">
        <v>46</v>
      </c>
    </row>
    <row r="979" spans="1:31" s="324" customFormat="1" ht="0.65" hidden="1" customHeight="1">
      <c r="A979" s="324">
        <v>4063</v>
      </c>
      <c r="G979" s="324">
        <v>2024</v>
      </c>
      <c r="H979" s="324">
        <v>24</v>
      </c>
      <c r="I979" s="324">
        <v>27</v>
      </c>
      <c r="J979" s="324">
        <v>30</v>
      </c>
      <c r="K979" s="324">
        <v>33</v>
      </c>
      <c r="M979" s="324" t="s">
        <v>493</v>
      </c>
      <c r="N979" s="324">
        <v>39</v>
      </c>
      <c r="O979" s="324" t="s">
        <v>126</v>
      </c>
      <c r="P979" s="324">
        <v>47</v>
      </c>
    </row>
    <row r="980" spans="1:31" s="324" customFormat="1" ht="0.65" hidden="1" customHeight="1">
      <c r="A980" s="324">
        <v>4064</v>
      </c>
      <c r="G980" s="324">
        <v>2025</v>
      </c>
      <c r="H980" s="324">
        <v>25</v>
      </c>
      <c r="I980" s="324">
        <v>28</v>
      </c>
      <c r="J980" s="324">
        <v>31</v>
      </c>
      <c r="K980" s="324">
        <v>34</v>
      </c>
      <c r="M980" s="324" t="s">
        <v>494</v>
      </c>
      <c r="N980" s="324">
        <v>40</v>
      </c>
    </row>
    <row r="981" spans="1:31" s="324" customFormat="1" ht="0.65" hidden="1" customHeight="1">
      <c r="A981" s="324">
        <v>4065</v>
      </c>
      <c r="B981" s="324">
        <v>175000</v>
      </c>
      <c r="C981" s="324">
        <v>175000</v>
      </c>
      <c r="D981" s="324">
        <v>1</v>
      </c>
    </row>
    <row r="982" spans="1:31" s="324" customFormat="1" ht="0.65" hidden="1" customHeight="1">
      <c r="A982" s="324">
        <v>4066</v>
      </c>
      <c r="B982" s="324">
        <v>250000</v>
      </c>
      <c r="C982" s="324">
        <v>250000</v>
      </c>
      <c r="D982" s="324">
        <v>1</v>
      </c>
      <c r="O982" s="324" t="s">
        <v>13</v>
      </c>
      <c r="P982" s="324">
        <v>48</v>
      </c>
    </row>
    <row r="983" spans="1:31" s="324" customFormat="1" ht="0.65" hidden="1" customHeight="1">
      <c r="A983" s="324">
        <v>4067</v>
      </c>
      <c r="B983" s="324">
        <v>4</v>
      </c>
      <c r="C983" s="324">
        <v>4</v>
      </c>
      <c r="D983" s="324">
        <v>1</v>
      </c>
      <c r="O983" s="324" t="s">
        <v>28</v>
      </c>
      <c r="P983" s="324">
        <v>49</v>
      </c>
    </row>
    <row r="984" spans="1:31" s="324" customFormat="1" ht="0.65" hidden="1" customHeight="1">
      <c r="A984" s="324">
        <v>4068</v>
      </c>
      <c r="B984" s="324">
        <v>43750</v>
      </c>
      <c r="C984" s="324">
        <v>43750</v>
      </c>
      <c r="D984" s="324">
        <v>1</v>
      </c>
      <c r="O984" s="324" t="s">
        <v>29</v>
      </c>
      <c r="P984" s="324">
        <v>50</v>
      </c>
    </row>
    <row r="985" spans="1:31" s="324" customFormat="1" ht="0.65" hidden="1" customHeight="1">
      <c r="A985" s="324">
        <v>4069</v>
      </c>
      <c r="O985" s="324" t="s">
        <v>30</v>
      </c>
      <c r="P985" s="324">
        <v>51</v>
      </c>
    </row>
    <row r="986" spans="1:31" s="324" customFormat="1" ht="0.65" hidden="1" customHeight="1">
      <c r="A986" s="324">
        <v>4070</v>
      </c>
      <c r="B986" s="324">
        <v>0.25</v>
      </c>
      <c r="C986" s="324">
        <v>0.25</v>
      </c>
      <c r="D986" s="324">
        <v>1</v>
      </c>
    </row>
    <row r="987" spans="1:31" s="324" customFormat="1" ht="0.65" hidden="1" customHeight="1">
      <c r="A987" s="324">
        <v>4071</v>
      </c>
    </row>
    <row r="988" spans="1:31" s="324" customFormat="1" ht="0.65" hidden="1" customHeight="1">
      <c r="A988" s="324">
        <v>4072</v>
      </c>
    </row>
    <row r="989" spans="1:31" s="324" customFormat="1" ht="0.65" hidden="1" customHeight="1">
      <c r="A989" s="324">
        <v>4073</v>
      </c>
      <c r="B989" s="324">
        <v>400000</v>
      </c>
      <c r="C989" s="324">
        <v>400000</v>
      </c>
      <c r="D989" s="324">
        <v>1</v>
      </c>
    </row>
    <row r="990" spans="1:31" s="324" customFormat="1" ht="0.65" hidden="1" customHeight="1">
      <c r="A990" s="324">
        <v>4074</v>
      </c>
      <c r="B990" s="324">
        <v>500000</v>
      </c>
      <c r="C990" s="324">
        <v>500000</v>
      </c>
      <c r="D990" s="324">
        <v>1</v>
      </c>
      <c r="K990" s="324" t="s">
        <v>475</v>
      </c>
      <c r="M990" s="324" t="s">
        <v>212</v>
      </c>
      <c r="N990" s="324" t="s">
        <v>213</v>
      </c>
      <c r="O990" s="324" t="s">
        <v>214</v>
      </c>
      <c r="P990" s="324" t="s">
        <v>215</v>
      </c>
      <c r="Q990" s="324" t="s">
        <v>216</v>
      </c>
      <c r="R990" s="324" t="s">
        <v>218</v>
      </c>
      <c r="S990" s="324" t="s">
        <v>219</v>
      </c>
      <c r="T990" s="324" t="s">
        <v>220</v>
      </c>
      <c r="U990" s="324" t="s">
        <v>473</v>
      </c>
      <c r="V990" s="324" t="s">
        <v>474</v>
      </c>
      <c r="X990" s="324" t="s">
        <v>223</v>
      </c>
      <c r="Y990" s="324" t="s">
        <v>224</v>
      </c>
      <c r="Z990" s="324" t="s">
        <v>225</v>
      </c>
      <c r="AA990" s="324" t="s">
        <v>226</v>
      </c>
      <c r="AB990" s="324" t="s">
        <v>227</v>
      </c>
      <c r="AC990" s="324" t="s">
        <v>228</v>
      </c>
      <c r="AD990" s="324" t="s">
        <v>229</v>
      </c>
      <c r="AE990" s="324" t="s">
        <v>230</v>
      </c>
    </row>
    <row r="991" spans="1:31" s="324" customFormat="1" ht="0.65" hidden="1" customHeight="1">
      <c r="A991" s="324">
        <v>4075</v>
      </c>
      <c r="B991" s="324">
        <v>0.01</v>
      </c>
      <c r="C991" s="324">
        <v>0.01</v>
      </c>
      <c r="D991" s="324">
        <v>1</v>
      </c>
      <c r="F991" s="324">
        <v>1</v>
      </c>
      <c r="G991" s="324">
        <v>1</v>
      </c>
      <c r="H991" s="324" t="s">
        <v>490</v>
      </c>
      <c r="I991" s="324">
        <v>306250</v>
      </c>
      <c r="J991" s="324">
        <v>306250</v>
      </c>
      <c r="K991" s="324" t="s">
        <v>1407</v>
      </c>
      <c r="M991" s="324">
        <v>500000</v>
      </c>
      <c r="N991" s="324">
        <v>325000</v>
      </c>
      <c r="O991" s="324">
        <v>343750</v>
      </c>
      <c r="P991" s="324">
        <v>675000</v>
      </c>
      <c r="U991" s="324" t="s">
        <v>1407</v>
      </c>
      <c r="V991" s="324" t="s">
        <v>509</v>
      </c>
      <c r="X991" s="324" t="s">
        <v>231</v>
      </c>
      <c r="Y991" s="324" t="s">
        <v>250</v>
      </c>
      <c r="Z991" s="324" t="s">
        <v>251</v>
      </c>
      <c r="AA991" s="324" t="s">
        <v>232</v>
      </c>
    </row>
    <row r="992" spans="1:31" s="324" customFormat="1" ht="0.65" hidden="1" customHeight="1">
      <c r="A992" s="324">
        <v>4076</v>
      </c>
      <c r="B992" s="324">
        <v>5000000</v>
      </c>
      <c r="C992" s="324">
        <v>5000000</v>
      </c>
      <c r="D992" s="324">
        <v>1</v>
      </c>
      <c r="F992" s="324">
        <v>1</v>
      </c>
      <c r="G992" s="324">
        <v>2</v>
      </c>
      <c r="H992" s="324" t="s">
        <v>510</v>
      </c>
      <c r="I992" s="324">
        <v>600000</v>
      </c>
      <c r="J992" s="324">
        <v>600000</v>
      </c>
      <c r="K992" s="324" t="s">
        <v>1408</v>
      </c>
      <c r="M992" s="324">
        <v>450000</v>
      </c>
      <c r="N992" s="324">
        <v>150000</v>
      </c>
      <c r="U992" s="324" t="s">
        <v>1408</v>
      </c>
      <c r="V992" s="324" t="s">
        <v>512</v>
      </c>
      <c r="X992" s="324" t="s">
        <v>233</v>
      </c>
    </row>
    <row r="993" spans="1:28" s="324" customFormat="1" ht="0.65" hidden="1" customHeight="1">
      <c r="A993" s="324">
        <v>4077</v>
      </c>
      <c r="B993" s="324">
        <v>5000000</v>
      </c>
      <c r="C993" s="324">
        <v>5000000</v>
      </c>
      <c r="D993" s="324">
        <v>1</v>
      </c>
      <c r="F993" s="324">
        <v>1</v>
      </c>
      <c r="G993" s="324">
        <v>3</v>
      </c>
      <c r="H993" s="324" t="s">
        <v>513</v>
      </c>
      <c r="I993" s="324">
        <v>600000</v>
      </c>
      <c r="J993" s="324">
        <v>600000</v>
      </c>
      <c r="K993" s="324" t="s">
        <v>1408</v>
      </c>
      <c r="M993" s="324">
        <v>450000</v>
      </c>
      <c r="N993" s="324">
        <v>150000</v>
      </c>
      <c r="O993" s="324">
        <v>1200000</v>
      </c>
      <c r="U993" s="324" t="s">
        <v>1408</v>
      </c>
      <c r="V993" s="324" t="s">
        <v>514</v>
      </c>
      <c r="X993" s="324" t="s">
        <v>233</v>
      </c>
      <c r="Y993" s="324" t="s">
        <v>252</v>
      </c>
      <c r="Z993" s="324" t="s">
        <v>234</v>
      </c>
    </row>
    <row r="994" spans="1:28" s="324" customFormat="1" ht="0.65" hidden="1" customHeight="1">
      <c r="A994" s="324">
        <v>4078</v>
      </c>
      <c r="F994" s="324">
        <v>1</v>
      </c>
      <c r="G994" s="324">
        <v>4</v>
      </c>
      <c r="H994" s="324" t="s">
        <v>515</v>
      </c>
      <c r="I994" s="324">
        <v>600000</v>
      </c>
      <c r="J994" s="324">
        <v>600000</v>
      </c>
      <c r="K994" s="324" t="s">
        <v>1408</v>
      </c>
      <c r="M994" s="324">
        <v>450000</v>
      </c>
      <c r="N994" s="324">
        <v>150000</v>
      </c>
      <c r="O994" s="324">
        <v>1800000</v>
      </c>
      <c r="U994" s="324" t="s">
        <v>1408</v>
      </c>
      <c r="V994" s="324" t="s">
        <v>516</v>
      </c>
      <c r="X994" s="324" t="s">
        <v>233</v>
      </c>
      <c r="Y994" s="324" t="s">
        <v>252</v>
      </c>
      <c r="Z994" s="324" t="s">
        <v>235</v>
      </c>
    </row>
    <row r="995" spans="1:28" s="324" customFormat="1" ht="0.65" hidden="1" customHeight="1">
      <c r="A995" s="324">
        <v>4079</v>
      </c>
      <c r="C995" s="324" t="s">
        <v>422</v>
      </c>
      <c r="D995" s="324">
        <v>28</v>
      </c>
      <c r="F995" s="324">
        <v>1</v>
      </c>
      <c r="G995" s="324">
        <v>5</v>
      </c>
      <c r="H995" s="324" t="s">
        <v>517</v>
      </c>
      <c r="I995" s="324">
        <v>500000</v>
      </c>
      <c r="J995" s="324">
        <v>500000</v>
      </c>
      <c r="K995" s="324" t="s">
        <v>1409</v>
      </c>
      <c r="M995" s="324">
        <v>375000</v>
      </c>
      <c r="N995" s="324">
        <v>125000</v>
      </c>
      <c r="U995" s="324" t="s">
        <v>1409</v>
      </c>
      <c r="V995" s="324" t="s">
        <v>519</v>
      </c>
      <c r="X995" s="324" t="s">
        <v>236</v>
      </c>
      <c r="Y995" s="324" t="s">
        <v>253</v>
      </c>
    </row>
    <row r="996" spans="1:28" s="324" customFormat="1" ht="0.65" hidden="1" customHeight="1">
      <c r="A996" s="324">
        <v>4080</v>
      </c>
      <c r="C996" s="324" t="s">
        <v>423</v>
      </c>
      <c r="D996" s="324" t="s">
        <v>520</v>
      </c>
      <c r="F996" s="324">
        <v>1</v>
      </c>
      <c r="G996" s="324">
        <v>6</v>
      </c>
      <c r="H996" s="324" t="s">
        <v>521</v>
      </c>
      <c r="I996" s="324">
        <v>500000</v>
      </c>
      <c r="J996" s="324">
        <v>500000</v>
      </c>
      <c r="K996" s="324" t="s">
        <v>1409</v>
      </c>
      <c r="M996" s="324">
        <v>375000</v>
      </c>
      <c r="N996" s="324">
        <v>125000</v>
      </c>
      <c r="O996" s="324">
        <v>1000000</v>
      </c>
      <c r="U996" s="324" t="s">
        <v>1409</v>
      </c>
      <c r="V996" s="324" t="s">
        <v>522</v>
      </c>
      <c r="X996" s="324" t="s">
        <v>236</v>
      </c>
      <c r="Y996" s="324" t="s">
        <v>253</v>
      </c>
      <c r="Z996" s="324" t="s">
        <v>237</v>
      </c>
    </row>
    <row r="997" spans="1:28" s="324" customFormat="1" ht="0.65" hidden="1" customHeight="1">
      <c r="A997" s="324">
        <v>4081</v>
      </c>
      <c r="F997" s="324">
        <v>1</v>
      </c>
      <c r="G997" s="324">
        <v>7</v>
      </c>
      <c r="H997" s="324" t="s">
        <v>523</v>
      </c>
      <c r="I997" s="324">
        <v>500000</v>
      </c>
      <c r="J997" s="324">
        <v>500000</v>
      </c>
      <c r="K997" s="324" t="s">
        <v>1409</v>
      </c>
      <c r="M997" s="324">
        <v>375000</v>
      </c>
      <c r="N997" s="324">
        <v>125000</v>
      </c>
      <c r="O997" s="324">
        <v>1500000</v>
      </c>
      <c r="U997" s="324" t="s">
        <v>1409</v>
      </c>
      <c r="V997" s="324" t="s">
        <v>524</v>
      </c>
      <c r="X997" s="324" t="s">
        <v>236</v>
      </c>
      <c r="Y997" s="324" t="s">
        <v>253</v>
      </c>
      <c r="Z997" s="324" t="s">
        <v>238</v>
      </c>
    </row>
    <row r="998" spans="1:28" s="324" customFormat="1" ht="0.65" hidden="1" customHeight="1">
      <c r="A998" s="324">
        <v>4082</v>
      </c>
      <c r="B998" s="324">
        <v>2022</v>
      </c>
      <c r="C998" s="324">
        <v>2022</v>
      </c>
      <c r="D998" s="324">
        <v>1</v>
      </c>
      <c r="F998" s="324">
        <v>1</v>
      </c>
      <c r="G998" s="324">
        <v>8</v>
      </c>
      <c r="H998" s="324" t="s">
        <v>525</v>
      </c>
      <c r="I998" s="324">
        <v>-12500</v>
      </c>
      <c r="J998" s="324">
        <v>-12500</v>
      </c>
      <c r="K998" s="324" t="s">
        <v>1410</v>
      </c>
      <c r="M998" s="324">
        <v>50000</v>
      </c>
      <c r="N998" s="324">
        <v>112500</v>
      </c>
      <c r="O998" s="324">
        <v>6250</v>
      </c>
      <c r="P998" s="324">
        <v>12500</v>
      </c>
      <c r="U998" s="324" t="s">
        <v>1410</v>
      </c>
      <c r="V998" s="324" t="s">
        <v>527</v>
      </c>
      <c r="X998" s="324" t="s">
        <v>239</v>
      </c>
      <c r="Y998" s="324" t="s">
        <v>240</v>
      </c>
      <c r="Z998" s="324" t="s">
        <v>241</v>
      </c>
      <c r="AA998" s="324" t="s">
        <v>242</v>
      </c>
    </row>
    <row r="999" spans="1:28" s="324" customFormat="1" ht="0.65" hidden="1" customHeight="1">
      <c r="A999" s="324">
        <v>4083</v>
      </c>
      <c r="B999" s="324">
        <v>2023</v>
      </c>
      <c r="C999" s="324">
        <v>2023</v>
      </c>
      <c r="D999" s="324">
        <v>1</v>
      </c>
      <c r="F999" s="324">
        <v>1</v>
      </c>
      <c r="G999" s="324">
        <v>9</v>
      </c>
      <c r="H999" s="324" t="s">
        <v>528</v>
      </c>
      <c r="I999" s="324">
        <v>-12500</v>
      </c>
      <c r="J999" s="324">
        <v>-12500</v>
      </c>
      <c r="K999" s="324" t="s">
        <v>1410</v>
      </c>
      <c r="M999" s="324">
        <v>50000</v>
      </c>
      <c r="N999" s="324">
        <v>112500</v>
      </c>
      <c r="O999" s="324">
        <v>6250</v>
      </c>
      <c r="P999" s="324">
        <v>12500</v>
      </c>
      <c r="U999" s="324" t="s">
        <v>1410</v>
      </c>
      <c r="V999" s="324" t="s">
        <v>529</v>
      </c>
      <c r="X999" s="324" t="s">
        <v>239</v>
      </c>
      <c r="Y999" s="324" t="s">
        <v>240</v>
      </c>
      <c r="Z999" s="324" t="s">
        <v>241</v>
      </c>
      <c r="AA999" s="324" t="s">
        <v>242</v>
      </c>
    </row>
    <row r="1000" spans="1:28" s="324" customFormat="1" ht="0.65" hidden="1" customHeight="1">
      <c r="A1000" s="324">
        <v>4084</v>
      </c>
      <c r="B1000" s="324">
        <v>2024</v>
      </c>
      <c r="C1000" s="324">
        <v>2024</v>
      </c>
      <c r="D1000" s="324">
        <v>1</v>
      </c>
      <c r="F1000" s="324">
        <v>1</v>
      </c>
      <c r="G1000" s="324">
        <v>10</v>
      </c>
      <c r="H1000" s="324" t="s">
        <v>530</v>
      </c>
      <c r="I1000" s="324">
        <v>-12500</v>
      </c>
      <c r="J1000" s="324">
        <v>-12500</v>
      </c>
      <c r="K1000" s="324" t="s">
        <v>1410</v>
      </c>
      <c r="M1000" s="324">
        <v>50000</v>
      </c>
      <c r="N1000" s="324">
        <v>112500</v>
      </c>
      <c r="O1000" s="324">
        <v>6250</v>
      </c>
      <c r="P1000" s="324">
        <v>12500</v>
      </c>
      <c r="Q1000" s="324">
        <v>-12500</v>
      </c>
      <c r="U1000" s="324" t="s">
        <v>1410</v>
      </c>
      <c r="V1000" s="324" t="s">
        <v>532</v>
      </c>
      <c r="X1000" s="324" t="s">
        <v>239</v>
      </c>
      <c r="Y1000" s="324" t="s">
        <v>240</v>
      </c>
      <c r="Z1000" s="324" t="s">
        <v>241</v>
      </c>
      <c r="AA1000" s="324" t="s">
        <v>242</v>
      </c>
      <c r="AB1000" s="324" t="s">
        <v>254</v>
      </c>
    </row>
    <row r="1001" spans="1:28" s="324" customFormat="1" ht="0.65" hidden="1" customHeight="1">
      <c r="A1001" s="324">
        <v>4085</v>
      </c>
      <c r="B1001" s="324">
        <v>2025</v>
      </c>
      <c r="C1001" s="324">
        <v>2025</v>
      </c>
      <c r="D1001" s="324">
        <v>1</v>
      </c>
      <c r="F1001" s="324">
        <v>1</v>
      </c>
      <c r="G1001" s="324">
        <v>11</v>
      </c>
      <c r="H1001" s="324" t="s">
        <v>533</v>
      </c>
      <c r="I1001" s="324">
        <v>112500</v>
      </c>
      <c r="J1001" s="324">
        <v>112500</v>
      </c>
      <c r="K1001" s="324" t="s">
        <v>1411</v>
      </c>
      <c r="M1001" s="324">
        <v>87500</v>
      </c>
      <c r="N1001" s="324">
        <v>100000</v>
      </c>
      <c r="O1001" s="324">
        <v>1112500</v>
      </c>
      <c r="U1001" s="324" t="s">
        <v>1411</v>
      </c>
      <c r="V1001" s="324" t="s">
        <v>535</v>
      </c>
      <c r="X1001" s="324" t="s">
        <v>243</v>
      </c>
      <c r="Y1001" s="324" t="s">
        <v>255</v>
      </c>
      <c r="Z1001" s="324" t="s">
        <v>341</v>
      </c>
    </row>
    <row r="1002" spans="1:28" s="324" customFormat="1" ht="0.65" hidden="1" customHeight="1">
      <c r="A1002" s="324">
        <v>4086</v>
      </c>
      <c r="F1002" s="324">
        <v>1</v>
      </c>
      <c r="G1002" s="324">
        <v>12</v>
      </c>
      <c r="H1002" s="324" t="s">
        <v>536</v>
      </c>
      <c r="I1002" s="324">
        <v>112500</v>
      </c>
      <c r="J1002" s="324">
        <v>112500</v>
      </c>
      <c r="K1002" s="324" t="s">
        <v>1411</v>
      </c>
      <c r="M1002" s="324">
        <v>87500</v>
      </c>
      <c r="N1002" s="324">
        <v>100000</v>
      </c>
      <c r="O1002" s="324">
        <v>1112500</v>
      </c>
      <c r="U1002" s="324" t="s">
        <v>1411</v>
      </c>
      <c r="V1002" s="324" t="s">
        <v>537</v>
      </c>
      <c r="X1002" s="324" t="s">
        <v>243</v>
      </c>
      <c r="Y1002" s="324" t="s">
        <v>255</v>
      </c>
      <c r="Z1002" s="324" t="s">
        <v>341</v>
      </c>
    </row>
    <row r="1003" spans="1:28" s="324" customFormat="1" ht="0.65" hidden="1" customHeight="1">
      <c r="A1003" s="324">
        <v>4087</v>
      </c>
      <c r="F1003" s="324">
        <v>1</v>
      </c>
      <c r="G1003" s="324">
        <v>13</v>
      </c>
      <c r="H1003" s="324" t="s">
        <v>538</v>
      </c>
      <c r="I1003" s="324">
        <v>112500</v>
      </c>
      <c r="J1003" s="324">
        <v>112500</v>
      </c>
      <c r="K1003" s="324" t="s">
        <v>1411</v>
      </c>
      <c r="M1003" s="324">
        <v>87500</v>
      </c>
      <c r="N1003" s="324">
        <v>100000</v>
      </c>
      <c r="O1003" s="324">
        <v>1050000</v>
      </c>
      <c r="U1003" s="324" t="s">
        <v>1411</v>
      </c>
      <c r="V1003" s="324" t="s">
        <v>540</v>
      </c>
      <c r="X1003" s="324" t="s">
        <v>243</v>
      </c>
      <c r="Y1003" s="324" t="s">
        <v>255</v>
      </c>
      <c r="Z1003" s="324" t="s">
        <v>341</v>
      </c>
    </row>
    <row r="1004" spans="1:28" s="324" customFormat="1" ht="0.65" hidden="1" customHeight="1">
      <c r="A1004" s="324">
        <v>4088</v>
      </c>
      <c r="B1004" s="324">
        <v>2022</v>
      </c>
      <c r="C1004" s="324">
        <v>2022</v>
      </c>
      <c r="D1004" s="324">
        <v>1</v>
      </c>
      <c r="F1004" s="324">
        <v>1</v>
      </c>
      <c r="G1004" s="324">
        <v>14</v>
      </c>
      <c r="H1004" s="324" t="s">
        <v>541</v>
      </c>
      <c r="I1004" s="324">
        <v>28125</v>
      </c>
      <c r="J1004" s="324">
        <v>28125</v>
      </c>
      <c r="K1004" s="324" t="s">
        <v>1412</v>
      </c>
      <c r="M1004" s="324">
        <v>0</v>
      </c>
      <c r="N1004" s="324">
        <v>33750</v>
      </c>
      <c r="O1004" s="324">
        <v>84375</v>
      </c>
      <c r="U1004" s="324" t="s">
        <v>1412</v>
      </c>
      <c r="V1004" s="324" t="s">
        <v>543</v>
      </c>
      <c r="X1004" s="324" t="s">
        <v>279</v>
      </c>
      <c r="Y1004" s="324" t="s">
        <v>280</v>
      </c>
      <c r="Z1004" s="324" t="s">
        <v>342</v>
      </c>
    </row>
    <row r="1005" spans="1:28" s="324" customFormat="1" ht="0.65" hidden="1" customHeight="1">
      <c r="A1005" s="324">
        <v>4089</v>
      </c>
      <c r="B1005" s="324">
        <v>2023</v>
      </c>
      <c r="C1005" s="324">
        <v>2023</v>
      </c>
      <c r="D1005" s="324">
        <v>1</v>
      </c>
      <c r="F1005" s="324">
        <v>1</v>
      </c>
      <c r="G1005" s="324">
        <v>15</v>
      </c>
      <c r="H1005" s="324" t="s">
        <v>544</v>
      </c>
      <c r="I1005" s="324">
        <v>28125</v>
      </c>
      <c r="J1005" s="324">
        <v>28125</v>
      </c>
      <c r="K1005" s="324" t="s">
        <v>1412</v>
      </c>
      <c r="M1005" s="324">
        <v>0</v>
      </c>
      <c r="N1005" s="324">
        <v>33750</v>
      </c>
      <c r="O1005" s="324">
        <v>84375</v>
      </c>
      <c r="U1005" s="324" t="s">
        <v>1412</v>
      </c>
      <c r="V1005" s="324" t="s">
        <v>545</v>
      </c>
      <c r="X1005" s="324" t="s">
        <v>279</v>
      </c>
      <c r="Y1005" s="324" t="s">
        <v>280</v>
      </c>
      <c r="Z1005" s="324" t="s">
        <v>342</v>
      </c>
    </row>
    <row r="1006" spans="1:28" s="324" customFormat="1" ht="0.65" hidden="1" customHeight="1">
      <c r="A1006" s="324">
        <v>4090</v>
      </c>
      <c r="B1006" s="324">
        <v>2024</v>
      </c>
      <c r="C1006" s="324">
        <v>2024</v>
      </c>
      <c r="D1006" s="324">
        <v>1</v>
      </c>
      <c r="F1006" s="324">
        <v>1</v>
      </c>
      <c r="G1006" s="324">
        <v>16</v>
      </c>
      <c r="H1006" s="324" t="s">
        <v>546</v>
      </c>
      <c r="I1006" s="324">
        <v>28125</v>
      </c>
      <c r="J1006" s="324">
        <v>28125</v>
      </c>
      <c r="K1006" s="324" t="s">
        <v>1412</v>
      </c>
      <c r="M1006" s="324">
        <v>0</v>
      </c>
      <c r="N1006" s="324">
        <v>33750</v>
      </c>
      <c r="O1006" s="324">
        <v>37500</v>
      </c>
      <c r="U1006" s="324" t="s">
        <v>1412</v>
      </c>
      <c r="V1006" s="324" t="s">
        <v>548</v>
      </c>
      <c r="X1006" s="324" t="s">
        <v>279</v>
      </c>
      <c r="Y1006" s="324" t="s">
        <v>280</v>
      </c>
      <c r="Z1006" s="324" t="s">
        <v>342</v>
      </c>
    </row>
    <row r="1007" spans="1:28" s="324" customFormat="1" ht="0.65" hidden="1" customHeight="1">
      <c r="A1007" s="324">
        <v>4091</v>
      </c>
      <c r="B1007" s="324">
        <v>2025</v>
      </c>
      <c r="C1007" s="324">
        <v>2025</v>
      </c>
      <c r="D1007" s="324">
        <v>1</v>
      </c>
      <c r="F1007" s="324">
        <v>1</v>
      </c>
      <c r="G1007" s="324">
        <v>17</v>
      </c>
      <c r="H1007" s="324" t="s">
        <v>549</v>
      </c>
      <c r="I1007" s="324">
        <v>84375</v>
      </c>
      <c r="J1007" s="324">
        <v>84375</v>
      </c>
      <c r="K1007" s="324" t="s">
        <v>1413</v>
      </c>
      <c r="M1007" s="324">
        <v>140625</v>
      </c>
      <c r="U1007" s="324" t="s">
        <v>1413</v>
      </c>
      <c r="V1007" s="324" t="s">
        <v>551</v>
      </c>
      <c r="X1007" s="324" t="s">
        <v>256</v>
      </c>
    </row>
    <row r="1008" spans="1:28" s="324" customFormat="1" ht="0.65" hidden="1" customHeight="1">
      <c r="A1008" s="324">
        <v>4092</v>
      </c>
      <c r="F1008" s="324">
        <v>1</v>
      </c>
      <c r="G1008" s="324">
        <v>18</v>
      </c>
      <c r="H1008" s="324" t="s">
        <v>552</v>
      </c>
      <c r="I1008" s="324">
        <v>84375</v>
      </c>
      <c r="J1008" s="324">
        <v>84375</v>
      </c>
      <c r="K1008" s="324" t="s">
        <v>1413</v>
      </c>
      <c r="M1008" s="324">
        <v>140625</v>
      </c>
      <c r="U1008" s="324" t="s">
        <v>1413</v>
      </c>
      <c r="V1008" s="324" t="s">
        <v>553</v>
      </c>
      <c r="X1008" s="324" t="s">
        <v>256</v>
      </c>
    </row>
    <row r="1009" spans="1:26" s="324" customFormat="1" ht="0.65" hidden="1" customHeight="1">
      <c r="A1009" s="324">
        <v>4093</v>
      </c>
      <c r="B1009" s="324">
        <v>0</v>
      </c>
      <c r="C1009" s="324">
        <v>0</v>
      </c>
      <c r="D1009" s="324">
        <v>1</v>
      </c>
      <c r="F1009" s="324">
        <v>1</v>
      </c>
      <c r="G1009" s="324">
        <v>19</v>
      </c>
      <c r="H1009" s="324" t="s">
        <v>554</v>
      </c>
      <c r="I1009" s="324">
        <v>84375</v>
      </c>
      <c r="J1009" s="324">
        <v>84375</v>
      </c>
      <c r="K1009" s="324" t="s">
        <v>1413</v>
      </c>
      <c r="M1009" s="324">
        <v>140625</v>
      </c>
      <c r="U1009" s="324" t="s">
        <v>1413</v>
      </c>
      <c r="V1009" s="324" t="s">
        <v>556</v>
      </c>
      <c r="X1009" s="324" t="s">
        <v>256</v>
      </c>
    </row>
    <row r="1010" spans="1:26" s="324" customFormat="1" ht="0.65" hidden="1" customHeight="1">
      <c r="A1010" s="324">
        <v>4094</v>
      </c>
      <c r="B1010" s="324">
        <v>0</v>
      </c>
      <c r="C1010" s="324">
        <v>0</v>
      </c>
      <c r="D1010" s="324">
        <v>1</v>
      </c>
      <c r="F1010" s="324">
        <v>1</v>
      </c>
      <c r="G1010" s="324">
        <v>20</v>
      </c>
      <c r="H1010" s="324" t="s">
        <v>557</v>
      </c>
      <c r="I1010" s="324">
        <v>71875</v>
      </c>
      <c r="J1010" s="324">
        <v>71875</v>
      </c>
      <c r="K1010" s="324" t="s">
        <v>1414</v>
      </c>
      <c r="M1010" s="324">
        <v>84375</v>
      </c>
      <c r="N1010" s="324">
        <v>96875</v>
      </c>
      <c r="U1010" s="324" t="s">
        <v>1414</v>
      </c>
      <c r="V1010" s="324" t="s">
        <v>559</v>
      </c>
      <c r="X1010" s="324" t="s">
        <v>257</v>
      </c>
      <c r="Y1010" s="324" t="s">
        <v>258</v>
      </c>
    </row>
    <row r="1011" spans="1:26" s="324" customFormat="1" ht="0.65" hidden="1" customHeight="1">
      <c r="A1011" s="324">
        <v>4095</v>
      </c>
      <c r="B1011" s="324">
        <v>0</v>
      </c>
      <c r="C1011" s="324">
        <v>0</v>
      </c>
      <c r="D1011" s="324">
        <v>1</v>
      </c>
      <c r="F1011" s="324">
        <v>1</v>
      </c>
      <c r="G1011" s="324">
        <v>21</v>
      </c>
      <c r="H1011" s="324" t="s">
        <v>560</v>
      </c>
      <c r="I1011" s="324">
        <v>71875</v>
      </c>
      <c r="J1011" s="324">
        <v>71875</v>
      </c>
      <c r="K1011" s="324" t="s">
        <v>1414</v>
      </c>
      <c r="M1011" s="324">
        <v>84375</v>
      </c>
      <c r="N1011" s="324">
        <v>96875</v>
      </c>
      <c r="U1011" s="324" t="s">
        <v>1414</v>
      </c>
      <c r="V1011" s="324" t="s">
        <v>561</v>
      </c>
      <c r="X1011" s="324" t="s">
        <v>257</v>
      </c>
      <c r="Y1011" s="324" t="s">
        <v>258</v>
      </c>
    </row>
    <row r="1012" spans="1:26" s="324" customFormat="1" ht="0.65" hidden="1" customHeight="1">
      <c r="A1012" s="324">
        <v>4096</v>
      </c>
      <c r="F1012" s="324">
        <v>1</v>
      </c>
      <c r="G1012" s="324">
        <v>22</v>
      </c>
      <c r="H1012" s="324" t="s">
        <v>562</v>
      </c>
      <c r="I1012" s="324">
        <v>71875</v>
      </c>
      <c r="J1012" s="324">
        <v>71875</v>
      </c>
      <c r="K1012" s="324" t="s">
        <v>1414</v>
      </c>
      <c r="M1012" s="324">
        <v>84375</v>
      </c>
      <c r="N1012" s="324">
        <v>96875</v>
      </c>
      <c r="U1012" s="324" t="s">
        <v>1414</v>
      </c>
      <c r="V1012" s="324" t="s">
        <v>564</v>
      </c>
      <c r="X1012" s="324" t="s">
        <v>257</v>
      </c>
      <c r="Y1012" s="324" t="s">
        <v>258</v>
      </c>
    </row>
    <row r="1013" spans="1:26" s="324" customFormat="1" ht="0.65" hidden="1" customHeight="1">
      <c r="A1013" s="324">
        <v>4097</v>
      </c>
      <c r="F1013" s="324">
        <v>1</v>
      </c>
      <c r="G1013" s="324">
        <v>23</v>
      </c>
      <c r="H1013" s="324" t="s">
        <v>565</v>
      </c>
      <c r="I1013" s="324">
        <v>150000</v>
      </c>
      <c r="J1013" s="324">
        <v>150000</v>
      </c>
      <c r="K1013" s="324" t="s">
        <v>1415</v>
      </c>
      <c r="M1013" s="324">
        <v>450000</v>
      </c>
      <c r="N1013" s="324">
        <v>150000</v>
      </c>
      <c r="O1013" s="324">
        <v>600000</v>
      </c>
      <c r="U1013" s="324" t="s">
        <v>1415</v>
      </c>
      <c r="V1013" s="324" t="s">
        <v>567</v>
      </c>
      <c r="X1013" s="324" t="s">
        <v>259</v>
      </c>
      <c r="Y1013" s="324" t="s">
        <v>260</v>
      </c>
      <c r="Z1013" s="324" t="s">
        <v>343</v>
      </c>
    </row>
    <row r="1014" spans="1:26" s="324" customFormat="1" ht="0.65" hidden="1" customHeight="1">
      <c r="A1014" s="324">
        <v>4098</v>
      </c>
      <c r="F1014" s="324">
        <v>1</v>
      </c>
      <c r="G1014" s="324">
        <v>24</v>
      </c>
      <c r="H1014" s="324" t="s">
        <v>568</v>
      </c>
      <c r="I1014" s="324">
        <v>150000</v>
      </c>
      <c r="J1014" s="324">
        <v>150000</v>
      </c>
      <c r="K1014" s="324" t="s">
        <v>1415</v>
      </c>
      <c r="M1014" s="324">
        <v>450000</v>
      </c>
      <c r="N1014" s="324">
        <v>150000</v>
      </c>
      <c r="O1014" s="324">
        <v>300000</v>
      </c>
      <c r="U1014" s="324" t="s">
        <v>1415</v>
      </c>
      <c r="V1014" s="324" t="s">
        <v>569</v>
      </c>
      <c r="X1014" s="324" t="s">
        <v>259</v>
      </c>
      <c r="Y1014" s="324" t="s">
        <v>260</v>
      </c>
      <c r="Z1014" s="324" t="s">
        <v>261</v>
      </c>
    </row>
    <row r="1015" spans="1:26" s="324" customFormat="1" ht="0.65" hidden="1" customHeight="1">
      <c r="A1015" s="324">
        <v>4099</v>
      </c>
      <c r="F1015" s="324">
        <v>1</v>
      </c>
      <c r="G1015" s="324">
        <v>25</v>
      </c>
      <c r="H1015" s="324" t="s">
        <v>570</v>
      </c>
      <c r="I1015" s="324">
        <v>150000</v>
      </c>
      <c r="J1015" s="324">
        <v>150000</v>
      </c>
      <c r="K1015" s="324" t="s">
        <v>1415</v>
      </c>
      <c r="M1015" s="324">
        <v>450000</v>
      </c>
      <c r="N1015" s="324">
        <v>150000</v>
      </c>
      <c r="O1015" s="324">
        <v>450000</v>
      </c>
      <c r="U1015" s="324" t="s">
        <v>1415</v>
      </c>
      <c r="V1015" s="324" t="s">
        <v>571</v>
      </c>
      <c r="X1015" s="324" t="s">
        <v>259</v>
      </c>
      <c r="Y1015" s="324" t="s">
        <v>260</v>
      </c>
      <c r="Z1015" s="324" t="s">
        <v>261</v>
      </c>
    </row>
    <row r="1016" spans="1:26" s="324" customFormat="1" ht="0.65" hidden="1" customHeight="1">
      <c r="A1016" s="324">
        <v>4100</v>
      </c>
      <c r="F1016" s="324">
        <v>1</v>
      </c>
      <c r="G1016" s="324">
        <v>26</v>
      </c>
      <c r="H1016" s="324" t="s">
        <v>572</v>
      </c>
      <c r="I1016" s="324">
        <v>125000</v>
      </c>
      <c r="J1016" s="324">
        <v>125000</v>
      </c>
      <c r="K1016" s="324" t="s">
        <v>1416</v>
      </c>
      <c r="M1016" s="324">
        <v>375000</v>
      </c>
      <c r="N1016" s="324">
        <v>125000</v>
      </c>
      <c r="O1016" s="324">
        <v>500000</v>
      </c>
      <c r="U1016" s="324" t="s">
        <v>1416</v>
      </c>
      <c r="V1016" s="324" t="s">
        <v>574</v>
      </c>
      <c r="X1016" s="324" t="s">
        <v>262</v>
      </c>
      <c r="Y1016" s="324" t="s">
        <v>263</v>
      </c>
      <c r="Z1016" s="324" t="s">
        <v>344</v>
      </c>
    </row>
    <row r="1017" spans="1:26" s="324" customFormat="1" ht="0.65" hidden="1" customHeight="1">
      <c r="A1017" s="324">
        <v>4101</v>
      </c>
      <c r="F1017" s="324">
        <v>1</v>
      </c>
      <c r="G1017" s="324">
        <v>27</v>
      </c>
      <c r="H1017" s="324" t="s">
        <v>575</v>
      </c>
      <c r="I1017" s="324">
        <v>125000</v>
      </c>
      <c r="J1017" s="324">
        <v>125000</v>
      </c>
      <c r="K1017" s="324" t="s">
        <v>1416</v>
      </c>
      <c r="M1017" s="324">
        <v>375000</v>
      </c>
      <c r="N1017" s="324">
        <v>125000</v>
      </c>
      <c r="O1017" s="324">
        <v>250000</v>
      </c>
      <c r="U1017" s="324" t="s">
        <v>1416</v>
      </c>
      <c r="V1017" s="324" t="s">
        <v>576</v>
      </c>
      <c r="X1017" s="324" t="s">
        <v>262</v>
      </c>
      <c r="Y1017" s="324" t="s">
        <v>263</v>
      </c>
      <c r="Z1017" s="324" t="s">
        <v>264</v>
      </c>
    </row>
    <row r="1018" spans="1:26" s="324" customFormat="1" ht="0.65" hidden="1" customHeight="1">
      <c r="A1018" s="324">
        <v>4102</v>
      </c>
      <c r="F1018" s="324">
        <v>1</v>
      </c>
      <c r="G1018" s="324">
        <v>28</v>
      </c>
      <c r="H1018" s="324" t="s">
        <v>577</v>
      </c>
      <c r="I1018" s="324">
        <v>125000</v>
      </c>
      <c r="J1018" s="324">
        <v>125000</v>
      </c>
      <c r="K1018" s="324" t="s">
        <v>1416</v>
      </c>
      <c r="M1018" s="324">
        <v>375000</v>
      </c>
      <c r="N1018" s="324">
        <v>125000</v>
      </c>
      <c r="O1018" s="324">
        <v>375000</v>
      </c>
      <c r="U1018" s="324" t="s">
        <v>1416</v>
      </c>
      <c r="V1018" s="324" t="s">
        <v>578</v>
      </c>
      <c r="X1018" s="324" t="s">
        <v>262</v>
      </c>
      <c r="Y1018" s="324" t="s">
        <v>263</v>
      </c>
      <c r="Z1018" s="324" t="s">
        <v>264</v>
      </c>
    </row>
    <row r="1019" spans="1:26" s="324" customFormat="1" ht="0.65" hidden="1" customHeight="1">
      <c r="A1019" s="324">
        <v>4103</v>
      </c>
      <c r="F1019" s="324">
        <v>1</v>
      </c>
      <c r="G1019" s="324">
        <v>29</v>
      </c>
      <c r="H1019" s="324" t="s">
        <v>579</v>
      </c>
      <c r="I1019" s="324">
        <v>25000</v>
      </c>
      <c r="J1019" s="324">
        <v>25000</v>
      </c>
      <c r="K1019" s="324" t="s">
        <v>1417</v>
      </c>
      <c r="M1019" s="324">
        <v>275000</v>
      </c>
      <c r="N1019" s="324">
        <v>0</v>
      </c>
      <c r="O1019" s="324">
        <v>150000</v>
      </c>
      <c r="U1019" s="324" t="s">
        <v>1417</v>
      </c>
      <c r="V1019" s="324" t="s">
        <v>581</v>
      </c>
      <c r="X1019" s="324" t="s">
        <v>265</v>
      </c>
      <c r="Y1019" s="324" t="s">
        <v>266</v>
      </c>
      <c r="Z1019" s="324" t="s">
        <v>281</v>
      </c>
    </row>
    <row r="1020" spans="1:26" s="324" customFormat="1" ht="0.65" hidden="1" customHeight="1">
      <c r="A1020" s="324">
        <v>4104</v>
      </c>
      <c r="F1020" s="324">
        <v>1</v>
      </c>
      <c r="G1020" s="324">
        <v>30</v>
      </c>
      <c r="H1020" s="324" t="s">
        <v>582</v>
      </c>
      <c r="I1020" s="324">
        <v>25000</v>
      </c>
      <c r="J1020" s="324">
        <v>25000</v>
      </c>
      <c r="K1020" s="324" t="s">
        <v>1417</v>
      </c>
      <c r="M1020" s="324">
        <v>275000</v>
      </c>
      <c r="N1020" s="324">
        <v>0</v>
      </c>
      <c r="O1020" s="324">
        <v>150000</v>
      </c>
      <c r="U1020" s="324" t="s">
        <v>1417</v>
      </c>
      <c r="V1020" s="324" t="s">
        <v>583</v>
      </c>
      <c r="X1020" s="324" t="s">
        <v>265</v>
      </c>
      <c r="Y1020" s="324" t="s">
        <v>266</v>
      </c>
      <c r="Z1020" s="324" t="s">
        <v>281</v>
      </c>
    </row>
    <row r="1021" spans="1:26" s="324" customFormat="1" ht="0.65" hidden="1" customHeight="1">
      <c r="A1021" s="324">
        <v>4105</v>
      </c>
      <c r="F1021" s="324">
        <v>1</v>
      </c>
      <c r="G1021" s="324">
        <v>31</v>
      </c>
      <c r="H1021" s="324" t="s">
        <v>584</v>
      </c>
      <c r="I1021" s="324">
        <v>25000</v>
      </c>
      <c r="J1021" s="324">
        <v>25000</v>
      </c>
      <c r="K1021" s="324" t="s">
        <v>1417</v>
      </c>
      <c r="M1021" s="324">
        <v>275000</v>
      </c>
      <c r="N1021" s="324">
        <v>0</v>
      </c>
      <c r="O1021" s="324">
        <v>150000</v>
      </c>
      <c r="U1021" s="324" t="s">
        <v>1417</v>
      </c>
      <c r="V1021" s="324" t="s">
        <v>585</v>
      </c>
      <c r="X1021" s="324" t="s">
        <v>265</v>
      </c>
      <c r="Y1021" s="324" t="s">
        <v>266</v>
      </c>
      <c r="Z1021" s="324" t="s">
        <v>281</v>
      </c>
    </row>
    <row r="1022" spans="1:26" s="324" customFormat="1" ht="0.65" hidden="1" customHeight="1">
      <c r="A1022" s="324">
        <v>4106</v>
      </c>
      <c r="F1022" s="324">
        <v>1</v>
      </c>
      <c r="G1022" s="324">
        <v>32</v>
      </c>
      <c r="H1022" s="324" t="s">
        <v>586</v>
      </c>
      <c r="I1022" s="324">
        <v>25000</v>
      </c>
      <c r="J1022" s="324">
        <v>25000</v>
      </c>
      <c r="K1022" s="324" t="s">
        <v>1418</v>
      </c>
      <c r="U1022" s="324" t="s">
        <v>1418</v>
      </c>
      <c r="V1022" s="324" t="s">
        <v>588</v>
      </c>
    </row>
    <row r="1023" spans="1:26" s="324" customFormat="1" ht="0.65" hidden="1" customHeight="1">
      <c r="A1023" s="324">
        <v>4107</v>
      </c>
      <c r="F1023" s="324">
        <v>1</v>
      </c>
      <c r="G1023" s="324">
        <v>33</v>
      </c>
      <c r="H1023" s="324" t="s">
        <v>589</v>
      </c>
      <c r="I1023" s="324">
        <v>0</v>
      </c>
      <c r="J1023" s="324">
        <v>0</v>
      </c>
      <c r="K1023" s="324" t="s">
        <v>1405</v>
      </c>
      <c r="M1023" s="324">
        <v>25000</v>
      </c>
      <c r="N1023" s="324">
        <v>50000</v>
      </c>
      <c r="U1023" s="324" t="s">
        <v>1405</v>
      </c>
      <c r="V1023" s="324" t="s">
        <v>507</v>
      </c>
      <c r="X1023" s="324" t="s">
        <v>267</v>
      </c>
      <c r="Y1023" s="324" t="s">
        <v>268</v>
      </c>
    </row>
    <row r="1024" spans="1:26" s="324" customFormat="1" ht="0.65" hidden="1" customHeight="1">
      <c r="A1024" s="324">
        <v>4108</v>
      </c>
      <c r="F1024" s="324">
        <v>1</v>
      </c>
      <c r="G1024" s="324">
        <v>34</v>
      </c>
      <c r="H1024" s="324" t="s">
        <v>590</v>
      </c>
      <c r="I1024" s="324">
        <v>0</v>
      </c>
      <c r="J1024" s="324">
        <v>0</v>
      </c>
      <c r="K1024" s="324" t="s">
        <v>1405</v>
      </c>
      <c r="M1024" s="324">
        <v>25000</v>
      </c>
      <c r="N1024" s="324">
        <v>50000</v>
      </c>
      <c r="U1024" s="324" t="s">
        <v>1405</v>
      </c>
      <c r="V1024" s="324" t="s">
        <v>591</v>
      </c>
      <c r="X1024" s="324" t="s">
        <v>267</v>
      </c>
      <c r="Y1024" s="324" t="s">
        <v>268</v>
      </c>
    </row>
    <row r="1025" spans="1:28" s="324" customFormat="1" ht="0.65" hidden="1" customHeight="1">
      <c r="A1025" s="324">
        <v>4109</v>
      </c>
      <c r="F1025" s="324">
        <v>1</v>
      </c>
      <c r="G1025" s="324">
        <v>35</v>
      </c>
      <c r="H1025" s="324" t="s">
        <v>592</v>
      </c>
      <c r="I1025" s="324">
        <v>46875</v>
      </c>
      <c r="J1025" s="324">
        <v>46875</v>
      </c>
      <c r="K1025" s="324" t="s">
        <v>1419</v>
      </c>
      <c r="M1025" s="324">
        <v>96875</v>
      </c>
      <c r="N1025" s="324">
        <v>71875</v>
      </c>
      <c r="U1025" s="324" t="s">
        <v>1419</v>
      </c>
      <c r="V1025" s="324" t="s">
        <v>594</v>
      </c>
      <c r="X1025" s="324" t="s">
        <v>269</v>
      </c>
      <c r="Y1025" s="324" t="s">
        <v>282</v>
      </c>
    </row>
    <row r="1026" spans="1:28" s="324" customFormat="1" ht="0.65" hidden="1" customHeight="1">
      <c r="A1026" s="324">
        <v>4110</v>
      </c>
      <c r="F1026" s="324">
        <v>1</v>
      </c>
      <c r="G1026" s="324">
        <v>36</v>
      </c>
      <c r="H1026" s="324" t="s">
        <v>595</v>
      </c>
      <c r="I1026" s="324">
        <v>71875</v>
      </c>
      <c r="J1026" s="324">
        <v>71875</v>
      </c>
      <c r="K1026" s="324" t="s">
        <v>1420</v>
      </c>
      <c r="M1026" s="324">
        <v>46875</v>
      </c>
      <c r="U1026" s="324" t="s">
        <v>1420</v>
      </c>
      <c r="V1026" s="324" t="s">
        <v>597</v>
      </c>
      <c r="X1026" s="324" t="s">
        <v>270</v>
      </c>
    </row>
    <row r="1027" spans="1:28" s="324" customFormat="1" ht="0.65" hidden="1" customHeight="1">
      <c r="A1027" s="324">
        <v>4111</v>
      </c>
      <c r="F1027" s="324">
        <v>1</v>
      </c>
      <c r="G1027" s="324">
        <v>37</v>
      </c>
      <c r="H1027" s="324" t="s">
        <v>598</v>
      </c>
      <c r="I1027" s="324">
        <v>71875</v>
      </c>
      <c r="J1027" s="324">
        <v>71875</v>
      </c>
      <c r="K1027" s="324" t="s">
        <v>1420</v>
      </c>
      <c r="M1027" s="324">
        <v>46875</v>
      </c>
      <c r="U1027" s="324" t="s">
        <v>1420</v>
      </c>
      <c r="V1027" s="324" t="s">
        <v>600</v>
      </c>
      <c r="X1027" s="324" t="s">
        <v>270</v>
      </c>
    </row>
    <row r="1028" spans="1:28" s="324" customFormat="1" ht="0.65" hidden="1" customHeight="1">
      <c r="A1028" s="324">
        <v>4112</v>
      </c>
      <c r="F1028" s="324">
        <v>1</v>
      </c>
      <c r="G1028" s="324">
        <v>38</v>
      </c>
      <c r="H1028" s="324" t="s">
        <v>491</v>
      </c>
      <c r="I1028" s="324">
        <v>114062.5</v>
      </c>
      <c r="J1028" s="324">
        <v>114062.5</v>
      </c>
      <c r="K1028" s="324" t="s">
        <v>1421</v>
      </c>
      <c r="M1028" s="324">
        <v>56250</v>
      </c>
      <c r="N1028" s="324">
        <v>42187.5</v>
      </c>
      <c r="O1028" s="324">
        <v>139062.5</v>
      </c>
      <c r="P1028" s="324">
        <v>162500</v>
      </c>
      <c r="Q1028" s="324">
        <v>31250</v>
      </c>
      <c r="U1028" s="324" t="s">
        <v>1421</v>
      </c>
      <c r="V1028" s="324" t="s">
        <v>602</v>
      </c>
      <c r="X1028" s="324" t="s">
        <v>271</v>
      </c>
      <c r="Y1028" s="324" t="s">
        <v>272</v>
      </c>
      <c r="Z1028" s="324" t="s">
        <v>273</v>
      </c>
      <c r="AA1028" s="324" t="s">
        <v>283</v>
      </c>
      <c r="AB1028" s="324" t="s">
        <v>345</v>
      </c>
    </row>
    <row r="1029" spans="1:28" s="324" customFormat="1" ht="0.65" hidden="1" customHeight="1">
      <c r="A1029" s="324">
        <v>4113</v>
      </c>
      <c r="F1029" s="324">
        <v>1</v>
      </c>
      <c r="G1029" s="324">
        <v>39</v>
      </c>
      <c r="H1029" s="324" t="s">
        <v>493</v>
      </c>
      <c r="I1029" s="324">
        <v>25000</v>
      </c>
      <c r="J1029" s="324">
        <v>25000</v>
      </c>
      <c r="K1029" s="324" t="s">
        <v>1422</v>
      </c>
      <c r="M1029" s="324">
        <v>0</v>
      </c>
      <c r="U1029" s="324" t="s">
        <v>1422</v>
      </c>
      <c r="V1029" s="324" t="s">
        <v>604</v>
      </c>
      <c r="X1029" s="324" t="s">
        <v>289</v>
      </c>
    </row>
    <row r="1030" spans="1:28" s="324" customFormat="1" ht="0.65" hidden="1" customHeight="1">
      <c r="A1030" s="324">
        <v>4114</v>
      </c>
      <c r="F1030" s="324">
        <v>1</v>
      </c>
      <c r="G1030" s="324">
        <v>40</v>
      </c>
      <c r="H1030" s="324" t="s">
        <v>494</v>
      </c>
      <c r="I1030" s="324">
        <v>139062.5</v>
      </c>
      <c r="J1030" s="324">
        <v>139062.5</v>
      </c>
      <c r="K1030" s="324" t="s">
        <v>1423</v>
      </c>
      <c r="M1030" s="324">
        <v>89062.5</v>
      </c>
      <c r="N1030" s="324">
        <v>114062.5</v>
      </c>
      <c r="O1030" s="324">
        <v>25000</v>
      </c>
      <c r="U1030" s="324" t="s">
        <v>1423</v>
      </c>
      <c r="V1030" s="324" t="s">
        <v>606</v>
      </c>
      <c r="X1030" s="324" t="s">
        <v>274</v>
      </c>
      <c r="Y1030" s="324" t="s">
        <v>284</v>
      </c>
      <c r="Z1030" s="324" t="s">
        <v>285</v>
      </c>
    </row>
    <row r="1031" spans="1:28" s="324" customFormat="1" ht="0.65" hidden="1" customHeight="1">
      <c r="A1031" s="324">
        <v>4115</v>
      </c>
      <c r="F1031" s="324">
        <v>1</v>
      </c>
      <c r="G1031" s="324">
        <v>41</v>
      </c>
      <c r="H1031" s="324" t="s">
        <v>607</v>
      </c>
      <c r="I1031" s="324">
        <v>-306250</v>
      </c>
      <c r="J1031" s="324">
        <v>-306250</v>
      </c>
      <c r="K1031" s="324" t="s">
        <v>1424</v>
      </c>
      <c r="M1031" s="324">
        <v>306250</v>
      </c>
      <c r="U1031" s="324" t="s">
        <v>1424</v>
      </c>
      <c r="V1031" s="324" t="s">
        <v>609</v>
      </c>
      <c r="X1031" s="324" t="s">
        <v>275</v>
      </c>
    </row>
    <row r="1032" spans="1:28" s="324" customFormat="1" ht="0.65" hidden="1" customHeight="1">
      <c r="A1032" s="324">
        <v>4116</v>
      </c>
      <c r="F1032" s="324">
        <v>1</v>
      </c>
      <c r="G1032" s="324">
        <v>42</v>
      </c>
      <c r="H1032" s="324" t="s">
        <v>610</v>
      </c>
      <c r="I1032" s="324">
        <v>46875</v>
      </c>
      <c r="J1032" s="324">
        <v>46875</v>
      </c>
      <c r="K1032" s="324" t="s">
        <v>1419</v>
      </c>
      <c r="U1032" s="324" t="s">
        <v>1419</v>
      </c>
      <c r="V1032" s="324" t="s">
        <v>594</v>
      </c>
    </row>
    <row r="1033" spans="1:28" s="324" customFormat="1" ht="0.65" hidden="1" customHeight="1">
      <c r="A1033" s="324">
        <v>4117</v>
      </c>
      <c r="F1033" s="324">
        <v>1</v>
      </c>
      <c r="G1033" s="324">
        <v>43</v>
      </c>
      <c r="H1033" s="324" t="s">
        <v>611</v>
      </c>
      <c r="I1033" s="324">
        <v>71875</v>
      </c>
      <c r="J1033" s="324">
        <v>71875</v>
      </c>
      <c r="K1033" s="324" t="s">
        <v>1420</v>
      </c>
      <c r="U1033" s="324" t="s">
        <v>1420</v>
      </c>
      <c r="V1033" s="324" t="s">
        <v>597</v>
      </c>
    </row>
    <row r="1034" spans="1:28" s="324" customFormat="1" ht="0.65" hidden="1" customHeight="1">
      <c r="A1034" s="324">
        <v>4118</v>
      </c>
      <c r="F1034" s="324">
        <v>1</v>
      </c>
      <c r="G1034" s="324">
        <v>44</v>
      </c>
      <c r="H1034" s="324" t="s">
        <v>612</v>
      </c>
      <c r="I1034" s="324">
        <v>210937.5</v>
      </c>
      <c r="J1034" s="324">
        <v>210937.5</v>
      </c>
      <c r="K1034" s="324" t="s">
        <v>1425</v>
      </c>
      <c r="M1034" s="324">
        <v>71875</v>
      </c>
      <c r="N1034" s="324">
        <v>-67187.5</v>
      </c>
      <c r="U1034" s="324" t="s">
        <v>1425</v>
      </c>
      <c r="V1034" s="324" t="s">
        <v>614</v>
      </c>
      <c r="X1034" s="324" t="s">
        <v>276</v>
      </c>
      <c r="Y1034" s="324" t="s">
        <v>346</v>
      </c>
    </row>
    <row r="1035" spans="1:28" s="324" customFormat="1" ht="0.65" hidden="1" customHeight="1">
      <c r="A1035" s="324">
        <v>4119</v>
      </c>
      <c r="F1035" s="324">
        <v>1</v>
      </c>
      <c r="G1035" s="324">
        <v>45</v>
      </c>
      <c r="H1035" s="324" t="s">
        <v>414</v>
      </c>
      <c r="I1035" s="324">
        <v>0.06</v>
      </c>
      <c r="J1035" s="324">
        <v>0.06</v>
      </c>
      <c r="K1035" s="324" t="s">
        <v>1426</v>
      </c>
      <c r="M1035" s="324">
        <v>0.08</v>
      </c>
      <c r="N1035" s="324">
        <v>400000</v>
      </c>
      <c r="O1035" s="324">
        <v>0.02</v>
      </c>
      <c r="P1035" s="324">
        <v>0.1</v>
      </c>
      <c r="U1035" s="324" t="s">
        <v>1426</v>
      </c>
      <c r="V1035" s="324" t="s">
        <v>616</v>
      </c>
      <c r="X1035" s="324" t="s">
        <v>277</v>
      </c>
      <c r="Y1035" s="324" t="s">
        <v>347</v>
      </c>
      <c r="Z1035" s="324" t="s">
        <v>348</v>
      </c>
      <c r="AA1035" s="324" t="s">
        <v>349</v>
      </c>
    </row>
    <row r="1036" spans="1:28" s="324" customFormat="1" ht="0.65" hidden="1" customHeight="1">
      <c r="A1036" s="324">
        <v>4120</v>
      </c>
      <c r="F1036" s="324">
        <v>1</v>
      </c>
      <c r="G1036" s="324">
        <v>46</v>
      </c>
      <c r="H1036" s="324" t="s">
        <v>415</v>
      </c>
      <c r="I1036" s="324">
        <v>0.11</v>
      </c>
      <c r="J1036" s="324">
        <v>0.11</v>
      </c>
      <c r="K1036" s="324" t="s">
        <v>1427</v>
      </c>
      <c r="M1036" s="324">
        <v>0.1</v>
      </c>
      <c r="N1036" s="324">
        <v>500000</v>
      </c>
      <c r="O1036" s="324">
        <v>9.0000000000000011E-2</v>
      </c>
      <c r="U1036" s="324" t="s">
        <v>1427</v>
      </c>
      <c r="V1036" s="324" t="s">
        <v>618</v>
      </c>
      <c r="X1036" s="324" t="s">
        <v>278</v>
      </c>
      <c r="Y1036" s="324" t="s">
        <v>350</v>
      </c>
      <c r="Z1036" s="324" t="s">
        <v>351</v>
      </c>
    </row>
    <row r="1037" spans="1:28" s="324" customFormat="1" ht="0.65" hidden="1" customHeight="1">
      <c r="A1037" s="324">
        <v>4121</v>
      </c>
      <c r="F1037" s="324">
        <v>1</v>
      </c>
      <c r="G1037" s="324">
        <v>47</v>
      </c>
      <c r="H1037" s="324" t="s">
        <v>416</v>
      </c>
      <c r="I1037" s="324">
        <v>8.4999999999999992E-2</v>
      </c>
      <c r="J1037" s="324">
        <v>8.5000000000000006E-2</v>
      </c>
      <c r="K1037" s="324" t="s">
        <v>1428</v>
      </c>
      <c r="U1037" s="324" t="s">
        <v>1428</v>
      </c>
      <c r="V1037" s="324" t="s">
        <v>620</v>
      </c>
    </row>
    <row r="1038" spans="1:28" s="324" customFormat="1" ht="0.65" hidden="1" customHeight="1">
      <c r="A1038" s="324">
        <v>4122</v>
      </c>
      <c r="F1038" s="324">
        <v>1</v>
      </c>
      <c r="G1038" s="324">
        <v>48</v>
      </c>
      <c r="H1038" s="324" t="s">
        <v>13</v>
      </c>
      <c r="I1038" s="324">
        <v>-36847.959271750646</v>
      </c>
      <c r="J1038" s="324">
        <v>-36847.959271750646</v>
      </c>
      <c r="K1038" s="324" t="s">
        <v>1429</v>
      </c>
      <c r="M1038" s="324">
        <v>-20952.615246142785</v>
      </c>
      <c r="N1038" s="324">
        <v>-51449.225887684646</v>
      </c>
      <c r="O1038" s="324">
        <v>-33961.252785023637</v>
      </c>
      <c r="P1038" s="324">
        <v>269402.04072824935</v>
      </c>
      <c r="Q1038" s="324">
        <v>575652.04072824935</v>
      </c>
      <c r="U1038" s="324" t="s">
        <v>1429</v>
      </c>
      <c r="V1038" s="324" t="s">
        <v>622</v>
      </c>
      <c r="X1038" s="324" t="s">
        <v>286</v>
      </c>
      <c r="Y1038" s="324" t="s">
        <v>287</v>
      </c>
      <c r="Z1038" s="324" t="s">
        <v>288</v>
      </c>
      <c r="AA1038" s="324" t="s">
        <v>352</v>
      </c>
      <c r="AB1038" s="324" t="s">
        <v>353</v>
      </c>
    </row>
    <row r="1039" spans="1:28" s="324" customFormat="1" ht="0.65" hidden="1" customHeight="1">
      <c r="A1039" s="324">
        <v>4123</v>
      </c>
      <c r="F1039" s="324">
        <v>1</v>
      </c>
      <c r="G1039" s="324">
        <v>49</v>
      </c>
      <c r="H1039" s="324" t="s">
        <v>28</v>
      </c>
      <c r="I1039" s="324">
        <v>3.0062994449785885E-2</v>
      </c>
      <c r="J1039" s="324">
        <v>3.0062994449785885E-2</v>
      </c>
      <c r="K1039" s="324" t="s">
        <v>1430</v>
      </c>
      <c r="U1039" s="324" t="s">
        <v>1430</v>
      </c>
      <c r="V1039" s="324" t="s">
        <v>624</v>
      </c>
    </row>
    <row r="1040" spans="1:28" s="324" customFormat="1" ht="0.65" hidden="1" customHeight="1">
      <c r="A1040" s="324">
        <v>4124</v>
      </c>
      <c r="M1040" s="324">
        <v>1</v>
      </c>
      <c r="N1040" s="324">
        <v>2</v>
      </c>
      <c r="O1040" s="324">
        <v>3</v>
      </c>
      <c r="P1040" s="324">
        <v>4</v>
      </c>
      <c r="Q1040" s="324">
        <v>5</v>
      </c>
      <c r="R1040" s="324">
        <v>6</v>
      </c>
      <c r="S1040" s="324">
        <v>7</v>
      </c>
      <c r="T1040" s="324">
        <v>8</v>
      </c>
      <c r="U1040" s="324">
        <v>9</v>
      </c>
      <c r="V1040" s="324">
        <v>10</v>
      </c>
    </row>
    <row r="1041" spans="1:11" s="324" customFormat="1" ht="0.65" hidden="1" customHeight="1">
      <c r="A1041" s="324">
        <v>4125</v>
      </c>
    </row>
    <row r="1042" spans="1:11" s="324" customFormat="1" ht="0.65" hidden="1" customHeight="1">
      <c r="A1042" s="324">
        <v>4126</v>
      </c>
    </row>
    <row r="1043" spans="1:11" s="324" customFormat="1" ht="0.65" hidden="1" customHeight="1">
      <c r="A1043" s="324">
        <v>4127</v>
      </c>
      <c r="K1043" s="324" t="s">
        <v>211</v>
      </c>
    </row>
    <row r="1044" spans="1:11" s="324" customFormat="1" ht="0.65" hidden="1" customHeight="1">
      <c r="A1044" s="324">
        <v>4128</v>
      </c>
    </row>
    <row r="1045" spans="1:11" s="324" customFormat="1" ht="0.65" hidden="1" customHeight="1">
      <c r="A1045" s="324">
        <v>4129</v>
      </c>
    </row>
    <row r="1046" spans="1:11" s="324" customFormat="1" ht="0.65" hidden="1" customHeight="1">
      <c r="A1046" s="324">
        <v>4130</v>
      </c>
    </row>
    <row r="1047" spans="1:11" s="324" customFormat="1" ht="0.65" hidden="1" customHeight="1">
      <c r="A1047" s="324">
        <v>4131</v>
      </c>
    </row>
    <row r="1048" spans="1:11" s="324" customFormat="1" ht="0.65" hidden="1" customHeight="1">
      <c r="A1048" s="324">
        <v>4132</v>
      </c>
    </row>
    <row r="1049" spans="1:11" s="324" customFormat="1" ht="0.65" hidden="1" customHeight="1">
      <c r="A1049" s="324">
        <v>4133</v>
      </c>
    </row>
    <row r="1050" spans="1:11" s="324" customFormat="1" ht="0.65" hidden="1" customHeight="1">
      <c r="A1050" s="324">
        <v>4134</v>
      </c>
    </row>
    <row r="1051" spans="1:11" s="324" customFormat="1" ht="0.65" hidden="1" customHeight="1">
      <c r="A1051" s="324">
        <v>4135</v>
      </c>
    </row>
    <row r="1052" spans="1:11" s="324" customFormat="1" ht="0.65" hidden="1" customHeight="1">
      <c r="A1052" s="324">
        <v>4136</v>
      </c>
    </row>
    <row r="1053" spans="1:11" s="324" customFormat="1" ht="0.65" hidden="1" customHeight="1">
      <c r="A1053" s="324">
        <v>4137</v>
      </c>
    </row>
    <row r="1054" spans="1:11" s="324" customFormat="1" ht="0.65" hidden="1" customHeight="1">
      <c r="A1054" s="324">
        <v>4138</v>
      </c>
    </row>
    <row r="1055" spans="1:11" s="324" customFormat="1" ht="0.65" hidden="1" customHeight="1">
      <c r="A1055" s="324">
        <v>4139</v>
      </c>
    </row>
    <row r="1056" spans="1:11" s="324" customFormat="1" ht="0.65" hidden="1" customHeight="1">
      <c r="A1056" s="324">
        <v>4140</v>
      </c>
    </row>
    <row r="1057" spans="1:32" s="324" customFormat="1" ht="0.65" hidden="1" customHeight="1">
      <c r="A1057" s="324">
        <v>4141</v>
      </c>
    </row>
    <row r="1058" spans="1:32" s="324" customFormat="1" ht="0.65" hidden="1" customHeight="1">
      <c r="A1058" s="324">
        <v>4142</v>
      </c>
    </row>
    <row r="1059" spans="1:32" s="324" customFormat="1" ht="0.65" hidden="1" customHeight="1">
      <c r="A1059" s="324">
        <v>4143</v>
      </c>
    </row>
    <row r="1060" spans="1:32" s="324" customFormat="1" ht="0.65" hidden="1" customHeight="1">
      <c r="A1060" s="324">
        <v>4144</v>
      </c>
      <c r="U1060" s="324" t="s">
        <v>1431</v>
      </c>
    </row>
    <row r="1061" spans="1:32" s="324" customFormat="1" ht="0.65" hidden="1" customHeight="1">
      <c r="A1061" s="324">
        <v>4145</v>
      </c>
      <c r="G1061" s="324" t="s">
        <v>0</v>
      </c>
      <c r="H1061" s="324" t="s">
        <v>69</v>
      </c>
      <c r="I1061" s="324" t="s">
        <v>70</v>
      </c>
      <c r="J1061" s="324" t="s">
        <v>71</v>
      </c>
      <c r="K1061" s="324" t="s">
        <v>72</v>
      </c>
      <c r="L1061" s="324" t="s">
        <v>73</v>
      </c>
      <c r="M1061" s="324" t="s">
        <v>74</v>
      </c>
      <c r="N1061" s="324" t="s">
        <v>75</v>
      </c>
      <c r="O1061" s="324" t="s">
        <v>80</v>
      </c>
      <c r="P1061" s="324" t="s">
        <v>1</v>
      </c>
      <c r="V1061" s="324" t="s">
        <v>182</v>
      </c>
      <c r="W1061" s="324" t="s">
        <v>183</v>
      </c>
      <c r="X1061" s="324" t="s">
        <v>184</v>
      </c>
      <c r="Y1061" s="324" t="s">
        <v>185</v>
      </c>
    </row>
    <row r="1062" spans="1:32" s="324" customFormat="1" ht="0.65" hidden="1" customHeight="1">
      <c r="A1062" s="324">
        <v>4146</v>
      </c>
      <c r="G1062" s="324">
        <v>2022</v>
      </c>
      <c r="H1062" s="324">
        <v>0</v>
      </c>
      <c r="I1062" s="324">
        <v>0</v>
      </c>
      <c r="J1062" s="324">
        <v>0</v>
      </c>
      <c r="K1062" s="324">
        <v>0</v>
      </c>
      <c r="L1062" s="324">
        <v>0</v>
      </c>
      <c r="M1062" s="324">
        <v>0</v>
      </c>
      <c r="N1062" s="324">
        <v>0</v>
      </c>
      <c r="O1062" s="324">
        <v>0</v>
      </c>
      <c r="P1062" s="324">
        <v>-306250</v>
      </c>
      <c r="T1062" s="324">
        <v>1</v>
      </c>
      <c r="U1062" s="324" t="s">
        <v>153</v>
      </c>
      <c r="V1062" s="324" t="s">
        <v>178</v>
      </c>
      <c r="W1062" s="324">
        <v>-37703.367922213103</v>
      </c>
      <c r="X1062" s="324">
        <v>-855.40865046245744</v>
      </c>
      <c r="Y1062" s="324">
        <v>-855.40865046249019</v>
      </c>
      <c r="AA1062" s="324" t="s">
        <v>188</v>
      </c>
      <c r="AB1062" s="324" t="s">
        <v>1432</v>
      </c>
      <c r="AD1062" s="324">
        <v>-306250</v>
      </c>
      <c r="AE1062" s="324">
        <v>-36847.959271750646</v>
      </c>
      <c r="AF1062" s="324">
        <v>-306250</v>
      </c>
    </row>
    <row r="1063" spans="1:32" s="324" customFormat="1" ht="0.65" hidden="1" customHeight="1">
      <c r="A1063" s="324">
        <v>4147</v>
      </c>
      <c r="G1063" s="324">
        <v>2023</v>
      </c>
      <c r="H1063" s="324">
        <v>600000</v>
      </c>
      <c r="I1063" s="324">
        <v>500000</v>
      </c>
      <c r="J1063" s="324">
        <v>-12500</v>
      </c>
      <c r="K1063" s="324">
        <v>112500</v>
      </c>
      <c r="L1063" s="324">
        <v>28125</v>
      </c>
      <c r="M1063" s="324">
        <v>84375</v>
      </c>
      <c r="N1063" s="324">
        <v>71875</v>
      </c>
      <c r="O1063" s="324">
        <v>46875</v>
      </c>
      <c r="P1063" s="324">
        <v>46875</v>
      </c>
      <c r="T1063" s="324">
        <v>2</v>
      </c>
      <c r="U1063" s="324" t="s">
        <v>154</v>
      </c>
      <c r="V1063" s="324" t="s">
        <v>178</v>
      </c>
      <c r="W1063" s="324">
        <v>-76804.985446227714</v>
      </c>
      <c r="X1063" s="324">
        <v>-39957.026174477069</v>
      </c>
      <c r="Y1063" s="324">
        <v>-39957.026174477141</v>
      </c>
      <c r="AA1063" s="324" t="s">
        <v>197</v>
      </c>
      <c r="AB1063" s="324" t="s">
        <v>1433</v>
      </c>
      <c r="AD1063" s="324">
        <v>46875</v>
      </c>
      <c r="AF1063" s="324">
        <v>46875</v>
      </c>
    </row>
    <row r="1064" spans="1:32" s="324" customFormat="1" ht="0.65" hidden="1" customHeight="1">
      <c r="A1064" s="324">
        <v>4148</v>
      </c>
      <c r="G1064" s="324">
        <v>2024</v>
      </c>
      <c r="H1064" s="324">
        <v>600000</v>
      </c>
      <c r="I1064" s="324">
        <v>500000</v>
      </c>
      <c r="J1064" s="324">
        <v>-12500</v>
      </c>
      <c r="K1064" s="324">
        <v>112500</v>
      </c>
      <c r="L1064" s="324">
        <v>28125</v>
      </c>
      <c r="M1064" s="324">
        <v>84375</v>
      </c>
      <c r="N1064" s="324">
        <v>71875</v>
      </c>
      <c r="O1064" s="324">
        <v>71875</v>
      </c>
      <c r="P1064" s="324">
        <v>71875</v>
      </c>
      <c r="T1064" s="324">
        <v>3</v>
      </c>
      <c r="U1064" s="324" t="s">
        <v>155</v>
      </c>
      <c r="V1064" s="324" t="s">
        <v>178</v>
      </c>
      <c r="W1064" s="324">
        <v>-42719.770009981061</v>
      </c>
      <c r="X1064" s="324">
        <v>-5871.8107382304152</v>
      </c>
      <c r="Y1064" s="324">
        <v>-5871.8107382304688</v>
      </c>
      <c r="AA1064" s="324" t="s">
        <v>191</v>
      </c>
      <c r="AB1064" s="324" t="s">
        <v>1434</v>
      </c>
      <c r="AD1064" s="324">
        <v>71875</v>
      </c>
      <c r="AF1064" s="324">
        <v>71875</v>
      </c>
    </row>
    <row r="1065" spans="1:32" s="324" customFormat="1" ht="0.65" hidden="1" customHeight="1">
      <c r="A1065" s="324">
        <v>4149</v>
      </c>
      <c r="G1065" s="324">
        <v>2025</v>
      </c>
      <c r="H1065" s="324">
        <v>600000</v>
      </c>
      <c r="I1065" s="324">
        <v>500000</v>
      </c>
      <c r="J1065" s="324">
        <v>-12500</v>
      </c>
      <c r="K1065" s="324">
        <v>112500</v>
      </c>
      <c r="L1065" s="324">
        <v>28125</v>
      </c>
      <c r="M1065" s="324">
        <v>84375</v>
      </c>
      <c r="N1065" s="324">
        <v>71875</v>
      </c>
      <c r="O1065" s="324">
        <v>71875</v>
      </c>
      <c r="P1065" s="324">
        <v>210937.5</v>
      </c>
      <c r="T1065" s="324">
        <v>4</v>
      </c>
      <c r="U1065" s="324" t="s">
        <v>156</v>
      </c>
      <c r="V1065" s="324" t="s">
        <v>179</v>
      </c>
      <c r="W1065" s="324">
        <v>-23722.959271750646</v>
      </c>
      <c r="X1065" s="324">
        <v>13125</v>
      </c>
      <c r="Y1065" s="324">
        <v>13125.000000000022</v>
      </c>
      <c r="AA1065" s="324" t="s">
        <v>198</v>
      </c>
      <c r="AB1065" s="324" t="s">
        <v>1435</v>
      </c>
      <c r="AD1065" s="324">
        <v>210937.5</v>
      </c>
      <c r="AF1065" s="324">
        <v>210937.5</v>
      </c>
    </row>
    <row r="1066" spans="1:32" s="324" customFormat="1" ht="0.65" hidden="1" customHeight="1">
      <c r="A1066" s="324">
        <v>4150</v>
      </c>
      <c r="T1066" s="324">
        <v>5</v>
      </c>
      <c r="U1066" s="324" t="s">
        <v>157</v>
      </c>
      <c r="V1066" s="324" t="s">
        <v>178</v>
      </c>
      <c r="W1066" s="324">
        <v>-37917.220084828732</v>
      </c>
      <c r="X1066" s="324">
        <v>-1069.2608130780864</v>
      </c>
      <c r="Y1066" s="324">
        <v>-1069.2608130781045</v>
      </c>
      <c r="AA1066" s="324" t="s">
        <v>192</v>
      </c>
      <c r="AB1066" s="324" t="s">
        <v>1436</v>
      </c>
      <c r="AD1066" s="324">
        <v>8.5000000000000006E-2</v>
      </c>
      <c r="AF1066" s="324">
        <v>8.5000000000000006E-2</v>
      </c>
    </row>
    <row r="1067" spans="1:32" s="324" customFormat="1" ht="0.65" hidden="1" customHeight="1">
      <c r="A1067" s="324">
        <v>4151</v>
      </c>
      <c r="G1067" s="324" t="s">
        <v>0</v>
      </c>
      <c r="H1067" s="324" t="s">
        <v>76</v>
      </c>
      <c r="I1067" s="324" t="s">
        <v>77</v>
      </c>
      <c r="J1067" s="324" t="s">
        <v>78</v>
      </c>
      <c r="K1067" s="324" t="s">
        <v>79</v>
      </c>
      <c r="T1067" s="324">
        <v>6</v>
      </c>
      <c r="U1067" s="324" t="s">
        <v>158</v>
      </c>
      <c r="V1067" s="324" t="s">
        <v>179</v>
      </c>
      <c r="W1067" s="324">
        <v>-35811.913130866073</v>
      </c>
      <c r="X1067" s="324">
        <v>1036.0461408845731</v>
      </c>
      <c r="Y1067" s="324">
        <v>1036.0461408845083</v>
      </c>
      <c r="AA1067" s="324" t="s">
        <v>193</v>
      </c>
      <c r="AB1067" s="324" t="s">
        <v>1437</v>
      </c>
      <c r="AD1067" s="324">
        <v>-36847.959271750646</v>
      </c>
      <c r="AF1067" s="324">
        <v>-36847.959271750646</v>
      </c>
    </row>
    <row r="1068" spans="1:32" s="324" customFormat="1" ht="0.65" hidden="1" customHeight="1">
      <c r="A1068" s="324">
        <v>4152</v>
      </c>
      <c r="G1068" s="324">
        <v>2022</v>
      </c>
      <c r="H1068" s="324">
        <v>0</v>
      </c>
      <c r="I1068" s="324">
        <v>0</v>
      </c>
      <c r="J1068" s="324">
        <v>0</v>
      </c>
      <c r="K1068" s="324">
        <v>0</v>
      </c>
      <c r="M1068" s="324" t="s">
        <v>490</v>
      </c>
      <c r="N1068" s="324">
        <v>306250</v>
      </c>
      <c r="O1068" s="324" t="s">
        <v>124</v>
      </c>
      <c r="P1068" s="324">
        <v>0.06</v>
      </c>
      <c r="T1068" s="324">
        <v>7</v>
      </c>
      <c r="U1068" s="324" t="s">
        <v>159</v>
      </c>
      <c r="V1068" s="324" t="s">
        <v>178</v>
      </c>
      <c r="W1068" s="324">
        <v>-49972.959271750646</v>
      </c>
      <c r="X1068" s="324">
        <v>-13125</v>
      </c>
      <c r="Y1068" s="324">
        <v>-13125</v>
      </c>
      <c r="AA1068" s="324" t="s">
        <v>194</v>
      </c>
      <c r="AB1068" s="324" t="s">
        <v>1438</v>
      </c>
      <c r="AF1068" s="324">
        <v>-36847.959271750646</v>
      </c>
    </row>
    <row r="1069" spans="1:32" s="324" customFormat="1" ht="0.65" hidden="1" customHeight="1">
      <c r="A1069" s="324">
        <v>4153</v>
      </c>
      <c r="G1069" s="324">
        <v>2023</v>
      </c>
      <c r="H1069" s="324">
        <v>150000</v>
      </c>
      <c r="I1069" s="324">
        <v>125000</v>
      </c>
      <c r="J1069" s="324">
        <v>25000</v>
      </c>
      <c r="K1069" s="324">
        <v>25000</v>
      </c>
      <c r="M1069" s="324" t="s">
        <v>491</v>
      </c>
      <c r="N1069" s="324">
        <v>114062.5</v>
      </c>
      <c r="O1069" s="324" t="s">
        <v>125</v>
      </c>
      <c r="P1069" s="324">
        <v>0.11</v>
      </c>
      <c r="T1069" s="324">
        <v>8</v>
      </c>
      <c r="U1069" s="324" t="s">
        <v>160</v>
      </c>
      <c r="V1069" s="324" t="s">
        <v>178</v>
      </c>
      <c r="W1069" s="324">
        <v>-39416.876469726441</v>
      </c>
      <c r="X1069" s="324">
        <v>-2568.9171979757957</v>
      </c>
      <c r="Y1069" s="324">
        <v>-2568.9171979758344</v>
      </c>
      <c r="AA1069" s="324" t="s">
        <v>195</v>
      </c>
      <c r="AB1069" s="324" t="s">
        <v>1439</v>
      </c>
    </row>
    <row r="1070" spans="1:32" s="324" customFormat="1" ht="0.65" hidden="1" customHeight="1">
      <c r="A1070" s="324">
        <v>4154</v>
      </c>
      <c r="G1070" s="324">
        <v>2024</v>
      </c>
      <c r="H1070" s="324">
        <v>150000</v>
      </c>
      <c r="I1070" s="324">
        <v>125000</v>
      </c>
      <c r="J1070" s="324">
        <v>25000</v>
      </c>
      <c r="K1070" s="324">
        <v>0</v>
      </c>
      <c r="M1070" s="324" t="s">
        <v>493</v>
      </c>
      <c r="N1070" s="324">
        <v>25000</v>
      </c>
      <c r="O1070" s="324" t="s">
        <v>126</v>
      </c>
      <c r="P1070" s="324">
        <v>8.4999999999999992E-2</v>
      </c>
      <c r="T1070" s="324">
        <v>9</v>
      </c>
      <c r="U1070" s="324" t="s">
        <v>161</v>
      </c>
      <c r="V1070" s="324" t="s">
        <v>179</v>
      </c>
      <c r="W1070" s="324">
        <v>76001.784125226957</v>
      </c>
      <c r="X1070" s="324">
        <v>112849.7433969776</v>
      </c>
      <c r="Y1070" s="324">
        <v>112849.74339697754</v>
      </c>
      <c r="AA1070" s="324" t="s">
        <v>199</v>
      </c>
      <c r="AB1070" s="324" t="s">
        <v>1440</v>
      </c>
      <c r="AD1070" s="324">
        <v>-306250</v>
      </c>
    </row>
    <row r="1071" spans="1:32" s="324" customFormat="1" ht="0.65" hidden="1" customHeight="1">
      <c r="A1071" s="324">
        <v>4155</v>
      </c>
      <c r="G1071" s="324">
        <v>2025</v>
      </c>
      <c r="H1071" s="324">
        <v>150000</v>
      </c>
      <c r="I1071" s="324">
        <v>125000</v>
      </c>
      <c r="J1071" s="324">
        <v>25000</v>
      </c>
      <c r="K1071" s="324">
        <v>0</v>
      </c>
      <c r="M1071" s="324" t="s">
        <v>494</v>
      </c>
      <c r="N1071" s="324">
        <v>139062.5</v>
      </c>
      <c r="T1071" s="324">
        <v>10</v>
      </c>
      <c r="U1071" s="324" t="s">
        <v>162</v>
      </c>
      <c r="V1071" s="324" t="s">
        <v>178</v>
      </c>
      <c r="W1071" s="324">
        <v>-43785.503658969945</v>
      </c>
      <c r="X1071" s="324">
        <v>-6937.5443872192991</v>
      </c>
      <c r="Y1071" s="324">
        <v>-6937.5443872193064</v>
      </c>
      <c r="AA1071" s="324" t="s">
        <v>200</v>
      </c>
      <c r="AB1071" s="324" t="s">
        <v>1441</v>
      </c>
      <c r="AD1071" s="324">
        <v>46875</v>
      </c>
    </row>
    <row r="1072" spans="1:32" s="324" customFormat="1" ht="0.65" hidden="1" customHeight="1">
      <c r="A1072" s="324">
        <v>4156</v>
      </c>
      <c r="T1072" s="324">
        <v>11</v>
      </c>
      <c r="U1072" s="324" t="s">
        <v>163</v>
      </c>
      <c r="V1072" s="324" t="s">
        <v>179</v>
      </c>
      <c r="W1072" s="324">
        <v>57193.493559063994</v>
      </c>
      <c r="X1072" s="324">
        <v>94041.45283081464</v>
      </c>
      <c r="Y1072" s="324">
        <v>94041.452830814625</v>
      </c>
      <c r="AA1072" s="324" t="s">
        <v>201</v>
      </c>
      <c r="AB1072" s="324" t="s">
        <v>1442</v>
      </c>
      <c r="AD1072" s="324">
        <v>71875</v>
      </c>
    </row>
    <row r="1073" spans="1:36" s="324" customFormat="1" ht="0.65" hidden="1" customHeight="1">
      <c r="A1073" s="324">
        <v>4157</v>
      </c>
      <c r="O1073" s="324" t="s">
        <v>13</v>
      </c>
      <c r="P1073" s="324">
        <v>-36847.959271750646</v>
      </c>
      <c r="T1073" s="324">
        <v>12</v>
      </c>
      <c r="U1073" s="324" t="s">
        <v>164</v>
      </c>
      <c r="V1073" s="324" t="s">
        <v>178</v>
      </c>
      <c r="W1073" s="324">
        <v>-42629.246261099994</v>
      </c>
      <c r="X1073" s="324">
        <v>-5781.286989349348</v>
      </c>
      <c r="Y1073" s="324">
        <v>-5781.2869893494135</v>
      </c>
      <c r="AA1073" s="324" t="s">
        <v>196</v>
      </c>
      <c r="AB1073" s="324" t="s">
        <v>1406</v>
      </c>
      <c r="AD1073" s="324">
        <v>71875</v>
      </c>
    </row>
    <row r="1074" spans="1:36" s="324" customFormat="1" ht="0.65" hidden="1" customHeight="1">
      <c r="A1074" s="324">
        <v>4158</v>
      </c>
      <c r="O1074" s="324" t="s">
        <v>28</v>
      </c>
      <c r="P1074" s="324">
        <v>3.0062994449785885E-2</v>
      </c>
      <c r="T1074" s="324">
        <v>13</v>
      </c>
      <c r="U1074" s="324" t="s">
        <v>165</v>
      </c>
      <c r="V1074" s="324" t="s">
        <v>178</v>
      </c>
      <c r="W1074" s="324">
        <v>-38665.641661988979</v>
      </c>
      <c r="X1074" s="324">
        <v>-1817.682390238333</v>
      </c>
      <c r="Y1074" s="324">
        <v>-1817.6823902383173</v>
      </c>
      <c r="Z1074" s="324">
        <v>8.7999999999999995E-2</v>
      </c>
      <c r="AA1074" s="324" t="s">
        <v>202</v>
      </c>
      <c r="AB1074" s="324" t="s">
        <v>1443</v>
      </c>
      <c r="AD1074" s="324">
        <v>214062.5</v>
      </c>
    </row>
    <row r="1075" spans="1:36" s="324" customFormat="1" ht="0.65" hidden="1" customHeight="1">
      <c r="A1075" s="324">
        <v>4159</v>
      </c>
      <c r="O1075" s="324" t="s">
        <v>29</v>
      </c>
      <c r="P1075" s="324">
        <v>-0.12031986700979802</v>
      </c>
      <c r="T1075" s="324">
        <v>14</v>
      </c>
      <c r="U1075" s="324" t="s">
        <v>166</v>
      </c>
      <c r="V1075" s="324" t="s">
        <v>179</v>
      </c>
      <c r="W1075" s="324">
        <v>-33777.006172839552</v>
      </c>
      <c r="X1075" s="324">
        <v>3070.9530989110935</v>
      </c>
      <c r="Y1075" s="324">
        <v>3070.9530989110976</v>
      </c>
      <c r="Z1075" s="324">
        <v>0.08</v>
      </c>
      <c r="AA1075" s="324" t="s">
        <v>189</v>
      </c>
      <c r="AB1075" s="324" t="s">
        <v>1444</v>
      </c>
      <c r="AD1075" s="324">
        <v>8.5000000000000006E-2</v>
      </c>
    </row>
    <row r="1076" spans="1:36" s="324" customFormat="1" ht="0.65" hidden="1" customHeight="1">
      <c r="A1076" s="324">
        <v>4160</v>
      </c>
      <c r="O1076" s="324" t="s">
        <v>30</v>
      </c>
      <c r="P1076" s="324">
        <v>3</v>
      </c>
      <c r="T1076" s="324">
        <v>15</v>
      </c>
      <c r="U1076" s="324" t="s">
        <v>167</v>
      </c>
      <c r="V1076" s="324" t="s">
        <v>178</v>
      </c>
      <c r="W1076" s="324">
        <v>-39867.210502622009</v>
      </c>
      <c r="X1076" s="324">
        <v>-3019.2512308713631</v>
      </c>
      <c r="Y1076" s="324">
        <v>-3019.2512308713408</v>
      </c>
      <c r="Z1076" s="324">
        <v>0.09</v>
      </c>
      <c r="AA1076" s="324" t="s">
        <v>190</v>
      </c>
      <c r="AB1076" s="324" t="s">
        <v>1445</v>
      </c>
      <c r="AD1076" s="324">
        <v>8740.8785163348075</v>
      </c>
    </row>
    <row r="1077" spans="1:36" s="324" customFormat="1" ht="0.65" hidden="1" customHeight="1">
      <c r="A1077" s="324">
        <v>4161</v>
      </c>
      <c r="T1077" s="324">
        <v>16</v>
      </c>
      <c r="U1077" s="324" t="s">
        <v>168</v>
      </c>
      <c r="V1077" s="324" t="s">
        <v>181</v>
      </c>
      <c r="W1077" s="324">
        <v>-34659.763750390674</v>
      </c>
      <c r="X1077" s="324">
        <v>2188.1955213599722</v>
      </c>
      <c r="Y1077" s="324">
        <v>2188.1955213599549</v>
      </c>
      <c r="Z1077" s="324">
        <v>8.1428571428571433E-2</v>
      </c>
      <c r="AA1077" s="324" t="s">
        <v>427</v>
      </c>
      <c r="AB1077" s="324" t="s">
        <v>1446</v>
      </c>
      <c r="AD1077" s="324">
        <v>8740.8785163348075</v>
      </c>
    </row>
    <row r="1078" spans="1:36" s="324" customFormat="1" ht="0.65" hidden="1" customHeight="1">
      <c r="A1078" s="324">
        <v>4162</v>
      </c>
      <c r="P1078" s="324">
        <v>1</v>
      </c>
      <c r="T1078" s="324">
        <v>17</v>
      </c>
      <c r="U1078" s="324" t="s">
        <v>169</v>
      </c>
      <c r="V1078" s="324" t="s">
        <v>178</v>
      </c>
      <c r="W1078" s="324">
        <v>-44301.595683677355</v>
      </c>
      <c r="X1078" s="324">
        <v>-7453.6364119267091</v>
      </c>
      <c r="Y1078" s="324">
        <v>-7453.6364119266791</v>
      </c>
      <c r="Z1078" s="324">
        <v>9.7500000000000003E-2</v>
      </c>
      <c r="AA1078" s="324" t="s">
        <v>425</v>
      </c>
      <c r="AB1078" s="324" t="s">
        <v>1447</v>
      </c>
    </row>
    <row r="1079" spans="1:36" s="324" customFormat="1" ht="0.65" hidden="1" customHeight="1">
      <c r="A1079" s="324">
        <v>4163</v>
      </c>
      <c r="H1079" s="324">
        <v>1</v>
      </c>
      <c r="I1079" s="324">
        <v>1</v>
      </c>
      <c r="J1079" s="324">
        <v>1</v>
      </c>
      <c r="K1079" s="324">
        <v>1</v>
      </c>
      <c r="L1079" s="324">
        <v>1</v>
      </c>
      <c r="M1079" s="324">
        <v>1</v>
      </c>
      <c r="N1079" s="324">
        <v>1</v>
      </c>
      <c r="O1079" s="324">
        <v>1</v>
      </c>
      <c r="P1079" s="324">
        <v>1</v>
      </c>
      <c r="T1079" s="324">
        <v>18</v>
      </c>
      <c r="U1079" s="324" t="s">
        <v>170</v>
      </c>
      <c r="V1079" s="324" t="s">
        <v>181</v>
      </c>
      <c r="W1079" s="324">
        <v>-37191.284269529977</v>
      </c>
      <c r="X1079" s="324">
        <v>-343.32499777933117</v>
      </c>
      <c r="Y1079" s="324">
        <v>-343.32499777934481</v>
      </c>
      <c r="Z1079" s="324">
        <v>8.3000000000000004E-2</v>
      </c>
      <c r="AA1079" s="324" t="s">
        <v>203</v>
      </c>
      <c r="AB1079" s="324" t="s">
        <v>1448</v>
      </c>
    </row>
    <row r="1080" spans="1:36" s="324" customFormat="1" ht="0.65" hidden="1" customHeight="1">
      <c r="A1080" s="324">
        <v>4164</v>
      </c>
      <c r="H1080" s="324">
        <v>1</v>
      </c>
      <c r="I1080" s="324">
        <v>1</v>
      </c>
      <c r="J1080" s="324">
        <v>1</v>
      </c>
      <c r="K1080" s="324">
        <v>1</v>
      </c>
      <c r="L1080" s="324">
        <v>1</v>
      </c>
      <c r="M1080" s="324">
        <v>1</v>
      </c>
      <c r="N1080" s="324">
        <v>1</v>
      </c>
      <c r="O1080" s="324">
        <v>1</v>
      </c>
      <c r="P1080" s="324">
        <v>1</v>
      </c>
      <c r="T1080" s="324">
        <v>19</v>
      </c>
      <c r="U1080" s="324" t="s">
        <v>171</v>
      </c>
      <c r="V1080" s="324" t="s">
        <v>181</v>
      </c>
      <c r="W1080" s="324">
        <v>8740.8785163348075</v>
      </c>
      <c r="X1080" s="324">
        <v>45588.837788085453</v>
      </c>
      <c r="Y1080" s="324">
        <v>45588.837788085482</v>
      </c>
      <c r="AA1080" s="324" t="s">
        <v>426</v>
      </c>
      <c r="AB1080" s="324" t="s">
        <v>1449</v>
      </c>
    </row>
    <row r="1081" spans="1:36" s="324" customFormat="1" ht="0.65" hidden="1" customHeight="1">
      <c r="A1081" s="324">
        <v>4165</v>
      </c>
      <c r="H1081" s="324">
        <v>1</v>
      </c>
      <c r="I1081" s="324">
        <v>1</v>
      </c>
      <c r="J1081" s="324">
        <v>1</v>
      </c>
      <c r="K1081" s="324">
        <v>1</v>
      </c>
      <c r="L1081" s="324">
        <v>1</v>
      </c>
      <c r="M1081" s="324">
        <v>1</v>
      </c>
      <c r="N1081" s="324">
        <v>1</v>
      </c>
      <c r="O1081" s="324">
        <v>1</v>
      </c>
      <c r="P1081" s="324">
        <v>1</v>
      </c>
    </row>
    <row r="1082" spans="1:36" s="324" customFormat="1" ht="0.65" hidden="1" customHeight="1">
      <c r="A1082" s="324">
        <v>4166</v>
      </c>
    </row>
    <row r="1083" spans="1:36" s="324" customFormat="1" ht="0.65" hidden="1" customHeight="1">
      <c r="A1083" s="324">
        <v>4167</v>
      </c>
      <c r="X1083" s="324" t="s">
        <v>186</v>
      </c>
      <c r="Y1083" s="324">
        <v>2.9103830456733704E-10</v>
      </c>
    </row>
    <row r="1084" spans="1:36" s="324" customFormat="1" ht="0.65" hidden="1" customHeight="1">
      <c r="A1084" s="324">
        <v>4168</v>
      </c>
      <c r="N1084" s="324">
        <v>1</v>
      </c>
      <c r="P1084" s="324">
        <v>1</v>
      </c>
    </row>
    <row r="1085" spans="1:36" s="324" customFormat="1" ht="0.65" hidden="1" customHeight="1">
      <c r="A1085" s="324">
        <v>4169</v>
      </c>
      <c r="H1085" s="324">
        <v>1</v>
      </c>
      <c r="I1085" s="324">
        <v>1</v>
      </c>
      <c r="J1085" s="324">
        <v>1</v>
      </c>
      <c r="K1085" s="324">
        <v>1</v>
      </c>
      <c r="N1085" s="324">
        <v>1</v>
      </c>
      <c r="P1085" s="324">
        <v>1</v>
      </c>
    </row>
    <row r="1086" spans="1:36" s="324" customFormat="1" ht="0.65" hidden="1" customHeight="1">
      <c r="A1086" s="324">
        <v>4170</v>
      </c>
      <c r="H1086" s="324">
        <v>1</v>
      </c>
      <c r="I1086" s="324">
        <v>1</v>
      </c>
      <c r="J1086" s="324">
        <v>1</v>
      </c>
      <c r="K1086" s="324">
        <v>1</v>
      </c>
      <c r="N1086" s="324">
        <v>1</v>
      </c>
      <c r="P1086" s="324">
        <v>1</v>
      </c>
    </row>
    <row r="1087" spans="1:36" s="324" customFormat="1" ht="0.65" hidden="1" customHeight="1">
      <c r="A1087" s="324">
        <v>4171</v>
      </c>
      <c r="H1087" s="324">
        <v>1</v>
      </c>
      <c r="I1087" s="324">
        <v>1</v>
      </c>
      <c r="J1087" s="324">
        <v>1</v>
      </c>
      <c r="K1087" s="324">
        <v>1</v>
      </c>
      <c r="N1087" s="324">
        <v>1</v>
      </c>
    </row>
    <row r="1088" spans="1:36" s="324" customFormat="1" ht="0.65" hidden="1" customHeight="1">
      <c r="A1088" s="324">
        <v>4172</v>
      </c>
      <c r="AI1088" s="324">
        <v>1E-4</v>
      </c>
      <c r="AJ1088" s="324" t="s">
        <v>244</v>
      </c>
    </row>
    <row r="1089" spans="1:39" s="324" customFormat="1" ht="0.65" hidden="1" customHeight="1">
      <c r="A1089" s="324">
        <v>4173</v>
      </c>
      <c r="P1089" s="324">
        <v>1</v>
      </c>
      <c r="AC1089" s="324" t="s">
        <v>463</v>
      </c>
      <c r="AD1089" s="324" t="s">
        <v>208</v>
      </c>
      <c r="AG1089" s="324" t="s">
        <v>210</v>
      </c>
      <c r="AH1089" s="324" t="s">
        <v>209</v>
      </c>
      <c r="AI1089" s="324" t="s">
        <v>206</v>
      </c>
      <c r="AJ1089" s="324" t="s">
        <v>245</v>
      </c>
      <c r="AK1089" s="324" t="s">
        <v>206</v>
      </c>
      <c r="AL1089" s="324" t="s">
        <v>205</v>
      </c>
    </row>
    <row r="1090" spans="1:39" s="324" customFormat="1" ht="0.65" hidden="1" customHeight="1">
      <c r="A1090" s="324">
        <v>4174</v>
      </c>
      <c r="P1090" s="324">
        <v>1</v>
      </c>
      <c r="AA1090" s="324">
        <v>1</v>
      </c>
      <c r="AB1090" s="324" t="s">
        <v>645</v>
      </c>
      <c r="AC1090" s="324" t="s">
        <v>55</v>
      </c>
      <c r="AD1090" s="324" t="s">
        <v>55</v>
      </c>
      <c r="AE1090" s="324">
        <v>0</v>
      </c>
      <c r="AF1090" s="324" t="s">
        <v>490</v>
      </c>
      <c r="AG1090" s="324">
        <v>306250</v>
      </c>
      <c r="AH1090" s="324">
        <v>306250</v>
      </c>
      <c r="AI1090" s="324" t="s">
        <v>55</v>
      </c>
      <c r="AJ1090" s="324">
        <v>306250</v>
      </c>
      <c r="AK1090" s="324" t="s">
        <v>55</v>
      </c>
      <c r="AL1090" s="324" t="s">
        <v>55</v>
      </c>
      <c r="AM1090" s="324" t="s">
        <v>55</v>
      </c>
    </row>
    <row r="1091" spans="1:39" s="324" customFormat="1" ht="0.65" hidden="1" customHeight="1">
      <c r="A1091" s="324">
        <v>4175</v>
      </c>
      <c r="AA1091" s="324">
        <v>2</v>
      </c>
      <c r="AB1091" s="324" t="s">
        <v>645</v>
      </c>
      <c r="AC1091" s="324" t="s">
        <v>55</v>
      </c>
      <c r="AD1091" s="324" t="s">
        <v>55</v>
      </c>
      <c r="AE1091" s="324">
        <v>0</v>
      </c>
      <c r="AF1091" s="324" t="s">
        <v>510</v>
      </c>
      <c r="AG1091" s="324">
        <v>600000</v>
      </c>
      <c r="AH1091" s="324">
        <v>600000</v>
      </c>
      <c r="AI1091" s="324" t="s">
        <v>55</v>
      </c>
      <c r="AJ1091" s="324">
        <v>600000</v>
      </c>
      <c r="AK1091" s="324" t="s">
        <v>55</v>
      </c>
      <c r="AL1091" s="324" t="s">
        <v>55</v>
      </c>
      <c r="AM1091" s="324" t="s">
        <v>55</v>
      </c>
    </row>
    <row r="1092" spans="1:39" s="324" customFormat="1" ht="0.65" hidden="1" customHeight="1">
      <c r="A1092" s="324">
        <v>4176</v>
      </c>
      <c r="G1092" s="324" t="s">
        <v>411</v>
      </c>
      <c r="H1092" s="324">
        <v>49</v>
      </c>
      <c r="AA1092" s="324">
        <v>3</v>
      </c>
      <c r="AB1092" s="324" t="s">
        <v>645</v>
      </c>
      <c r="AC1092" s="324" t="s">
        <v>55</v>
      </c>
      <c r="AD1092" s="324" t="s">
        <v>55</v>
      </c>
      <c r="AE1092" s="324">
        <v>0</v>
      </c>
      <c r="AF1092" s="324" t="s">
        <v>513</v>
      </c>
      <c r="AG1092" s="324">
        <v>600000</v>
      </c>
      <c r="AH1092" s="324">
        <v>600000</v>
      </c>
      <c r="AI1092" s="324" t="s">
        <v>55</v>
      </c>
      <c r="AJ1092" s="324">
        <v>600000</v>
      </c>
      <c r="AK1092" s="324" t="s">
        <v>55</v>
      </c>
      <c r="AL1092" s="324" t="s">
        <v>55</v>
      </c>
      <c r="AM1092" s="324" t="s">
        <v>55</v>
      </c>
    </row>
    <row r="1093" spans="1:39" s="324" customFormat="1" ht="0.65" hidden="1" customHeight="1">
      <c r="A1093" s="324">
        <v>4177</v>
      </c>
      <c r="G1093" s="324" t="s">
        <v>412</v>
      </c>
      <c r="AA1093" s="324">
        <v>4</v>
      </c>
      <c r="AB1093" s="324" t="s">
        <v>645</v>
      </c>
      <c r="AC1093" s="324" t="s">
        <v>55</v>
      </c>
      <c r="AD1093" s="324" t="s">
        <v>55</v>
      </c>
      <c r="AE1093" s="324">
        <v>0</v>
      </c>
      <c r="AF1093" s="324" t="s">
        <v>515</v>
      </c>
      <c r="AG1093" s="324">
        <v>600000</v>
      </c>
      <c r="AH1093" s="324">
        <v>600000</v>
      </c>
      <c r="AI1093" s="324" t="s">
        <v>55</v>
      </c>
      <c r="AJ1093" s="324">
        <v>600000</v>
      </c>
      <c r="AK1093" s="324" t="s">
        <v>55</v>
      </c>
      <c r="AL1093" s="324" t="s">
        <v>55</v>
      </c>
      <c r="AM1093" s="324" t="s">
        <v>55</v>
      </c>
    </row>
    <row r="1094" spans="1:39" s="324" customFormat="1" ht="0.65" hidden="1" customHeight="1">
      <c r="A1094" s="324">
        <v>4178</v>
      </c>
      <c r="AA1094" s="324">
        <v>5</v>
      </c>
      <c r="AB1094" s="324" t="s">
        <v>645</v>
      </c>
      <c r="AC1094" s="324" t="s">
        <v>55</v>
      </c>
      <c r="AD1094" s="324" t="s">
        <v>55</v>
      </c>
      <c r="AE1094" s="324">
        <v>0</v>
      </c>
      <c r="AF1094" s="324" t="s">
        <v>517</v>
      </c>
      <c r="AG1094" s="324">
        <v>500000</v>
      </c>
      <c r="AH1094" s="324">
        <v>500000</v>
      </c>
      <c r="AI1094" s="324" t="s">
        <v>55</v>
      </c>
      <c r="AJ1094" s="324">
        <v>500000</v>
      </c>
      <c r="AK1094" s="324" t="s">
        <v>55</v>
      </c>
      <c r="AL1094" s="324" t="s">
        <v>55</v>
      </c>
      <c r="AM1094" s="324" t="s">
        <v>55</v>
      </c>
    </row>
    <row r="1095" spans="1:39" s="324" customFormat="1" ht="0.65" hidden="1" customHeight="1">
      <c r="A1095" s="324">
        <v>4179</v>
      </c>
      <c r="AA1095" s="324">
        <v>6</v>
      </c>
      <c r="AB1095" s="324" t="s">
        <v>645</v>
      </c>
      <c r="AC1095" s="324" t="s">
        <v>55</v>
      </c>
      <c r="AD1095" s="324" t="s">
        <v>55</v>
      </c>
      <c r="AE1095" s="324">
        <v>0</v>
      </c>
      <c r="AF1095" s="324" t="s">
        <v>521</v>
      </c>
      <c r="AG1095" s="324">
        <v>500000</v>
      </c>
      <c r="AH1095" s="324">
        <v>500000</v>
      </c>
      <c r="AI1095" s="324" t="s">
        <v>55</v>
      </c>
      <c r="AJ1095" s="324">
        <v>500000</v>
      </c>
      <c r="AK1095" s="324" t="s">
        <v>55</v>
      </c>
      <c r="AL1095" s="324" t="s">
        <v>55</v>
      </c>
      <c r="AM1095" s="324" t="s">
        <v>55</v>
      </c>
    </row>
    <row r="1096" spans="1:39" s="324" customFormat="1" ht="0.65" hidden="1" customHeight="1">
      <c r="A1096" s="324">
        <v>4180</v>
      </c>
      <c r="AA1096" s="324">
        <v>7</v>
      </c>
      <c r="AB1096" s="324" t="s">
        <v>645</v>
      </c>
      <c r="AC1096" s="324" t="s">
        <v>55</v>
      </c>
      <c r="AD1096" s="324" t="s">
        <v>55</v>
      </c>
      <c r="AE1096" s="324">
        <v>0</v>
      </c>
      <c r="AF1096" s="324" t="s">
        <v>523</v>
      </c>
      <c r="AG1096" s="324">
        <v>500000</v>
      </c>
      <c r="AH1096" s="324">
        <v>500000</v>
      </c>
      <c r="AI1096" s="324" t="s">
        <v>55</v>
      </c>
      <c r="AJ1096" s="324">
        <v>500000</v>
      </c>
      <c r="AK1096" s="324" t="s">
        <v>55</v>
      </c>
      <c r="AL1096" s="324" t="s">
        <v>55</v>
      </c>
      <c r="AM1096" s="324" t="s">
        <v>55</v>
      </c>
    </row>
    <row r="1097" spans="1:39" s="324" customFormat="1" ht="0.65" hidden="1" customHeight="1">
      <c r="A1097" s="324">
        <v>4181</v>
      </c>
      <c r="G1097" s="324" t="s">
        <v>0</v>
      </c>
      <c r="H1097" s="324" t="s">
        <v>69</v>
      </c>
      <c r="I1097" s="324" t="s">
        <v>70</v>
      </c>
      <c r="J1097" s="324" t="s">
        <v>71</v>
      </c>
      <c r="K1097" s="324" t="s">
        <v>72</v>
      </c>
      <c r="L1097" s="324" t="s">
        <v>73</v>
      </c>
      <c r="M1097" s="324" t="s">
        <v>74</v>
      </c>
      <c r="N1097" s="324" t="s">
        <v>75</v>
      </c>
      <c r="O1097" s="324" t="s">
        <v>80</v>
      </c>
      <c r="P1097" s="324" t="s">
        <v>1</v>
      </c>
      <c r="AA1097" s="324">
        <v>8</v>
      </c>
      <c r="AB1097" s="324" t="s">
        <v>645</v>
      </c>
      <c r="AC1097" s="324" t="s">
        <v>55</v>
      </c>
      <c r="AD1097" s="324" t="s">
        <v>55</v>
      </c>
      <c r="AE1097" s="324">
        <v>0</v>
      </c>
      <c r="AF1097" s="324" t="s">
        <v>525</v>
      </c>
      <c r="AG1097" s="324">
        <v>-12500</v>
      </c>
      <c r="AH1097" s="324">
        <v>-12500</v>
      </c>
      <c r="AI1097" s="324" t="s">
        <v>55</v>
      </c>
      <c r="AJ1097" s="324">
        <v>-12500</v>
      </c>
      <c r="AK1097" s="324" t="s">
        <v>55</v>
      </c>
      <c r="AL1097" s="324" t="s">
        <v>55</v>
      </c>
      <c r="AM1097" s="324" t="s">
        <v>55</v>
      </c>
    </row>
    <row r="1098" spans="1:39" s="324" customFormat="1" ht="0.65" hidden="1" customHeight="1">
      <c r="A1098" s="324">
        <v>4182</v>
      </c>
      <c r="G1098" s="324">
        <v>2021</v>
      </c>
      <c r="P1098" s="324" t="s">
        <v>645</v>
      </c>
      <c r="AA1098" s="324">
        <v>9</v>
      </c>
      <c r="AB1098" s="324" t="s">
        <v>645</v>
      </c>
      <c r="AC1098" s="324" t="s">
        <v>55</v>
      </c>
      <c r="AD1098" s="324" t="s">
        <v>55</v>
      </c>
      <c r="AE1098" s="324">
        <v>0</v>
      </c>
      <c r="AF1098" s="324" t="s">
        <v>528</v>
      </c>
      <c r="AG1098" s="324">
        <v>-12500</v>
      </c>
      <c r="AH1098" s="324">
        <v>-12500</v>
      </c>
      <c r="AI1098" s="324" t="s">
        <v>55</v>
      </c>
      <c r="AJ1098" s="324">
        <v>-12500</v>
      </c>
      <c r="AK1098" s="324" t="s">
        <v>55</v>
      </c>
      <c r="AL1098" s="324" t="s">
        <v>55</v>
      </c>
      <c r="AM1098" s="324" t="s">
        <v>55</v>
      </c>
    </row>
    <row r="1099" spans="1:39" s="324" customFormat="1" ht="0.65" hidden="1" customHeight="1">
      <c r="A1099" s="324">
        <v>4183</v>
      </c>
      <c r="G1099" s="324">
        <v>2022</v>
      </c>
      <c r="H1099" s="324" t="s">
        <v>645</v>
      </c>
      <c r="I1099" s="324" t="s">
        <v>645</v>
      </c>
      <c r="J1099" s="324" t="s">
        <v>645</v>
      </c>
      <c r="K1099" s="324" t="s">
        <v>645</v>
      </c>
      <c r="L1099" s="324" t="s">
        <v>645</v>
      </c>
      <c r="M1099" s="324" t="s">
        <v>645</v>
      </c>
      <c r="N1099" s="324" t="s">
        <v>645</v>
      </c>
      <c r="O1099" s="324" t="s">
        <v>645</v>
      </c>
      <c r="P1099" s="324" t="s">
        <v>645</v>
      </c>
      <c r="AA1099" s="324">
        <v>10</v>
      </c>
      <c r="AB1099" s="324" t="s">
        <v>645</v>
      </c>
      <c r="AC1099" s="324" t="s">
        <v>55</v>
      </c>
      <c r="AD1099" s="324" t="s">
        <v>55</v>
      </c>
      <c r="AE1099" s="324">
        <v>0</v>
      </c>
      <c r="AF1099" s="324" t="s">
        <v>530</v>
      </c>
      <c r="AG1099" s="324">
        <v>-12500</v>
      </c>
      <c r="AH1099" s="324">
        <v>-12500</v>
      </c>
      <c r="AI1099" s="324" t="s">
        <v>55</v>
      </c>
      <c r="AJ1099" s="324">
        <v>-12500</v>
      </c>
      <c r="AK1099" s="324" t="s">
        <v>55</v>
      </c>
      <c r="AL1099" s="324" t="s">
        <v>55</v>
      </c>
      <c r="AM1099" s="324" t="s">
        <v>55</v>
      </c>
    </row>
    <row r="1100" spans="1:39" s="324" customFormat="1" ht="0.65" hidden="1" customHeight="1">
      <c r="A1100" s="324">
        <v>4184</v>
      </c>
      <c r="G1100" s="324">
        <v>2023</v>
      </c>
      <c r="H1100" s="324" t="s">
        <v>645</v>
      </c>
      <c r="I1100" s="324" t="s">
        <v>645</v>
      </c>
      <c r="J1100" s="324" t="s">
        <v>645</v>
      </c>
      <c r="K1100" s="324" t="s">
        <v>645</v>
      </c>
      <c r="L1100" s="324" t="s">
        <v>645</v>
      </c>
      <c r="M1100" s="324" t="s">
        <v>645</v>
      </c>
      <c r="N1100" s="324" t="s">
        <v>645</v>
      </c>
      <c r="O1100" s="324" t="s">
        <v>645</v>
      </c>
      <c r="P1100" s="324" t="s">
        <v>645</v>
      </c>
      <c r="AA1100" s="324">
        <v>11</v>
      </c>
      <c r="AB1100" s="324" t="s">
        <v>645</v>
      </c>
      <c r="AC1100" s="324" t="s">
        <v>55</v>
      </c>
      <c r="AD1100" s="324" t="s">
        <v>55</v>
      </c>
      <c r="AE1100" s="324">
        <v>0</v>
      </c>
      <c r="AF1100" s="324" t="s">
        <v>533</v>
      </c>
      <c r="AG1100" s="324">
        <v>112500</v>
      </c>
      <c r="AH1100" s="324">
        <v>112500</v>
      </c>
      <c r="AI1100" s="324" t="s">
        <v>55</v>
      </c>
      <c r="AJ1100" s="324">
        <v>112500</v>
      </c>
      <c r="AK1100" s="324" t="s">
        <v>55</v>
      </c>
      <c r="AL1100" s="324" t="s">
        <v>55</v>
      </c>
      <c r="AM1100" s="324" t="s">
        <v>55</v>
      </c>
    </row>
    <row r="1101" spans="1:39" s="324" customFormat="1" ht="0.65" hidden="1" customHeight="1">
      <c r="A1101" s="324">
        <v>4185</v>
      </c>
      <c r="G1101" s="324">
        <v>2024</v>
      </c>
      <c r="H1101" s="324" t="s">
        <v>645</v>
      </c>
      <c r="I1101" s="324" t="s">
        <v>645</v>
      </c>
      <c r="J1101" s="324" t="s">
        <v>645</v>
      </c>
      <c r="K1101" s="324" t="s">
        <v>645</v>
      </c>
      <c r="L1101" s="324" t="s">
        <v>645</v>
      </c>
      <c r="M1101" s="324" t="s">
        <v>645</v>
      </c>
      <c r="N1101" s="324" t="s">
        <v>645</v>
      </c>
      <c r="O1101" s="324" t="s">
        <v>645</v>
      </c>
      <c r="P1101" s="324" t="s">
        <v>645</v>
      </c>
      <c r="AA1101" s="324">
        <v>12</v>
      </c>
      <c r="AB1101" s="324" t="s">
        <v>645</v>
      </c>
      <c r="AC1101" s="324" t="s">
        <v>55</v>
      </c>
      <c r="AD1101" s="324" t="s">
        <v>55</v>
      </c>
      <c r="AE1101" s="324">
        <v>0</v>
      </c>
      <c r="AF1101" s="324" t="s">
        <v>536</v>
      </c>
      <c r="AG1101" s="324">
        <v>112500</v>
      </c>
      <c r="AH1101" s="324">
        <v>112500</v>
      </c>
      <c r="AI1101" s="324" t="s">
        <v>55</v>
      </c>
      <c r="AJ1101" s="324">
        <v>112500</v>
      </c>
      <c r="AK1101" s="324" t="s">
        <v>55</v>
      </c>
      <c r="AL1101" s="324" t="s">
        <v>55</v>
      </c>
      <c r="AM1101" s="324" t="s">
        <v>55</v>
      </c>
    </row>
    <row r="1102" spans="1:39" s="324" customFormat="1" ht="0.65" hidden="1" customHeight="1">
      <c r="A1102" s="324">
        <v>4186</v>
      </c>
      <c r="AA1102" s="324">
        <v>13</v>
      </c>
      <c r="AB1102" s="324" t="s">
        <v>645</v>
      </c>
      <c r="AC1102" s="324" t="s">
        <v>55</v>
      </c>
      <c r="AD1102" s="324" t="s">
        <v>55</v>
      </c>
      <c r="AE1102" s="324">
        <v>0</v>
      </c>
      <c r="AF1102" s="324" t="s">
        <v>538</v>
      </c>
      <c r="AG1102" s="324">
        <v>112500</v>
      </c>
      <c r="AH1102" s="324">
        <v>112500</v>
      </c>
      <c r="AI1102" s="324" t="s">
        <v>55</v>
      </c>
      <c r="AJ1102" s="324">
        <v>112500</v>
      </c>
      <c r="AK1102" s="324" t="s">
        <v>55</v>
      </c>
      <c r="AL1102" s="324" t="s">
        <v>55</v>
      </c>
      <c r="AM1102" s="324" t="s">
        <v>55</v>
      </c>
    </row>
    <row r="1103" spans="1:39" s="324" customFormat="1" ht="0.65" hidden="1" customHeight="1">
      <c r="A1103" s="324">
        <v>4187</v>
      </c>
      <c r="G1103" s="324" t="s">
        <v>0</v>
      </c>
      <c r="H1103" s="324" t="s">
        <v>76</v>
      </c>
      <c r="I1103" s="324" t="s">
        <v>77</v>
      </c>
      <c r="J1103" s="324" t="s">
        <v>78</v>
      </c>
      <c r="K1103" s="324" t="s">
        <v>79</v>
      </c>
      <c r="AA1103" s="324">
        <v>14</v>
      </c>
      <c r="AB1103" s="324" t="s">
        <v>645</v>
      </c>
      <c r="AC1103" s="324" t="s">
        <v>55</v>
      </c>
      <c r="AD1103" s="324" t="s">
        <v>55</v>
      </c>
      <c r="AE1103" s="324">
        <v>0</v>
      </c>
      <c r="AF1103" s="324" t="s">
        <v>541</v>
      </c>
      <c r="AG1103" s="324">
        <v>28125</v>
      </c>
      <c r="AH1103" s="324">
        <v>28125</v>
      </c>
      <c r="AI1103" s="324" t="s">
        <v>55</v>
      </c>
      <c r="AJ1103" s="324">
        <v>28125</v>
      </c>
      <c r="AK1103" s="324" t="s">
        <v>55</v>
      </c>
      <c r="AL1103" s="324" t="s">
        <v>55</v>
      </c>
      <c r="AM1103" s="324" t="s">
        <v>55</v>
      </c>
    </row>
    <row r="1104" spans="1:39" s="324" customFormat="1" ht="0.65" hidden="1" customHeight="1">
      <c r="A1104" s="324">
        <v>4188</v>
      </c>
      <c r="G1104" s="324">
        <v>2021</v>
      </c>
      <c r="M1104" s="324" t="s">
        <v>456</v>
      </c>
      <c r="N1104" s="324" t="s">
        <v>645</v>
      </c>
      <c r="O1104" s="324" t="s">
        <v>124</v>
      </c>
      <c r="P1104" s="324" t="s">
        <v>645</v>
      </c>
      <c r="AA1104" s="324">
        <v>15</v>
      </c>
      <c r="AB1104" s="324" t="s">
        <v>645</v>
      </c>
      <c r="AC1104" s="324" t="s">
        <v>55</v>
      </c>
      <c r="AD1104" s="324" t="s">
        <v>55</v>
      </c>
      <c r="AE1104" s="324">
        <v>0</v>
      </c>
      <c r="AF1104" s="324" t="s">
        <v>544</v>
      </c>
      <c r="AG1104" s="324">
        <v>28125</v>
      </c>
      <c r="AH1104" s="324">
        <v>28125</v>
      </c>
      <c r="AI1104" s="324" t="s">
        <v>55</v>
      </c>
      <c r="AJ1104" s="324">
        <v>28125</v>
      </c>
      <c r="AK1104" s="324" t="s">
        <v>55</v>
      </c>
      <c r="AL1104" s="324" t="s">
        <v>55</v>
      </c>
      <c r="AM1104" s="324" t="s">
        <v>55</v>
      </c>
    </row>
    <row r="1105" spans="1:39" s="324" customFormat="1" ht="0.65" hidden="1" customHeight="1">
      <c r="A1105" s="324">
        <v>4189</v>
      </c>
      <c r="G1105" s="324">
        <v>2022</v>
      </c>
      <c r="H1105" s="324" t="s">
        <v>645</v>
      </c>
      <c r="I1105" s="324" t="s">
        <v>645</v>
      </c>
      <c r="J1105" s="324" t="s">
        <v>645</v>
      </c>
      <c r="K1105" s="324" t="s">
        <v>645</v>
      </c>
      <c r="M1105" s="324" t="s">
        <v>457</v>
      </c>
      <c r="N1105" s="324" t="s">
        <v>645</v>
      </c>
      <c r="O1105" s="324" t="s">
        <v>125</v>
      </c>
      <c r="P1105" s="324" t="s">
        <v>645</v>
      </c>
      <c r="AA1105" s="324">
        <v>16</v>
      </c>
      <c r="AB1105" s="324" t="s">
        <v>645</v>
      </c>
      <c r="AC1105" s="324" t="s">
        <v>55</v>
      </c>
      <c r="AD1105" s="324" t="s">
        <v>55</v>
      </c>
      <c r="AE1105" s="324">
        <v>0</v>
      </c>
      <c r="AF1105" s="324" t="s">
        <v>546</v>
      </c>
      <c r="AG1105" s="324">
        <v>28125</v>
      </c>
      <c r="AH1105" s="324">
        <v>28125</v>
      </c>
      <c r="AI1105" s="324" t="s">
        <v>55</v>
      </c>
      <c r="AJ1105" s="324">
        <v>28125</v>
      </c>
      <c r="AK1105" s="324" t="s">
        <v>55</v>
      </c>
      <c r="AL1105" s="324" t="s">
        <v>55</v>
      </c>
      <c r="AM1105" s="324" t="s">
        <v>55</v>
      </c>
    </row>
    <row r="1106" spans="1:39" s="324" customFormat="1" ht="0.65" hidden="1" customHeight="1">
      <c r="A1106" s="324">
        <v>4190</v>
      </c>
      <c r="G1106" s="324">
        <v>2023</v>
      </c>
      <c r="H1106" s="324" t="s">
        <v>645</v>
      </c>
      <c r="I1106" s="324" t="s">
        <v>645</v>
      </c>
      <c r="J1106" s="324" t="s">
        <v>645</v>
      </c>
      <c r="K1106" s="324" t="s">
        <v>645</v>
      </c>
      <c r="M1106" s="324" t="s">
        <v>458</v>
      </c>
      <c r="N1106" s="324" t="s">
        <v>645</v>
      </c>
      <c r="O1106" s="324" t="s">
        <v>126</v>
      </c>
      <c r="P1106" s="324" t="s">
        <v>645</v>
      </c>
      <c r="AA1106" s="324">
        <v>17</v>
      </c>
      <c r="AB1106" s="324" t="s">
        <v>645</v>
      </c>
      <c r="AC1106" s="324" t="s">
        <v>55</v>
      </c>
      <c r="AD1106" s="324" t="s">
        <v>55</v>
      </c>
      <c r="AE1106" s="324">
        <v>0</v>
      </c>
      <c r="AF1106" s="324" t="s">
        <v>549</v>
      </c>
      <c r="AG1106" s="324">
        <v>84375</v>
      </c>
      <c r="AH1106" s="324">
        <v>84375</v>
      </c>
      <c r="AI1106" s="324" t="s">
        <v>55</v>
      </c>
      <c r="AJ1106" s="324">
        <v>84375</v>
      </c>
      <c r="AK1106" s="324" t="s">
        <v>55</v>
      </c>
      <c r="AL1106" s="324" t="s">
        <v>55</v>
      </c>
      <c r="AM1106" s="324" t="s">
        <v>55</v>
      </c>
    </row>
    <row r="1107" spans="1:39" s="324" customFormat="1" ht="0.65" hidden="1" customHeight="1">
      <c r="A1107" s="324">
        <v>4191</v>
      </c>
      <c r="G1107" s="324">
        <v>2024</v>
      </c>
      <c r="H1107" s="324" t="s">
        <v>645</v>
      </c>
      <c r="I1107" s="324" t="s">
        <v>645</v>
      </c>
      <c r="J1107" s="324" t="s">
        <v>645</v>
      </c>
      <c r="K1107" s="324" t="s">
        <v>645</v>
      </c>
      <c r="M1107" s="324" t="s">
        <v>459</v>
      </c>
      <c r="N1107" s="324" t="s">
        <v>645</v>
      </c>
      <c r="AA1107" s="324">
        <v>18</v>
      </c>
      <c r="AB1107" s="324" t="s">
        <v>645</v>
      </c>
      <c r="AC1107" s="324" t="s">
        <v>55</v>
      </c>
      <c r="AD1107" s="324" t="s">
        <v>55</v>
      </c>
      <c r="AE1107" s="324">
        <v>0</v>
      </c>
      <c r="AF1107" s="324" t="s">
        <v>552</v>
      </c>
      <c r="AG1107" s="324">
        <v>84375</v>
      </c>
      <c r="AH1107" s="324">
        <v>84375</v>
      </c>
      <c r="AI1107" s="324" t="s">
        <v>55</v>
      </c>
      <c r="AJ1107" s="324">
        <v>84375</v>
      </c>
      <c r="AK1107" s="324" t="s">
        <v>55</v>
      </c>
      <c r="AL1107" s="324" t="s">
        <v>55</v>
      </c>
      <c r="AM1107" s="324" t="s">
        <v>55</v>
      </c>
    </row>
    <row r="1108" spans="1:39" s="324" customFormat="1" ht="0.65" hidden="1" customHeight="1">
      <c r="A1108" s="324">
        <v>4192</v>
      </c>
      <c r="AA1108" s="324">
        <v>19</v>
      </c>
      <c r="AB1108" s="324" t="s">
        <v>645</v>
      </c>
      <c r="AC1108" s="324" t="s">
        <v>55</v>
      </c>
      <c r="AD1108" s="324" t="s">
        <v>55</v>
      </c>
      <c r="AE1108" s="324">
        <v>0</v>
      </c>
      <c r="AF1108" s="324" t="s">
        <v>554</v>
      </c>
      <c r="AG1108" s="324">
        <v>84375</v>
      </c>
      <c r="AH1108" s="324">
        <v>84375</v>
      </c>
      <c r="AI1108" s="324" t="s">
        <v>55</v>
      </c>
      <c r="AJ1108" s="324">
        <v>84375</v>
      </c>
      <c r="AK1108" s="324" t="s">
        <v>55</v>
      </c>
      <c r="AL1108" s="324" t="s">
        <v>55</v>
      </c>
      <c r="AM1108" s="324" t="s">
        <v>55</v>
      </c>
    </row>
    <row r="1109" spans="1:39" s="324" customFormat="1" ht="0.65" hidden="1" customHeight="1">
      <c r="A1109" s="324">
        <v>4193</v>
      </c>
      <c r="O1109" s="324" t="s">
        <v>13</v>
      </c>
      <c r="P1109" s="324" t="s">
        <v>645</v>
      </c>
      <c r="AA1109" s="324">
        <v>20</v>
      </c>
      <c r="AB1109" s="324" t="s">
        <v>645</v>
      </c>
      <c r="AC1109" s="324" t="s">
        <v>55</v>
      </c>
      <c r="AD1109" s="324" t="s">
        <v>55</v>
      </c>
      <c r="AE1109" s="324">
        <v>0</v>
      </c>
      <c r="AF1109" s="324" t="s">
        <v>557</v>
      </c>
      <c r="AG1109" s="324">
        <v>71875</v>
      </c>
      <c r="AH1109" s="324">
        <v>71875</v>
      </c>
      <c r="AI1109" s="324" t="s">
        <v>55</v>
      </c>
      <c r="AJ1109" s="324">
        <v>71875</v>
      </c>
      <c r="AK1109" s="324" t="s">
        <v>55</v>
      </c>
      <c r="AL1109" s="324" t="s">
        <v>55</v>
      </c>
      <c r="AM1109" s="324" t="s">
        <v>55</v>
      </c>
    </row>
    <row r="1110" spans="1:39" s="324" customFormat="1" ht="0.65" hidden="1" customHeight="1">
      <c r="A1110" s="324">
        <v>4194</v>
      </c>
      <c r="O1110" s="324" t="s">
        <v>28</v>
      </c>
      <c r="P1110" s="324" t="s">
        <v>645</v>
      </c>
      <c r="AA1110" s="324">
        <v>21</v>
      </c>
      <c r="AB1110" s="324" t="s">
        <v>645</v>
      </c>
      <c r="AC1110" s="324" t="s">
        <v>55</v>
      </c>
      <c r="AD1110" s="324" t="s">
        <v>55</v>
      </c>
      <c r="AE1110" s="324">
        <v>0</v>
      </c>
      <c r="AF1110" s="324" t="s">
        <v>560</v>
      </c>
      <c r="AG1110" s="324">
        <v>71875</v>
      </c>
      <c r="AH1110" s="324">
        <v>71875</v>
      </c>
      <c r="AI1110" s="324" t="s">
        <v>55</v>
      </c>
      <c r="AJ1110" s="324">
        <v>71875</v>
      </c>
      <c r="AK1110" s="324" t="s">
        <v>55</v>
      </c>
      <c r="AL1110" s="324" t="s">
        <v>55</v>
      </c>
      <c r="AM1110" s="324" t="s">
        <v>55</v>
      </c>
    </row>
    <row r="1111" spans="1:39" s="324" customFormat="1" ht="0.65" hidden="1" customHeight="1">
      <c r="A1111" s="324">
        <v>4195</v>
      </c>
      <c r="O1111" s="324" t="s">
        <v>29</v>
      </c>
      <c r="AA1111" s="324">
        <v>22</v>
      </c>
      <c r="AB1111" s="324" t="s">
        <v>645</v>
      </c>
      <c r="AC1111" s="324" t="s">
        <v>55</v>
      </c>
      <c r="AD1111" s="324" t="s">
        <v>55</v>
      </c>
      <c r="AE1111" s="324">
        <v>0</v>
      </c>
      <c r="AF1111" s="324" t="s">
        <v>562</v>
      </c>
      <c r="AG1111" s="324">
        <v>71875</v>
      </c>
      <c r="AH1111" s="324">
        <v>71875</v>
      </c>
      <c r="AI1111" s="324" t="s">
        <v>55</v>
      </c>
      <c r="AJ1111" s="324">
        <v>71875</v>
      </c>
      <c r="AK1111" s="324" t="s">
        <v>55</v>
      </c>
      <c r="AL1111" s="324" t="s">
        <v>55</v>
      </c>
      <c r="AM1111" s="324" t="s">
        <v>55</v>
      </c>
    </row>
    <row r="1112" spans="1:39" s="324" customFormat="1" ht="0.65" hidden="1" customHeight="1">
      <c r="A1112" s="324">
        <v>4196</v>
      </c>
      <c r="O1112" s="324" t="s">
        <v>30</v>
      </c>
      <c r="AA1112" s="324">
        <v>23</v>
      </c>
      <c r="AB1112" s="324" t="s">
        <v>645</v>
      </c>
      <c r="AC1112" s="324" t="s">
        <v>55</v>
      </c>
      <c r="AD1112" s="324" t="s">
        <v>55</v>
      </c>
      <c r="AE1112" s="324">
        <v>0</v>
      </c>
      <c r="AF1112" s="324" t="s">
        <v>565</v>
      </c>
      <c r="AG1112" s="324">
        <v>150000</v>
      </c>
      <c r="AH1112" s="324">
        <v>150000</v>
      </c>
      <c r="AI1112" s="324" t="s">
        <v>55</v>
      </c>
      <c r="AJ1112" s="324">
        <v>150000</v>
      </c>
      <c r="AK1112" s="324" t="s">
        <v>55</v>
      </c>
      <c r="AL1112" s="324" t="s">
        <v>55</v>
      </c>
      <c r="AM1112" s="324" t="s">
        <v>55</v>
      </c>
    </row>
    <row r="1113" spans="1:39" s="324" customFormat="1" ht="0.65" hidden="1" customHeight="1">
      <c r="A1113" s="324">
        <v>4197</v>
      </c>
      <c r="AA1113" s="324">
        <v>24</v>
      </c>
      <c r="AB1113" s="324" t="s">
        <v>645</v>
      </c>
      <c r="AC1113" s="324" t="s">
        <v>55</v>
      </c>
      <c r="AD1113" s="324" t="s">
        <v>55</v>
      </c>
      <c r="AE1113" s="324">
        <v>0</v>
      </c>
      <c r="AF1113" s="324" t="s">
        <v>568</v>
      </c>
      <c r="AG1113" s="324">
        <v>150000</v>
      </c>
      <c r="AH1113" s="324">
        <v>150000</v>
      </c>
      <c r="AI1113" s="324" t="s">
        <v>55</v>
      </c>
      <c r="AJ1113" s="324">
        <v>150000</v>
      </c>
      <c r="AK1113" s="324" t="s">
        <v>55</v>
      </c>
      <c r="AL1113" s="324" t="s">
        <v>55</v>
      </c>
      <c r="AM1113" s="324" t="s">
        <v>55</v>
      </c>
    </row>
    <row r="1114" spans="1:39" s="324" customFormat="1" ht="0.65" hidden="1" customHeight="1">
      <c r="A1114" s="324">
        <v>4198</v>
      </c>
      <c r="AA1114" s="324">
        <v>25</v>
      </c>
      <c r="AB1114" s="324" t="s">
        <v>645</v>
      </c>
      <c r="AC1114" s="324" t="s">
        <v>55</v>
      </c>
      <c r="AD1114" s="324" t="s">
        <v>55</v>
      </c>
      <c r="AE1114" s="324">
        <v>0</v>
      </c>
      <c r="AF1114" s="324" t="s">
        <v>570</v>
      </c>
      <c r="AG1114" s="324">
        <v>150000</v>
      </c>
      <c r="AH1114" s="324">
        <v>150000</v>
      </c>
      <c r="AI1114" s="324" t="s">
        <v>55</v>
      </c>
      <c r="AJ1114" s="324">
        <v>150000</v>
      </c>
      <c r="AK1114" s="324" t="s">
        <v>55</v>
      </c>
      <c r="AL1114" s="324" t="s">
        <v>55</v>
      </c>
      <c r="AM1114" s="324" t="s">
        <v>55</v>
      </c>
    </row>
    <row r="1115" spans="1:39" s="324" customFormat="1" ht="0.65" hidden="1" customHeight="1">
      <c r="A1115" s="324">
        <v>4199</v>
      </c>
      <c r="AA1115" s="324">
        <v>26</v>
      </c>
      <c r="AB1115" s="324" t="s">
        <v>645</v>
      </c>
      <c r="AC1115" s="324" t="s">
        <v>55</v>
      </c>
      <c r="AD1115" s="324" t="s">
        <v>55</v>
      </c>
      <c r="AE1115" s="324">
        <v>0</v>
      </c>
      <c r="AF1115" s="324" t="s">
        <v>572</v>
      </c>
      <c r="AG1115" s="324">
        <v>125000</v>
      </c>
      <c r="AH1115" s="324">
        <v>125000</v>
      </c>
      <c r="AI1115" s="324" t="s">
        <v>55</v>
      </c>
      <c r="AJ1115" s="324">
        <v>125000</v>
      </c>
      <c r="AK1115" s="324" t="s">
        <v>55</v>
      </c>
      <c r="AL1115" s="324" t="s">
        <v>55</v>
      </c>
      <c r="AM1115" s="324" t="s">
        <v>55</v>
      </c>
    </row>
    <row r="1116" spans="1:39" s="324" customFormat="1" ht="0.65" hidden="1" customHeight="1">
      <c r="A1116" s="324">
        <v>4200</v>
      </c>
      <c r="AA1116" s="324">
        <v>27</v>
      </c>
      <c r="AB1116" s="324" t="s">
        <v>645</v>
      </c>
      <c r="AC1116" s="324" t="s">
        <v>55</v>
      </c>
      <c r="AD1116" s="324" t="s">
        <v>55</v>
      </c>
      <c r="AE1116" s="324">
        <v>0</v>
      </c>
      <c r="AF1116" s="324" t="s">
        <v>575</v>
      </c>
      <c r="AG1116" s="324">
        <v>125000</v>
      </c>
      <c r="AH1116" s="324">
        <v>125000</v>
      </c>
      <c r="AI1116" s="324" t="s">
        <v>55</v>
      </c>
      <c r="AJ1116" s="324">
        <v>125000</v>
      </c>
      <c r="AK1116" s="324" t="s">
        <v>55</v>
      </c>
      <c r="AL1116" s="324" t="s">
        <v>55</v>
      </c>
      <c r="AM1116" s="324" t="s">
        <v>55</v>
      </c>
    </row>
    <row r="1117" spans="1:39" s="324" customFormat="1" ht="0.65" hidden="1" customHeight="1">
      <c r="A1117" s="324">
        <v>4201</v>
      </c>
      <c r="AA1117" s="324">
        <v>28</v>
      </c>
      <c r="AB1117" s="324" t="s">
        <v>645</v>
      </c>
      <c r="AC1117" s="324" t="s">
        <v>55</v>
      </c>
      <c r="AD1117" s="324" t="s">
        <v>55</v>
      </c>
      <c r="AE1117" s="324">
        <v>0</v>
      </c>
      <c r="AF1117" s="324" t="s">
        <v>577</v>
      </c>
      <c r="AG1117" s="324">
        <v>125000</v>
      </c>
      <c r="AH1117" s="324">
        <v>125000</v>
      </c>
      <c r="AI1117" s="324" t="s">
        <v>55</v>
      </c>
      <c r="AJ1117" s="324">
        <v>125000</v>
      </c>
      <c r="AK1117" s="324" t="s">
        <v>55</v>
      </c>
      <c r="AL1117" s="324" t="s">
        <v>55</v>
      </c>
      <c r="AM1117" s="324" t="s">
        <v>55</v>
      </c>
    </row>
    <row r="1118" spans="1:39" s="324" customFormat="1" ht="0.65" hidden="1" customHeight="1">
      <c r="A1118" s="324">
        <v>4202</v>
      </c>
      <c r="AA1118" s="324">
        <v>29</v>
      </c>
      <c r="AB1118" s="324" t="s">
        <v>645</v>
      </c>
      <c r="AC1118" s="324" t="s">
        <v>55</v>
      </c>
      <c r="AD1118" s="324" t="s">
        <v>55</v>
      </c>
      <c r="AE1118" s="324">
        <v>0</v>
      </c>
      <c r="AF1118" s="324" t="s">
        <v>579</v>
      </c>
      <c r="AG1118" s="324">
        <v>25000</v>
      </c>
      <c r="AH1118" s="324">
        <v>25000</v>
      </c>
      <c r="AI1118" s="324" t="s">
        <v>55</v>
      </c>
      <c r="AJ1118" s="324">
        <v>25000</v>
      </c>
      <c r="AK1118" s="324" t="s">
        <v>55</v>
      </c>
      <c r="AL1118" s="324" t="s">
        <v>55</v>
      </c>
      <c r="AM1118" s="324" t="s">
        <v>55</v>
      </c>
    </row>
    <row r="1119" spans="1:39" s="324" customFormat="1" ht="0.65" hidden="1" customHeight="1">
      <c r="A1119" s="324">
        <v>4203</v>
      </c>
      <c r="AA1119" s="324">
        <v>30</v>
      </c>
      <c r="AB1119" s="324" t="s">
        <v>645</v>
      </c>
      <c r="AC1119" s="324" t="s">
        <v>55</v>
      </c>
      <c r="AD1119" s="324" t="s">
        <v>55</v>
      </c>
      <c r="AE1119" s="324">
        <v>0</v>
      </c>
      <c r="AF1119" s="324" t="s">
        <v>582</v>
      </c>
      <c r="AG1119" s="324">
        <v>25000</v>
      </c>
      <c r="AH1119" s="324">
        <v>25000</v>
      </c>
      <c r="AI1119" s="324" t="s">
        <v>55</v>
      </c>
      <c r="AJ1119" s="324">
        <v>25000</v>
      </c>
      <c r="AK1119" s="324" t="s">
        <v>55</v>
      </c>
      <c r="AL1119" s="324" t="s">
        <v>55</v>
      </c>
      <c r="AM1119" s="324" t="s">
        <v>55</v>
      </c>
    </row>
    <row r="1120" spans="1:39" s="324" customFormat="1" ht="0.65" hidden="1" customHeight="1">
      <c r="A1120" s="324">
        <v>4204</v>
      </c>
      <c r="AA1120" s="324">
        <v>31</v>
      </c>
      <c r="AB1120" s="324" t="s">
        <v>645</v>
      </c>
      <c r="AC1120" s="324" t="s">
        <v>55</v>
      </c>
      <c r="AD1120" s="324" t="s">
        <v>55</v>
      </c>
      <c r="AE1120" s="324">
        <v>0</v>
      </c>
      <c r="AF1120" s="324" t="s">
        <v>584</v>
      </c>
      <c r="AG1120" s="324">
        <v>25000</v>
      </c>
      <c r="AH1120" s="324">
        <v>25000</v>
      </c>
      <c r="AI1120" s="324" t="s">
        <v>55</v>
      </c>
      <c r="AJ1120" s="324">
        <v>25000</v>
      </c>
      <c r="AK1120" s="324" t="s">
        <v>55</v>
      </c>
      <c r="AL1120" s="324" t="s">
        <v>55</v>
      </c>
      <c r="AM1120" s="324" t="s">
        <v>55</v>
      </c>
    </row>
    <row r="1121" spans="1:39" s="324" customFormat="1" ht="0.65" hidden="1" customHeight="1">
      <c r="A1121" s="324">
        <v>4205</v>
      </c>
      <c r="AA1121" s="324">
        <v>32</v>
      </c>
      <c r="AB1121" s="324" t="s">
        <v>645</v>
      </c>
      <c r="AC1121" s="324" t="s">
        <v>55</v>
      </c>
      <c r="AD1121" s="324" t="s">
        <v>55</v>
      </c>
      <c r="AE1121" s="324">
        <v>0</v>
      </c>
      <c r="AF1121" s="324" t="s">
        <v>586</v>
      </c>
      <c r="AG1121" s="324">
        <v>25000</v>
      </c>
      <c r="AH1121" s="324">
        <v>25000</v>
      </c>
      <c r="AI1121" s="324" t="s">
        <v>55</v>
      </c>
      <c r="AJ1121" s="324">
        <v>25000</v>
      </c>
      <c r="AK1121" s="324" t="s">
        <v>55</v>
      </c>
      <c r="AL1121" s="324" t="s">
        <v>55</v>
      </c>
      <c r="AM1121" s="324" t="s">
        <v>55</v>
      </c>
    </row>
    <row r="1122" spans="1:39" s="324" customFormat="1" ht="0.65" hidden="1" customHeight="1">
      <c r="A1122" s="324">
        <v>4206</v>
      </c>
      <c r="AA1122" s="324">
        <v>33</v>
      </c>
      <c r="AB1122" s="324" t="s">
        <v>645</v>
      </c>
      <c r="AC1122" s="324" t="s">
        <v>55</v>
      </c>
      <c r="AD1122" s="324" t="s">
        <v>55</v>
      </c>
      <c r="AE1122" s="324">
        <v>0</v>
      </c>
      <c r="AF1122" s="324" t="s">
        <v>589</v>
      </c>
      <c r="AG1122" s="324">
        <v>0</v>
      </c>
      <c r="AH1122" s="324">
        <v>0</v>
      </c>
      <c r="AI1122" s="324" t="s">
        <v>55</v>
      </c>
      <c r="AJ1122" s="324">
        <v>0</v>
      </c>
      <c r="AK1122" s="324" t="s">
        <v>55</v>
      </c>
      <c r="AL1122" s="324" t="s">
        <v>55</v>
      </c>
      <c r="AM1122" s="324" t="s">
        <v>55</v>
      </c>
    </row>
    <row r="1123" spans="1:39" s="324" customFormat="1" ht="0.65" hidden="1" customHeight="1">
      <c r="A1123" s="324">
        <v>4207</v>
      </c>
      <c r="AA1123" s="324">
        <v>34</v>
      </c>
      <c r="AB1123" s="324" t="s">
        <v>645</v>
      </c>
      <c r="AC1123" s="324" t="s">
        <v>55</v>
      </c>
      <c r="AD1123" s="324" t="s">
        <v>55</v>
      </c>
      <c r="AE1123" s="324">
        <v>0</v>
      </c>
      <c r="AF1123" s="324" t="s">
        <v>590</v>
      </c>
      <c r="AG1123" s="324">
        <v>0</v>
      </c>
      <c r="AH1123" s="324">
        <v>0</v>
      </c>
      <c r="AI1123" s="324" t="s">
        <v>55</v>
      </c>
      <c r="AJ1123" s="324">
        <v>0</v>
      </c>
      <c r="AK1123" s="324" t="s">
        <v>55</v>
      </c>
      <c r="AL1123" s="324" t="s">
        <v>55</v>
      </c>
      <c r="AM1123" s="324" t="s">
        <v>55</v>
      </c>
    </row>
    <row r="1124" spans="1:39" s="324" customFormat="1" ht="0.65" hidden="1" customHeight="1">
      <c r="A1124" s="324">
        <v>4208</v>
      </c>
      <c r="AA1124" s="324">
        <v>35</v>
      </c>
      <c r="AB1124" s="324" t="s">
        <v>645</v>
      </c>
      <c r="AC1124" s="324" t="s">
        <v>55</v>
      </c>
      <c r="AD1124" s="324" t="s">
        <v>55</v>
      </c>
      <c r="AE1124" s="324">
        <v>0</v>
      </c>
      <c r="AF1124" s="324" t="s">
        <v>592</v>
      </c>
      <c r="AG1124" s="324">
        <v>46875</v>
      </c>
      <c r="AH1124" s="324">
        <v>46875</v>
      </c>
      <c r="AI1124" s="324" t="s">
        <v>55</v>
      </c>
      <c r="AJ1124" s="324">
        <v>46875</v>
      </c>
      <c r="AK1124" s="324" t="s">
        <v>55</v>
      </c>
      <c r="AL1124" s="324" t="s">
        <v>55</v>
      </c>
      <c r="AM1124" s="324" t="s">
        <v>55</v>
      </c>
    </row>
    <row r="1125" spans="1:39" s="324" customFormat="1" ht="0.65" hidden="1" customHeight="1">
      <c r="A1125" s="324">
        <v>4209</v>
      </c>
      <c r="AA1125" s="324">
        <v>36</v>
      </c>
      <c r="AB1125" s="324" t="s">
        <v>645</v>
      </c>
      <c r="AC1125" s="324" t="s">
        <v>55</v>
      </c>
      <c r="AD1125" s="324" t="s">
        <v>55</v>
      </c>
      <c r="AE1125" s="324">
        <v>0</v>
      </c>
      <c r="AF1125" s="324" t="s">
        <v>595</v>
      </c>
      <c r="AG1125" s="324">
        <v>71875</v>
      </c>
      <c r="AH1125" s="324">
        <v>71875</v>
      </c>
      <c r="AI1125" s="324" t="s">
        <v>55</v>
      </c>
      <c r="AJ1125" s="324">
        <v>71875</v>
      </c>
      <c r="AK1125" s="324" t="s">
        <v>55</v>
      </c>
      <c r="AL1125" s="324" t="s">
        <v>55</v>
      </c>
      <c r="AM1125" s="324" t="s">
        <v>55</v>
      </c>
    </row>
    <row r="1126" spans="1:39" s="324" customFormat="1" ht="0.65" hidden="1" customHeight="1">
      <c r="A1126" s="324">
        <v>4210</v>
      </c>
      <c r="AA1126" s="324">
        <v>37</v>
      </c>
      <c r="AB1126" s="324" t="s">
        <v>645</v>
      </c>
      <c r="AC1126" s="324" t="s">
        <v>55</v>
      </c>
      <c r="AD1126" s="324" t="s">
        <v>55</v>
      </c>
      <c r="AE1126" s="324">
        <v>0</v>
      </c>
      <c r="AF1126" s="324" t="s">
        <v>598</v>
      </c>
      <c r="AG1126" s="324">
        <v>71875</v>
      </c>
      <c r="AH1126" s="324">
        <v>71875</v>
      </c>
      <c r="AI1126" s="324" t="s">
        <v>55</v>
      </c>
      <c r="AJ1126" s="324">
        <v>71875</v>
      </c>
      <c r="AK1126" s="324" t="s">
        <v>55</v>
      </c>
      <c r="AL1126" s="324" t="s">
        <v>55</v>
      </c>
      <c r="AM1126" s="324" t="s">
        <v>55</v>
      </c>
    </row>
    <row r="1127" spans="1:39" s="324" customFormat="1" ht="0.65" hidden="1" customHeight="1">
      <c r="A1127" s="324">
        <v>4211</v>
      </c>
      <c r="AA1127" s="324">
        <v>38</v>
      </c>
      <c r="AB1127" s="324" t="s">
        <v>645</v>
      </c>
      <c r="AC1127" s="324" t="s">
        <v>55</v>
      </c>
      <c r="AD1127" s="324" t="s">
        <v>55</v>
      </c>
      <c r="AE1127" s="324">
        <v>0</v>
      </c>
      <c r="AF1127" s="324" t="s">
        <v>491</v>
      </c>
      <c r="AG1127" s="324">
        <v>114062.5</v>
      </c>
      <c r="AH1127" s="324">
        <v>114062.5</v>
      </c>
      <c r="AI1127" s="324" t="s">
        <v>55</v>
      </c>
      <c r="AJ1127" s="324">
        <v>114062.5</v>
      </c>
      <c r="AK1127" s="324" t="s">
        <v>55</v>
      </c>
      <c r="AL1127" s="324" t="s">
        <v>55</v>
      </c>
      <c r="AM1127" s="324" t="s">
        <v>55</v>
      </c>
    </row>
    <row r="1128" spans="1:39" s="324" customFormat="1" ht="0.65" hidden="1" customHeight="1">
      <c r="A1128" s="324">
        <v>4212</v>
      </c>
      <c r="AA1128" s="324">
        <v>39</v>
      </c>
      <c r="AB1128" s="324" t="s">
        <v>645</v>
      </c>
      <c r="AC1128" s="324" t="s">
        <v>55</v>
      </c>
      <c r="AD1128" s="324" t="s">
        <v>55</v>
      </c>
      <c r="AE1128" s="324">
        <v>0</v>
      </c>
      <c r="AF1128" s="324" t="s">
        <v>493</v>
      </c>
      <c r="AG1128" s="324">
        <v>25000</v>
      </c>
      <c r="AH1128" s="324">
        <v>25000</v>
      </c>
      <c r="AI1128" s="324" t="s">
        <v>55</v>
      </c>
      <c r="AJ1128" s="324">
        <v>25000</v>
      </c>
      <c r="AK1128" s="324" t="s">
        <v>55</v>
      </c>
      <c r="AL1128" s="324" t="s">
        <v>55</v>
      </c>
      <c r="AM1128" s="324" t="s">
        <v>55</v>
      </c>
    </row>
    <row r="1129" spans="1:39" s="324" customFormat="1" ht="0.65" hidden="1" customHeight="1">
      <c r="A1129" s="324">
        <v>4213</v>
      </c>
      <c r="AA1129" s="324">
        <v>40</v>
      </c>
      <c r="AB1129" s="324" t="s">
        <v>645</v>
      </c>
      <c r="AC1129" s="324" t="s">
        <v>55</v>
      </c>
      <c r="AD1129" s="324" t="s">
        <v>55</v>
      </c>
      <c r="AE1129" s="324">
        <v>0</v>
      </c>
      <c r="AF1129" s="324" t="s">
        <v>494</v>
      </c>
      <c r="AG1129" s="324">
        <v>139062.5</v>
      </c>
      <c r="AH1129" s="324">
        <v>139062.5</v>
      </c>
      <c r="AI1129" s="324" t="s">
        <v>55</v>
      </c>
      <c r="AJ1129" s="324">
        <v>139062.5</v>
      </c>
      <c r="AK1129" s="324" t="s">
        <v>55</v>
      </c>
      <c r="AL1129" s="324" t="s">
        <v>55</v>
      </c>
      <c r="AM1129" s="324" t="s">
        <v>55</v>
      </c>
    </row>
    <row r="1130" spans="1:39" s="324" customFormat="1" ht="0.65" hidden="1" customHeight="1">
      <c r="A1130" s="324">
        <v>4214</v>
      </c>
      <c r="AA1130" s="324">
        <v>41</v>
      </c>
      <c r="AB1130" s="324" t="s">
        <v>645</v>
      </c>
      <c r="AC1130" s="324" t="s">
        <v>55</v>
      </c>
      <c r="AD1130" s="324" t="s">
        <v>55</v>
      </c>
      <c r="AE1130" s="324">
        <v>0</v>
      </c>
      <c r="AF1130" s="324" t="s">
        <v>607</v>
      </c>
      <c r="AG1130" s="324">
        <v>-306250</v>
      </c>
      <c r="AH1130" s="324">
        <v>-306250</v>
      </c>
      <c r="AI1130" s="324" t="s">
        <v>55</v>
      </c>
      <c r="AJ1130" s="324">
        <v>-306250</v>
      </c>
      <c r="AK1130" s="324" t="s">
        <v>55</v>
      </c>
      <c r="AL1130" s="324" t="s">
        <v>55</v>
      </c>
      <c r="AM1130" s="324" t="s">
        <v>55</v>
      </c>
    </row>
    <row r="1131" spans="1:39" s="324" customFormat="1" ht="0.65" hidden="1" customHeight="1">
      <c r="A1131" s="324">
        <v>4215</v>
      </c>
      <c r="AA1131" s="324">
        <v>42</v>
      </c>
      <c r="AB1131" s="324" t="s">
        <v>645</v>
      </c>
      <c r="AC1131" s="324" t="s">
        <v>55</v>
      </c>
      <c r="AD1131" s="324" t="s">
        <v>55</v>
      </c>
      <c r="AE1131" s="324">
        <v>0</v>
      </c>
      <c r="AF1131" s="324" t="s">
        <v>610</v>
      </c>
      <c r="AG1131" s="324">
        <v>46875</v>
      </c>
      <c r="AH1131" s="324">
        <v>46875</v>
      </c>
      <c r="AI1131" s="324" t="s">
        <v>55</v>
      </c>
      <c r="AJ1131" s="324">
        <v>46875</v>
      </c>
      <c r="AK1131" s="324" t="s">
        <v>55</v>
      </c>
      <c r="AL1131" s="324" t="s">
        <v>55</v>
      </c>
      <c r="AM1131" s="324" t="s">
        <v>55</v>
      </c>
    </row>
    <row r="1132" spans="1:39" s="324" customFormat="1" ht="0.65" hidden="1" customHeight="1">
      <c r="A1132" s="324">
        <v>4216</v>
      </c>
      <c r="AA1132" s="324">
        <v>43</v>
      </c>
      <c r="AB1132" s="324" t="s">
        <v>645</v>
      </c>
      <c r="AC1132" s="324" t="s">
        <v>55</v>
      </c>
      <c r="AD1132" s="324" t="s">
        <v>55</v>
      </c>
      <c r="AE1132" s="324">
        <v>0</v>
      </c>
      <c r="AF1132" s="324" t="s">
        <v>611</v>
      </c>
      <c r="AG1132" s="324">
        <v>71875</v>
      </c>
      <c r="AH1132" s="324">
        <v>71875</v>
      </c>
      <c r="AI1132" s="324" t="s">
        <v>55</v>
      </c>
      <c r="AJ1132" s="324">
        <v>71875</v>
      </c>
      <c r="AK1132" s="324" t="s">
        <v>55</v>
      </c>
      <c r="AL1132" s="324" t="s">
        <v>55</v>
      </c>
      <c r="AM1132" s="324" t="s">
        <v>55</v>
      </c>
    </row>
    <row r="1133" spans="1:39" s="324" customFormat="1" ht="0.65" hidden="1" customHeight="1">
      <c r="A1133" s="324">
        <v>4217</v>
      </c>
      <c r="AA1133" s="324">
        <v>44</v>
      </c>
      <c r="AB1133" s="324" t="s">
        <v>645</v>
      </c>
      <c r="AC1133" s="324" t="s">
        <v>55</v>
      </c>
      <c r="AD1133" s="324" t="s">
        <v>55</v>
      </c>
      <c r="AE1133" s="324">
        <v>0</v>
      </c>
      <c r="AF1133" s="324" t="s">
        <v>612</v>
      </c>
      <c r="AG1133" s="324">
        <v>210937.5</v>
      </c>
      <c r="AH1133" s="324">
        <v>210937.5</v>
      </c>
      <c r="AI1133" s="324" t="s">
        <v>55</v>
      </c>
      <c r="AJ1133" s="324">
        <v>210937.5</v>
      </c>
      <c r="AK1133" s="324" t="s">
        <v>55</v>
      </c>
      <c r="AL1133" s="324" t="s">
        <v>55</v>
      </c>
      <c r="AM1133" s="324" t="s">
        <v>55</v>
      </c>
    </row>
    <row r="1134" spans="1:39" s="324" customFormat="1" ht="0.65" hidden="1" customHeight="1">
      <c r="A1134" s="324">
        <v>4218</v>
      </c>
      <c r="AA1134" s="324">
        <v>45</v>
      </c>
      <c r="AB1134" s="324" t="s">
        <v>645</v>
      </c>
      <c r="AC1134" s="324" t="s">
        <v>55</v>
      </c>
      <c r="AD1134" s="324" t="s">
        <v>55</v>
      </c>
      <c r="AE1134" s="324">
        <v>0</v>
      </c>
      <c r="AF1134" s="324" t="s">
        <v>124</v>
      </c>
      <c r="AG1134" s="324">
        <v>0.06</v>
      </c>
      <c r="AH1134" s="324">
        <v>0.06</v>
      </c>
      <c r="AI1134" s="324" t="s">
        <v>55</v>
      </c>
      <c r="AJ1134" s="324">
        <v>0.06</v>
      </c>
      <c r="AK1134" s="324" t="s">
        <v>55</v>
      </c>
      <c r="AL1134" s="324" t="s">
        <v>55</v>
      </c>
      <c r="AM1134" s="324" t="s">
        <v>55</v>
      </c>
    </row>
    <row r="1135" spans="1:39" s="324" customFormat="1" ht="0.65" hidden="1" customHeight="1">
      <c r="A1135" s="324">
        <v>4219</v>
      </c>
      <c r="AA1135" s="324">
        <v>46</v>
      </c>
      <c r="AB1135" s="324" t="s">
        <v>645</v>
      </c>
      <c r="AC1135" s="324" t="s">
        <v>55</v>
      </c>
      <c r="AD1135" s="324" t="s">
        <v>55</v>
      </c>
      <c r="AE1135" s="324">
        <v>0</v>
      </c>
      <c r="AF1135" s="324" t="s">
        <v>125</v>
      </c>
      <c r="AG1135" s="324">
        <v>0.11</v>
      </c>
      <c r="AH1135" s="324">
        <v>0.11</v>
      </c>
      <c r="AI1135" s="324" t="s">
        <v>55</v>
      </c>
      <c r="AJ1135" s="324">
        <v>0.11</v>
      </c>
      <c r="AK1135" s="324" t="s">
        <v>55</v>
      </c>
      <c r="AL1135" s="324" t="s">
        <v>55</v>
      </c>
      <c r="AM1135" s="324" t="s">
        <v>55</v>
      </c>
    </row>
    <row r="1136" spans="1:39" s="324" customFormat="1" ht="0.65" hidden="1" customHeight="1">
      <c r="A1136" s="324">
        <v>4220</v>
      </c>
      <c r="AA1136" s="324">
        <v>47</v>
      </c>
      <c r="AB1136" s="324" t="s">
        <v>645</v>
      </c>
      <c r="AC1136" s="324" t="s">
        <v>55</v>
      </c>
      <c r="AD1136" s="324" t="s">
        <v>55</v>
      </c>
      <c r="AE1136" s="324">
        <v>0</v>
      </c>
      <c r="AF1136" s="324" t="s">
        <v>126</v>
      </c>
      <c r="AG1136" s="324">
        <v>8.5000000000000006E-2</v>
      </c>
      <c r="AH1136" s="324">
        <v>8.4999999999999992E-2</v>
      </c>
      <c r="AI1136" s="324" t="s">
        <v>55</v>
      </c>
      <c r="AJ1136" s="324">
        <v>8.5000000000000006E-2</v>
      </c>
      <c r="AK1136" s="324" t="s">
        <v>55</v>
      </c>
      <c r="AL1136" s="324" t="s">
        <v>55</v>
      </c>
      <c r="AM1136" s="324" t="s">
        <v>55</v>
      </c>
    </row>
    <row r="1137" spans="1:39" s="324" customFormat="1" ht="0.65" hidden="1" customHeight="1">
      <c r="A1137" s="324">
        <v>4221</v>
      </c>
      <c r="AA1137" s="324">
        <v>48</v>
      </c>
      <c r="AB1137" s="324" t="s">
        <v>645</v>
      </c>
      <c r="AC1137" s="324" t="s">
        <v>55</v>
      </c>
      <c r="AD1137" s="324" t="s">
        <v>55</v>
      </c>
      <c r="AE1137" s="324">
        <v>0</v>
      </c>
      <c r="AF1137" s="324" t="s">
        <v>13</v>
      </c>
      <c r="AG1137" s="324">
        <v>-36847.959271750646</v>
      </c>
      <c r="AH1137" s="324">
        <v>-36847.959271750646</v>
      </c>
      <c r="AI1137" s="324" t="s">
        <v>55</v>
      </c>
      <c r="AJ1137" s="324">
        <v>-36847.959271750646</v>
      </c>
      <c r="AK1137" s="324" t="s">
        <v>55</v>
      </c>
      <c r="AL1137" s="324" t="s">
        <v>55</v>
      </c>
      <c r="AM1137" s="324" t="s">
        <v>55</v>
      </c>
    </row>
    <row r="1138" spans="1:39" s="324" customFormat="1" ht="0.65" hidden="1" customHeight="1">
      <c r="A1138" s="324">
        <v>4222</v>
      </c>
      <c r="AA1138" s="324">
        <v>49</v>
      </c>
      <c r="AB1138" s="324" t="s">
        <v>645</v>
      </c>
      <c r="AC1138" s="324" t="s">
        <v>55</v>
      </c>
      <c r="AD1138" s="324" t="s">
        <v>55</v>
      </c>
      <c r="AE1138" s="324">
        <v>0</v>
      </c>
      <c r="AF1138" s="324" t="s">
        <v>28</v>
      </c>
      <c r="AG1138" s="324">
        <v>3.0062994449785885E-2</v>
      </c>
      <c r="AH1138" s="324">
        <v>3.0062994449785885E-2</v>
      </c>
      <c r="AI1138" s="324" t="s">
        <v>55</v>
      </c>
      <c r="AJ1138" s="324">
        <v>3.0062994449785885E-2</v>
      </c>
      <c r="AK1138" s="324" t="s">
        <v>55</v>
      </c>
      <c r="AL1138" s="324" t="s">
        <v>55</v>
      </c>
      <c r="AM1138" s="324" t="s">
        <v>55</v>
      </c>
    </row>
    <row r="1139" spans="1:39" s="324" customFormat="1" ht="0.65" hidden="1" customHeight="1">
      <c r="A1139" s="324">
        <v>4223</v>
      </c>
      <c r="AH1139" s="324" t="s">
        <v>207</v>
      </c>
      <c r="AI1139" s="324">
        <v>0</v>
      </c>
      <c r="AJ1139" s="324" t="s">
        <v>207</v>
      </c>
      <c r="AK1139" s="324">
        <v>0</v>
      </c>
    </row>
    <row r="1140" spans="1:39" s="324" customFormat="1" ht="0.65" hidden="1" customHeight="1"/>
    <row r="1141" spans="1:39" s="324" customFormat="1" ht="0.65" hidden="1" customHeight="1"/>
    <row r="1142" spans="1:39" s="324" customFormat="1" ht="0.65" hidden="1" customHeight="1"/>
    <row r="1143" spans="1:39" s="324" customFormat="1" ht="0.65" hidden="1" customHeight="1">
      <c r="B1143" s="324" t="s">
        <v>19</v>
      </c>
      <c r="D1143" s="324" t="s">
        <v>336</v>
      </c>
      <c r="E1143" s="324">
        <v>5</v>
      </c>
    </row>
    <row r="1144" spans="1:39" s="324" customFormat="1" ht="0.65" hidden="1" customHeight="1">
      <c r="B1144" s="324" t="s">
        <v>3951</v>
      </c>
      <c r="D1144" s="324" t="s">
        <v>336</v>
      </c>
      <c r="E1144" s="324" t="s">
        <v>486</v>
      </c>
      <c r="H1144" s="324" t="s">
        <v>55</v>
      </c>
      <c r="I1144" s="324" t="s">
        <v>55</v>
      </c>
      <c r="J1144" s="324" t="s">
        <v>55</v>
      </c>
      <c r="K1144" s="324" t="s">
        <v>55</v>
      </c>
      <c r="L1144" s="324" t="s">
        <v>55</v>
      </c>
      <c r="M1144" s="324" t="s">
        <v>55</v>
      </c>
      <c r="N1144" s="324" t="s">
        <v>55</v>
      </c>
      <c r="O1144" s="324" t="s">
        <v>55</v>
      </c>
      <c r="P1144" s="324" t="s">
        <v>55</v>
      </c>
    </row>
    <row r="1145" spans="1:39" s="324" customFormat="1" ht="0.65" hidden="1" customHeight="1">
      <c r="A1145" s="324">
        <v>5001</v>
      </c>
      <c r="C1145" s="324" t="s">
        <v>5</v>
      </c>
      <c r="D1145" s="324">
        <v>2022</v>
      </c>
      <c r="G1145" s="324" t="s">
        <v>0</v>
      </c>
      <c r="H1145" s="324" t="s">
        <v>69</v>
      </c>
      <c r="I1145" s="324" t="s">
        <v>70</v>
      </c>
      <c r="J1145" s="324" t="s">
        <v>71</v>
      </c>
      <c r="K1145" s="324" t="s">
        <v>72</v>
      </c>
      <c r="L1145" s="324" t="s">
        <v>73</v>
      </c>
      <c r="M1145" s="324" t="s">
        <v>74</v>
      </c>
      <c r="N1145" s="324" t="s">
        <v>75</v>
      </c>
      <c r="O1145" s="324" t="s">
        <v>80</v>
      </c>
      <c r="P1145" s="324" t="s">
        <v>1</v>
      </c>
      <c r="U1145" s="324" t="s">
        <v>151</v>
      </c>
      <c r="AD1145" s="324" t="s">
        <v>455</v>
      </c>
    </row>
    <row r="1146" spans="1:39" s="324" customFormat="1" ht="0.65" hidden="1" customHeight="1">
      <c r="A1146" s="324">
        <v>5002</v>
      </c>
      <c r="G1146" s="324">
        <v>2022</v>
      </c>
      <c r="H1146" s="324">
        <v>0</v>
      </c>
      <c r="I1146" s="324">
        <v>0</v>
      </c>
      <c r="J1146" s="324">
        <v>0</v>
      </c>
      <c r="K1146" s="324">
        <v>0</v>
      </c>
      <c r="L1146" s="324">
        <v>0</v>
      </c>
      <c r="M1146" s="324">
        <v>0</v>
      </c>
      <c r="N1146" s="324">
        <v>0</v>
      </c>
      <c r="O1146" s="324">
        <v>0</v>
      </c>
      <c r="P1146" s="324">
        <v>-967500</v>
      </c>
      <c r="AD1146" s="324" t="s">
        <v>487</v>
      </c>
    </row>
    <row r="1147" spans="1:39" s="324" customFormat="1" ht="0.65" hidden="1" customHeight="1">
      <c r="A1147" s="324">
        <v>5003</v>
      </c>
      <c r="C1147" s="324" t="s">
        <v>32</v>
      </c>
      <c r="G1147" s="324">
        <v>2023</v>
      </c>
      <c r="H1147" s="324">
        <v>600000</v>
      </c>
      <c r="I1147" s="324">
        <v>150000</v>
      </c>
      <c r="J1147" s="324">
        <v>-30000</v>
      </c>
      <c r="K1147" s="324">
        <v>480000</v>
      </c>
      <c r="L1147" s="324">
        <v>120000</v>
      </c>
      <c r="M1147" s="324">
        <v>360000</v>
      </c>
      <c r="N1147" s="324">
        <v>330000</v>
      </c>
      <c r="O1147" s="324">
        <v>267500</v>
      </c>
      <c r="P1147" s="324">
        <v>267500</v>
      </c>
      <c r="U1147" s="324" t="s">
        <v>152</v>
      </c>
      <c r="Z1147" s="324" t="s">
        <v>176</v>
      </c>
      <c r="AA1147" s="324">
        <v>104229.1490951411</v>
      </c>
      <c r="AF1147" s="324" t="s">
        <v>247</v>
      </c>
    </row>
    <row r="1148" spans="1:39" s="324" customFormat="1" ht="0.65" hidden="1" customHeight="1">
      <c r="A1148" s="324">
        <v>5004</v>
      </c>
      <c r="C1148" s="324" t="s">
        <v>488</v>
      </c>
      <c r="D1148" s="324">
        <v>1200000</v>
      </c>
      <c r="E1148" s="324" t="s">
        <v>55</v>
      </c>
      <c r="G1148" s="324">
        <v>2024</v>
      </c>
      <c r="H1148" s="324">
        <v>600000</v>
      </c>
      <c r="I1148" s="324">
        <v>150000</v>
      </c>
      <c r="J1148" s="324">
        <v>-30000</v>
      </c>
      <c r="K1148" s="324">
        <v>480000</v>
      </c>
      <c r="L1148" s="324">
        <v>120000</v>
      </c>
      <c r="M1148" s="324">
        <v>360000</v>
      </c>
      <c r="N1148" s="324">
        <v>330000</v>
      </c>
      <c r="O1148" s="324">
        <v>330000</v>
      </c>
      <c r="P1148" s="324">
        <v>330000</v>
      </c>
      <c r="Y1148" s="324" t="s">
        <v>139</v>
      </c>
      <c r="Z1148" s="324" t="s">
        <v>174</v>
      </c>
      <c r="AF1148" s="324" t="s">
        <v>248</v>
      </c>
    </row>
    <row r="1149" spans="1:39" s="324" customFormat="1" ht="0.65" hidden="1" customHeight="1">
      <c r="A1149" s="324">
        <v>5005</v>
      </c>
      <c r="C1149" s="324" t="s">
        <v>6</v>
      </c>
      <c r="D1149" s="324">
        <v>10</v>
      </c>
      <c r="G1149" s="324">
        <v>2025</v>
      </c>
      <c r="H1149" s="324">
        <v>600000</v>
      </c>
      <c r="I1149" s="324">
        <v>150000</v>
      </c>
      <c r="J1149" s="324">
        <v>120000</v>
      </c>
      <c r="K1149" s="324">
        <v>330000</v>
      </c>
      <c r="L1149" s="324">
        <v>82500</v>
      </c>
      <c r="M1149" s="324">
        <v>247500</v>
      </c>
      <c r="N1149" s="324">
        <v>367500</v>
      </c>
      <c r="O1149" s="324">
        <v>367500</v>
      </c>
      <c r="P1149" s="324">
        <v>707500</v>
      </c>
      <c r="T1149" s="324" t="s">
        <v>187</v>
      </c>
      <c r="V1149" s="324" t="s">
        <v>180</v>
      </c>
      <c r="X1149" s="324" t="s">
        <v>177</v>
      </c>
      <c r="Y1149" s="324" t="s">
        <v>173</v>
      </c>
      <c r="Z1149" s="324" t="s">
        <v>175</v>
      </c>
      <c r="AA1149" s="324" t="s">
        <v>172</v>
      </c>
      <c r="AD1149" s="324" t="s">
        <v>177</v>
      </c>
      <c r="AE1149" s="324" t="s">
        <v>246</v>
      </c>
      <c r="AF1149" s="324" t="s">
        <v>249</v>
      </c>
      <c r="AG1149" s="324" t="s">
        <v>462</v>
      </c>
    </row>
    <row r="1150" spans="1:39" s="324" customFormat="1" ht="0.65" hidden="1" customHeight="1">
      <c r="A1150" s="324">
        <v>5006</v>
      </c>
      <c r="C1150" s="324" t="s">
        <v>489</v>
      </c>
      <c r="D1150" s="324">
        <v>120000</v>
      </c>
      <c r="H1150" s="324" t="s">
        <v>55</v>
      </c>
      <c r="I1150" s="324" t="s">
        <v>55</v>
      </c>
      <c r="J1150" s="324" t="s">
        <v>55</v>
      </c>
      <c r="K1150" s="324" t="s">
        <v>55</v>
      </c>
      <c r="T1150" s="324">
        <v>1</v>
      </c>
      <c r="U1150" s="324" t="s">
        <v>153</v>
      </c>
      <c r="V1150" s="324" t="s">
        <v>178</v>
      </c>
      <c r="W1150" s="324" t="s">
        <v>55</v>
      </c>
      <c r="X1150" s="324" t="s">
        <v>6</v>
      </c>
      <c r="Y1150" s="324">
        <v>10</v>
      </c>
      <c r="Z1150" s="324">
        <v>15</v>
      </c>
      <c r="AA1150" s="324">
        <v>102100.40098369643</v>
      </c>
      <c r="AB1150" s="324" t="s">
        <v>55</v>
      </c>
      <c r="AC1150" s="324">
        <v>1</v>
      </c>
      <c r="AD1150" s="324" t="s">
        <v>55</v>
      </c>
      <c r="AE1150" s="324" t="s">
        <v>55</v>
      </c>
      <c r="AF1150" s="324" t="s">
        <v>55</v>
      </c>
      <c r="AG1150" s="324" t="s">
        <v>55</v>
      </c>
    </row>
    <row r="1151" spans="1:39" s="324" customFormat="1" ht="0.65" hidden="1" customHeight="1">
      <c r="A1151" s="324">
        <v>5007</v>
      </c>
      <c r="G1151" s="324" t="s">
        <v>0</v>
      </c>
      <c r="H1151" s="324" t="s">
        <v>76</v>
      </c>
      <c r="I1151" s="324" t="s">
        <v>77</v>
      </c>
      <c r="J1151" s="324" t="s">
        <v>78</v>
      </c>
      <c r="K1151" s="324" t="s">
        <v>79</v>
      </c>
      <c r="N1151" s="324" t="s">
        <v>55</v>
      </c>
      <c r="P1151" s="324" t="s">
        <v>55</v>
      </c>
      <c r="T1151" s="324">
        <v>2</v>
      </c>
      <c r="U1151" s="324" t="s">
        <v>154</v>
      </c>
      <c r="V1151" s="324" t="s">
        <v>178</v>
      </c>
      <c r="W1151" s="324" t="s">
        <v>55</v>
      </c>
      <c r="X1151" s="324" t="s">
        <v>488</v>
      </c>
      <c r="Y1151" s="324">
        <v>1200000</v>
      </c>
      <c r="Z1151" s="324">
        <v>1320000</v>
      </c>
      <c r="AA1151" s="324">
        <v>8097.153366178507</v>
      </c>
      <c r="AB1151" s="324" t="s">
        <v>55</v>
      </c>
    </row>
    <row r="1152" spans="1:39" s="324" customFormat="1" ht="0.65" hidden="1" customHeight="1">
      <c r="A1152" s="324">
        <v>5008</v>
      </c>
      <c r="C1152" s="324" t="s">
        <v>34</v>
      </c>
      <c r="D1152" s="324">
        <v>600000</v>
      </c>
      <c r="G1152" s="324">
        <v>2022</v>
      </c>
      <c r="H1152" s="324">
        <v>0</v>
      </c>
      <c r="I1152" s="324">
        <v>0</v>
      </c>
      <c r="J1152" s="324">
        <v>0</v>
      </c>
      <c r="K1152" s="324">
        <v>0</v>
      </c>
      <c r="M1152" s="324" t="s">
        <v>490</v>
      </c>
      <c r="N1152" s="324">
        <v>967500</v>
      </c>
      <c r="O1152" s="324" t="s">
        <v>124</v>
      </c>
      <c r="P1152" s="324">
        <v>4.4999999999999998E-2</v>
      </c>
      <c r="T1152" s="324">
        <v>3</v>
      </c>
      <c r="U1152" s="324" t="s">
        <v>155</v>
      </c>
      <c r="V1152" s="324" t="s">
        <v>178</v>
      </c>
      <c r="W1152" s="324" t="s">
        <v>55</v>
      </c>
      <c r="X1152" s="324" t="s">
        <v>489</v>
      </c>
      <c r="Y1152" s="324">
        <v>120000</v>
      </c>
      <c r="Z1152" s="324">
        <v>108000</v>
      </c>
      <c r="AA1152" s="324">
        <v>97260.335143859891</v>
      </c>
      <c r="AB1152" s="324" t="s">
        <v>55</v>
      </c>
      <c r="AC1152" s="324">
        <v>2</v>
      </c>
      <c r="AD1152" s="324" t="s">
        <v>55</v>
      </c>
      <c r="AE1152" s="324" t="s">
        <v>55</v>
      </c>
      <c r="AF1152" s="324" t="s">
        <v>55</v>
      </c>
      <c r="AG1152" s="324" t="s">
        <v>55</v>
      </c>
    </row>
    <row r="1153" spans="1:33" s="324" customFormat="1" ht="0.65" hidden="1" customHeight="1">
      <c r="A1153" s="324">
        <v>5009</v>
      </c>
      <c r="C1153" s="324" t="s">
        <v>35</v>
      </c>
      <c r="D1153" s="324">
        <v>150000</v>
      </c>
      <c r="G1153" s="324">
        <v>2023</v>
      </c>
      <c r="H1153" s="324">
        <v>100000</v>
      </c>
      <c r="I1153" s="324">
        <v>37500</v>
      </c>
      <c r="J1153" s="324">
        <v>62500</v>
      </c>
      <c r="K1153" s="324">
        <v>62500</v>
      </c>
      <c r="M1153" s="324" t="s">
        <v>491</v>
      </c>
      <c r="N1153" s="324">
        <v>277500</v>
      </c>
      <c r="O1153" s="324" t="s">
        <v>125</v>
      </c>
      <c r="P1153" s="324">
        <v>0.1</v>
      </c>
      <c r="T1153" s="324">
        <v>4</v>
      </c>
      <c r="U1153" s="324" t="s">
        <v>156</v>
      </c>
      <c r="V1153" s="324" t="s">
        <v>179</v>
      </c>
      <c r="W1153" s="324" t="s">
        <v>55</v>
      </c>
      <c r="X1153" s="324" t="s">
        <v>492</v>
      </c>
      <c r="Y1153" s="324">
        <v>210000</v>
      </c>
      <c r="Z1153" s="324">
        <v>231000.00000000003</v>
      </c>
      <c r="AA1153" s="324">
        <v>119979.14909514113</v>
      </c>
      <c r="AB1153" s="324" t="s">
        <v>55</v>
      </c>
    </row>
    <row r="1154" spans="1:33" s="324" customFormat="1" ht="0.65" hidden="1" customHeight="1">
      <c r="A1154" s="324">
        <v>5010</v>
      </c>
      <c r="G1154" s="324">
        <v>2024</v>
      </c>
      <c r="H1154" s="324">
        <v>100000</v>
      </c>
      <c r="I1154" s="324">
        <v>37500</v>
      </c>
      <c r="J1154" s="324">
        <v>62500</v>
      </c>
      <c r="K1154" s="324">
        <v>0</v>
      </c>
      <c r="M1154" s="324" t="s">
        <v>493</v>
      </c>
      <c r="N1154" s="324">
        <v>62500</v>
      </c>
      <c r="O1154" s="324" t="s">
        <v>126</v>
      </c>
      <c r="P1154" s="324">
        <v>8.8999999999999996E-2</v>
      </c>
      <c r="T1154" s="324">
        <v>5</v>
      </c>
      <c r="U1154" s="324" t="s">
        <v>157</v>
      </c>
      <c r="V1154" s="324" t="s">
        <v>178</v>
      </c>
      <c r="W1154" s="324" t="s">
        <v>55</v>
      </c>
      <c r="X1154" s="324" t="s">
        <v>6</v>
      </c>
      <c r="Y1154" s="324">
        <v>2</v>
      </c>
      <c r="Z1154" s="324">
        <v>1</v>
      </c>
      <c r="AA1154" s="324">
        <v>101414.88069109057</v>
      </c>
      <c r="AB1154" s="324" t="s">
        <v>55</v>
      </c>
      <c r="AC1154" s="324">
        <v>3</v>
      </c>
      <c r="AD1154" s="324" t="s">
        <v>55</v>
      </c>
      <c r="AE1154" s="324" t="s">
        <v>55</v>
      </c>
      <c r="AF1154" s="324" t="s">
        <v>55</v>
      </c>
      <c r="AG1154" s="324" t="s">
        <v>55</v>
      </c>
    </row>
    <row r="1155" spans="1:33" s="324" customFormat="1" ht="0.65" hidden="1" customHeight="1">
      <c r="A1155" s="324">
        <v>5011</v>
      </c>
      <c r="C1155" s="324" t="s">
        <v>7</v>
      </c>
      <c r="D1155" s="324">
        <v>60</v>
      </c>
      <c r="G1155" s="324">
        <v>2025</v>
      </c>
      <c r="H1155" s="324">
        <v>100000</v>
      </c>
      <c r="I1155" s="324">
        <v>37500</v>
      </c>
      <c r="J1155" s="324">
        <v>62500</v>
      </c>
      <c r="K1155" s="324">
        <v>0</v>
      </c>
      <c r="M1155" s="324" t="s">
        <v>494</v>
      </c>
      <c r="N1155" s="324">
        <v>340000</v>
      </c>
      <c r="T1155" s="324">
        <v>6</v>
      </c>
      <c r="U1155" s="324" t="s">
        <v>158</v>
      </c>
      <c r="V1155" s="324" t="s">
        <v>179</v>
      </c>
      <c r="W1155" s="324" t="s">
        <v>55</v>
      </c>
      <c r="X1155" s="324" t="s">
        <v>495</v>
      </c>
      <c r="Y1155" s="324">
        <v>300000</v>
      </c>
      <c r="Z1155" s="324">
        <v>330000</v>
      </c>
      <c r="AA1155" s="324">
        <v>105123.52359394835</v>
      </c>
      <c r="AB1155" s="324" t="s">
        <v>55</v>
      </c>
    </row>
    <row r="1156" spans="1:33" s="324" customFormat="1" ht="0.65" hidden="1" customHeight="1">
      <c r="A1156" s="324">
        <v>5012</v>
      </c>
      <c r="C1156" s="324" t="s">
        <v>8</v>
      </c>
      <c r="D1156" s="324">
        <v>90</v>
      </c>
      <c r="T1156" s="324">
        <v>7</v>
      </c>
      <c r="U1156" s="324" t="s">
        <v>159</v>
      </c>
      <c r="V1156" s="324" t="s">
        <v>178</v>
      </c>
      <c r="W1156" s="324" t="s">
        <v>55</v>
      </c>
      <c r="X1156" s="324" t="s">
        <v>492</v>
      </c>
      <c r="Y1156" s="324">
        <v>210000</v>
      </c>
      <c r="Z1156" s="324">
        <v>189000</v>
      </c>
      <c r="AA1156" s="324">
        <v>88479.149095141096</v>
      </c>
      <c r="AB1156" s="324" t="s">
        <v>55</v>
      </c>
      <c r="AC1156" s="324">
        <v>4</v>
      </c>
      <c r="AD1156" s="324" t="s">
        <v>55</v>
      </c>
      <c r="AE1156" s="324" t="s">
        <v>55</v>
      </c>
      <c r="AF1156" s="324" t="s">
        <v>55</v>
      </c>
      <c r="AG1156" s="324" t="s">
        <v>55</v>
      </c>
    </row>
    <row r="1157" spans="1:33" s="324" customFormat="1" ht="0.65" hidden="1" customHeight="1">
      <c r="A1157" s="324">
        <v>5013</v>
      </c>
      <c r="O1157" s="324" t="s">
        <v>13</v>
      </c>
      <c r="P1157" s="324">
        <v>104229.1490951411</v>
      </c>
      <c r="T1157" s="324">
        <v>8</v>
      </c>
      <c r="U1157" s="324" t="s">
        <v>160</v>
      </c>
      <c r="V1157" s="324" t="s">
        <v>178</v>
      </c>
      <c r="W1157" s="324" t="s">
        <v>55</v>
      </c>
      <c r="X1157" s="324" t="s">
        <v>489</v>
      </c>
      <c r="Y1157" s="324">
        <v>30000</v>
      </c>
      <c r="Z1157" s="324">
        <v>33000</v>
      </c>
      <c r="AA1157" s="324">
        <v>102486.9456073208</v>
      </c>
      <c r="AB1157" s="324" t="s">
        <v>55</v>
      </c>
    </row>
    <row r="1158" spans="1:33" s="324" customFormat="1" ht="0.65" hidden="1" customHeight="1">
      <c r="A1158" s="324">
        <v>5014</v>
      </c>
      <c r="C1158" s="324" t="s">
        <v>33</v>
      </c>
      <c r="O1158" s="324" t="s">
        <v>28</v>
      </c>
      <c r="P1158" s="324">
        <v>0.13927532491339289</v>
      </c>
      <c r="T1158" s="324">
        <v>9</v>
      </c>
      <c r="U1158" s="324" t="s">
        <v>161</v>
      </c>
      <c r="V1158" s="324" t="s">
        <v>179</v>
      </c>
      <c r="W1158" s="324" t="s">
        <v>55</v>
      </c>
      <c r="X1158" s="324" t="s">
        <v>34</v>
      </c>
      <c r="Y1158" s="324">
        <v>600000</v>
      </c>
      <c r="Z1158" s="324">
        <v>660000</v>
      </c>
      <c r="AA1158" s="324">
        <v>216901.11502293096</v>
      </c>
      <c r="AB1158" s="324" t="s">
        <v>55</v>
      </c>
      <c r="AC1158" s="324">
        <v>5</v>
      </c>
      <c r="AD1158" s="324" t="s">
        <v>55</v>
      </c>
      <c r="AE1158" s="324" t="s">
        <v>55</v>
      </c>
      <c r="AF1158" s="324" t="s">
        <v>55</v>
      </c>
      <c r="AG1158" s="324" t="s">
        <v>55</v>
      </c>
    </row>
    <row r="1159" spans="1:33" s="324" customFormat="1" ht="0.65" hidden="1" customHeight="1">
      <c r="A1159" s="324">
        <v>5015</v>
      </c>
      <c r="C1159" s="324" t="s">
        <v>492</v>
      </c>
      <c r="D1159" s="324">
        <v>210000</v>
      </c>
      <c r="K1159" s="324" t="s">
        <v>127</v>
      </c>
      <c r="L1159" s="324" t="s">
        <v>36</v>
      </c>
      <c r="M1159" s="324" t="s">
        <v>55</v>
      </c>
      <c r="T1159" s="324">
        <v>10</v>
      </c>
      <c r="U1159" s="324" t="s">
        <v>162</v>
      </c>
      <c r="V1159" s="324" t="s">
        <v>178</v>
      </c>
      <c r="W1159" s="324" t="s">
        <v>55</v>
      </c>
      <c r="X1159" s="324" t="s">
        <v>7</v>
      </c>
      <c r="Y1159" s="324">
        <v>60</v>
      </c>
      <c r="Z1159" s="324">
        <v>90</v>
      </c>
      <c r="AA1159" s="324">
        <v>97031.099880495807</v>
      </c>
      <c r="AB1159" s="324" t="s">
        <v>55</v>
      </c>
    </row>
    <row r="1160" spans="1:33" s="324" customFormat="1" ht="0.65" hidden="1" customHeight="1">
      <c r="A1160" s="324">
        <v>5016</v>
      </c>
      <c r="C1160" s="324" t="s">
        <v>495</v>
      </c>
      <c r="D1160" s="324">
        <v>300000</v>
      </c>
      <c r="E1160" s="324" t="s">
        <v>55</v>
      </c>
      <c r="K1160" s="324" t="s">
        <v>496</v>
      </c>
      <c r="L1160" s="324" t="s">
        <v>424</v>
      </c>
      <c r="T1160" s="324">
        <v>11</v>
      </c>
      <c r="U1160" s="324" t="s">
        <v>163</v>
      </c>
      <c r="V1160" s="324" t="s">
        <v>179</v>
      </c>
      <c r="W1160" s="324" t="s">
        <v>55</v>
      </c>
      <c r="X1160" s="324" t="s">
        <v>35</v>
      </c>
      <c r="Y1160" s="324">
        <v>150000</v>
      </c>
      <c r="Z1160" s="324">
        <v>135000</v>
      </c>
      <c r="AA1160" s="324">
        <v>132217.18934672244</v>
      </c>
      <c r="AB1160" s="324" t="s">
        <v>55</v>
      </c>
      <c r="AC1160" s="324">
        <v>6</v>
      </c>
      <c r="AD1160" s="324" t="s">
        <v>55</v>
      </c>
      <c r="AE1160" s="324" t="s">
        <v>55</v>
      </c>
      <c r="AF1160" s="324" t="s">
        <v>55</v>
      </c>
      <c r="AG1160" s="324" t="s">
        <v>55</v>
      </c>
    </row>
    <row r="1161" spans="1:33" s="324" customFormat="1" ht="0.65" hidden="1" customHeight="1">
      <c r="A1161" s="324">
        <v>5017</v>
      </c>
      <c r="C1161" s="324" t="s">
        <v>6</v>
      </c>
      <c r="D1161" s="324">
        <v>2</v>
      </c>
      <c r="K1161" s="324" t="s">
        <v>410</v>
      </c>
      <c r="L1161" s="324">
        <v>0</v>
      </c>
      <c r="M1161" s="324" t="s">
        <v>337</v>
      </c>
      <c r="T1161" s="324">
        <v>12</v>
      </c>
      <c r="U1161" s="324" t="s">
        <v>164</v>
      </c>
      <c r="V1161" s="324" t="s">
        <v>178</v>
      </c>
      <c r="W1161" s="324" t="s">
        <v>55</v>
      </c>
      <c r="X1161" s="324" t="s">
        <v>8</v>
      </c>
      <c r="Y1161" s="324">
        <v>90</v>
      </c>
      <c r="Z1161" s="324">
        <v>60</v>
      </c>
      <c r="AA1161" s="324">
        <v>102429.63679147977</v>
      </c>
      <c r="AB1161" s="324" t="s">
        <v>55</v>
      </c>
    </row>
    <row r="1162" spans="1:33" s="324" customFormat="1" ht="0.65" hidden="1" customHeight="1">
      <c r="A1162" s="324">
        <v>5018</v>
      </c>
      <c r="C1162" s="324" t="s">
        <v>489</v>
      </c>
      <c r="D1162" s="324">
        <v>30000</v>
      </c>
      <c r="N1162" s="324" t="s">
        <v>55</v>
      </c>
      <c r="T1162" s="324">
        <v>13</v>
      </c>
      <c r="U1162" s="324" t="s">
        <v>165</v>
      </c>
      <c r="V1162" s="324" t="s">
        <v>178</v>
      </c>
      <c r="W1162" s="324" t="s">
        <v>55</v>
      </c>
      <c r="X1162" s="324" t="s">
        <v>10</v>
      </c>
      <c r="Y1162" s="324">
        <v>360000</v>
      </c>
      <c r="Z1162" s="324">
        <v>396000.00000000006</v>
      </c>
      <c r="AA1162" s="324">
        <v>102210.9329322718</v>
      </c>
      <c r="AB1162" s="324" t="s">
        <v>55</v>
      </c>
      <c r="AC1162" s="324">
        <v>7</v>
      </c>
      <c r="AD1162" s="324" t="s">
        <v>55</v>
      </c>
      <c r="AE1162" s="324" t="s">
        <v>55</v>
      </c>
      <c r="AF1162" s="324" t="s">
        <v>55</v>
      </c>
      <c r="AG1162" s="324" t="s">
        <v>55</v>
      </c>
    </row>
    <row r="1163" spans="1:33" s="324" customFormat="1" ht="0.65" hidden="1" customHeight="1">
      <c r="A1163" s="324">
        <v>5019</v>
      </c>
      <c r="K1163" s="324" t="s">
        <v>413</v>
      </c>
      <c r="L1163" s="324">
        <v>33</v>
      </c>
      <c r="M1163" s="324" t="s">
        <v>55</v>
      </c>
      <c r="T1163" s="324">
        <v>14</v>
      </c>
      <c r="U1163" s="324" t="s">
        <v>166</v>
      </c>
      <c r="V1163" s="324" t="s">
        <v>179</v>
      </c>
      <c r="W1163" s="324" t="s">
        <v>55</v>
      </c>
      <c r="X1163" s="324" t="s">
        <v>12</v>
      </c>
      <c r="Y1163" s="324">
        <v>0.02</v>
      </c>
      <c r="Z1163" s="324">
        <v>0.01</v>
      </c>
      <c r="AA1163" s="324">
        <v>122433.76168979386</v>
      </c>
      <c r="AB1163" s="324" t="s">
        <v>55</v>
      </c>
    </row>
    <row r="1164" spans="1:33" s="324" customFormat="1" ht="0.65" hidden="1" customHeight="1">
      <c r="A1164" s="324">
        <v>5020</v>
      </c>
      <c r="C1164" s="324" t="s">
        <v>4</v>
      </c>
      <c r="D1164" s="324">
        <v>0.25</v>
      </c>
      <c r="K1164" s="324" t="s">
        <v>479</v>
      </c>
      <c r="N1164" s="324" t="s">
        <v>466</v>
      </c>
      <c r="T1164" s="324">
        <v>15</v>
      </c>
      <c r="U1164" s="324" t="s">
        <v>167</v>
      </c>
      <c r="V1164" s="324" t="s">
        <v>178</v>
      </c>
      <c r="W1164" s="324" t="s">
        <v>55</v>
      </c>
      <c r="X1164" s="324" t="s">
        <v>11</v>
      </c>
      <c r="Y1164" s="324">
        <v>1920000</v>
      </c>
      <c r="Z1164" s="324">
        <v>2112000</v>
      </c>
      <c r="AA1164" s="324">
        <v>90005.672004841865</v>
      </c>
      <c r="AB1164" s="324" t="s">
        <v>55</v>
      </c>
      <c r="AC1164" s="324">
        <v>8</v>
      </c>
      <c r="AD1164" s="324" t="s">
        <v>55</v>
      </c>
      <c r="AE1164" s="324" t="s">
        <v>55</v>
      </c>
      <c r="AF1164" s="324" t="s">
        <v>55</v>
      </c>
      <c r="AG1164" s="324" t="s">
        <v>55</v>
      </c>
    </row>
    <row r="1165" spans="1:33" s="324" customFormat="1" ht="0.65" hidden="1" customHeight="1">
      <c r="A1165" s="324">
        <v>5021</v>
      </c>
      <c r="D1165" s="324" t="s">
        <v>9</v>
      </c>
      <c r="K1165" s="324" t="s">
        <v>409</v>
      </c>
      <c r="L1165" s="324" t="s">
        <v>38</v>
      </c>
      <c r="M1165" s="324" t="s">
        <v>55</v>
      </c>
      <c r="N1165" s="324" t="s">
        <v>467</v>
      </c>
      <c r="O1165" s="324" t="s">
        <v>468</v>
      </c>
      <c r="T1165" s="324">
        <v>16</v>
      </c>
      <c r="U1165" s="324" t="s">
        <v>168</v>
      </c>
      <c r="V1165" s="324" t="s">
        <v>181</v>
      </c>
      <c r="W1165" s="324" t="s">
        <v>55</v>
      </c>
      <c r="X1165" s="324" t="s">
        <v>3</v>
      </c>
      <c r="Y1165" s="324">
        <v>24000000</v>
      </c>
      <c r="Z1165" s="324">
        <v>26400000.000000004</v>
      </c>
      <c r="AA1165" s="324">
        <v>115804.4586016777</v>
      </c>
      <c r="AB1165" s="324" t="s">
        <v>55</v>
      </c>
    </row>
    <row r="1166" spans="1:33" s="324" customFormat="1" ht="0.65" hidden="1" customHeight="1">
      <c r="A1166" s="324">
        <v>5022</v>
      </c>
      <c r="N1166" s="324" t="s">
        <v>469</v>
      </c>
      <c r="O1166" s="324" t="s">
        <v>470</v>
      </c>
      <c r="T1166" s="324">
        <v>17</v>
      </c>
      <c r="U1166" s="324" t="s">
        <v>169</v>
      </c>
      <c r="V1166" s="324" t="s">
        <v>178</v>
      </c>
      <c r="W1166" s="324" t="s">
        <v>55</v>
      </c>
      <c r="X1166" s="324" t="s">
        <v>2</v>
      </c>
      <c r="Y1166" s="324">
        <v>6000000</v>
      </c>
      <c r="Z1166" s="324">
        <v>3000000</v>
      </c>
      <c r="AA1166" s="324">
        <v>91987.927297868824</v>
      </c>
      <c r="AB1166" s="324" t="s">
        <v>55</v>
      </c>
      <c r="AC1166" s="324">
        <v>9</v>
      </c>
      <c r="AD1166" s="324" t="s">
        <v>55</v>
      </c>
      <c r="AE1166" s="324" t="s">
        <v>55</v>
      </c>
      <c r="AF1166" s="324" t="s">
        <v>55</v>
      </c>
      <c r="AG1166" s="324" t="s">
        <v>55</v>
      </c>
    </row>
    <row r="1167" spans="1:33" s="324" customFormat="1" ht="0.65" hidden="1" customHeight="1">
      <c r="A1167" s="324">
        <v>5023</v>
      </c>
      <c r="C1167" s="324" t="s">
        <v>10</v>
      </c>
      <c r="D1167" s="324">
        <v>360000</v>
      </c>
      <c r="N1167" s="324" t="s">
        <v>471</v>
      </c>
      <c r="O1167" s="324" t="s">
        <v>472</v>
      </c>
      <c r="T1167" s="324">
        <v>18</v>
      </c>
      <c r="U1167" s="324" t="s">
        <v>170</v>
      </c>
      <c r="V1167" s="324" t="s">
        <v>181</v>
      </c>
      <c r="W1167" s="324" t="s">
        <v>55</v>
      </c>
      <c r="X1167" s="324" t="s">
        <v>4</v>
      </c>
      <c r="Y1167" s="324">
        <v>0.25</v>
      </c>
      <c r="Z1167" s="324">
        <v>0.3</v>
      </c>
      <c r="AA1167" s="324">
        <v>84054.941027964873</v>
      </c>
      <c r="AB1167" s="324" t="s">
        <v>55</v>
      </c>
    </row>
    <row r="1168" spans="1:33" s="324" customFormat="1" ht="0.65" hidden="1" customHeight="1">
      <c r="A1168" s="324">
        <v>5024</v>
      </c>
      <c r="C1168" s="324" t="s">
        <v>11</v>
      </c>
      <c r="D1168" s="324">
        <v>1920000</v>
      </c>
      <c r="I1168" s="324" t="s">
        <v>320</v>
      </c>
      <c r="K1168" s="324" t="s">
        <v>497</v>
      </c>
      <c r="L1168" s="324" t="s">
        <v>498</v>
      </c>
      <c r="M1168" s="324" t="s">
        <v>55</v>
      </c>
      <c r="T1168" s="324">
        <v>19</v>
      </c>
      <c r="U1168" s="324" t="s">
        <v>171</v>
      </c>
      <c r="V1168" s="324" t="s">
        <v>181</v>
      </c>
      <c r="W1168" s="324" t="s">
        <v>55</v>
      </c>
      <c r="X1168" s="324" t="s">
        <v>14</v>
      </c>
      <c r="Y1168" s="324" t="s">
        <v>16</v>
      </c>
      <c r="Z1168" s="324">
        <v>4</v>
      </c>
      <c r="AA1168" s="324">
        <v>322686.2859578731</v>
      </c>
      <c r="AB1168" s="324" t="s">
        <v>55</v>
      </c>
      <c r="AC1168" s="324">
        <v>10</v>
      </c>
      <c r="AD1168" s="324" t="s">
        <v>55</v>
      </c>
      <c r="AE1168" s="324" t="s">
        <v>55</v>
      </c>
      <c r="AF1168" s="324" t="s">
        <v>55</v>
      </c>
      <c r="AG1168" s="324" t="s">
        <v>55</v>
      </c>
    </row>
    <row r="1169" spans="1:33" s="324" customFormat="1" ht="0.65" hidden="1" customHeight="1">
      <c r="A1169" s="324">
        <v>5025</v>
      </c>
      <c r="C1169" s="324" t="s">
        <v>12</v>
      </c>
      <c r="D1169" s="324">
        <v>0.02</v>
      </c>
    </row>
    <row r="1170" spans="1:33" s="324" customFormat="1" ht="0.65" hidden="1" customHeight="1">
      <c r="A1170" s="324">
        <v>5026</v>
      </c>
      <c r="C1170" s="324" t="s">
        <v>2</v>
      </c>
      <c r="D1170" s="324">
        <v>6000000</v>
      </c>
      <c r="I1170" s="324" t="s">
        <v>318</v>
      </c>
      <c r="K1170" s="324" t="s">
        <v>497</v>
      </c>
      <c r="L1170" s="324" t="s">
        <v>498</v>
      </c>
      <c r="M1170" s="324" t="s">
        <v>1624</v>
      </c>
      <c r="AC1170" s="324">
        <v>11</v>
      </c>
      <c r="AD1170" s="324" t="s">
        <v>55</v>
      </c>
      <c r="AE1170" s="324" t="s">
        <v>55</v>
      </c>
      <c r="AF1170" s="324" t="s">
        <v>55</v>
      </c>
      <c r="AG1170" s="324" t="s">
        <v>55</v>
      </c>
    </row>
    <row r="1171" spans="1:33" s="324" customFormat="1" ht="0.65" hidden="1" customHeight="1">
      <c r="A1171" s="324">
        <v>5027</v>
      </c>
      <c r="C1171" s="324" t="s">
        <v>3</v>
      </c>
      <c r="D1171" s="324">
        <v>24000000</v>
      </c>
      <c r="U1171" s="324" t="s">
        <v>127</v>
      </c>
      <c r="V1171" s="324" t="s">
        <v>36</v>
      </c>
      <c r="W1171" s="324" t="s">
        <v>55</v>
      </c>
    </row>
    <row r="1172" spans="1:33" s="324" customFormat="1" ht="0.65" hidden="1" customHeight="1">
      <c r="A1172" s="324">
        <v>5028</v>
      </c>
      <c r="AC1172" s="324">
        <v>12</v>
      </c>
      <c r="AD1172" s="324" t="s">
        <v>55</v>
      </c>
      <c r="AE1172" s="324" t="s">
        <v>55</v>
      </c>
      <c r="AF1172" s="324" t="s">
        <v>55</v>
      </c>
      <c r="AG1172" s="324" t="s">
        <v>55</v>
      </c>
    </row>
    <row r="1173" spans="1:33" s="324" customFormat="1" ht="0.65" hidden="1" customHeight="1">
      <c r="A1173" s="324">
        <v>5029</v>
      </c>
      <c r="C1173" s="324" t="s">
        <v>14</v>
      </c>
      <c r="D1173" s="324" t="s">
        <v>16</v>
      </c>
      <c r="V1173" s="324">
        <v>0</v>
      </c>
    </row>
    <row r="1174" spans="1:33" s="324" customFormat="1" ht="0.65" hidden="1" customHeight="1">
      <c r="A1174" s="324">
        <v>5030</v>
      </c>
      <c r="G1174" s="324" t="s">
        <v>128</v>
      </c>
      <c r="M1174" s="324" t="s">
        <v>500</v>
      </c>
      <c r="AC1174" s="324">
        <v>13</v>
      </c>
      <c r="AD1174" s="324" t="s">
        <v>55</v>
      </c>
      <c r="AE1174" s="324" t="s">
        <v>55</v>
      </c>
      <c r="AF1174" s="324" t="s">
        <v>55</v>
      </c>
      <c r="AG1174" s="324" t="s">
        <v>55</v>
      </c>
    </row>
    <row r="1175" spans="1:33" s="324" customFormat="1" ht="0.65" hidden="1" customHeight="1">
      <c r="A1175" s="324">
        <v>5031</v>
      </c>
      <c r="B1175" s="324" t="s">
        <v>460</v>
      </c>
      <c r="F1175" s="324">
        <v>1</v>
      </c>
      <c r="I1175" s="324" t="s">
        <v>129</v>
      </c>
      <c r="J1175" s="324">
        <v>1</v>
      </c>
      <c r="K1175" s="324" t="s">
        <v>501</v>
      </c>
      <c r="U1175" s="324" t="s">
        <v>204</v>
      </c>
      <c r="V1175" s="324">
        <v>12</v>
      </c>
      <c r="W1175" s="324" t="s">
        <v>55</v>
      </c>
    </row>
    <row r="1176" spans="1:33" s="324" customFormat="1" ht="0.65" hidden="1" customHeight="1">
      <c r="A1176" s="324">
        <v>5032</v>
      </c>
      <c r="F1176" s="324">
        <v>1.5</v>
      </c>
      <c r="I1176" s="324" t="s">
        <v>138</v>
      </c>
      <c r="J1176" s="324">
        <v>1.5</v>
      </c>
      <c r="K1176" s="324" t="s">
        <v>502</v>
      </c>
      <c r="Z1176" s="324" t="s">
        <v>291</v>
      </c>
      <c r="AC1176" s="324">
        <v>14</v>
      </c>
      <c r="AD1176" s="324" t="s">
        <v>55</v>
      </c>
      <c r="AE1176" s="324" t="s">
        <v>55</v>
      </c>
      <c r="AF1176" s="324" t="s">
        <v>55</v>
      </c>
      <c r="AG1176" s="324" t="s">
        <v>55</v>
      </c>
    </row>
    <row r="1177" spans="1:33" s="324" customFormat="1" ht="0.65" hidden="1" customHeight="1">
      <c r="A1177" s="324">
        <v>5033</v>
      </c>
      <c r="F1177" s="324">
        <v>1.5</v>
      </c>
      <c r="I1177" s="324" t="s">
        <v>130</v>
      </c>
      <c r="J1177" s="324">
        <v>1.5</v>
      </c>
      <c r="K1177" s="324" t="s">
        <v>502</v>
      </c>
      <c r="W1177" s="324" t="s">
        <v>139</v>
      </c>
      <c r="X1177" s="324" t="s">
        <v>174</v>
      </c>
      <c r="Z1177" s="324" t="s">
        <v>1625</v>
      </c>
      <c r="AA1177" s="324">
        <v>-1799.5123036613222</v>
      </c>
      <c r="AB1177" s="324">
        <v>-1799.5123036613222</v>
      </c>
    </row>
    <row r="1178" spans="1:33" s="324" customFormat="1" ht="0.65" hidden="1" customHeight="1">
      <c r="A1178" s="324">
        <v>5034</v>
      </c>
      <c r="F1178" s="324">
        <v>1</v>
      </c>
      <c r="I1178" s="324" t="s">
        <v>131</v>
      </c>
      <c r="J1178" s="324">
        <v>1</v>
      </c>
      <c r="K1178" s="324" t="s">
        <v>501</v>
      </c>
      <c r="V1178" s="324" t="s">
        <v>177</v>
      </c>
      <c r="W1178" s="324" t="s">
        <v>173</v>
      </c>
      <c r="X1178" s="324" t="s">
        <v>175</v>
      </c>
      <c r="Z1178" s="324">
        <v>-1799.5123036613222</v>
      </c>
      <c r="AA1178" s="324">
        <v>-1799.5123036613222</v>
      </c>
      <c r="AB1178" s="324">
        <v>-1799.5123036613222</v>
      </c>
      <c r="AC1178" s="324">
        <v>15</v>
      </c>
      <c r="AD1178" s="324" t="s">
        <v>55</v>
      </c>
      <c r="AE1178" s="324" t="s">
        <v>55</v>
      </c>
      <c r="AF1178" s="324" t="s">
        <v>55</v>
      </c>
      <c r="AG1178" s="324" t="s">
        <v>55</v>
      </c>
    </row>
    <row r="1179" spans="1:33" s="324" customFormat="1" ht="0.65" hidden="1" customHeight="1">
      <c r="A1179" s="324">
        <v>5035</v>
      </c>
      <c r="F1179" s="324">
        <v>1</v>
      </c>
      <c r="I1179" s="324" t="s">
        <v>132</v>
      </c>
      <c r="J1179" s="324">
        <v>1</v>
      </c>
      <c r="K1179" s="324" t="s">
        <v>501</v>
      </c>
      <c r="T1179" s="324">
        <v>12</v>
      </c>
      <c r="U1179" s="324" t="s">
        <v>164</v>
      </c>
      <c r="V1179" s="324" t="s">
        <v>8</v>
      </c>
      <c r="W1179" s="324">
        <v>90</v>
      </c>
      <c r="X1179" s="324">
        <v>60</v>
      </c>
      <c r="Z1179" s="324">
        <v>-1799.5123036613222</v>
      </c>
      <c r="AA1179" s="324">
        <v>-1799.5123036613222</v>
      </c>
      <c r="AB1179" s="324">
        <v>-1799.5123036613222</v>
      </c>
    </row>
    <row r="1180" spans="1:33" s="324" customFormat="1" ht="0.65" hidden="1" customHeight="1">
      <c r="A1180" s="324">
        <v>5036</v>
      </c>
      <c r="F1180" s="324">
        <v>0.5</v>
      </c>
      <c r="I1180" s="324" t="s">
        <v>133</v>
      </c>
      <c r="J1180" s="324">
        <v>0.5</v>
      </c>
      <c r="K1180" s="324" t="s">
        <v>504</v>
      </c>
      <c r="V1180" s="324" t="s">
        <v>13</v>
      </c>
      <c r="W1180" s="324">
        <v>104229.1490951411</v>
      </c>
      <c r="X1180" s="324">
        <v>102429.63679147977</v>
      </c>
      <c r="Z1180" s="324">
        <v>-1799.5123036613222</v>
      </c>
      <c r="AA1180" s="324">
        <v>-1799.5123036613222</v>
      </c>
      <c r="AB1180" s="324">
        <v>-1799.5123036613222</v>
      </c>
      <c r="AC1180" s="324">
        <v>16</v>
      </c>
      <c r="AD1180" s="324" t="s">
        <v>55</v>
      </c>
      <c r="AE1180" s="324" t="s">
        <v>55</v>
      </c>
      <c r="AF1180" s="324" t="s">
        <v>55</v>
      </c>
      <c r="AG1180" s="324" t="s">
        <v>55</v>
      </c>
    </row>
    <row r="1181" spans="1:33" s="324" customFormat="1" ht="0.65" hidden="1" customHeight="1">
      <c r="A1181" s="324">
        <v>5037</v>
      </c>
      <c r="F1181" s="324">
        <v>0.5</v>
      </c>
      <c r="I1181" s="324" t="s">
        <v>134</v>
      </c>
      <c r="J1181" s="324">
        <v>0.5</v>
      </c>
      <c r="K1181" s="324" t="s">
        <v>504</v>
      </c>
      <c r="V1181" s="324" t="s">
        <v>505</v>
      </c>
      <c r="X1181" s="324">
        <v>-1799.5123036613222</v>
      </c>
      <c r="Z1181" s="324">
        <v>-1799.5123036613222</v>
      </c>
      <c r="AA1181" s="324">
        <v>-1799.5123036613222</v>
      </c>
      <c r="AB1181" s="324">
        <v>-1799.5123036613222</v>
      </c>
    </row>
    <row r="1182" spans="1:33" s="324" customFormat="1" ht="0.65" hidden="1" customHeight="1">
      <c r="A1182" s="324">
        <v>5038</v>
      </c>
      <c r="F1182" s="324">
        <v>1</v>
      </c>
      <c r="I1182" s="324" t="s">
        <v>135</v>
      </c>
      <c r="J1182" s="324">
        <v>1</v>
      </c>
      <c r="K1182" s="324" t="s">
        <v>501</v>
      </c>
      <c r="Z1182" s="324">
        <v>-1799.5123036613222</v>
      </c>
      <c r="AA1182" s="324">
        <v>-1799.5123036613222</v>
      </c>
      <c r="AB1182" s="324">
        <v>-1799.5123036613222</v>
      </c>
      <c r="AC1182" s="324">
        <v>17</v>
      </c>
      <c r="AD1182" s="324" t="s">
        <v>55</v>
      </c>
      <c r="AE1182" s="324" t="s">
        <v>55</v>
      </c>
      <c r="AF1182" s="324" t="s">
        <v>55</v>
      </c>
      <c r="AG1182" s="324" t="s">
        <v>55</v>
      </c>
    </row>
    <row r="1183" spans="1:33" s="324" customFormat="1" ht="0.65" hidden="1" customHeight="1">
      <c r="A1183" s="324">
        <v>5039</v>
      </c>
      <c r="F1183" s="324">
        <v>0.5</v>
      </c>
      <c r="I1183" s="324" t="s">
        <v>13</v>
      </c>
      <c r="J1183" s="324">
        <v>0.5</v>
      </c>
      <c r="K1183" s="324" t="s">
        <v>504</v>
      </c>
    </row>
    <row r="1184" spans="1:33" s="324" customFormat="1" ht="0.65" hidden="1" customHeight="1">
      <c r="A1184" s="324">
        <v>5040</v>
      </c>
      <c r="F1184" s="324">
        <v>0.5</v>
      </c>
      <c r="I1184" s="324" t="s">
        <v>28</v>
      </c>
      <c r="J1184" s="324">
        <v>0.5</v>
      </c>
      <c r="K1184" s="324" t="s">
        <v>504</v>
      </c>
      <c r="U1184" s="324" t="s">
        <v>196</v>
      </c>
      <c r="AC1184" s="324">
        <v>18</v>
      </c>
      <c r="AD1184" s="324" t="s">
        <v>55</v>
      </c>
      <c r="AE1184" s="324" t="s">
        <v>55</v>
      </c>
      <c r="AF1184" s="324" t="s">
        <v>55</v>
      </c>
      <c r="AG1184" s="324" t="s">
        <v>55</v>
      </c>
    </row>
    <row r="1185" spans="1:42" s="324" customFormat="1" ht="0.65" hidden="1" customHeight="1">
      <c r="A1185" s="324">
        <v>5041</v>
      </c>
      <c r="F1185" s="324">
        <v>1</v>
      </c>
      <c r="I1185" s="324" t="s">
        <v>136</v>
      </c>
      <c r="J1185" s="324">
        <v>1</v>
      </c>
      <c r="K1185" s="324" t="s">
        <v>501</v>
      </c>
    </row>
    <row r="1186" spans="1:42" s="324" customFormat="1" ht="0.65" hidden="1" customHeight="1">
      <c r="A1186" s="324">
        <v>5042</v>
      </c>
      <c r="F1186" s="324">
        <v>10</v>
      </c>
      <c r="I1186" s="324" t="s">
        <v>137</v>
      </c>
      <c r="J1186" s="324">
        <v>10</v>
      </c>
      <c r="K1186" s="324" t="s">
        <v>506</v>
      </c>
      <c r="AC1186" s="324">
        <v>19</v>
      </c>
      <c r="AD1186" s="324" t="s">
        <v>55</v>
      </c>
      <c r="AE1186" s="324" t="s">
        <v>55</v>
      </c>
      <c r="AF1186" s="324" t="s">
        <v>55</v>
      </c>
      <c r="AG1186" s="324" t="s">
        <v>55</v>
      </c>
    </row>
    <row r="1187" spans="1:42" s="324" customFormat="1" ht="0.65" hidden="1" customHeight="1">
      <c r="A1187" s="324">
        <v>5043</v>
      </c>
    </row>
    <row r="1188" spans="1:42" s="324" customFormat="1" ht="0.65" hidden="1" customHeight="1">
      <c r="A1188" s="324">
        <v>5044</v>
      </c>
      <c r="AC1188" s="324">
        <v>20</v>
      </c>
      <c r="AD1188" s="324" t="s">
        <v>55</v>
      </c>
      <c r="AE1188" s="324" t="s">
        <v>55</v>
      </c>
      <c r="AF1188" s="324" t="s">
        <v>55</v>
      </c>
      <c r="AG1188" s="324" t="s">
        <v>55</v>
      </c>
    </row>
    <row r="1189" spans="1:42" s="324" customFormat="1" ht="0.65" hidden="1" customHeight="1">
      <c r="A1189" s="324">
        <v>5045</v>
      </c>
    </row>
    <row r="1190" spans="1:42" s="324" customFormat="1" ht="0.65" hidden="1" customHeight="1">
      <c r="A1190" s="324">
        <v>5046</v>
      </c>
    </row>
    <row r="1191" spans="1:42" s="324" customFormat="1" ht="0.65" hidden="1" customHeight="1">
      <c r="A1191" s="324">
        <v>5047</v>
      </c>
      <c r="G1191" s="324">
        <v>1</v>
      </c>
      <c r="H1191" s="324">
        <v>2</v>
      </c>
      <c r="I1191" s="324">
        <v>3</v>
      </c>
      <c r="J1191" s="324">
        <v>4</v>
      </c>
      <c r="K1191" s="324">
        <v>5</v>
      </c>
      <c r="L1191" s="324">
        <v>6</v>
      </c>
      <c r="M1191" s="324">
        <v>7</v>
      </c>
      <c r="N1191" s="324">
        <v>8</v>
      </c>
      <c r="O1191" s="324">
        <v>9</v>
      </c>
      <c r="P1191" s="324">
        <v>10</v>
      </c>
    </row>
    <row r="1192" spans="1:42" s="324" customFormat="1" ht="0.65" hidden="1" customHeight="1">
      <c r="A1192" s="324">
        <v>5048</v>
      </c>
      <c r="G1192" s="324" t="s">
        <v>212</v>
      </c>
      <c r="H1192" s="324" t="s">
        <v>213</v>
      </c>
      <c r="I1192" s="324" t="s">
        <v>214</v>
      </c>
      <c r="J1192" s="324" t="s">
        <v>215</v>
      </c>
      <c r="K1192" s="324" t="s">
        <v>216</v>
      </c>
      <c r="L1192" s="324" t="s">
        <v>218</v>
      </c>
      <c r="M1192" s="324" t="s">
        <v>219</v>
      </c>
      <c r="N1192" s="324" t="s">
        <v>220</v>
      </c>
      <c r="O1192" s="324" t="s">
        <v>221</v>
      </c>
      <c r="P1192" s="324" t="s">
        <v>222</v>
      </c>
    </row>
    <row r="1193" spans="1:42" s="324" customFormat="1" ht="0.65" hidden="1" customHeight="1">
      <c r="A1193" s="324">
        <v>5049</v>
      </c>
      <c r="G1193" s="324">
        <v>62500</v>
      </c>
      <c r="H1193" s="324">
        <v>125000</v>
      </c>
      <c r="I1193" s="324" t="s">
        <v>55</v>
      </c>
      <c r="J1193" s="324" t="s">
        <v>55</v>
      </c>
      <c r="K1193" s="324" t="s">
        <v>55</v>
      </c>
      <c r="L1193" s="324" t="s">
        <v>55</v>
      </c>
      <c r="M1193" s="324" t="s">
        <v>55</v>
      </c>
      <c r="N1193" s="324" t="s">
        <v>55</v>
      </c>
      <c r="O1193" s="324" t="s">
        <v>1624</v>
      </c>
      <c r="P1193" s="324" t="s">
        <v>507</v>
      </c>
    </row>
    <row r="1194" spans="1:42" s="324" customFormat="1" ht="0.65" hidden="1" customHeight="1">
      <c r="A1194" s="324">
        <v>5050</v>
      </c>
      <c r="G1194" s="324" t="s">
        <v>267</v>
      </c>
      <c r="H1194" s="324" t="s">
        <v>268</v>
      </c>
      <c r="I1194" s="324" t="s">
        <v>55</v>
      </c>
      <c r="J1194" s="324" t="s">
        <v>55</v>
      </c>
      <c r="K1194" s="324" t="s">
        <v>55</v>
      </c>
      <c r="L1194" s="324" t="s">
        <v>55</v>
      </c>
      <c r="M1194" s="324" t="s">
        <v>55</v>
      </c>
      <c r="N1194" s="324" t="s">
        <v>55</v>
      </c>
      <c r="O1194" s="324" t="s">
        <v>55</v>
      </c>
      <c r="P1194" s="324" t="s">
        <v>55</v>
      </c>
    </row>
    <row r="1195" spans="1:42" s="324" customFormat="1" ht="0.65" hidden="1" customHeight="1">
      <c r="A1195" s="324">
        <v>5051</v>
      </c>
    </row>
    <row r="1196" spans="1:42" s="324" customFormat="1" ht="0.65" hidden="1" customHeight="1">
      <c r="A1196" s="324">
        <v>5052</v>
      </c>
      <c r="B1196" s="324">
        <v>2</v>
      </c>
      <c r="C1196" s="324">
        <v>3</v>
      </c>
      <c r="D1196" s="324">
        <v>4</v>
      </c>
      <c r="E1196" s="324">
        <v>5</v>
      </c>
      <c r="F1196" s="324">
        <v>6</v>
      </c>
      <c r="G1196" s="324">
        <v>7</v>
      </c>
      <c r="H1196" s="324">
        <v>8</v>
      </c>
      <c r="I1196" s="324">
        <v>9</v>
      </c>
      <c r="J1196" s="324">
        <v>10</v>
      </c>
      <c r="K1196" s="324">
        <v>11</v>
      </c>
      <c r="L1196" s="324">
        <v>12</v>
      </c>
      <c r="M1196" s="324">
        <v>13</v>
      </c>
      <c r="N1196" s="324">
        <v>14</v>
      </c>
      <c r="O1196" s="324">
        <v>15</v>
      </c>
      <c r="P1196" s="324">
        <v>16</v>
      </c>
      <c r="Q1196" s="324">
        <v>17</v>
      </c>
      <c r="R1196" s="324">
        <v>18</v>
      </c>
      <c r="S1196" s="324">
        <v>19</v>
      </c>
      <c r="T1196" s="324">
        <v>20</v>
      </c>
      <c r="U1196" s="324">
        <v>21</v>
      </c>
      <c r="V1196" s="324">
        <v>22</v>
      </c>
      <c r="W1196" s="324">
        <v>23</v>
      </c>
      <c r="X1196" s="324">
        <v>24</v>
      </c>
      <c r="Y1196" s="324">
        <v>25</v>
      </c>
      <c r="Z1196" s="324">
        <v>26</v>
      </c>
      <c r="AA1196" s="324">
        <v>27</v>
      </c>
      <c r="AB1196" s="324">
        <v>28</v>
      </c>
      <c r="AC1196" s="324">
        <v>29</v>
      </c>
      <c r="AD1196" s="324">
        <v>30</v>
      </c>
      <c r="AE1196" s="324">
        <v>31</v>
      </c>
      <c r="AF1196" s="324">
        <v>32</v>
      </c>
      <c r="AG1196" s="324">
        <v>33</v>
      </c>
      <c r="AH1196" s="324">
        <v>34</v>
      </c>
      <c r="AI1196" s="324">
        <v>35</v>
      </c>
      <c r="AJ1196" s="324">
        <v>36</v>
      </c>
      <c r="AK1196" s="324">
        <v>37</v>
      </c>
      <c r="AL1196" s="324">
        <v>38</v>
      </c>
      <c r="AM1196" s="324">
        <v>39</v>
      </c>
      <c r="AN1196" s="324">
        <v>40</v>
      </c>
      <c r="AO1196" s="324">
        <v>41</v>
      </c>
      <c r="AP1196" s="324">
        <v>42</v>
      </c>
    </row>
    <row r="1197" spans="1:42" s="324" customFormat="1" ht="0.65" hidden="1" customHeight="1">
      <c r="A1197" s="324">
        <v>5053</v>
      </c>
    </row>
    <row r="1198" spans="1:42" s="324" customFormat="1" ht="0.65" hidden="1" customHeight="1">
      <c r="A1198" s="324">
        <v>5054</v>
      </c>
      <c r="B1198" s="324">
        <v>1200000</v>
      </c>
      <c r="C1198" s="324">
        <v>1200000</v>
      </c>
      <c r="D1198" s="324">
        <v>1</v>
      </c>
      <c r="G1198" s="324" t="s">
        <v>0</v>
      </c>
      <c r="H1198" s="324" t="s">
        <v>69</v>
      </c>
      <c r="I1198" s="324" t="s">
        <v>70</v>
      </c>
      <c r="J1198" s="324" t="s">
        <v>71</v>
      </c>
      <c r="K1198" s="324" t="s">
        <v>72</v>
      </c>
      <c r="L1198" s="324" t="s">
        <v>73</v>
      </c>
      <c r="M1198" s="324" t="s">
        <v>74</v>
      </c>
      <c r="N1198" s="324" t="s">
        <v>75</v>
      </c>
      <c r="O1198" s="324" t="s">
        <v>80</v>
      </c>
      <c r="P1198" s="324" t="s">
        <v>1</v>
      </c>
    </row>
    <row r="1199" spans="1:42" s="324" customFormat="1" ht="0.65" hidden="1" customHeight="1">
      <c r="A1199" s="324">
        <v>5055</v>
      </c>
      <c r="B1199" s="324">
        <v>10</v>
      </c>
      <c r="C1199" s="324">
        <v>10</v>
      </c>
      <c r="D1199" s="324">
        <v>1</v>
      </c>
      <c r="G1199" s="324">
        <v>2022</v>
      </c>
      <c r="P1199" s="324">
        <v>41</v>
      </c>
    </row>
    <row r="1200" spans="1:42" s="324" customFormat="1" ht="0.65" hidden="1" customHeight="1">
      <c r="A1200" s="324">
        <v>5056</v>
      </c>
      <c r="B1200" s="324">
        <v>120000</v>
      </c>
      <c r="C1200" s="324">
        <v>120000</v>
      </c>
      <c r="D1200" s="324">
        <v>1</v>
      </c>
      <c r="G1200" s="324">
        <v>2023</v>
      </c>
      <c r="H1200" s="324">
        <v>2</v>
      </c>
      <c r="I1200" s="324">
        <v>5</v>
      </c>
      <c r="J1200" s="324">
        <v>8</v>
      </c>
      <c r="K1200" s="324">
        <v>11</v>
      </c>
      <c r="L1200" s="324">
        <v>14</v>
      </c>
      <c r="M1200" s="324">
        <v>17</v>
      </c>
      <c r="N1200" s="324">
        <v>20</v>
      </c>
      <c r="O1200" s="324">
        <v>35</v>
      </c>
      <c r="P1200" s="324">
        <v>42</v>
      </c>
    </row>
    <row r="1201" spans="1:16" s="324" customFormat="1" ht="0.65" hidden="1" customHeight="1">
      <c r="A1201" s="324">
        <v>5057</v>
      </c>
      <c r="G1201" s="324">
        <v>2024</v>
      </c>
      <c r="H1201" s="324">
        <v>3</v>
      </c>
      <c r="I1201" s="324">
        <v>6</v>
      </c>
      <c r="J1201" s="324">
        <v>9</v>
      </c>
      <c r="K1201" s="324">
        <v>12</v>
      </c>
      <c r="L1201" s="324">
        <v>15</v>
      </c>
      <c r="M1201" s="324">
        <v>18</v>
      </c>
      <c r="N1201" s="324">
        <v>21</v>
      </c>
      <c r="O1201" s="324">
        <v>36</v>
      </c>
      <c r="P1201" s="324">
        <v>43</v>
      </c>
    </row>
    <row r="1202" spans="1:16" s="324" customFormat="1" ht="0.65" hidden="1" customHeight="1">
      <c r="A1202" s="324">
        <v>5058</v>
      </c>
      <c r="B1202" s="324">
        <v>600000</v>
      </c>
      <c r="C1202" s="324">
        <v>600000</v>
      </c>
      <c r="D1202" s="324">
        <v>1</v>
      </c>
      <c r="G1202" s="324">
        <v>2025</v>
      </c>
      <c r="H1202" s="324">
        <v>4</v>
      </c>
      <c r="I1202" s="324">
        <v>7</v>
      </c>
      <c r="J1202" s="324">
        <v>10</v>
      </c>
      <c r="K1202" s="324">
        <v>13</v>
      </c>
      <c r="L1202" s="324">
        <v>16</v>
      </c>
      <c r="M1202" s="324">
        <v>19</v>
      </c>
      <c r="N1202" s="324">
        <v>22</v>
      </c>
      <c r="O1202" s="324">
        <v>37</v>
      </c>
      <c r="P1202" s="324">
        <v>44</v>
      </c>
    </row>
    <row r="1203" spans="1:16" s="324" customFormat="1" ht="0.65" hidden="1" customHeight="1">
      <c r="A1203" s="324">
        <v>5059</v>
      </c>
      <c r="B1203" s="324">
        <v>150000</v>
      </c>
      <c r="C1203" s="324">
        <v>150000</v>
      </c>
      <c r="D1203" s="324">
        <v>1</v>
      </c>
    </row>
    <row r="1204" spans="1:16" s="324" customFormat="1" ht="0.65" hidden="1" customHeight="1">
      <c r="A1204" s="324">
        <v>5060</v>
      </c>
      <c r="G1204" s="324" t="s">
        <v>0</v>
      </c>
      <c r="H1204" s="324" t="s">
        <v>76</v>
      </c>
      <c r="I1204" s="324" t="s">
        <v>77</v>
      </c>
      <c r="J1204" s="324" t="s">
        <v>78</v>
      </c>
      <c r="K1204" s="324" t="s">
        <v>79</v>
      </c>
    </row>
    <row r="1205" spans="1:16" s="324" customFormat="1" ht="0.65" hidden="1" customHeight="1">
      <c r="A1205" s="324">
        <v>5061</v>
      </c>
      <c r="B1205" s="324">
        <v>60</v>
      </c>
      <c r="C1205" s="324">
        <v>60</v>
      </c>
      <c r="D1205" s="324">
        <v>1</v>
      </c>
      <c r="G1205" s="324">
        <v>2022</v>
      </c>
      <c r="M1205" s="324" t="s">
        <v>490</v>
      </c>
      <c r="N1205" s="324">
        <v>1</v>
      </c>
      <c r="O1205" s="324" t="s">
        <v>124</v>
      </c>
      <c r="P1205" s="324">
        <v>45</v>
      </c>
    </row>
    <row r="1206" spans="1:16" s="324" customFormat="1" ht="0.65" hidden="1" customHeight="1">
      <c r="A1206" s="324">
        <v>5062</v>
      </c>
      <c r="B1206" s="324">
        <v>90</v>
      </c>
      <c r="C1206" s="324">
        <v>90</v>
      </c>
      <c r="D1206" s="324">
        <v>1</v>
      </c>
      <c r="G1206" s="324">
        <v>2023</v>
      </c>
      <c r="H1206" s="324">
        <v>23</v>
      </c>
      <c r="I1206" s="324">
        <v>26</v>
      </c>
      <c r="J1206" s="324">
        <v>29</v>
      </c>
      <c r="K1206" s="324">
        <v>32</v>
      </c>
      <c r="M1206" s="324" t="s">
        <v>491</v>
      </c>
      <c r="N1206" s="324">
        <v>38</v>
      </c>
      <c r="O1206" s="324" t="s">
        <v>125</v>
      </c>
      <c r="P1206" s="324">
        <v>46</v>
      </c>
    </row>
    <row r="1207" spans="1:16" s="324" customFormat="1" ht="0.65" hidden="1" customHeight="1">
      <c r="A1207" s="324">
        <v>5063</v>
      </c>
      <c r="G1207" s="324">
        <v>2024</v>
      </c>
      <c r="H1207" s="324">
        <v>24</v>
      </c>
      <c r="I1207" s="324">
        <v>27</v>
      </c>
      <c r="J1207" s="324">
        <v>30</v>
      </c>
      <c r="K1207" s="324">
        <v>33</v>
      </c>
      <c r="M1207" s="324" t="s">
        <v>493</v>
      </c>
      <c r="N1207" s="324">
        <v>39</v>
      </c>
      <c r="O1207" s="324" t="s">
        <v>126</v>
      </c>
      <c r="P1207" s="324">
        <v>47</v>
      </c>
    </row>
    <row r="1208" spans="1:16" s="324" customFormat="1" ht="0.65" hidden="1" customHeight="1">
      <c r="A1208" s="324">
        <v>5064</v>
      </c>
      <c r="G1208" s="324">
        <v>2025</v>
      </c>
      <c r="H1208" s="324">
        <v>25</v>
      </c>
      <c r="I1208" s="324">
        <v>28</v>
      </c>
      <c r="J1208" s="324">
        <v>31</v>
      </c>
      <c r="K1208" s="324">
        <v>34</v>
      </c>
      <c r="M1208" s="324" t="s">
        <v>494</v>
      </c>
      <c r="N1208" s="324">
        <v>40</v>
      </c>
    </row>
    <row r="1209" spans="1:16" s="324" customFormat="1" ht="0.65" hidden="1" customHeight="1">
      <c r="A1209" s="324">
        <v>5065</v>
      </c>
      <c r="B1209" s="324">
        <v>210000</v>
      </c>
      <c r="C1209" s="324">
        <v>210000</v>
      </c>
      <c r="D1209" s="324">
        <v>1</v>
      </c>
    </row>
    <row r="1210" spans="1:16" s="324" customFormat="1" ht="0.65" hidden="1" customHeight="1">
      <c r="A1210" s="324">
        <v>5066</v>
      </c>
      <c r="B1210" s="324">
        <v>300000</v>
      </c>
      <c r="C1210" s="324">
        <v>300000</v>
      </c>
      <c r="D1210" s="324">
        <v>1</v>
      </c>
      <c r="O1210" s="324" t="s">
        <v>13</v>
      </c>
      <c r="P1210" s="324">
        <v>48</v>
      </c>
    </row>
    <row r="1211" spans="1:16" s="324" customFormat="1" ht="0.65" hidden="1" customHeight="1">
      <c r="A1211" s="324">
        <v>5067</v>
      </c>
      <c r="B1211" s="324">
        <v>2</v>
      </c>
      <c r="C1211" s="324">
        <v>2</v>
      </c>
      <c r="D1211" s="324">
        <v>1</v>
      </c>
      <c r="O1211" s="324" t="s">
        <v>28</v>
      </c>
      <c r="P1211" s="324">
        <v>49</v>
      </c>
    </row>
    <row r="1212" spans="1:16" s="324" customFormat="1" ht="0.65" hidden="1" customHeight="1">
      <c r="A1212" s="324">
        <v>5068</v>
      </c>
      <c r="B1212" s="324">
        <v>30000</v>
      </c>
      <c r="C1212" s="324">
        <v>30000</v>
      </c>
      <c r="D1212" s="324">
        <v>1</v>
      </c>
      <c r="O1212" s="324" t="s">
        <v>29</v>
      </c>
      <c r="P1212" s="324">
        <v>50</v>
      </c>
    </row>
    <row r="1213" spans="1:16" s="324" customFormat="1" ht="0.65" hidden="1" customHeight="1">
      <c r="A1213" s="324">
        <v>5069</v>
      </c>
      <c r="O1213" s="324" t="s">
        <v>30</v>
      </c>
      <c r="P1213" s="324">
        <v>51</v>
      </c>
    </row>
    <row r="1214" spans="1:16" s="324" customFormat="1" ht="0.65" hidden="1" customHeight="1">
      <c r="A1214" s="324">
        <v>5070</v>
      </c>
      <c r="B1214" s="324">
        <v>0.25</v>
      </c>
      <c r="C1214" s="324">
        <v>0.25</v>
      </c>
      <c r="D1214" s="324">
        <v>1</v>
      </c>
    </row>
    <row r="1215" spans="1:16" s="324" customFormat="1" ht="0.65" hidden="1" customHeight="1">
      <c r="A1215" s="324">
        <v>5071</v>
      </c>
    </row>
    <row r="1216" spans="1:16" s="324" customFormat="1" ht="0.65" hidden="1" customHeight="1">
      <c r="A1216" s="324">
        <v>5072</v>
      </c>
    </row>
    <row r="1217" spans="1:31" s="324" customFormat="1" ht="0.65" hidden="1" customHeight="1">
      <c r="A1217" s="324">
        <v>5073</v>
      </c>
      <c r="B1217" s="324">
        <v>360000</v>
      </c>
      <c r="C1217" s="324">
        <v>360000</v>
      </c>
      <c r="D1217" s="324">
        <v>1</v>
      </c>
    </row>
    <row r="1218" spans="1:31" s="324" customFormat="1" ht="0.65" hidden="1" customHeight="1">
      <c r="A1218" s="324">
        <v>5074</v>
      </c>
      <c r="B1218" s="324">
        <v>1920000</v>
      </c>
      <c r="C1218" s="324">
        <v>1920000</v>
      </c>
      <c r="D1218" s="324">
        <v>1</v>
      </c>
      <c r="K1218" s="324" t="s">
        <v>475</v>
      </c>
      <c r="M1218" s="324" t="s">
        <v>212</v>
      </c>
      <c r="N1218" s="324" t="s">
        <v>213</v>
      </c>
      <c r="O1218" s="324" t="s">
        <v>214</v>
      </c>
      <c r="P1218" s="324" t="s">
        <v>215</v>
      </c>
      <c r="Q1218" s="324" t="s">
        <v>216</v>
      </c>
      <c r="R1218" s="324" t="s">
        <v>218</v>
      </c>
      <c r="S1218" s="324" t="s">
        <v>219</v>
      </c>
      <c r="T1218" s="324" t="s">
        <v>220</v>
      </c>
      <c r="U1218" s="324" t="s">
        <v>473</v>
      </c>
      <c r="V1218" s="324" t="s">
        <v>474</v>
      </c>
      <c r="X1218" s="324" t="s">
        <v>223</v>
      </c>
      <c r="Y1218" s="324" t="s">
        <v>224</v>
      </c>
      <c r="Z1218" s="324" t="s">
        <v>225</v>
      </c>
      <c r="AA1218" s="324" t="s">
        <v>226</v>
      </c>
      <c r="AB1218" s="324" t="s">
        <v>227</v>
      </c>
      <c r="AC1218" s="324" t="s">
        <v>228</v>
      </c>
      <c r="AD1218" s="324" t="s">
        <v>229</v>
      </c>
      <c r="AE1218" s="324" t="s">
        <v>230</v>
      </c>
    </row>
    <row r="1219" spans="1:31" s="324" customFormat="1" ht="0.65" hidden="1" customHeight="1">
      <c r="A1219" s="324">
        <v>5075</v>
      </c>
      <c r="B1219" s="324">
        <v>0.02</v>
      </c>
      <c r="C1219" s="324">
        <v>0.02</v>
      </c>
      <c r="D1219" s="324">
        <v>1</v>
      </c>
      <c r="F1219" s="324">
        <v>1</v>
      </c>
      <c r="G1219" s="324">
        <v>1</v>
      </c>
      <c r="H1219" s="324" t="s">
        <v>490</v>
      </c>
      <c r="I1219" s="324">
        <v>967500</v>
      </c>
      <c r="J1219" s="324">
        <v>967500</v>
      </c>
      <c r="K1219" s="324" t="s">
        <v>1626</v>
      </c>
      <c r="M1219" s="324">
        <v>1200000</v>
      </c>
      <c r="N1219" s="324">
        <v>990000</v>
      </c>
      <c r="O1219" s="324">
        <v>1012500</v>
      </c>
      <c r="P1219" s="324">
        <v>1410000</v>
      </c>
      <c r="U1219" s="324" t="s">
        <v>1626</v>
      </c>
      <c r="V1219" s="324" t="s">
        <v>509</v>
      </c>
      <c r="X1219" s="324" t="s">
        <v>231</v>
      </c>
      <c r="Y1219" s="324" t="s">
        <v>250</v>
      </c>
      <c r="Z1219" s="324" t="s">
        <v>251</v>
      </c>
      <c r="AA1219" s="324" t="s">
        <v>232</v>
      </c>
    </row>
    <row r="1220" spans="1:31" s="324" customFormat="1" ht="0.65" hidden="1" customHeight="1">
      <c r="A1220" s="324">
        <v>5076</v>
      </c>
      <c r="B1220" s="324">
        <v>6000000</v>
      </c>
      <c r="C1220" s="324">
        <v>6000000</v>
      </c>
      <c r="D1220" s="324">
        <v>1</v>
      </c>
      <c r="F1220" s="324">
        <v>1</v>
      </c>
      <c r="G1220" s="324">
        <v>2</v>
      </c>
      <c r="H1220" s="324" t="s">
        <v>510</v>
      </c>
      <c r="I1220" s="324">
        <v>600000</v>
      </c>
      <c r="J1220" s="324">
        <v>600000</v>
      </c>
      <c r="K1220" s="324" t="s">
        <v>1408</v>
      </c>
      <c r="M1220" s="324">
        <v>500000</v>
      </c>
      <c r="N1220" s="324">
        <v>100000</v>
      </c>
      <c r="U1220" s="324" t="s">
        <v>1408</v>
      </c>
      <c r="V1220" s="324" t="s">
        <v>512</v>
      </c>
      <c r="X1220" s="324" t="s">
        <v>233</v>
      </c>
    </row>
    <row r="1221" spans="1:31" s="324" customFormat="1" ht="0.65" hidden="1" customHeight="1">
      <c r="A1221" s="324">
        <v>5077</v>
      </c>
      <c r="B1221" s="324">
        <v>24000000</v>
      </c>
      <c r="C1221" s="324">
        <v>24000000</v>
      </c>
      <c r="D1221" s="324">
        <v>1</v>
      </c>
      <c r="F1221" s="324">
        <v>1</v>
      </c>
      <c r="G1221" s="324">
        <v>3</v>
      </c>
      <c r="H1221" s="324" t="s">
        <v>513</v>
      </c>
      <c r="I1221" s="324">
        <v>600000</v>
      </c>
      <c r="J1221" s="324">
        <v>600000</v>
      </c>
      <c r="K1221" s="324" t="s">
        <v>1408</v>
      </c>
      <c r="M1221" s="324">
        <v>500000</v>
      </c>
      <c r="N1221" s="324">
        <v>100000</v>
      </c>
      <c r="O1221" s="324">
        <v>1200000</v>
      </c>
      <c r="U1221" s="324" t="s">
        <v>1408</v>
      </c>
      <c r="V1221" s="324" t="s">
        <v>514</v>
      </c>
      <c r="X1221" s="324" t="s">
        <v>233</v>
      </c>
      <c r="Y1221" s="324" t="s">
        <v>252</v>
      </c>
      <c r="Z1221" s="324" t="s">
        <v>234</v>
      </c>
    </row>
    <row r="1222" spans="1:31" s="324" customFormat="1" ht="0.65" hidden="1" customHeight="1">
      <c r="A1222" s="324">
        <v>5078</v>
      </c>
      <c r="F1222" s="324">
        <v>1</v>
      </c>
      <c r="G1222" s="324">
        <v>4</v>
      </c>
      <c r="H1222" s="324" t="s">
        <v>515</v>
      </c>
      <c r="I1222" s="324">
        <v>600000</v>
      </c>
      <c r="J1222" s="324">
        <v>600000</v>
      </c>
      <c r="K1222" s="324" t="s">
        <v>1408</v>
      </c>
      <c r="M1222" s="324">
        <v>500000</v>
      </c>
      <c r="N1222" s="324">
        <v>100000</v>
      </c>
      <c r="O1222" s="324">
        <v>1800000</v>
      </c>
      <c r="U1222" s="324" t="s">
        <v>1408</v>
      </c>
      <c r="V1222" s="324" t="s">
        <v>516</v>
      </c>
      <c r="X1222" s="324" t="s">
        <v>233</v>
      </c>
      <c r="Y1222" s="324" t="s">
        <v>252</v>
      </c>
      <c r="Z1222" s="324" t="s">
        <v>235</v>
      </c>
    </row>
    <row r="1223" spans="1:31" s="324" customFormat="1" ht="0.65" hidden="1" customHeight="1">
      <c r="A1223" s="324">
        <v>5079</v>
      </c>
      <c r="C1223" s="324" t="s">
        <v>422</v>
      </c>
      <c r="D1223" s="324">
        <v>28</v>
      </c>
      <c r="F1223" s="324">
        <v>1</v>
      </c>
      <c r="G1223" s="324">
        <v>5</v>
      </c>
      <c r="H1223" s="324" t="s">
        <v>517</v>
      </c>
      <c r="I1223" s="324">
        <v>150000</v>
      </c>
      <c r="J1223" s="324">
        <v>150000</v>
      </c>
      <c r="K1223" s="324" t="s">
        <v>1627</v>
      </c>
      <c r="M1223" s="324">
        <v>112500</v>
      </c>
      <c r="N1223" s="324">
        <v>37500</v>
      </c>
      <c r="U1223" s="324" t="s">
        <v>1627</v>
      </c>
      <c r="V1223" s="324" t="s">
        <v>519</v>
      </c>
      <c r="X1223" s="324" t="s">
        <v>236</v>
      </c>
      <c r="Y1223" s="324" t="s">
        <v>253</v>
      </c>
    </row>
    <row r="1224" spans="1:31" s="324" customFormat="1" ht="0.65" hidden="1" customHeight="1">
      <c r="A1224" s="324">
        <v>5080</v>
      </c>
      <c r="C1224" s="324" t="s">
        <v>423</v>
      </c>
      <c r="D1224" s="324" t="s">
        <v>520</v>
      </c>
      <c r="F1224" s="324">
        <v>1</v>
      </c>
      <c r="G1224" s="324">
        <v>6</v>
      </c>
      <c r="H1224" s="324" t="s">
        <v>521</v>
      </c>
      <c r="I1224" s="324">
        <v>150000</v>
      </c>
      <c r="J1224" s="324">
        <v>150000</v>
      </c>
      <c r="K1224" s="324" t="s">
        <v>1627</v>
      </c>
      <c r="M1224" s="324">
        <v>112500</v>
      </c>
      <c r="N1224" s="324">
        <v>37500</v>
      </c>
      <c r="O1224" s="324">
        <v>300000</v>
      </c>
      <c r="U1224" s="324" t="s">
        <v>1627</v>
      </c>
      <c r="V1224" s="324" t="s">
        <v>522</v>
      </c>
      <c r="X1224" s="324" t="s">
        <v>236</v>
      </c>
      <c r="Y1224" s="324" t="s">
        <v>253</v>
      </c>
      <c r="Z1224" s="324" t="s">
        <v>237</v>
      </c>
    </row>
    <row r="1225" spans="1:31" s="324" customFormat="1" ht="0.65" hidden="1" customHeight="1">
      <c r="A1225" s="324">
        <v>5081</v>
      </c>
      <c r="F1225" s="324">
        <v>1</v>
      </c>
      <c r="G1225" s="324">
        <v>7</v>
      </c>
      <c r="H1225" s="324" t="s">
        <v>523</v>
      </c>
      <c r="I1225" s="324">
        <v>150000</v>
      </c>
      <c r="J1225" s="324">
        <v>150000</v>
      </c>
      <c r="K1225" s="324" t="s">
        <v>1627</v>
      </c>
      <c r="M1225" s="324">
        <v>112500</v>
      </c>
      <c r="N1225" s="324">
        <v>37500</v>
      </c>
      <c r="O1225" s="324">
        <v>450000</v>
      </c>
      <c r="U1225" s="324" t="s">
        <v>1627</v>
      </c>
      <c r="V1225" s="324" t="s">
        <v>524</v>
      </c>
      <c r="X1225" s="324" t="s">
        <v>236</v>
      </c>
      <c r="Y1225" s="324" t="s">
        <v>253</v>
      </c>
      <c r="Z1225" s="324" t="s">
        <v>238</v>
      </c>
    </row>
    <row r="1226" spans="1:31" s="324" customFormat="1" ht="0.65" hidden="1" customHeight="1">
      <c r="A1226" s="324">
        <v>5082</v>
      </c>
      <c r="B1226" s="324">
        <v>2022</v>
      </c>
      <c r="C1226" s="324">
        <v>2022</v>
      </c>
      <c r="D1226" s="324">
        <v>1</v>
      </c>
      <c r="F1226" s="324">
        <v>1</v>
      </c>
      <c r="G1226" s="324">
        <v>8</v>
      </c>
      <c r="H1226" s="324" t="s">
        <v>525</v>
      </c>
      <c r="I1226" s="324">
        <v>-30000</v>
      </c>
      <c r="J1226" s="324">
        <v>-30000</v>
      </c>
      <c r="K1226" s="324" t="s">
        <v>1628</v>
      </c>
      <c r="M1226" s="324">
        <v>120000</v>
      </c>
      <c r="N1226" s="324">
        <v>270000</v>
      </c>
      <c r="O1226" s="324">
        <v>15000</v>
      </c>
      <c r="P1226" s="324">
        <v>30000</v>
      </c>
      <c r="U1226" s="324" t="s">
        <v>1628</v>
      </c>
      <c r="V1226" s="324" t="s">
        <v>527</v>
      </c>
      <c r="X1226" s="324" t="s">
        <v>239</v>
      </c>
      <c r="Y1226" s="324" t="s">
        <v>240</v>
      </c>
      <c r="Z1226" s="324" t="s">
        <v>241</v>
      </c>
      <c r="AA1226" s="324" t="s">
        <v>242</v>
      </c>
    </row>
    <row r="1227" spans="1:31" s="324" customFormat="1" ht="0.65" hidden="1" customHeight="1">
      <c r="A1227" s="324">
        <v>5083</v>
      </c>
      <c r="B1227" s="324">
        <v>2023</v>
      </c>
      <c r="C1227" s="324">
        <v>2023</v>
      </c>
      <c r="D1227" s="324">
        <v>1</v>
      </c>
      <c r="F1227" s="324">
        <v>1</v>
      </c>
      <c r="G1227" s="324">
        <v>9</v>
      </c>
      <c r="H1227" s="324" t="s">
        <v>528</v>
      </c>
      <c r="I1227" s="324">
        <v>-30000</v>
      </c>
      <c r="J1227" s="324">
        <v>-30000</v>
      </c>
      <c r="K1227" s="324" t="s">
        <v>1628</v>
      </c>
      <c r="M1227" s="324">
        <v>120000</v>
      </c>
      <c r="N1227" s="324">
        <v>270000</v>
      </c>
      <c r="O1227" s="324">
        <v>15000</v>
      </c>
      <c r="P1227" s="324">
        <v>30000</v>
      </c>
      <c r="U1227" s="324" t="s">
        <v>1628</v>
      </c>
      <c r="V1227" s="324" t="s">
        <v>529</v>
      </c>
      <c r="X1227" s="324" t="s">
        <v>239</v>
      </c>
      <c r="Y1227" s="324" t="s">
        <v>240</v>
      </c>
      <c r="Z1227" s="324" t="s">
        <v>241</v>
      </c>
      <c r="AA1227" s="324" t="s">
        <v>242</v>
      </c>
    </row>
    <row r="1228" spans="1:31" s="324" customFormat="1" ht="0.65" hidden="1" customHeight="1">
      <c r="A1228" s="324">
        <v>5084</v>
      </c>
      <c r="B1228" s="324">
        <v>2024</v>
      </c>
      <c r="C1228" s="324">
        <v>2024</v>
      </c>
      <c r="D1228" s="324">
        <v>1</v>
      </c>
      <c r="F1228" s="324">
        <v>1</v>
      </c>
      <c r="G1228" s="324">
        <v>10</v>
      </c>
      <c r="H1228" s="324" t="s">
        <v>530</v>
      </c>
      <c r="I1228" s="324">
        <v>120000</v>
      </c>
      <c r="J1228" s="324">
        <v>120000</v>
      </c>
      <c r="K1228" s="324" t="s">
        <v>1629</v>
      </c>
      <c r="M1228" s="324">
        <v>120000</v>
      </c>
      <c r="N1228" s="324">
        <v>270000</v>
      </c>
      <c r="O1228" s="324">
        <v>15000</v>
      </c>
      <c r="P1228" s="324">
        <v>30000</v>
      </c>
      <c r="Q1228" s="324">
        <v>-30000</v>
      </c>
      <c r="U1228" s="324" t="s">
        <v>1629</v>
      </c>
      <c r="V1228" s="324" t="s">
        <v>532</v>
      </c>
      <c r="X1228" s="324" t="s">
        <v>239</v>
      </c>
      <c r="Y1228" s="324" t="s">
        <v>240</v>
      </c>
      <c r="Z1228" s="324" t="s">
        <v>241</v>
      </c>
      <c r="AA1228" s="324" t="s">
        <v>242</v>
      </c>
      <c r="AB1228" s="324" t="s">
        <v>254</v>
      </c>
    </row>
    <row r="1229" spans="1:31" s="324" customFormat="1" ht="0.65" hidden="1" customHeight="1">
      <c r="A1229" s="324">
        <v>5085</v>
      </c>
      <c r="B1229" s="324">
        <v>2025</v>
      </c>
      <c r="C1229" s="324">
        <v>2025</v>
      </c>
      <c r="D1229" s="324">
        <v>1</v>
      </c>
      <c r="F1229" s="324">
        <v>1</v>
      </c>
      <c r="G1229" s="324">
        <v>11</v>
      </c>
      <c r="H1229" s="324" t="s">
        <v>533</v>
      </c>
      <c r="I1229" s="324">
        <v>480000</v>
      </c>
      <c r="J1229" s="324">
        <v>480000</v>
      </c>
      <c r="K1229" s="324" t="s">
        <v>1630</v>
      </c>
      <c r="M1229" s="324">
        <v>420000</v>
      </c>
      <c r="N1229" s="324">
        <v>450000</v>
      </c>
      <c r="O1229" s="324">
        <v>780000</v>
      </c>
      <c r="U1229" s="324" t="s">
        <v>1630</v>
      </c>
      <c r="V1229" s="324" t="s">
        <v>535</v>
      </c>
      <c r="X1229" s="324" t="s">
        <v>243</v>
      </c>
      <c r="Y1229" s="324" t="s">
        <v>255</v>
      </c>
      <c r="Z1229" s="324" t="s">
        <v>341</v>
      </c>
    </row>
    <row r="1230" spans="1:31" s="324" customFormat="1" ht="0.65" hidden="1" customHeight="1">
      <c r="A1230" s="324">
        <v>5086</v>
      </c>
      <c r="F1230" s="324">
        <v>1</v>
      </c>
      <c r="G1230" s="324">
        <v>12</v>
      </c>
      <c r="H1230" s="324" t="s">
        <v>536</v>
      </c>
      <c r="I1230" s="324">
        <v>480000</v>
      </c>
      <c r="J1230" s="324">
        <v>480000</v>
      </c>
      <c r="K1230" s="324" t="s">
        <v>1630</v>
      </c>
      <c r="M1230" s="324">
        <v>420000</v>
      </c>
      <c r="N1230" s="324">
        <v>450000</v>
      </c>
      <c r="O1230" s="324">
        <v>780000</v>
      </c>
      <c r="U1230" s="324" t="s">
        <v>1630</v>
      </c>
      <c r="V1230" s="324" t="s">
        <v>537</v>
      </c>
      <c r="X1230" s="324" t="s">
        <v>243</v>
      </c>
      <c r="Y1230" s="324" t="s">
        <v>255</v>
      </c>
      <c r="Z1230" s="324" t="s">
        <v>341</v>
      </c>
    </row>
    <row r="1231" spans="1:31" s="324" customFormat="1" ht="0.65" hidden="1" customHeight="1">
      <c r="A1231" s="324">
        <v>5087</v>
      </c>
      <c r="F1231" s="324">
        <v>1</v>
      </c>
      <c r="G1231" s="324">
        <v>13</v>
      </c>
      <c r="H1231" s="324" t="s">
        <v>538</v>
      </c>
      <c r="I1231" s="324">
        <v>330000</v>
      </c>
      <c r="J1231" s="324">
        <v>330000</v>
      </c>
      <c r="K1231" s="324" t="s">
        <v>1631</v>
      </c>
      <c r="M1231" s="324">
        <v>420000</v>
      </c>
      <c r="N1231" s="324">
        <v>450000</v>
      </c>
      <c r="O1231" s="324">
        <v>630000</v>
      </c>
      <c r="U1231" s="324" t="s">
        <v>1631</v>
      </c>
      <c r="V1231" s="324" t="s">
        <v>540</v>
      </c>
      <c r="X1231" s="324" t="s">
        <v>243</v>
      </c>
      <c r="Y1231" s="324" t="s">
        <v>255</v>
      </c>
      <c r="Z1231" s="324" t="s">
        <v>341</v>
      </c>
    </row>
    <row r="1232" spans="1:31" s="324" customFormat="1" ht="0.65" hidden="1" customHeight="1">
      <c r="A1232" s="324">
        <v>5088</v>
      </c>
      <c r="B1232" s="324">
        <v>2022</v>
      </c>
      <c r="C1232" s="324">
        <v>2022</v>
      </c>
      <c r="D1232" s="324">
        <v>1</v>
      </c>
      <c r="F1232" s="324">
        <v>1</v>
      </c>
      <c r="G1232" s="324">
        <v>14</v>
      </c>
      <c r="H1232" s="324" t="s">
        <v>541</v>
      </c>
      <c r="I1232" s="324">
        <v>120000</v>
      </c>
      <c r="J1232" s="324">
        <v>120000</v>
      </c>
      <c r="K1232" s="324" t="s">
        <v>1632</v>
      </c>
      <c r="M1232" s="324">
        <v>0</v>
      </c>
      <c r="N1232" s="324">
        <v>144000</v>
      </c>
      <c r="O1232" s="324">
        <v>360000</v>
      </c>
      <c r="U1232" s="324" t="s">
        <v>1632</v>
      </c>
      <c r="V1232" s="324" t="s">
        <v>543</v>
      </c>
      <c r="X1232" s="324" t="s">
        <v>279</v>
      </c>
      <c r="Y1232" s="324" t="s">
        <v>280</v>
      </c>
      <c r="Z1232" s="324" t="s">
        <v>342</v>
      </c>
    </row>
    <row r="1233" spans="1:26" s="324" customFormat="1" ht="0.65" hidden="1" customHeight="1">
      <c r="A1233" s="324">
        <v>5089</v>
      </c>
      <c r="B1233" s="324">
        <v>2023</v>
      </c>
      <c r="C1233" s="324">
        <v>2023</v>
      </c>
      <c r="D1233" s="324">
        <v>1</v>
      </c>
      <c r="F1233" s="324">
        <v>1</v>
      </c>
      <c r="G1233" s="324">
        <v>15</v>
      </c>
      <c r="H1233" s="324" t="s">
        <v>544</v>
      </c>
      <c r="I1233" s="324">
        <v>120000</v>
      </c>
      <c r="J1233" s="324">
        <v>120000</v>
      </c>
      <c r="K1233" s="324" t="s">
        <v>1632</v>
      </c>
      <c r="M1233" s="324">
        <v>0</v>
      </c>
      <c r="N1233" s="324">
        <v>144000</v>
      </c>
      <c r="O1233" s="324">
        <v>360000</v>
      </c>
      <c r="U1233" s="324" t="s">
        <v>1632</v>
      </c>
      <c r="V1233" s="324" t="s">
        <v>545</v>
      </c>
      <c r="X1233" s="324" t="s">
        <v>279</v>
      </c>
      <c r="Y1233" s="324" t="s">
        <v>280</v>
      </c>
      <c r="Z1233" s="324" t="s">
        <v>342</v>
      </c>
    </row>
    <row r="1234" spans="1:26" s="324" customFormat="1" ht="0.65" hidden="1" customHeight="1">
      <c r="A1234" s="324">
        <v>5090</v>
      </c>
      <c r="B1234" s="324">
        <v>2024</v>
      </c>
      <c r="C1234" s="324">
        <v>2024</v>
      </c>
      <c r="D1234" s="324">
        <v>1</v>
      </c>
      <c r="F1234" s="324">
        <v>1</v>
      </c>
      <c r="G1234" s="324">
        <v>16</v>
      </c>
      <c r="H1234" s="324" t="s">
        <v>546</v>
      </c>
      <c r="I1234" s="324">
        <v>82500</v>
      </c>
      <c r="J1234" s="324">
        <v>82500</v>
      </c>
      <c r="K1234" s="324" t="s">
        <v>1633</v>
      </c>
      <c r="M1234" s="324">
        <v>0</v>
      </c>
      <c r="N1234" s="324">
        <v>99000</v>
      </c>
      <c r="O1234" s="324">
        <v>247500</v>
      </c>
      <c r="U1234" s="324" t="s">
        <v>1633</v>
      </c>
      <c r="V1234" s="324" t="s">
        <v>548</v>
      </c>
      <c r="X1234" s="324" t="s">
        <v>279</v>
      </c>
      <c r="Y1234" s="324" t="s">
        <v>280</v>
      </c>
      <c r="Z1234" s="324" t="s">
        <v>342</v>
      </c>
    </row>
    <row r="1235" spans="1:26" s="324" customFormat="1" ht="0.65" hidden="1" customHeight="1">
      <c r="A1235" s="324">
        <v>5091</v>
      </c>
      <c r="B1235" s="324">
        <v>2025</v>
      </c>
      <c r="C1235" s="324">
        <v>2025</v>
      </c>
      <c r="D1235" s="324">
        <v>1</v>
      </c>
      <c r="F1235" s="324">
        <v>1</v>
      </c>
      <c r="G1235" s="324">
        <v>17</v>
      </c>
      <c r="H1235" s="324" t="s">
        <v>549</v>
      </c>
      <c r="I1235" s="324">
        <v>360000</v>
      </c>
      <c r="J1235" s="324">
        <v>360000</v>
      </c>
      <c r="K1235" s="324" t="s">
        <v>1634</v>
      </c>
      <c r="M1235" s="324">
        <v>600000</v>
      </c>
      <c r="U1235" s="324" t="s">
        <v>1634</v>
      </c>
      <c r="V1235" s="324" t="s">
        <v>551</v>
      </c>
      <c r="X1235" s="324" t="s">
        <v>256</v>
      </c>
    </row>
    <row r="1236" spans="1:26" s="324" customFormat="1" ht="0.65" hidden="1" customHeight="1">
      <c r="A1236" s="324">
        <v>5092</v>
      </c>
      <c r="F1236" s="324">
        <v>1</v>
      </c>
      <c r="G1236" s="324">
        <v>18</v>
      </c>
      <c r="H1236" s="324" t="s">
        <v>552</v>
      </c>
      <c r="I1236" s="324">
        <v>360000</v>
      </c>
      <c r="J1236" s="324">
        <v>360000</v>
      </c>
      <c r="K1236" s="324" t="s">
        <v>1634</v>
      </c>
      <c r="M1236" s="324">
        <v>600000</v>
      </c>
      <c r="U1236" s="324" t="s">
        <v>1634</v>
      </c>
      <c r="V1236" s="324" t="s">
        <v>553</v>
      </c>
      <c r="X1236" s="324" t="s">
        <v>256</v>
      </c>
    </row>
    <row r="1237" spans="1:26" s="324" customFormat="1" ht="0.65" hidden="1" customHeight="1">
      <c r="A1237" s="324">
        <v>5093</v>
      </c>
      <c r="B1237" s="324">
        <v>0</v>
      </c>
      <c r="C1237" s="324">
        <v>0</v>
      </c>
      <c r="D1237" s="324">
        <v>1</v>
      </c>
      <c r="F1237" s="324">
        <v>1</v>
      </c>
      <c r="G1237" s="324">
        <v>19</v>
      </c>
      <c r="H1237" s="324" t="s">
        <v>554</v>
      </c>
      <c r="I1237" s="324">
        <v>247500</v>
      </c>
      <c r="J1237" s="324">
        <v>247500</v>
      </c>
      <c r="K1237" s="324" t="s">
        <v>1635</v>
      </c>
      <c r="M1237" s="324">
        <v>412500</v>
      </c>
      <c r="U1237" s="324" t="s">
        <v>1635</v>
      </c>
      <c r="V1237" s="324" t="s">
        <v>556</v>
      </c>
      <c r="X1237" s="324" t="s">
        <v>256</v>
      </c>
    </row>
    <row r="1238" spans="1:26" s="324" customFormat="1" ht="0.65" hidden="1" customHeight="1">
      <c r="A1238" s="324">
        <v>5094</v>
      </c>
      <c r="B1238" s="324">
        <v>0</v>
      </c>
      <c r="C1238" s="324">
        <v>0</v>
      </c>
      <c r="D1238" s="324">
        <v>1</v>
      </c>
      <c r="F1238" s="324">
        <v>1</v>
      </c>
      <c r="G1238" s="324">
        <v>20</v>
      </c>
      <c r="H1238" s="324" t="s">
        <v>557</v>
      </c>
      <c r="I1238" s="324">
        <v>330000</v>
      </c>
      <c r="J1238" s="324">
        <v>330000</v>
      </c>
      <c r="K1238" s="324" t="s">
        <v>1636</v>
      </c>
      <c r="M1238" s="324">
        <v>360000</v>
      </c>
      <c r="N1238" s="324">
        <v>390000</v>
      </c>
      <c r="U1238" s="324" t="s">
        <v>1636</v>
      </c>
      <c r="V1238" s="324" t="s">
        <v>559</v>
      </c>
      <c r="X1238" s="324" t="s">
        <v>257</v>
      </c>
      <c r="Y1238" s="324" t="s">
        <v>258</v>
      </c>
    </row>
    <row r="1239" spans="1:26" s="324" customFormat="1" ht="0.65" hidden="1" customHeight="1">
      <c r="A1239" s="324">
        <v>5095</v>
      </c>
      <c r="B1239" s="324">
        <v>0</v>
      </c>
      <c r="C1239" s="324">
        <v>0</v>
      </c>
      <c r="D1239" s="324">
        <v>1</v>
      </c>
      <c r="F1239" s="324">
        <v>1</v>
      </c>
      <c r="G1239" s="324">
        <v>21</v>
      </c>
      <c r="H1239" s="324" t="s">
        <v>560</v>
      </c>
      <c r="I1239" s="324">
        <v>330000</v>
      </c>
      <c r="J1239" s="324">
        <v>330000</v>
      </c>
      <c r="K1239" s="324" t="s">
        <v>1636</v>
      </c>
      <c r="M1239" s="324">
        <v>360000</v>
      </c>
      <c r="N1239" s="324">
        <v>390000</v>
      </c>
      <c r="U1239" s="324" t="s">
        <v>1636</v>
      </c>
      <c r="V1239" s="324" t="s">
        <v>561</v>
      </c>
      <c r="X1239" s="324" t="s">
        <v>257</v>
      </c>
      <c r="Y1239" s="324" t="s">
        <v>258</v>
      </c>
    </row>
    <row r="1240" spans="1:26" s="324" customFormat="1" ht="0.65" hidden="1" customHeight="1">
      <c r="A1240" s="324">
        <v>5096</v>
      </c>
      <c r="F1240" s="324">
        <v>1</v>
      </c>
      <c r="G1240" s="324">
        <v>22</v>
      </c>
      <c r="H1240" s="324" t="s">
        <v>562</v>
      </c>
      <c r="I1240" s="324">
        <v>367500</v>
      </c>
      <c r="J1240" s="324">
        <v>367500</v>
      </c>
      <c r="K1240" s="324" t="s">
        <v>1637</v>
      </c>
      <c r="M1240" s="324">
        <v>247500</v>
      </c>
      <c r="N1240" s="324">
        <v>127500</v>
      </c>
      <c r="U1240" s="324" t="s">
        <v>1637</v>
      </c>
      <c r="V1240" s="324" t="s">
        <v>564</v>
      </c>
      <c r="X1240" s="324" t="s">
        <v>257</v>
      </c>
      <c r="Y1240" s="324" t="s">
        <v>258</v>
      </c>
    </row>
    <row r="1241" spans="1:26" s="324" customFormat="1" ht="0.65" hidden="1" customHeight="1">
      <c r="A1241" s="324">
        <v>5097</v>
      </c>
      <c r="F1241" s="324">
        <v>1</v>
      </c>
      <c r="G1241" s="324">
        <v>23</v>
      </c>
      <c r="H1241" s="324" t="s">
        <v>565</v>
      </c>
      <c r="I1241" s="324">
        <v>100000</v>
      </c>
      <c r="J1241" s="324">
        <v>100000</v>
      </c>
      <c r="K1241" s="324" t="s">
        <v>1638</v>
      </c>
      <c r="M1241" s="324">
        <v>500000</v>
      </c>
      <c r="N1241" s="324">
        <v>150000</v>
      </c>
      <c r="O1241" s="324">
        <v>600000</v>
      </c>
      <c r="U1241" s="324" t="s">
        <v>1638</v>
      </c>
      <c r="V1241" s="324" t="s">
        <v>567</v>
      </c>
      <c r="X1241" s="324" t="s">
        <v>259</v>
      </c>
      <c r="Y1241" s="324" t="s">
        <v>260</v>
      </c>
      <c r="Z1241" s="324" t="s">
        <v>343</v>
      </c>
    </row>
    <row r="1242" spans="1:26" s="324" customFormat="1" ht="0.65" hidden="1" customHeight="1">
      <c r="A1242" s="324">
        <v>5098</v>
      </c>
      <c r="F1242" s="324">
        <v>1</v>
      </c>
      <c r="G1242" s="324">
        <v>24</v>
      </c>
      <c r="H1242" s="324" t="s">
        <v>568</v>
      </c>
      <c r="I1242" s="324">
        <v>100000</v>
      </c>
      <c r="J1242" s="324">
        <v>100000</v>
      </c>
      <c r="K1242" s="324" t="s">
        <v>1638</v>
      </c>
      <c r="M1242" s="324">
        <v>500000</v>
      </c>
      <c r="N1242" s="324">
        <v>150000</v>
      </c>
      <c r="O1242" s="324">
        <v>200000</v>
      </c>
      <c r="U1242" s="324" t="s">
        <v>1638</v>
      </c>
      <c r="V1242" s="324" t="s">
        <v>569</v>
      </c>
      <c r="X1242" s="324" t="s">
        <v>259</v>
      </c>
      <c r="Y1242" s="324" t="s">
        <v>260</v>
      </c>
      <c r="Z1242" s="324" t="s">
        <v>261</v>
      </c>
    </row>
    <row r="1243" spans="1:26" s="324" customFormat="1" ht="0.65" hidden="1" customHeight="1">
      <c r="A1243" s="324">
        <v>5099</v>
      </c>
      <c r="F1243" s="324">
        <v>1</v>
      </c>
      <c r="G1243" s="324">
        <v>25</v>
      </c>
      <c r="H1243" s="324" t="s">
        <v>570</v>
      </c>
      <c r="I1243" s="324">
        <v>100000</v>
      </c>
      <c r="J1243" s="324">
        <v>100000</v>
      </c>
      <c r="K1243" s="324" t="s">
        <v>1638</v>
      </c>
      <c r="M1243" s="324">
        <v>500000</v>
      </c>
      <c r="N1243" s="324">
        <v>150000</v>
      </c>
      <c r="O1243" s="324">
        <v>300000</v>
      </c>
      <c r="U1243" s="324" t="s">
        <v>1638</v>
      </c>
      <c r="V1243" s="324" t="s">
        <v>571</v>
      </c>
      <c r="X1243" s="324" t="s">
        <v>259</v>
      </c>
      <c r="Y1243" s="324" t="s">
        <v>260</v>
      </c>
      <c r="Z1243" s="324" t="s">
        <v>261</v>
      </c>
    </row>
    <row r="1244" spans="1:26" s="324" customFormat="1" ht="0.65" hidden="1" customHeight="1">
      <c r="A1244" s="324">
        <v>5100</v>
      </c>
      <c r="F1244" s="324">
        <v>1</v>
      </c>
      <c r="G1244" s="324">
        <v>26</v>
      </c>
      <c r="H1244" s="324" t="s">
        <v>572</v>
      </c>
      <c r="I1244" s="324">
        <v>37500</v>
      </c>
      <c r="J1244" s="324">
        <v>37500</v>
      </c>
      <c r="K1244" s="324" t="s">
        <v>1639</v>
      </c>
      <c r="M1244" s="324">
        <v>112500</v>
      </c>
      <c r="N1244" s="324">
        <v>25000</v>
      </c>
      <c r="O1244" s="324">
        <v>150000</v>
      </c>
      <c r="U1244" s="324" t="s">
        <v>1639</v>
      </c>
      <c r="V1244" s="324" t="s">
        <v>574</v>
      </c>
      <c r="X1244" s="324" t="s">
        <v>262</v>
      </c>
      <c r="Y1244" s="324" t="s">
        <v>263</v>
      </c>
      <c r="Z1244" s="324" t="s">
        <v>344</v>
      </c>
    </row>
    <row r="1245" spans="1:26" s="324" customFormat="1" ht="0.65" hidden="1" customHeight="1">
      <c r="A1245" s="324">
        <v>5101</v>
      </c>
      <c r="F1245" s="324">
        <v>1</v>
      </c>
      <c r="G1245" s="324">
        <v>27</v>
      </c>
      <c r="H1245" s="324" t="s">
        <v>575</v>
      </c>
      <c r="I1245" s="324">
        <v>37500</v>
      </c>
      <c r="J1245" s="324">
        <v>37500</v>
      </c>
      <c r="K1245" s="324" t="s">
        <v>1639</v>
      </c>
      <c r="M1245" s="324">
        <v>112500</v>
      </c>
      <c r="N1245" s="324">
        <v>25000</v>
      </c>
      <c r="O1245" s="324">
        <v>75000</v>
      </c>
      <c r="U1245" s="324" t="s">
        <v>1639</v>
      </c>
      <c r="V1245" s="324" t="s">
        <v>576</v>
      </c>
      <c r="X1245" s="324" t="s">
        <v>262</v>
      </c>
      <c r="Y1245" s="324" t="s">
        <v>263</v>
      </c>
      <c r="Z1245" s="324" t="s">
        <v>264</v>
      </c>
    </row>
    <row r="1246" spans="1:26" s="324" customFormat="1" ht="0.65" hidden="1" customHeight="1">
      <c r="A1246" s="324">
        <v>5102</v>
      </c>
      <c r="F1246" s="324">
        <v>1</v>
      </c>
      <c r="G1246" s="324">
        <v>28</v>
      </c>
      <c r="H1246" s="324" t="s">
        <v>577</v>
      </c>
      <c r="I1246" s="324">
        <v>37500</v>
      </c>
      <c r="J1246" s="324">
        <v>37500</v>
      </c>
      <c r="K1246" s="324" t="s">
        <v>1639</v>
      </c>
      <c r="M1246" s="324">
        <v>112500</v>
      </c>
      <c r="N1246" s="324">
        <v>25000</v>
      </c>
      <c r="O1246" s="324">
        <v>112500</v>
      </c>
      <c r="U1246" s="324" t="s">
        <v>1639</v>
      </c>
      <c r="V1246" s="324" t="s">
        <v>578</v>
      </c>
      <c r="X1246" s="324" t="s">
        <v>262</v>
      </c>
      <c r="Y1246" s="324" t="s">
        <v>263</v>
      </c>
      <c r="Z1246" s="324" t="s">
        <v>264</v>
      </c>
    </row>
    <row r="1247" spans="1:26" s="324" customFormat="1" ht="0.65" hidden="1" customHeight="1">
      <c r="A1247" s="324">
        <v>5103</v>
      </c>
      <c r="F1247" s="324">
        <v>1</v>
      </c>
      <c r="G1247" s="324">
        <v>29</v>
      </c>
      <c r="H1247" s="324" t="s">
        <v>579</v>
      </c>
      <c r="I1247" s="324">
        <v>62500</v>
      </c>
      <c r="J1247" s="324">
        <v>62500</v>
      </c>
      <c r="K1247" s="324" t="s">
        <v>1640</v>
      </c>
      <c r="M1247" s="324">
        <v>137500</v>
      </c>
      <c r="N1247" s="324">
        <v>0</v>
      </c>
      <c r="O1247" s="324">
        <v>100000</v>
      </c>
      <c r="U1247" s="324" t="s">
        <v>1640</v>
      </c>
      <c r="V1247" s="324" t="s">
        <v>581</v>
      </c>
      <c r="X1247" s="324" t="s">
        <v>265</v>
      </c>
      <c r="Y1247" s="324" t="s">
        <v>266</v>
      </c>
      <c r="Z1247" s="324" t="s">
        <v>281</v>
      </c>
    </row>
    <row r="1248" spans="1:26" s="324" customFormat="1" ht="0.65" hidden="1" customHeight="1">
      <c r="A1248" s="324">
        <v>5104</v>
      </c>
      <c r="F1248" s="324">
        <v>1</v>
      </c>
      <c r="G1248" s="324">
        <v>30</v>
      </c>
      <c r="H1248" s="324" t="s">
        <v>582</v>
      </c>
      <c r="I1248" s="324">
        <v>62500</v>
      </c>
      <c r="J1248" s="324">
        <v>62500</v>
      </c>
      <c r="K1248" s="324" t="s">
        <v>1640</v>
      </c>
      <c r="M1248" s="324">
        <v>137500</v>
      </c>
      <c r="N1248" s="324">
        <v>0</v>
      </c>
      <c r="O1248" s="324">
        <v>100000</v>
      </c>
      <c r="U1248" s="324" t="s">
        <v>1640</v>
      </c>
      <c r="V1248" s="324" t="s">
        <v>583</v>
      </c>
      <c r="X1248" s="324" t="s">
        <v>265</v>
      </c>
      <c r="Y1248" s="324" t="s">
        <v>266</v>
      </c>
      <c r="Z1248" s="324" t="s">
        <v>281</v>
      </c>
    </row>
    <row r="1249" spans="1:28" s="324" customFormat="1" ht="0.65" hidden="1" customHeight="1">
      <c r="A1249" s="324">
        <v>5105</v>
      </c>
      <c r="F1249" s="324">
        <v>1</v>
      </c>
      <c r="G1249" s="324">
        <v>31</v>
      </c>
      <c r="H1249" s="324" t="s">
        <v>584</v>
      </c>
      <c r="I1249" s="324">
        <v>62500</v>
      </c>
      <c r="J1249" s="324">
        <v>62500</v>
      </c>
      <c r="K1249" s="324" t="s">
        <v>1640</v>
      </c>
      <c r="M1249" s="324">
        <v>137500</v>
      </c>
      <c r="N1249" s="324">
        <v>0</v>
      </c>
      <c r="O1249" s="324">
        <v>100000</v>
      </c>
      <c r="U1249" s="324" t="s">
        <v>1640</v>
      </c>
      <c r="V1249" s="324" t="s">
        <v>585</v>
      </c>
      <c r="X1249" s="324" t="s">
        <v>265</v>
      </c>
      <c r="Y1249" s="324" t="s">
        <v>266</v>
      </c>
      <c r="Z1249" s="324" t="s">
        <v>281</v>
      </c>
    </row>
    <row r="1250" spans="1:28" s="324" customFormat="1" ht="0.65" hidden="1" customHeight="1">
      <c r="A1250" s="324">
        <v>5106</v>
      </c>
      <c r="F1250" s="324">
        <v>1</v>
      </c>
      <c r="G1250" s="324">
        <v>32</v>
      </c>
      <c r="H1250" s="324" t="s">
        <v>586</v>
      </c>
      <c r="I1250" s="324">
        <v>62500</v>
      </c>
      <c r="J1250" s="324">
        <v>62500</v>
      </c>
      <c r="K1250" s="324" t="s">
        <v>1641</v>
      </c>
      <c r="U1250" s="324" t="s">
        <v>1641</v>
      </c>
      <c r="V1250" s="324" t="s">
        <v>588</v>
      </c>
    </row>
    <row r="1251" spans="1:28" s="324" customFormat="1" ht="0.65" hidden="1" customHeight="1">
      <c r="A1251" s="324">
        <v>5107</v>
      </c>
      <c r="F1251" s="324">
        <v>1</v>
      </c>
      <c r="G1251" s="324">
        <v>33</v>
      </c>
      <c r="H1251" s="324" t="s">
        <v>589</v>
      </c>
      <c r="I1251" s="324">
        <v>0</v>
      </c>
      <c r="J1251" s="324">
        <v>0</v>
      </c>
      <c r="K1251" s="324" t="s">
        <v>1624</v>
      </c>
      <c r="M1251" s="324">
        <v>62500</v>
      </c>
      <c r="N1251" s="324">
        <v>125000</v>
      </c>
      <c r="U1251" s="324" t="s">
        <v>1624</v>
      </c>
      <c r="V1251" s="324" t="s">
        <v>507</v>
      </c>
      <c r="X1251" s="324" t="s">
        <v>267</v>
      </c>
      <c r="Y1251" s="324" t="s">
        <v>268</v>
      </c>
    </row>
    <row r="1252" spans="1:28" s="324" customFormat="1" ht="0.65" hidden="1" customHeight="1">
      <c r="A1252" s="324">
        <v>5108</v>
      </c>
      <c r="F1252" s="324">
        <v>1</v>
      </c>
      <c r="G1252" s="324">
        <v>34</v>
      </c>
      <c r="H1252" s="324" t="s">
        <v>590</v>
      </c>
      <c r="I1252" s="324">
        <v>0</v>
      </c>
      <c r="J1252" s="324">
        <v>0</v>
      </c>
      <c r="K1252" s="324" t="s">
        <v>1624</v>
      </c>
      <c r="M1252" s="324">
        <v>62500</v>
      </c>
      <c r="N1252" s="324">
        <v>125000</v>
      </c>
      <c r="U1252" s="324" t="s">
        <v>1624</v>
      </c>
      <c r="V1252" s="324" t="s">
        <v>591</v>
      </c>
      <c r="X1252" s="324" t="s">
        <v>267</v>
      </c>
      <c r="Y1252" s="324" t="s">
        <v>268</v>
      </c>
    </row>
    <row r="1253" spans="1:28" s="324" customFormat="1" ht="0.65" hidden="1" customHeight="1">
      <c r="A1253" s="324">
        <v>5109</v>
      </c>
      <c r="F1253" s="324">
        <v>1</v>
      </c>
      <c r="G1253" s="324">
        <v>35</v>
      </c>
      <c r="H1253" s="324" t="s">
        <v>592</v>
      </c>
      <c r="I1253" s="324">
        <v>267500</v>
      </c>
      <c r="J1253" s="324">
        <v>267500</v>
      </c>
      <c r="K1253" s="324" t="s">
        <v>1642</v>
      </c>
      <c r="M1253" s="324">
        <v>392500</v>
      </c>
      <c r="N1253" s="324">
        <v>330000</v>
      </c>
      <c r="U1253" s="324" t="s">
        <v>1642</v>
      </c>
      <c r="V1253" s="324" t="s">
        <v>594</v>
      </c>
      <c r="X1253" s="324" t="s">
        <v>269</v>
      </c>
      <c r="Y1253" s="324" t="s">
        <v>282</v>
      </c>
    </row>
    <row r="1254" spans="1:28" s="324" customFormat="1" ht="0.65" hidden="1" customHeight="1">
      <c r="A1254" s="324">
        <v>5110</v>
      </c>
      <c r="F1254" s="324">
        <v>1</v>
      </c>
      <c r="G1254" s="324">
        <v>36</v>
      </c>
      <c r="H1254" s="324" t="s">
        <v>595</v>
      </c>
      <c r="I1254" s="324">
        <v>330000</v>
      </c>
      <c r="J1254" s="324">
        <v>330000</v>
      </c>
      <c r="K1254" s="324" t="s">
        <v>1643</v>
      </c>
      <c r="M1254" s="324">
        <v>267500</v>
      </c>
      <c r="U1254" s="324" t="s">
        <v>1643</v>
      </c>
      <c r="V1254" s="324" t="s">
        <v>597</v>
      </c>
      <c r="X1254" s="324" t="s">
        <v>270</v>
      </c>
    </row>
    <row r="1255" spans="1:28" s="324" customFormat="1" ht="0.65" hidden="1" customHeight="1">
      <c r="A1255" s="324">
        <v>5111</v>
      </c>
      <c r="F1255" s="324">
        <v>1</v>
      </c>
      <c r="G1255" s="324">
        <v>37</v>
      </c>
      <c r="H1255" s="324" t="s">
        <v>598</v>
      </c>
      <c r="I1255" s="324">
        <v>367500</v>
      </c>
      <c r="J1255" s="324">
        <v>367500</v>
      </c>
      <c r="K1255" s="324" t="s">
        <v>1644</v>
      </c>
      <c r="M1255" s="324">
        <v>305000</v>
      </c>
      <c r="U1255" s="324" t="s">
        <v>1644</v>
      </c>
      <c r="V1255" s="324" t="s">
        <v>600</v>
      </c>
      <c r="X1255" s="324" t="s">
        <v>270</v>
      </c>
    </row>
    <row r="1256" spans="1:28" s="324" customFormat="1" ht="0.65" hidden="1" customHeight="1">
      <c r="A1256" s="324">
        <v>5112</v>
      </c>
      <c r="F1256" s="324">
        <v>1</v>
      </c>
      <c r="G1256" s="324">
        <v>38</v>
      </c>
      <c r="H1256" s="324" t="s">
        <v>491</v>
      </c>
      <c r="I1256" s="324">
        <v>277500</v>
      </c>
      <c r="J1256" s="324">
        <v>277500</v>
      </c>
      <c r="K1256" s="324" t="s">
        <v>1645</v>
      </c>
      <c r="M1256" s="324">
        <v>90000</v>
      </c>
      <c r="N1256" s="324">
        <v>67500</v>
      </c>
      <c r="O1256" s="324">
        <v>340000</v>
      </c>
      <c r="P1256" s="324">
        <v>300000</v>
      </c>
      <c r="Q1256" s="324">
        <v>142500</v>
      </c>
      <c r="U1256" s="324" t="s">
        <v>1645</v>
      </c>
      <c r="V1256" s="324" t="s">
        <v>602</v>
      </c>
      <c r="X1256" s="324" t="s">
        <v>271</v>
      </c>
      <c r="Y1256" s="324" t="s">
        <v>272</v>
      </c>
      <c r="Z1256" s="324" t="s">
        <v>273</v>
      </c>
      <c r="AA1256" s="324" t="s">
        <v>283</v>
      </c>
      <c r="AB1256" s="324" t="s">
        <v>345</v>
      </c>
    </row>
    <row r="1257" spans="1:28" s="324" customFormat="1" ht="0.65" hidden="1" customHeight="1">
      <c r="A1257" s="324">
        <v>5113</v>
      </c>
      <c r="F1257" s="324">
        <v>1</v>
      </c>
      <c r="G1257" s="324">
        <v>39</v>
      </c>
      <c r="H1257" s="324" t="s">
        <v>493</v>
      </c>
      <c r="I1257" s="324">
        <v>62500</v>
      </c>
      <c r="J1257" s="324">
        <v>62500</v>
      </c>
      <c r="K1257" s="324" t="s">
        <v>1646</v>
      </c>
      <c r="M1257" s="324">
        <v>0</v>
      </c>
      <c r="U1257" s="324" t="s">
        <v>1646</v>
      </c>
      <c r="V1257" s="324" t="s">
        <v>604</v>
      </c>
      <c r="X1257" s="324" t="s">
        <v>289</v>
      </c>
    </row>
    <row r="1258" spans="1:28" s="324" customFormat="1" ht="0.65" hidden="1" customHeight="1">
      <c r="A1258" s="324">
        <v>5114</v>
      </c>
      <c r="F1258" s="324">
        <v>1</v>
      </c>
      <c r="G1258" s="324">
        <v>40</v>
      </c>
      <c r="H1258" s="324" t="s">
        <v>494</v>
      </c>
      <c r="I1258" s="324">
        <v>340000</v>
      </c>
      <c r="J1258" s="324">
        <v>340000</v>
      </c>
      <c r="K1258" s="324" t="s">
        <v>1647</v>
      </c>
      <c r="M1258" s="324">
        <v>215000</v>
      </c>
      <c r="N1258" s="324">
        <v>277500</v>
      </c>
      <c r="O1258" s="324">
        <v>62500</v>
      </c>
      <c r="U1258" s="324" t="s">
        <v>1647</v>
      </c>
      <c r="V1258" s="324" t="s">
        <v>606</v>
      </c>
      <c r="X1258" s="324" t="s">
        <v>274</v>
      </c>
      <c r="Y1258" s="324" t="s">
        <v>284</v>
      </c>
      <c r="Z1258" s="324" t="s">
        <v>285</v>
      </c>
    </row>
    <row r="1259" spans="1:28" s="324" customFormat="1" ht="0.65" hidden="1" customHeight="1">
      <c r="A1259" s="324">
        <v>5115</v>
      </c>
      <c r="F1259" s="324">
        <v>1</v>
      </c>
      <c r="G1259" s="324">
        <v>41</v>
      </c>
      <c r="H1259" s="324" t="s">
        <v>607</v>
      </c>
      <c r="I1259" s="324">
        <v>-967500</v>
      </c>
      <c r="J1259" s="324">
        <v>-967500</v>
      </c>
      <c r="K1259" s="324" t="s">
        <v>1648</v>
      </c>
      <c r="M1259" s="324">
        <v>967500</v>
      </c>
      <c r="U1259" s="324" t="s">
        <v>1648</v>
      </c>
      <c r="V1259" s="324" t="s">
        <v>609</v>
      </c>
      <c r="X1259" s="324" t="s">
        <v>275</v>
      </c>
    </row>
    <row r="1260" spans="1:28" s="324" customFormat="1" ht="0.65" hidden="1" customHeight="1">
      <c r="A1260" s="324">
        <v>5116</v>
      </c>
      <c r="F1260" s="324">
        <v>1</v>
      </c>
      <c r="G1260" s="324">
        <v>42</v>
      </c>
      <c r="H1260" s="324" t="s">
        <v>610</v>
      </c>
      <c r="I1260" s="324">
        <v>267500</v>
      </c>
      <c r="J1260" s="324">
        <v>267500</v>
      </c>
      <c r="K1260" s="324" t="s">
        <v>1642</v>
      </c>
      <c r="U1260" s="324" t="s">
        <v>1642</v>
      </c>
      <c r="V1260" s="324" t="s">
        <v>594</v>
      </c>
    </row>
    <row r="1261" spans="1:28" s="324" customFormat="1" ht="0.65" hidden="1" customHeight="1">
      <c r="A1261" s="324">
        <v>5117</v>
      </c>
      <c r="F1261" s="324">
        <v>1</v>
      </c>
      <c r="G1261" s="324">
        <v>43</v>
      </c>
      <c r="H1261" s="324" t="s">
        <v>611</v>
      </c>
      <c r="I1261" s="324">
        <v>330000</v>
      </c>
      <c r="J1261" s="324">
        <v>330000</v>
      </c>
      <c r="K1261" s="324" t="s">
        <v>1643</v>
      </c>
      <c r="U1261" s="324" t="s">
        <v>1643</v>
      </c>
      <c r="V1261" s="324" t="s">
        <v>597</v>
      </c>
    </row>
    <row r="1262" spans="1:28" s="324" customFormat="1" ht="0.65" hidden="1" customHeight="1">
      <c r="A1262" s="324">
        <v>5118</v>
      </c>
      <c r="F1262" s="324">
        <v>1</v>
      </c>
      <c r="G1262" s="324">
        <v>44</v>
      </c>
      <c r="H1262" s="324" t="s">
        <v>612</v>
      </c>
      <c r="I1262" s="324">
        <v>707500</v>
      </c>
      <c r="J1262" s="324">
        <v>707500</v>
      </c>
      <c r="K1262" s="324" t="s">
        <v>1649</v>
      </c>
      <c r="M1262" s="324">
        <v>367500</v>
      </c>
      <c r="N1262" s="324">
        <v>27500</v>
      </c>
      <c r="U1262" s="324" t="s">
        <v>1649</v>
      </c>
      <c r="V1262" s="324" t="s">
        <v>614</v>
      </c>
      <c r="X1262" s="324" t="s">
        <v>276</v>
      </c>
      <c r="Y1262" s="324" t="s">
        <v>346</v>
      </c>
    </row>
    <row r="1263" spans="1:28" s="324" customFormat="1" ht="0.65" hidden="1" customHeight="1">
      <c r="A1263" s="324">
        <v>5119</v>
      </c>
      <c r="F1263" s="324">
        <v>1</v>
      </c>
      <c r="G1263" s="324">
        <v>45</v>
      </c>
      <c r="H1263" s="324" t="s">
        <v>414</v>
      </c>
      <c r="I1263" s="324">
        <v>4.4999999999999998E-2</v>
      </c>
      <c r="J1263" s="324">
        <v>4.4999999999999998E-2</v>
      </c>
      <c r="K1263" s="324" t="s">
        <v>1650</v>
      </c>
      <c r="M1263" s="324">
        <v>0.06</v>
      </c>
      <c r="N1263" s="324">
        <v>360000</v>
      </c>
      <c r="O1263" s="324">
        <v>1.4999999999999999E-2</v>
      </c>
      <c r="P1263" s="324">
        <v>7.4999999999999997E-2</v>
      </c>
      <c r="U1263" s="324" t="s">
        <v>1650</v>
      </c>
      <c r="V1263" s="324" t="s">
        <v>616</v>
      </c>
      <c r="X1263" s="324" t="s">
        <v>277</v>
      </c>
      <c r="Y1263" s="324" t="s">
        <v>347</v>
      </c>
      <c r="Z1263" s="324" t="s">
        <v>348</v>
      </c>
      <c r="AA1263" s="324" t="s">
        <v>349</v>
      </c>
    </row>
    <row r="1264" spans="1:28" s="324" customFormat="1" ht="0.65" hidden="1" customHeight="1">
      <c r="A1264" s="324">
        <v>5120</v>
      </c>
      <c r="F1264" s="324">
        <v>1</v>
      </c>
      <c r="G1264" s="324">
        <v>46</v>
      </c>
      <c r="H1264" s="324" t="s">
        <v>415</v>
      </c>
      <c r="I1264" s="324">
        <v>0.1</v>
      </c>
      <c r="J1264" s="324">
        <v>0.1</v>
      </c>
      <c r="K1264" s="324" t="s">
        <v>1651</v>
      </c>
      <c r="M1264" s="324">
        <v>0.08</v>
      </c>
      <c r="N1264" s="324">
        <v>1920000</v>
      </c>
      <c r="O1264" s="324">
        <v>0.06</v>
      </c>
      <c r="U1264" s="324" t="s">
        <v>1651</v>
      </c>
      <c r="V1264" s="324" t="s">
        <v>618</v>
      </c>
      <c r="X1264" s="324" t="s">
        <v>278</v>
      </c>
      <c r="Y1264" s="324" t="s">
        <v>350</v>
      </c>
      <c r="Z1264" s="324" t="s">
        <v>351</v>
      </c>
    </row>
    <row r="1265" spans="1:28" s="324" customFormat="1" ht="0.65" hidden="1" customHeight="1">
      <c r="A1265" s="324">
        <v>5121</v>
      </c>
      <c r="F1265" s="324">
        <v>1</v>
      </c>
      <c r="G1265" s="324">
        <v>47</v>
      </c>
      <c r="H1265" s="324" t="s">
        <v>416</v>
      </c>
      <c r="I1265" s="324">
        <v>8.8999999999999996E-2</v>
      </c>
      <c r="J1265" s="324">
        <v>8.8999999999999996E-2</v>
      </c>
      <c r="K1265" s="324" t="s">
        <v>1652</v>
      </c>
      <c r="U1265" s="324" t="s">
        <v>1652</v>
      </c>
      <c r="V1265" s="324" t="s">
        <v>620</v>
      </c>
    </row>
    <row r="1266" spans="1:28" s="324" customFormat="1" ht="0.65" hidden="1" customHeight="1">
      <c r="A1266" s="324">
        <v>5122</v>
      </c>
      <c r="F1266" s="324">
        <v>1</v>
      </c>
      <c r="G1266" s="324">
        <v>48</v>
      </c>
      <c r="H1266" s="324" t="s">
        <v>13</v>
      </c>
      <c r="I1266" s="324">
        <v>104229.1490951411</v>
      </c>
      <c r="J1266" s="324">
        <v>104229.1490951411</v>
      </c>
      <c r="K1266" s="324" t="s">
        <v>1653</v>
      </c>
      <c r="M1266" s="324">
        <v>210651.59252120298</v>
      </c>
      <c r="N1266" s="324">
        <v>79964.312546957168</v>
      </c>
      <c r="O1266" s="324">
        <v>95710.880711791586</v>
      </c>
      <c r="P1266" s="324">
        <v>1071729.1490951411</v>
      </c>
      <c r="Q1266" s="324">
        <v>2039229.1490951411</v>
      </c>
      <c r="U1266" s="324" t="s">
        <v>1653</v>
      </c>
      <c r="V1266" s="324" t="s">
        <v>622</v>
      </c>
      <c r="X1266" s="324" t="s">
        <v>286</v>
      </c>
      <c r="Y1266" s="324" t="s">
        <v>287</v>
      </c>
      <c r="Z1266" s="324" t="s">
        <v>288</v>
      </c>
      <c r="AA1266" s="324" t="s">
        <v>352</v>
      </c>
      <c r="AB1266" s="324" t="s">
        <v>353</v>
      </c>
    </row>
    <row r="1267" spans="1:28" s="324" customFormat="1" ht="0.65" hidden="1" customHeight="1">
      <c r="A1267" s="324">
        <v>5123</v>
      </c>
      <c r="F1267" s="324">
        <v>1</v>
      </c>
      <c r="G1267" s="324">
        <v>49</v>
      </c>
      <c r="H1267" s="324" t="s">
        <v>28</v>
      </c>
      <c r="I1267" s="324">
        <v>0.13927532491339289</v>
      </c>
      <c r="J1267" s="324">
        <v>0.13927532491339289</v>
      </c>
      <c r="K1267" s="324" t="s">
        <v>1654</v>
      </c>
      <c r="U1267" s="324" t="s">
        <v>1654</v>
      </c>
      <c r="V1267" s="324" t="s">
        <v>624</v>
      </c>
    </row>
    <row r="1268" spans="1:28" s="324" customFormat="1" ht="0.65" hidden="1" customHeight="1">
      <c r="A1268" s="324">
        <v>5124</v>
      </c>
      <c r="M1268" s="324">
        <v>1</v>
      </c>
      <c r="N1268" s="324">
        <v>2</v>
      </c>
      <c r="O1268" s="324">
        <v>3</v>
      </c>
      <c r="P1268" s="324">
        <v>4</v>
      </c>
      <c r="Q1268" s="324">
        <v>5</v>
      </c>
      <c r="R1268" s="324">
        <v>6</v>
      </c>
      <c r="S1268" s="324">
        <v>7</v>
      </c>
      <c r="T1268" s="324">
        <v>8</v>
      </c>
      <c r="U1268" s="324">
        <v>9</v>
      </c>
      <c r="V1268" s="324">
        <v>10</v>
      </c>
    </row>
    <row r="1269" spans="1:28" s="324" customFormat="1" ht="0.65" hidden="1" customHeight="1">
      <c r="A1269" s="324">
        <v>5125</v>
      </c>
    </row>
    <row r="1270" spans="1:28" s="324" customFormat="1" ht="0.65" hidden="1" customHeight="1">
      <c r="A1270" s="324">
        <v>5126</v>
      </c>
    </row>
    <row r="1271" spans="1:28" s="324" customFormat="1" ht="0.65" hidden="1" customHeight="1">
      <c r="A1271" s="324">
        <v>5127</v>
      </c>
      <c r="K1271" s="324" t="s">
        <v>211</v>
      </c>
    </row>
    <row r="1272" spans="1:28" s="324" customFormat="1" ht="0.65" hidden="1" customHeight="1">
      <c r="A1272" s="324">
        <v>5128</v>
      </c>
    </row>
    <row r="1273" spans="1:28" s="324" customFormat="1" ht="0.65" hidden="1" customHeight="1">
      <c r="A1273" s="324">
        <v>5129</v>
      </c>
    </row>
    <row r="1274" spans="1:28" s="324" customFormat="1" ht="0.65" hidden="1" customHeight="1">
      <c r="A1274" s="324">
        <v>5130</v>
      </c>
    </row>
    <row r="1275" spans="1:28" s="324" customFormat="1" ht="0.65" hidden="1" customHeight="1">
      <c r="A1275" s="324">
        <v>5131</v>
      </c>
    </row>
    <row r="1276" spans="1:28" s="324" customFormat="1" ht="0.65" hidden="1" customHeight="1">
      <c r="A1276" s="324">
        <v>5132</v>
      </c>
    </row>
    <row r="1277" spans="1:28" s="324" customFormat="1" ht="0.65" hidden="1" customHeight="1">
      <c r="A1277" s="324">
        <v>5133</v>
      </c>
    </row>
    <row r="1278" spans="1:28" s="324" customFormat="1" ht="0.65" hidden="1" customHeight="1">
      <c r="A1278" s="324">
        <v>5134</v>
      </c>
    </row>
    <row r="1279" spans="1:28" s="324" customFormat="1" ht="0.65" hidden="1" customHeight="1">
      <c r="A1279" s="324">
        <v>5135</v>
      </c>
    </row>
    <row r="1280" spans="1:28" s="324" customFormat="1" ht="0.65" hidden="1" customHeight="1">
      <c r="A1280" s="324">
        <v>5136</v>
      </c>
    </row>
    <row r="1281" spans="1:32" s="324" customFormat="1" ht="0.65" hidden="1" customHeight="1">
      <c r="A1281" s="324">
        <v>5137</v>
      </c>
    </row>
    <row r="1282" spans="1:32" s="324" customFormat="1" ht="0.65" hidden="1" customHeight="1">
      <c r="A1282" s="324">
        <v>5138</v>
      </c>
    </row>
    <row r="1283" spans="1:32" s="324" customFormat="1" ht="0.65" hidden="1" customHeight="1">
      <c r="A1283" s="324">
        <v>5139</v>
      </c>
    </row>
    <row r="1284" spans="1:32" s="324" customFormat="1" ht="0.65" hidden="1" customHeight="1">
      <c r="A1284" s="324">
        <v>5140</v>
      </c>
    </row>
    <row r="1285" spans="1:32" s="324" customFormat="1" ht="0.65" hidden="1" customHeight="1">
      <c r="A1285" s="324">
        <v>5141</v>
      </c>
    </row>
    <row r="1286" spans="1:32" s="324" customFormat="1" ht="0.65" hidden="1" customHeight="1">
      <c r="A1286" s="324">
        <v>5142</v>
      </c>
    </row>
    <row r="1287" spans="1:32" s="324" customFormat="1" ht="0.65" hidden="1" customHeight="1">
      <c r="A1287" s="324">
        <v>5143</v>
      </c>
    </row>
    <row r="1288" spans="1:32" s="324" customFormat="1" ht="0.65" hidden="1" customHeight="1">
      <c r="A1288" s="324">
        <v>5144</v>
      </c>
      <c r="U1288" s="324" t="s">
        <v>1655</v>
      </c>
    </row>
    <row r="1289" spans="1:32" s="324" customFormat="1" ht="0.65" hidden="1" customHeight="1">
      <c r="A1289" s="324">
        <v>5145</v>
      </c>
      <c r="G1289" s="324" t="s">
        <v>0</v>
      </c>
      <c r="H1289" s="324" t="s">
        <v>69</v>
      </c>
      <c r="I1289" s="324" t="s">
        <v>70</v>
      </c>
      <c r="J1289" s="324" t="s">
        <v>71</v>
      </c>
      <c r="K1289" s="324" t="s">
        <v>72</v>
      </c>
      <c r="L1289" s="324" t="s">
        <v>73</v>
      </c>
      <c r="M1289" s="324" t="s">
        <v>74</v>
      </c>
      <c r="N1289" s="324" t="s">
        <v>75</v>
      </c>
      <c r="O1289" s="324" t="s">
        <v>80</v>
      </c>
      <c r="P1289" s="324" t="s">
        <v>1</v>
      </c>
      <c r="V1289" s="324" t="s">
        <v>182</v>
      </c>
      <c r="W1289" s="324" t="s">
        <v>183</v>
      </c>
      <c r="X1289" s="324" t="s">
        <v>184</v>
      </c>
      <c r="Y1289" s="324" t="s">
        <v>185</v>
      </c>
    </row>
    <row r="1290" spans="1:32" s="324" customFormat="1" ht="0.65" hidden="1" customHeight="1">
      <c r="A1290" s="324">
        <v>5146</v>
      </c>
      <c r="G1290" s="324">
        <v>2022</v>
      </c>
      <c r="H1290" s="324">
        <v>0</v>
      </c>
      <c r="I1290" s="324">
        <v>0</v>
      </c>
      <c r="J1290" s="324">
        <v>0</v>
      </c>
      <c r="K1290" s="324">
        <v>0</v>
      </c>
      <c r="L1290" s="324">
        <v>0</v>
      </c>
      <c r="M1290" s="324">
        <v>0</v>
      </c>
      <c r="N1290" s="324">
        <v>0</v>
      </c>
      <c r="O1290" s="324">
        <v>0</v>
      </c>
      <c r="P1290" s="324">
        <v>-967500</v>
      </c>
      <c r="T1290" s="324">
        <v>1</v>
      </c>
      <c r="U1290" s="324" t="s">
        <v>153</v>
      </c>
      <c r="V1290" s="324" t="s">
        <v>178</v>
      </c>
      <c r="W1290" s="324">
        <v>102100.40098369634</v>
      </c>
      <c r="X1290" s="324">
        <v>-2128.7481114447583</v>
      </c>
      <c r="Y1290" s="324">
        <v>-2128.7481114446418</v>
      </c>
      <c r="AA1290" s="324" t="s">
        <v>188</v>
      </c>
      <c r="AB1290" s="324" t="s">
        <v>1656</v>
      </c>
      <c r="AD1290" s="324">
        <v>-967500</v>
      </c>
      <c r="AE1290" s="324">
        <v>104229.1490951411</v>
      </c>
      <c r="AF1290" s="324">
        <v>-967500</v>
      </c>
    </row>
    <row r="1291" spans="1:32" s="324" customFormat="1" ht="0.65" hidden="1" customHeight="1">
      <c r="A1291" s="324">
        <v>5147</v>
      </c>
      <c r="G1291" s="324">
        <v>2023</v>
      </c>
      <c r="H1291" s="324">
        <v>600000</v>
      </c>
      <c r="I1291" s="324">
        <v>150000</v>
      </c>
      <c r="J1291" s="324">
        <v>-30000</v>
      </c>
      <c r="K1291" s="324">
        <v>480000</v>
      </c>
      <c r="L1291" s="324">
        <v>120000</v>
      </c>
      <c r="M1291" s="324">
        <v>360000</v>
      </c>
      <c r="N1291" s="324">
        <v>330000</v>
      </c>
      <c r="O1291" s="324">
        <v>267500</v>
      </c>
      <c r="P1291" s="324">
        <v>267500</v>
      </c>
      <c r="T1291" s="324">
        <v>2</v>
      </c>
      <c r="U1291" s="324" t="s">
        <v>154</v>
      </c>
      <c r="V1291" s="324" t="s">
        <v>178</v>
      </c>
      <c r="W1291" s="324">
        <v>8097.153366178507</v>
      </c>
      <c r="X1291" s="324">
        <v>-96131.995728962589</v>
      </c>
      <c r="Y1291" s="324">
        <v>-96131.995728962589</v>
      </c>
      <c r="AA1291" s="324" t="s">
        <v>197</v>
      </c>
      <c r="AB1291" s="324" t="s">
        <v>1657</v>
      </c>
      <c r="AD1291" s="324">
        <v>267500</v>
      </c>
      <c r="AF1291" s="324">
        <v>267500</v>
      </c>
    </row>
    <row r="1292" spans="1:32" s="324" customFormat="1" ht="0.65" hidden="1" customHeight="1">
      <c r="A1292" s="324">
        <v>5148</v>
      </c>
      <c r="G1292" s="324">
        <v>2024</v>
      </c>
      <c r="H1292" s="324">
        <v>600000</v>
      </c>
      <c r="I1292" s="324">
        <v>150000</v>
      </c>
      <c r="J1292" s="324">
        <v>-30000</v>
      </c>
      <c r="K1292" s="324">
        <v>480000</v>
      </c>
      <c r="L1292" s="324">
        <v>120000</v>
      </c>
      <c r="M1292" s="324">
        <v>360000</v>
      </c>
      <c r="N1292" s="324">
        <v>330000</v>
      </c>
      <c r="O1292" s="324">
        <v>330000</v>
      </c>
      <c r="P1292" s="324">
        <v>330000</v>
      </c>
      <c r="T1292" s="324">
        <v>3</v>
      </c>
      <c r="U1292" s="324" t="s">
        <v>155</v>
      </c>
      <c r="V1292" s="324" t="s">
        <v>178</v>
      </c>
      <c r="W1292" s="324">
        <v>97260.335143859964</v>
      </c>
      <c r="X1292" s="324">
        <v>-6968.8139512811322</v>
      </c>
      <c r="Y1292" s="324">
        <v>-6968.8139512812031</v>
      </c>
      <c r="AA1292" s="324" t="s">
        <v>191</v>
      </c>
      <c r="AB1292" s="324" t="s">
        <v>1658</v>
      </c>
      <c r="AD1292" s="324">
        <v>330000</v>
      </c>
      <c r="AF1292" s="324">
        <v>330000</v>
      </c>
    </row>
    <row r="1293" spans="1:32" s="324" customFormat="1" ht="0.65" hidden="1" customHeight="1">
      <c r="A1293" s="324">
        <v>5149</v>
      </c>
      <c r="G1293" s="324">
        <v>2025</v>
      </c>
      <c r="H1293" s="324">
        <v>600000</v>
      </c>
      <c r="I1293" s="324">
        <v>150000</v>
      </c>
      <c r="J1293" s="324">
        <v>120000</v>
      </c>
      <c r="K1293" s="324">
        <v>330000</v>
      </c>
      <c r="L1293" s="324">
        <v>82500</v>
      </c>
      <c r="M1293" s="324">
        <v>247500</v>
      </c>
      <c r="N1293" s="324">
        <v>367500</v>
      </c>
      <c r="O1293" s="324">
        <v>367500</v>
      </c>
      <c r="P1293" s="324">
        <v>707500</v>
      </c>
      <c r="T1293" s="324">
        <v>4</v>
      </c>
      <c r="U1293" s="324" t="s">
        <v>156</v>
      </c>
      <c r="V1293" s="324" t="s">
        <v>179</v>
      </c>
      <c r="W1293" s="324">
        <v>119979.1490951411</v>
      </c>
      <c r="X1293" s="324">
        <v>15750</v>
      </c>
      <c r="Y1293" s="324">
        <v>15750.000000000022</v>
      </c>
      <c r="AA1293" s="324" t="s">
        <v>198</v>
      </c>
      <c r="AB1293" s="324" t="s">
        <v>1659</v>
      </c>
      <c r="AD1293" s="324">
        <v>707500</v>
      </c>
      <c r="AF1293" s="324">
        <v>707500</v>
      </c>
    </row>
    <row r="1294" spans="1:32" s="324" customFormat="1" ht="0.65" hidden="1" customHeight="1">
      <c r="A1294" s="324">
        <v>5150</v>
      </c>
      <c r="T1294" s="324">
        <v>5</v>
      </c>
      <c r="U1294" s="324" t="s">
        <v>157</v>
      </c>
      <c r="V1294" s="324" t="s">
        <v>178</v>
      </c>
      <c r="W1294" s="324">
        <v>101414.8806910906</v>
      </c>
      <c r="X1294" s="324">
        <v>-2814.2684040504973</v>
      </c>
      <c r="Y1294" s="324">
        <v>-2814.2684040505264</v>
      </c>
      <c r="AA1294" s="324" t="s">
        <v>192</v>
      </c>
      <c r="AB1294" s="324" t="s">
        <v>1660</v>
      </c>
      <c r="AD1294" s="324">
        <v>8.8999999999999996E-2</v>
      </c>
      <c r="AF1294" s="324">
        <v>8.8999999999999996E-2</v>
      </c>
    </row>
    <row r="1295" spans="1:32" s="324" customFormat="1" ht="0.65" hidden="1" customHeight="1">
      <c r="A1295" s="324">
        <v>5151</v>
      </c>
      <c r="G1295" s="324" t="s">
        <v>0</v>
      </c>
      <c r="H1295" s="324" t="s">
        <v>76</v>
      </c>
      <c r="I1295" s="324" t="s">
        <v>77</v>
      </c>
      <c r="J1295" s="324" t="s">
        <v>78</v>
      </c>
      <c r="K1295" s="324" t="s">
        <v>79</v>
      </c>
      <c r="T1295" s="324">
        <v>6</v>
      </c>
      <c r="U1295" s="324" t="s">
        <v>158</v>
      </c>
      <c r="V1295" s="324" t="s">
        <v>179</v>
      </c>
      <c r="W1295" s="324">
        <v>105123.52359394822</v>
      </c>
      <c r="X1295" s="324">
        <v>894.37449880712666</v>
      </c>
      <c r="Y1295" s="324">
        <v>894.3744988072558</v>
      </c>
      <c r="AA1295" s="324" t="s">
        <v>193</v>
      </c>
      <c r="AB1295" s="324" t="s">
        <v>1661</v>
      </c>
      <c r="AD1295" s="324">
        <v>104229.1490951411</v>
      </c>
      <c r="AF1295" s="324">
        <v>104229.1490951411</v>
      </c>
    </row>
    <row r="1296" spans="1:32" s="324" customFormat="1" ht="0.65" hidden="1" customHeight="1">
      <c r="A1296" s="324">
        <v>5152</v>
      </c>
      <c r="G1296" s="324">
        <v>2022</v>
      </c>
      <c r="H1296" s="324">
        <v>0</v>
      </c>
      <c r="I1296" s="324">
        <v>0</v>
      </c>
      <c r="J1296" s="324">
        <v>0</v>
      </c>
      <c r="K1296" s="324">
        <v>0</v>
      </c>
      <c r="M1296" s="324" t="s">
        <v>490</v>
      </c>
      <c r="N1296" s="324">
        <v>967500</v>
      </c>
      <c r="O1296" s="324" t="s">
        <v>124</v>
      </c>
      <c r="P1296" s="324">
        <v>4.4999999999999998E-2</v>
      </c>
      <c r="T1296" s="324">
        <v>7</v>
      </c>
      <c r="U1296" s="324" t="s">
        <v>159</v>
      </c>
      <c r="V1296" s="324" t="s">
        <v>178</v>
      </c>
      <c r="W1296" s="324">
        <v>88479.149095141096</v>
      </c>
      <c r="X1296" s="324">
        <v>-15750</v>
      </c>
      <c r="Y1296" s="324">
        <v>-15750</v>
      </c>
      <c r="AA1296" s="324" t="s">
        <v>194</v>
      </c>
      <c r="AB1296" s="324" t="s">
        <v>1662</v>
      </c>
      <c r="AF1296" s="324">
        <v>104229.1490951411</v>
      </c>
    </row>
    <row r="1297" spans="1:30" s="324" customFormat="1" ht="0.65" hidden="1" customHeight="1">
      <c r="A1297" s="324">
        <v>5153</v>
      </c>
      <c r="G1297" s="324">
        <v>2023</v>
      </c>
      <c r="H1297" s="324">
        <v>100000</v>
      </c>
      <c r="I1297" s="324">
        <v>37500</v>
      </c>
      <c r="J1297" s="324">
        <v>62500</v>
      </c>
      <c r="K1297" s="324">
        <v>62500</v>
      </c>
      <c r="M1297" s="324" t="s">
        <v>491</v>
      </c>
      <c r="N1297" s="324">
        <v>277500</v>
      </c>
      <c r="O1297" s="324" t="s">
        <v>125</v>
      </c>
      <c r="P1297" s="324">
        <v>0.1</v>
      </c>
      <c r="T1297" s="324">
        <v>8</v>
      </c>
      <c r="U1297" s="324" t="s">
        <v>160</v>
      </c>
      <c r="V1297" s="324" t="s">
        <v>178</v>
      </c>
      <c r="W1297" s="324">
        <v>102486.94560732064</v>
      </c>
      <c r="X1297" s="324">
        <v>-1742.2034878204577</v>
      </c>
      <c r="Y1297" s="324">
        <v>-1742.2034878203008</v>
      </c>
      <c r="AA1297" s="324" t="s">
        <v>195</v>
      </c>
      <c r="AB1297" s="324" t="s">
        <v>1663</v>
      </c>
    </row>
    <row r="1298" spans="1:30" s="324" customFormat="1" ht="0.65" hidden="1" customHeight="1">
      <c r="A1298" s="324">
        <v>5154</v>
      </c>
      <c r="G1298" s="324">
        <v>2024</v>
      </c>
      <c r="H1298" s="324">
        <v>100000</v>
      </c>
      <c r="I1298" s="324">
        <v>37500</v>
      </c>
      <c r="J1298" s="324">
        <v>62500</v>
      </c>
      <c r="K1298" s="324">
        <v>0</v>
      </c>
      <c r="M1298" s="324" t="s">
        <v>493</v>
      </c>
      <c r="N1298" s="324">
        <v>62500</v>
      </c>
      <c r="O1298" s="324" t="s">
        <v>126</v>
      </c>
      <c r="P1298" s="324">
        <v>8.8999999999999996E-2</v>
      </c>
      <c r="T1298" s="324">
        <v>9</v>
      </c>
      <c r="U1298" s="324" t="s">
        <v>161</v>
      </c>
      <c r="V1298" s="324" t="s">
        <v>179</v>
      </c>
      <c r="W1298" s="324">
        <v>216901.11502293102</v>
      </c>
      <c r="X1298" s="324">
        <v>112671.96592778992</v>
      </c>
      <c r="Y1298" s="324">
        <v>112671.96592778989</v>
      </c>
      <c r="AA1298" s="324" t="s">
        <v>199</v>
      </c>
      <c r="AB1298" s="324" t="s">
        <v>1664</v>
      </c>
      <c r="AD1298" s="324">
        <v>-967500</v>
      </c>
    </row>
    <row r="1299" spans="1:30" s="324" customFormat="1" ht="0.65" hidden="1" customHeight="1">
      <c r="A1299" s="324">
        <v>5155</v>
      </c>
      <c r="G1299" s="324">
        <v>2025</v>
      </c>
      <c r="H1299" s="324">
        <v>100000</v>
      </c>
      <c r="I1299" s="324">
        <v>37500</v>
      </c>
      <c r="J1299" s="324">
        <v>62500</v>
      </c>
      <c r="K1299" s="324">
        <v>0</v>
      </c>
      <c r="M1299" s="324" t="s">
        <v>494</v>
      </c>
      <c r="N1299" s="324">
        <v>340000</v>
      </c>
      <c r="T1299" s="324">
        <v>10</v>
      </c>
      <c r="U1299" s="324" t="s">
        <v>162</v>
      </c>
      <c r="V1299" s="324" t="s">
        <v>178</v>
      </c>
      <c r="W1299" s="324">
        <v>97031.099880495807</v>
      </c>
      <c r="X1299" s="324">
        <v>-7198.0492146452889</v>
      </c>
      <c r="Y1299" s="324">
        <v>-7198.0492146452889</v>
      </c>
      <c r="AA1299" s="324" t="s">
        <v>200</v>
      </c>
      <c r="AB1299" s="324" t="s">
        <v>1665</v>
      </c>
      <c r="AD1299" s="324">
        <v>267500</v>
      </c>
    </row>
    <row r="1300" spans="1:30" s="324" customFormat="1" ht="0.65" hidden="1" customHeight="1">
      <c r="A1300" s="324">
        <v>5156</v>
      </c>
      <c r="T1300" s="324">
        <v>11</v>
      </c>
      <c r="U1300" s="324" t="s">
        <v>163</v>
      </c>
      <c r="V1300" s="324" t="s">
        <v>179</v>
      </c>
      <c r="W1300" s="324">
        <v>132217.18934672233</v>
      </c>
      <c r="X1300" s="324">
        <v>27988.040251581231</v>
      </c>
      <c r="Y1300" s="324">
        <v>27988.04025158134</v>
      </c>
      <c r="AA1300" s="324" t="s">
        <v>201</v>
      </c>
      <c r="AB1300" s="324" t="s">
        <v>1666</v>
      </c>
      <c r="AD1300" s="324">
        <v>330000</v>
      </c>
    </row>
    <row r="1301" spans="1:30" s="324" customFormat="1" ht="0.65" hidden="1" customHeight="1">
      <c r="A1301" s="324">
        <v>5157</v>
      </c>
      <c r="O1301" s="324" t="s">
        <v>13</v>
      </c>
      <c r="P1301" s="324">
        <v>104229.1490951411</v>
      </c>
      <c r="T1301" s="324">
        <v>12</v>
      </c>
      <c r="U1301" s="324" t="s">
        <v>164</v>
      </c>
      <c r="V1301" s="324" t="s">
        <v>178</v>
      </c>
      <c r="W1301" s="324">
        <v>102429.63679147977</v>
      </c>
      <c r="X1301" s="324">
        <v>-1799.5123036613222</v>
      </c>
      <c r="Y1301" s="324">
        <v>-1799.5123036613222</v>
      </c>
      <c r="AA1301" s="324" t="s">
        <v>196</v>
      </c>
      <c r="AB1301" s="324" t="s">
        <v>1625</v>
      </c>
      <c r="AD1301" s="324">
        <v>367500</v>
      </c>
    </row>
    <row r="1302" spans="1:30" s="324" customFormat="1" ht="0.65" hidden="1" customHeight="1">
      <c r="A1302" s="324">
        <v>5158</v>
      </c>
      <c r="O1302" s="324" t="s">
        <v>28</v>
      </c>
      <c r="P1302" s="324">
        <v>0.13927532491339289</v>
      </c>
      <c r="T1302" s="324">
        <v>13</v>
      </c>
      <c r="U1302" s="324" t="s">
        <v>165</v>
      </c>
      <c r="V1302" s="324" t="s">
        <v>178</v>
      </c>
      <c r="W1302" s="324">
        <v>102210.93293227185</v>
      </c>
      <c r="X1302" s="324">
        <v>-2018.2161628692411</v>
      </c>
      <c r="Y1302" s="324">
        <v>-2018.2161628692941</v>
      </c>
      <c r="Z1302" s="324">
        <v>8.9899999999999994E-2</v>
      </c>
      <c r="AA1302" s="324" t="s">
        <v>202</v>
      </c>
      <c r="AB1302" s="324" t="s">
        <v>1667</v>
      </c>
      <c r="AD1302" s="324">
        <v>677500</v>
      </c>
    </row>
    <row r="1303" spans="1:30" s="324" customFormat="1" ht="0.65" hidden="1" customHeight="1">
      <c r="A1303" s="324">
        <v>5159</v>
      </c>
      <c r="O1303" s="324" t="s">
        <v>29</v>
      </c>
      <c r="P1303" s="324">
        <v>0.10773038666164454</v>
      </c>
      <c r="T1303" s="324">
        <v>14</v>
      </c>
      <c r="U1303" s="324" t="s">
        <v>166</v>
      </c>
      <c r="V1303" s="324" t="s">
        <v>179</v>
      </c>
      <c r="W1303" s="324">
        <v>122433.76168979378</v>
      </c>
      <c r="X1303" s="324">
        <v>18204.612594652688</v>
      </c>
      <c r="Y1303" s="324">
        <v>18204.612594652757</v>
      </c>
      <c r="Z1303" s="324">
        <v>8.1000000000000003E-2</v>
      </c>
      <c r="AA1303" s="324" t="s">
        <v>189</v>
      </c>
      <c r="AB1303" s="324" t="s">
        <v>1668</v>
      </c>
      <c r="AD1303" s="324">
        <v>8.8999999999999996E-2</v>
      </c>
    </row>
    <row r="1304" spans="1:30" s="324" customFormat="1" ht="0.65" hidden="1" customHeight="1">
      <c r="A1304" s="324">
        <v>5160</v>
      </c>
      <c r="O1304" s="324" t="s">
        <v>30</v>
      </c>
      <c r="P1304" s="324">
        <v>3</v>
      </c>
      <c r="T1304" s="324">
        <v>15</v>
      </c>
      <c r="U1304" s="324" t="s">
        <v>167</v>
      </c>
      <c r="V1304" s="324" t="s">
        <v>178</v>
      </c>
      <c r="W1304" s="324">
        <v>90005.672004841967</v>
      </c>
      <c r="X1304" s="324">
        <v>-14223.477090299129</v>
      </c>
      <c r="Y1304" s="324">
        <v>-14223.477090299235</v>
      </c>
      <c r="Z1304" s="324">
        <v>9.5399999999999999E-2</v>
      </c>
      <c r="AA1304" s="324" t="s">
        <v>190</v>
      </c>
      <c r="AB1304" s="324" t="s">
        <v>1669</v>
      </c>
      <c r="AD1304" s="324">
        <v>322686.28595787333</v>
      </c>
    </row>
    <row r="1305" spans="1:30" s="324" customFormat="1" ht="0.65" hidden="1" customHeight="1">
      <c r="A1305" s="324">
        <v>5161</v>
      </c>
      <c r="T1305" s="324">
        <v>16</v>
      </c>
      <c r="U1305" s="324" t="s">
        <v>168</v>
      </c>
      <c r="V1305" s="324" t="s">
        <v>181</v>
      </c>
      <c r="W1305" s="324">
        <v>115804.45860167756</v>
      </c>
      <c r="X1305" s="324">
        <v>11575.309506536461</v>
      </c>
      <c r="Y1305" s="324">
        <v>11575.309506536611</v>
      </c>
      <c r="Z1305" s="324">
        <v>8.3888888888888888E-2</v>
      </c>
      <c r="AA1305" s="324" t="s">
        <v>427</v>
      </c>
      <c r="AB1305" s="324" t="s">
        <v>1670</v>
      </c>
      <c r="AD1305" s="324">
        <v>322686.28595787333</v>
      </c>
    </row>
    <row r="1306" spans="1:30" s="324" customFormat="1" ht="0.65" hidden="1" customHeight="1">
      <c r="A1306" s="324">
        <v>5162</v>
      </c>
      <c r="P1306" s="324">
        <v>1</v>
      </c>
      <c r="T1306" s="324">
        <v>17</v>
      </c>
      <c r="U1306" s="324" t="s">
        <v>169</v>
      </c>
      <c r="V1306" s="324" t="s">
        <v>178</v>
      </c>
      <c r="W1306" s="324">
        <v>91987.927297868766</v>
      </c>
      <c r="X1306" s="324">
        <v>-12241.22179727233</v>
      </c>
      <c r="Y1306" s="324">
        <v>-12241.221797272274</v>
      </c>
      <c r="Z1306" s="324">
        <v>9.4500000000000001E-2</v>
      </c>
      <c r="AA1306" s="324" t="s">
        <v>425</v>
      </c>
      <c r="AB1306" s="324" t="s">
        <v>1671</v>
      </c>
    </row>
    <row r="1307" spans="1:30" s="324" customFormat="1" ht="0.65" hidden="1" customHeight="1">
      <c r="A1307" s="324">
        <v>5163</v>
      </c>
      <c r="H1307" s="324">
        <v>1</v>
      </c>
      <c r="I1307" s="324">
        <v>1</v>
      </c>
      <c r="J1307" s="324">
        <v>1</v>
      </c>
      <c r="K1307" s="324">
        <v>1</v>
      </c>
      <c r="L1307" s="324">
        <v>1</v>
      </c>
      <c r="M1307" s="324">
        <v>1</v>
      </c>
      <c r="N1307" s="324">
        <v>1</v>
      </c>
      <c r="O1307" s="324">
        <v>1</v>
      </c>
      <c r="P1307" s="324">
        <v>1</v>
      </c>
      <c r="T1307" s="324">
        <v>18</v>
      </c>
      <c r="U1307" s="324" t="s">
        <v>170</v>
      </c>
      <c r="V1307" s="324" t="s">
        <v>181</v>
      </c>
      <c r="W1307" s="324">
        <v>84054.941027964931</v>
      </c>
      <c r="X1307" s="324">
        <v>-20174.208067176165</v>
      </c>
      <c r="Y1307" s="324">
        <v>-20174.208067176205</v>
      </c>
      <c r="Z1307" s="324">
        <v>8.8400000000000006E-2</v>
      </c>
      <c r="AA1307" s="324" t="s">
        <v>203</v>
      </c>
      <c r="AB1307" s="324" t="s">
        <v>1672</v>
      </c>
    </row>
    <row r="1308" spans="1:30" s="324" customFormat="1" ht="0.65" hidden="1" customHeight="1">
      <c r="A1308" s="324">
        <v>5164</v>
      </c>
      <c r="H1308" s="324">
        <v>1</v>
      </c>
      <c r="I1308" s="324">
        <v>1</v>
      </c>
      <c r="J1308" s="324">
        <v>1</v>
      </c>
      <c r="K1308" s="324">
        <v>1</v>
      </c>
      <c r="L1308" s="324">
        <v>1</v>
      </c>
      <c r="M1308" s="324">
        <v>1</v>
      </c>
      <c r="N1308" s="324">
        <v>1</v>
      </c>
      <c r="O1308" s="324">
        <v>1</v>
      </c>
      <c r="P1308" s="324">
        <v>1</v>
      </c>
      <c r="T1308" s="324">
        <v>19</v>
      </c>
      <c r="U1308" s="324" t="s">
        <v>171</v>
      </c>
      <c r="V1308" s="324" t="s">
        <v>181</v>
      </c>
      <c r="W1308" s="324">
        <v>322686.28595787333</v>
      </c>
      <c r="X1308" s="324">
        <v>218457.13686273224</v>
      </c>
      <c r="Y1308" s="324">
        <v>218457.13686273206</v>
      </c>
      <c r="AA1308" s="324" t="s">
        <v>426</v>
      </c>
      <c r="AB1308" s="324" t="s">
        <v>1673</v>
      </c>
    </row>
    <row r="1309" spans="1:30" s="324" customFormat="1" ht="0.65" hidden="1" customHeight="1">
      <c r="A1309" s="324">
        <v>5165</v>
      </c>
      <c r="H1309" s="324">
        <v>1</v>
      </c>
      <c r="I1309" s="324">
        <v>1</v>
      </c>
      <c r="J1309" s="324">
        <v>1</v>
      </c>
      <c r="K1309" s="324">
        <v>1</v>
      </c>
      <c r="L1309" s="324">
        <v>1</v>
      </c>
      <c r="M1309" s="324">
        <v>1</v>
      </c>
      <c r="N1309" s="324">
        <v>1</v>
      </c>
      <c r="O1309" s="324">
        <v>1</v>
      </c>
      <c r="P1309" s="324">
        <v>1</v>
      </c>
    </row>
    <row r="1310" spans="1:30" s="324" customFormat="1" ht="0.65" hidden="1" customHeight="1">
      <c r="A1310" s="324">
        <v>5166</v>
      </c>
    </row>
    <row r="1311" spans="1:30" s="324" customFormat="1" ht="0.65" hidden="1" customHeight="1">
      <c r="A1311" s="324">
        <v>5167</v>
      </c>
      <c r="X1311" s="324" t="s">
        <v>186</v>
      </c>
      <c r="Y1311" s="324">
        <v>-2.9103830456733704E-10</v>
      </c>
    </row>
    <row r="1312" spans="1:30" s="324" customFormat="1" ht="0.65" hidden="1" customHeight="1">
      <c r="A1312" s="324">
        <v>5168</v>
      </c>
      <c r="N1312" s="324">
        <v>1</v>
      </c>
      <c r="P1312" s="324">
        <v>1</v>
      </c>
    </row>
    <row r="1313" spans="1:39" s="324" customFormat="1" ht="0.65" hidden="1" customHeight="1">
      <c r="A1313" s="324">
        <v>5169</v>
      </c>
      <c r="H1313" s="324">
        <v>1</v>
      </c>
      <c r="I1313" s="324">
        <v>1</v>
      </c>
      <c r="J1313" s="324">
        <v>1</v>
      </c>
      <c r="K1313" s="324">
        <v>1</v>
      </c>
      <c r="N1313" s="324">
        <v>1</v>
      </c>
      <c r="P1313" s="324">
        <v>1</v>
      </c>
    </row>
    <row r="1314" spans="1:39" s="324" customFormat="1" ht="0.65" hidden="1" customHeight="1">
      <c r="A1314" s="324">
        <v>5170</v>
      </c>
      <c r="H1314" s="324">
        <v>1</v>
      </c>
      <c r="I1314" s="324">
        <v>1</v>
      </c>
      <c r="J1314" s="324">
        <v>1</v>
      </c>
      <c r="K1314" s="324">
        <v>1</v>
      </c>
      <c r="N1314" s="324">
        <v>1</v>
      </c>
      <c r="P1314" s="324">
        <v>1</v>
      </c>
    </row>
    <row r="1315" spans="1:39" s="324" customFormat="1" ht="0.65" hidden="1" customHeight="1">
      <c r="A1315" s="324">
        <v>5171</v>
      </c>
      <c r="H1315" s="324">
        <v>1</v>
      </c>
      <c r="I1315" s="324">
        <v>1</v>
      </c>
      <c r="J1315" s="324">
        <v>1</v>
      </c>
      <c r="K1315" s="324">
        <v>1</v>
      </c>
      <c r="N1315" s="324">
        <v>1</v>
      </c>
    </row>
    <row r="1316" spans="1:39" s="324" customFormat="1" ht="0.65" hidden="1" customHeight="1">
      <c r="A1316" s="324">
        <v>5172</v>
      </c>
      <c r="AI1316" s="324">
        <v>1E-4</v>
      </c>
      <c r="AJ1316" s="324" t="s">
        <v>244</v>
      </c>
    </row>
    <row r="1317" spans="1:39" s="324" customFormat="1" ht="0.65" hidden="1" customHeight="1">
      <c r="A1317" s="324">
        <v>5173</v>
      </c>
      <c r="P1317" s="324">
        <v>1</v>
      </c>
      <c r="AC1317" s="324" t="s">
        <v>463</v>
      </c>
      <c r="AD1317" s="324" t="s">
        <v>208</v>
      </c>
      <c r="AG1317" s="324" t="s">
        <v>210</v>
      </c>
      <c r="AH1317" s="324" t="s">
        <v>209</v>
      </c>
      <c r="AI1317" s="324" t="s">
        <v>206</v>
      </c>
      <c r="AJ1317" s="324" t="s">
        <v>245</v>
      </c>
      <c r="AK1317" s="324" t="s">
        <v>206</v>
      </c>
      <c r="AL1317" s="324" t="s">
        <v>205</v>
      </c>
    </row>
    <row r="1318" spans="1:39" s="324" customFormat="1" ht="0.65" hidden="1" customHeight="1">
      <c r="A1318" s="324">
        <v>5174</v>
      </c>
      <c r="P1318" s="324">
        <v>1</v>
      </c>
      <c r="AA1318" s="324">
        <v>1</v>
      </c>
      <c r="AB1318" s="324" t="s">
        <v>645</v>
      </c>
      <c r="AC1318" s="324" t="s">
        <v>55</v>
      </c>
      <c r="AD1318" s="324" t="s">
        <v>55</v>
      </c>
      <c r="AE1318" s="324">
        <v>0</v>
      </c>
      <c r="AF1318" s="324" t="s">
        <v>490</v>
      </c>
      <c r="AG1318" s="324">
        <v>967500</v>
      </c>
      <c r="AH1318" s="324">
        <v>967500</v>
      </c>
      <c r="AI1318" s="324" t="s">
        <v>55</v>
      </c>
      <c r="AJ1318" s="324">
        <v>967500</v>
      </c>
      <c r="AK1318" s="324" t="s">
        <v>55</v>
      </c>
      <c r="AL1318" s="324" t="s">
        <v>55</v>
      </c>
      <c r="AM1318" s="324" t="s">
        <v>55</v>
      </c>
    </row>
    <row r="1319" spans="1:39" s="324" customFormat="1" ht="0.65" hidden="1" customHeight="1">
      <c r="A1319" s="324">
        <v>5175</v>
      </c>
      <c r="AA1319" s="324">
        <v>2</v>
      </c>
      <c r="AB1319" s="324" t="s">
        <v>645</v>
      </c>
      <c r="AC1319" s="324" t="s">
        <v>55</v>
      </c>
      <c r="AD1319" s="324" t="s">
        <v>55</v>
      </c>
      <c r="AE1319" s="324">
        <v>0</v>
      </c>
      <c r="AF1319" s="324" t="s">
        <v>510</v>
      </c>
      <c r="AG1319" s="324">
        <v>600000</v>
      </c>
      <c r="AH1319" s="324">
        <v>600000</v>
      </c>
      <c r="AI1319" s="324" t="s">
        <v>55</v>
      </c>
      <c r="AJ1319" s="324">
        <v>600000</v>
      </c>
      <c r="AK1319" s="324" t="s">
        <v>55</v>
      </c>
      <c r="AL1319" s="324" t="s">
        <v>55</v>
      </c>
      <c r="AM1319" s="324" t="s">
        <v>55</v>
      </c>
    </row>
    <row r="1320" spans="1:39" s="324" customFormat="1" ht="0.65" hidden="1" customHeight="1">
      <c r="A1320" s="324">
        <v>5176</v>
      </c>
      <c r="G1320" s="324" t="s">
        <v>411</v>
      </c>
      <c r="H1320" s="324">
        <v>49</v>
      </c>
      <c r="AA1320" s="324">
        <v>3</v>
      </c>
      <c r="AB1320" s="324" t="s">
        <v>645</v>
      </c>
      <c r="AC1320" s="324" t="s">
        <v>55</v>
      </c>
      <c r="AD1320" s="324" t="s">
        <v>55</v>
      </c>
      <c r="AE1320" s="324">
        <v>0</v>
      </c>
      <c r="AF1320" s="324" t="s">
        <v>513</v>
      </c>
      <c r="AG1320" s="324">
        <v>600000</v>
      </c>
      <c r="AH1320" s="324">
        <v>600000</v>
      </c>
      <c r="AI1320" s="324" t="s">
        <v>55</v>
      </c>
      <c r="AJ1320" s="324">
        <v>600000</v>
      </c>
      <c r="AK1320" s="324" t="s">
        <v>55</v>
      </c>
      <c r="AL1320" s="324" t="s">
        <v>55</v>
      </c>
      <c r="AM1320" s="324" t="s">
        <v>55</v>
      </c>
    </row>
    <row r="1321" spans="1:39" s="324" customFormat="1" ht="0.65" hidden="1" customHeight="1">
      <c r="A1321" s="324">
        <v>5177</v>
      </c>
      <c r="G1321" s="324" t="s">
        <v>412</v>
      </c>
      <c r="AA1321" s="324">
        <v>4</v>
      </c>
      <c r="AB1321" s="324" t="s">
        <v>645</v>
      </c>
      <c r="AC1321" s="324" t="s">
        <v>55</v>
      </c>
      <c r="AD1321" s="324" t="s">
        <v>55</v>
      </c>
      <c r="AE1321" s="324">
        <v>0</v>
      </c>
      <c r="AF1321" s="324" t="s">
        <v>515</v>
      </c>
      <c r="AG1321" s="324">
        <v>600000</v>
      </c>
      <c r="AH1321" s="324">
        <v>600000</v>
      </c>
      <c r="AI1321" s="324" t="s">
        <v>55</v>
      </c>
      <c r="AJ1321" s="324">
        <v>600000</v>
      </c>
      <c r="AK1321" s="324" t="s">
        <v>55</v>
      </c>
      <c r="AL1321" s="324" t="s">
        <v>55</v>
      </c>
      <c r="AM1321" s="324" t="s">
        <v>55</v>
      </c>
    </row>
    <row r="1322" spans="1:39" s="324" customFormat="1" ht="0.65" hidden="1" customHeight="1">
      <c r="A1322" s="324">
        <v>5178</v>
      </c>
      <c r="AA1322" s="324">
        <v>5</v>
      </c>
      <c r="AB1322" s="324" t="s">
        <v>645</v>
      </c>
      <c r="AC1322" s="324" t="s">
        <v>55</v>
      </c>
      <c r="AD1322" s="324" t="s">
        <v>55</v>
      </c>
      <c r="AE1322" s="324">
        <v>0</v>
      </c>
      <c r="AF1322" s="324" t="s">
        <v>517</v>
      </c>
      <c r="AG1322" s="324">
        <v>150000</v>
      </c>
      <c r="AH1322" s="324">
        <v>150000</v>
      </c>
      <c r="AI1322" s="324" t="s">
        <v>55</v>
      </c>
      <c r="AJ1322" s="324">
        <v>150000</v>
      </c>
      <c r="AK1322" s="324" t="s">
        <v>55</v>
      </c>
      <c r="AL1322" s="324" t="s">
        <v>55</v>
      </c>
      <c r="AM1322" s="324" t="s">
        <v>55</v>
      </c>
    </row>
    <row r="1323" spans="1:39" s="324" customFormat="1" ht="0.65" hidden="1" customHeight="1">
      <c r="A1323" s="324">
        <v>5179</v>
      </c>
      <c r="AA1323" s="324">
        <v>6</v>
      </c>
      <c r="AB1323" s="324" t="s">
        <v>645</v>
      </c>
      <c r="AC1323" s="324" t="s">
        <v>55</v>
      </c>
      <c r="AD1323" s="324" t="s">
        <v>55</v>
      </c>
      <c r="AE1323" s="324">
        <v>0</v>
      </c>
      <c r="AF1323" s="324" t="s">
        <v>521</v>
      </c>
      <c r="AG1323" s="324">
        <v>150000</v>
      </c>
      <c r="AH1323" s="324">
        <v>150000</v>
      </c>
      <c r="AI1323" s="324" t="s">
        <v>55</v>
      </c>
      <c r="AJ1323" s="324">
        <v>150000</v>
      </c>
      <c r="AK1323" s="324" t="s">
        <v>55</v>
      </c>
      <c r="AL1323" s="324" t="s">
        <v>55</v>
      </c>
      <c r="AM1323" s="324" t="s">
        <v>55</v>
      </c>
    </row>
    <row r="1324" spans="1:39" s="324" customFormat="1" ht="0.65" hidden="1" customHeight="1">
      <c r="A1324" s="324">
        <v>5180</v>
      </c>
      <c r="AA1324" s="324">
        <v>7</v>
      </c>
      <c r="AB1324" s="324" t="s">
        <v>645</v>
      </c>
      <c r="AC1324" s="324" t="s">
        <v>55</v>
      </c>
      <c r="AD1324" s="324" t="s">
        <v>55</v>
      </c>
      <c r="AE1324" s="324">
        <v>0</v>
      </c>
      <c r="AF1324" s="324" t="s">
        <v>523</v>
      </c>
      <c r="AG1324" s="324">
        <v>150000</v>
      </c>
      <c r="AH1324" s="324">
        <v>150000</v>
      </c>
      <c r="AI1324" s="324" t="s">
        <v>55</v>
      </c>
      <c r="AJ1324" s="324">
        <v>150000</v>
      </c>
      <c r="AK1324" s="324" t="s">
        <v>55</v>
      </c>
      <c r="AL1324" s="324" t="s">
        <v>55</v>
      </c>
      <c r="AM1324" s="324" t="s">
        <v>55</v>
      </c>
    </row>
    <row r="1325" spans="1:39" s="324" customFormat="1" ht="0.65" hidden="1" customHeight="1">
      <c r="A1325" s="324">
        <v>5181</v>
      </c>
      <c r="G1325" s="324" t="s">
        <v>0</v>
      </c>
      <c r="H1325" s="324" t="s">
        <v>69</v>
      </c>
      <c r="I1325" s="324" t="s">
        <v>70</v>
      </c>
      <c r="J1325" s="324" t="s">
        <v>71</v>
      </c>
      <c r="K1325" s="324" t="s">
        <v>72</v>
      </c>
      <c r="L1325" s="324" t="s">
        <v>73</v>
      </c>
      <c r="M1325" s="324" t="s">
        <v>74</v>
      </c>
      <c r="N1325" s="324" t="s">
        <v>75</v>
      </c>
      <c r="O1325" s="324" t="s">
        <v>80</v>
      </c>
      <c r="P1325" s="324" t="s">
        <v>1</v>
      </c>
      <c r="AA1325" s="324">
        <v>8</v>
      </c>
      <c r="AB1325" s="324" t="s">
        <v>645</v>
      </c>
      <c r="AC1325" s="324" t="s">
        <v>55</v>
      </c>
      <c r="AD1325" s="324" t="s">
        <v>55</v>
      </c>
      <c r="AE1325" s="324">
        <v>0</v>
      </c>
      <c r="AF1325" s="324" t="s">
        <v>525</v>
      </c>
      <c r="AG1325" s="324">
        <v>-30000</v>
      </c>
      <c r="AH1325" s="324">
        <v>-30000</v>
      </c>
      <c r="AI1325" s="324" t="s">
        <v>55</v>
      </c>
      <c r="AJ1325" s="324">
        <v>-30000</v>
      </c>
      <c r="AK1325" s="324" t="s">
        <v>55</v>
      </c>
      <c r="AL1325" s="324" t="s">
        <v>55</v>
      </c>
      <c r="AM1325" s="324" t="s">
        <v>55</v>
      </c>
    </row>
    <row r="1326" spans="1:39" s="324" customFormat="1" ht="0.65" hidden="1" customHeight="1">
      <c r="A1326" s="324">
        <v>5182</v>
      </c>
      <c r="G1326" s="324">
        <v>2021</v>
      </c>
      <c r="P1326" s="324" t="s">
        <v>645</v>
      </c>
      <c r="AA1326" s="324">
        <v>9</v>
      </c>
      <c r="AB1326" s="324" t="s">
        <v>645</v>
      </c>
      <c r="AC1326" s="324" t="s">
        <v>55</v>
      </c>
      <c r="AD1326" s="324" t="s">
        <v>55</v>
      </c>
      <c r="AE1326" s="324">
        <v>0</v>
      </c>
      <c r="AF1326" s="324" t="s">
        <v>528</v>
      </c>
      <c r="AG1326" s="324">
        <v>-30000</v>
      </c>
      <c r="AH1326" s="324">
        <v>-30000</v>
      </c>
      <c r="AI1326" s="324" t="s">
        <v>55</v>
      </c>
      <c r="AJ1326" s="324">
        <v>-30000</v>
      </c>
      <c r="AK1326" s="324" t="s">
        <v>55</v>
      </c>
      <c r="AL1326" s="324" t="s">
        <v>55</v>
      </c>
      <c r="AM1326" s="324" t="s">
        <v>55</v>
      </c>
    </row>
    <row r="1327" spans="1:39" s="324" customFormat="1" ht="0.65" hidden="1" customHeight="1">
      <c r="A1327" s="324">
        <v>5183</v>
      </c>
      <c r="G1327" s="324">
        <v>2022</v>
      </c>
      <c r="H1327" s="324" t="s">
        <v>645</v>
      </c>
      <c r="I1327" s="324" t="s">
        <v>645</v>
      </c>
      <c r="J1327" s="324" t="s">
        <v>645</v>
      </c>
      <c r="K1327" s="324" t="s">
        <v>645</v>
      </c>
      <c r="L1327" s="324" t="s">
        <v>645</v>
      </c>
      <c r="M1327" s="324" t="s">
        <v>645</v>
      </c>
      <c r="N1327" s="324" t="s">
        <v>645</v>
      </c>
      <c r="O1327" s="324" t="s">
        <v>645</v>
      </c>
      <c r="P1327" s="324" t="s">
        <v>645</v>
      </c>
      <c r="AA1327" s="324">
        <v>10</v>
      </c>
      <c r="AB1327" s="324" t="s">
        <v>645</v>
      </c>
      <c r="AC1327" s="324" t="s">
        <v>55</v>
      </c>
      <c r="AD1327" s="324" t="s">
        <v>55</v>
      </c>
      <c r="AE1327" s="324">
        <v>0</v>
      </c>
      <c r="AF1327" s="324" t="s">
        <v>530</v>
      </c>
      <c r="AG1327" s="324">
        <v>120000</v>
      </c>
      <c r="AH1327" s="324">
        <v>120000</v>
      </c>
      <c r="AI1327" s="324" t="s">
        <v>55</v>
      </c>
      <c r="AJ1327" s="324">
        <v>120000</v>
      </c>
      <c r="AK1327" s="324" t="s">
        <v>55</v>
      </c>
      <c r="AL1327" s="324" t="s">
        <v>55</v>
      </c>
      <c r="AM1327" s="324" t="s">
        <v>55</v>
      </c>
    </row>
    <row r="1328" spans="1:39" s="324" customFormat="1" ht="0.65" hidden="1" customHeight="1">
      <c r="A1328" s="324">
        <v>5184</v>
      </c>
      <c r="G1328" s="324">
        <v>2023</v>
      </c>
      <c r="H1328" s="324" t="s">
        <v>645</v>
      </c>
      <c r="I1328" s="324" t="s">
        <v>645</v>
      </c>
      <c r="J1328" s="324" t="s">
        <v>645</v>
      </c>
      <c r="K1328" s="324" t="s">
        <v>645</v>
      </c>
      <c r="L1328" s="324" t="s">
        <v>645</v>
      </c>
      <c r="M1328" s="324" t="s">
        <v>645</v>
      </c>
      <c r="N1328" s="324" t="s">
        <v>645</v>
      </c>
      <c r="O1328" s="324" t="s">
        <v>645</v>
      </c>
      <c r="P1328" s="324" t="s">
        <v>645</v>
      </c>
      <c r="AA1328" s="324">
        <v>11</v>
      </c>
      <c r="AB1328" s="324" t="s">
        <v>645</v>
      </c>
      <c r="AC1328" s="324" t="s">
        <v>55</v>
      </c>
      <c r="AD1328" s="324" t="s">
        <v>55</v>
      </c>
      <c r="AE1328" s="324">
        <v>0</v>
      </c>
      <c r="AF1328" s="324" t="s">
        <v>533</v>
      </c>
      <c r="AG1328" s="324">
        <v>480000</v>
      </c>
      <c r="AH1328" s="324">
        <v>480000</v>
      </c>
      <c r="AI1328" s="324" t="s">
        <v>55</v>
      </c>
      <c r="AJ1328" s="324">
        <v>480000</v>
      </c>
      <c r="AK1328" s="324" t="s">
        <v>55</v>
      </c>
      <c r="AL1328" s="324" t="s">
        <v>55</v>
      </c>
      <c r="AM1328" s="324" t="s">
        <v>55</v>
      </c>
    </row>
    <row r="1329" spans="1:39" s="324" customFormat="1" ht="0.65" hidden="1" customHeight="1">
      <c r="A1329" s="324">
        <v>5185</v>
      </c>
      <c r="G1329" s="324">
        <v>2024</v>
      </c>
      <c r="H1329" s="324" t="s">
        <v>645</v>
      </c>
      <c r="I1329" s="324" t="s">
        <v>645</v>
      </c>
      <c r="J1329" s="324" t="s">
        <v>645</v>
      </c>
      <c r="K1329" s="324" t="s">
        <v>645</v>
      </c>
      <c r="L1329" s="324" t="s">
        <v>645</v>
      </c>
      <c r="M1329" s="324" t="s">
        <v>645</v>
      </c>
      <c r="N1329" s="324" t="s">
        <v>645</v>
      </c>
      <c r="O1329" s="324" t="s">
        <v>645</v>
      </c>
      <c r="P1329" s="324" t="s">
        <v>645</v>
      </c>
      <c r="AA1329" s="324">
        <v>12</v>
      </c>
      <c r="AB1329" s="324" t="s">
        <v>645</v>
      </c>
      <c r="AC1329" s="324" t="s">
        <v>55</v>
      </c>
      <c r="AD1329" s="324" t="s">
        <v>55</v>
      </c>
      <c r="AE1329" s="324">
        <v>0</v>
      </c>
      <c r="AF1329" s="324" t="s">
        <v>536</v>
      </c>
      <c r="AG1329" s="324">
        <v>480000</v>
      </c>
      <c r="AH1329" s="324">
        <v>480000</v>
      </c>
      <c r="AI1329" s="324" t="s">
        <v>55</v>
      </c>
      <c r="AJ1329" s="324">
        <v>480000</v>
      </c>
      <c r="AK1329" s="324" t="s">
        <v>55</v>
      </c>
      <c r="AL1329" s="324" t="s">
        <v>55</v>
      </c>
      <c r="AM1329" s="324" t="s">
        <v>55</v>
      </c>
    </row>
    <row r="1330" spans="1:39" s="324" customFormat="1" ht="0.65" hidden="1" customHeight="1">
      <c r="A1330" s="324">
        <v>5186</v>
      </c>
      <c r="AA1330" s="324">
        <v>13</v>
      </c>
      <c r="AB1330" s="324" t="s">
        <v>645</v>
      </c>
      <c r="AC1330" s="324" t="s">
        <v>55</v>
      </c>
      <c r="AD1330" s="324" t="s">
        <v>55</v>
      </c>
      <c r="AE1330" s="324">
        <v>0</v>
      </c>
      <c r="AF1330" s="324" t="s">
        <v>538</v>
      </c>
      <c r="AG1330" s="324">
        <v>330000</v>
      </c>
      <c r="AH1330" s="324">
        <v>330000</v>
      </c>
      <c r="AI1330" s="324" t="s">
        <v>55</v>
      </c>
      <c r="AJ1330" s="324">
        <v>330000</v>
      </c>
      <c r="AK1330" s="324" t="s">
        <v>55</v>
      </c>
      <c r="AL1330" s="324" t="s">
        <v>55</v>
      </c>
      <c r="AM1330" s="324" t="s">
        <v>55</v>
      </c>
    </row>
    <row r="1331" spans="1:39" s="324" customFormat="1" ht="0.65" hidden="1" customHeight="1">
      <c r="A1331" s="324">
        <v>5187</v>
      </c>
      <c r="G1331" s="324" t="s">
        <v>0</v>
      </c>
      <c r="H1331" s="324" t="s">
        <v>76</v>
      </c>
      <c r="I1331" s="324" t="s">
        <v>77</v>
      </c>
      <c r="J1331" s="324" t="s">
        <v>78</v>
      </c>
      <c r="K1331" s="324" t="s">
        <v>79</v>
      </c>
      <c r="AA1331" s="324">
        <v>14</v>
      </c>
      <c r="AB1331" s="324" t="s">
        <v>645</v>
      </c>
      <c r="AC1331" s="324" t="s">
        <v>55</v>
      </c>
      <c r="AD1331" s="324" t="s">
        <v>55</v>
      </c>
      <c r="AE1331" s="324">
        <v>0</v>
      </c>
      <c r="AF1331" s="324" t="s">
        <v>541</v>
      </c>
      <c r="AG1331" s="324">
        <v>120000</v>
      </c>
      <c r="AH1331" s="324">
        <v>120000</v>
      </c>
      <c r="AI1331" s="324" t="s">
        <v>55</v>
      </c>
      <c r="AJ1331" s="324">
        <v>120000</v>
      </c>
      <c r="AK1331" s="324" t="s">
        <v>55</v>
      </c>
      <c r="AL1331" s="324" t="s">
        <v>55</v>
      </c>
      <c r="AM1331" s="324" t="s">
        <v>55</v>
      </c>
    </row>
    <row r="1332" spans="1:39" s="324" customFormat="1" ht="0.65" hidden="1" customHeight="1">
      <c r="A1332" s="324">
        <v>5188</v>
      </c>
      <c r="G1332" s="324">
        <v>2021</v>
      </c>
      <c r="M1332" s="324" t="s">
        <v>456</v>
      </c>
      <c r="N1332" s="324" t="s">
        <v>645</v>
      </c>
      <c r="O1332" s="324" t="s">
        <v>124</v>
      </c>
      <c r="P1332" s="324" t="s">
        <v>645</v>
      </c>
      <c r="AA1332" s="324">
        <v>15</v>
      </c>
      <c r="AB1332" s="324" t="s">
        <v>645</v>
      </c>
      <c r="AC1332" s="324" t="s">
        <v>55</v>
      </c>
      <c r="AD1332" s="324" t="s">
        <v>55</v>
      </c>
      <c r="AE1332" s="324">
        <v>0</v>
      </c>
      <c r="AF1332" s="324" t="s">
        <v>544</v>
      </c>
      <c r="AG1332" s="324">
        <v>120000</v>
      </c>
      <c r="AH1332" s="324">
        <v>120000</v>
      </c>
      <c r="AI1332" s="324" t="s">
        <v>55</v>
      </c>
      <c r="AJ1332" s="324">
        <v>120000</v>
      </c>
      <c r="AK1332" s="324" t="s">
        <v>55</v>
      </c>
      <c r="AL1332" s="324" t="s">
        <v>55</v>
      </c>
      <c r="AM1332" s="324" t="s">
        <v>55</v>
      </c>
    </row>
    <row r="1333" spans="1:39" s="324" customFormat="1" ht="0.65" hidden="1" customHeight="1">
      <c r="A1333" s="324">
        <v>5189</v>
      </c>
      <c r="G1333" s="324">
        <v>2022</v>
      </c>
      <c r="H1333" s="324" t="s">
        <v>645</v>
      </c>
      <c r="I1333" s="324" t="s">
        <v>645</v>
      </c>
      <c r="J1333" s="324" t="s">
        <v>645</v>
      </c>
      <c r="K1333" s="324" t="s">
        <v>645</v>
      </c>
      <c r="M1333" s="324" t="s">
        <v>457</v>
      </c>
      <c r="N1333" s="324" t="s">
        <v>645</v>
      </c>
      <c r="O1333" s="324" t="s">
        <v>125</v>
      </c>
      <c r="P1333" s="324" t="s">
        <v>645</v>
      </c>
      <c r="AA1333" s="324">
        <v>16</v>
      </c>
      <c r="AB1333" s="324" t="s">
        <v>645</v>
      </c>
      <c r="AC1333" s="324" t="s">
        <v>55</v>
      </c>
      <c r="AD1333" s="324" t="s">
        <v>55</v>
      </c>
      <c r="AE1333" s="324">
        <v>0</v>
      </c>
      <c r="AF1333" s="324" t="s">
        <v>546</v>
      </c>
      <c r="AG1333" s="324">
        <v>82500</v>
      </c>
      <c r="AH1333" s="324">
        <v>82500</v>
      </c>
      <c r="AI1333" s="324" t="s">
        <v>55</v>
      </c>
      <c r="AJ1333" s="324">
        <v>82500</v>
      </c>
      <c r="AK1333" s="324" t="s">
        <v>55</v>
      </c>
      <c r="AL1333" s="324" t="s">
        <v>55</v>
      </c>
      <c r="AM1333" s="324" t="s">
        <v>55</v>
      </c>
    </row>
    <row r="1334" spans="1:39" s="324" customFormat="1" ht="0.65" hidden="1" customHeight="1">
      <c r="A1334" s="324">
        <v>5190</v>
      </c>
      <c r="G1334" s="324">
        <v>2023</v>
      </c>
      <c r="H1334" s="324" t="s">
        <v>645</v>
      </c>
      <c r="I1334" s="324" t="s">
        <v>645</v>
      </c>
      <c r="J1334" s="324" t="s">
        <v>645</v>
      </c>
      <c r="K1334" s="324" t="s">
        <v>645</v>
      </c>
      <c r="M1334" s="324" t="s">
        <v>458</v>
      </c>
      <c r="N1334" s="324" t="s">
        <v>645</v>
      </c>
      <c r="O1334" s="324" t="s">
        <v>126</v>
      </c>
      <c r="P1334" s="324" t="s">
        <v>645</v>
      </c>
      <c r="AA1334" s="324">
        <v>17</v>
      </c>
      <c r="AB1334" s="324" t="s">
        <v>645</v>
      </c>
      <c r="AC1334" s="324" t="s">
        <v>55</v>
      </c>
      <c r="AD1334" s="324" t="s">
        <v>55</v>
      </c>
      <c r="AE1334" s="324">
        <v>0</v>
      </c>
      <c r="AF1334" s="324" t="s">
        <v>549</v>
      </c>
      <c r="AG1334" s="324">
        <v>360000</v>
      </c>
      <c r="AH1334" s="324">
        <v>360000</v>
      </c>
      <c r="AI1334" s="324" t="s">
        <v>55</v>
      </c>
      <c r="AJ1334" s="324">
        <v>360000</v>
      </c>
      <c r="AK1334" s="324" t="s">
        <v>55</v>
      </c>
      <c r="AL1334" s="324" t="s">
        <v>55</v>
      </c>
      <c r="AM1334" s="324" t="s">
        <v>55</v>
      </c>
    </row>
    <row r="1335" spans="1:39" s="324" customFormat="1" ht="0.65" hidden="1" customHeight="1">
      <c r="A1335" s="324">
        <v>5191</v>
      </c>
      <c r="G1335" s="324">
        <v>2024</v>
      </c>
      <c r="H1335" s="324" t="s">
        <v>645</v>
      </c>
      <c r="I1335" s="324" t="s">
        <v>645</v>
      </c>
      <c r="J1335" s="324" t="s">
        <v>645</v>
      </c>
      <c r="K1335" s="324" t="s">
        <v>645</v>
      </c>
      <c r="M1335" s="324" t="s">
        <v>459</v>
      </c>
      <c r="N1335" s="324" t="s">
        <v>645</v>
      </c>
      <c r="AA1335" s="324">
        <v>18</v>
      </c>
      <c r="AB1335" s="324" t="s">
        <v>645</v>
      </c>
      <c r="AC1335" s="324" t="s">
        <v>55</v>
      </c>
      <c r="AD1335" s="324" t="s">
        <v>55</v>
      </c>
      <c r="AE1335" s="324">
        <v>0</v>
      </c>
      <c r="AF1335" s="324" t="s">
        <v>552</v>
      </c>
      <c r="AG1335" s="324">
        <v>360000</v>
      </c>
      <c r="AH1335" s="324">
        <v>360000</v>
      </c>
      <c r="AI1335" s="324" t="s">
        <v>55</v>
      </c>
      <c r="AJ1335" s="324">
        <v>360000</v>
      </c>
      <c r="AK1335" s="324" t="s">
        <v>55</v>
      </c>
      <c r="AL1335" s="324" t="s">
        <v>55</v>
      </c>
      <c r="AM1335" s="324" t="s">
        <v>55</v>
      </c>
    </row>
    <row r="1336" spans="1:39" s="324" customFormat="1" ht="0.65" hidden="1" customHeight="1">
      <c r="A1336" s="324">
        <v>5192</v>
      </c>
      <c r="AA1336" s="324">
        <v>19</v>
      </c>
      <c r="AB1336" s="324" t="s">
        <v>645</v>
      </c>
      <c r="AC1336" s="324" t="s">
        <v>55</v>
      </c>
      <c r="AD1336" s="324" t="s">
        <v>55</v>
      </c>
      <c r="AE1336" s="324">
        <v>0</v>
      </c>
      <c r="AF1336" s="324" t="s">
        <v>554</v>
      </c>
      <c r="AG1336" s="324">
        <v>247500</v>
      </c>
      <c r="AH1336" s="324">
        <v>247500</v>
      </c>
      <c r="AI1336" s="324" t="s">
        <v>55</v>
      </c>
      <c r="AJ1336" s="324">
        <v>247500</v>
      </c>
      <c r="AK1336" s="324" t="s">
        <v>55</v>
      </c>
      <c r="AL1336" s="324" t="s">
        <v>55</v>
      </c>
      <c r="AM1336" s="324" t="s">
        <v>55</v>
      </c>
    </row>
    <row r="1337" spans="1:39" s="324" customFormat="1" ht="0.65" hidden="1" customHeight="1">
      <c r="A1337" s="324">
        <v>5193</v>
      </c>
      <c r="O1337" s="324" t="s">
        <v>13</v>
      </c>
      <c r="P1337" s="324" t="s">
        <v>645</v>
      </c>
      <c r="AA1337" s="324">
        <v>20</v>
      </c>
      <c r="AB1337" s="324" t="s">
        <v>645</v>
      </c>
      <c r="AC1337" s="324" t="s">
        <v>55</v>
      </c>
      <c r="AD1337" s="324" t="s">
        <v>55</v>
      </c>
      <c r="AE1337" s="324">
        <v>0</v>
      </c>
      <c r="AF1337" s="324" t="s">
        <v>557</v>
      </c>
      <c r="AG1337" s="324">
        <v>330000</v>
      </c>
      <c r="AH1337" s="324">
        <v>330000</v>
      </c>
      <c r="AI1337" s="324" t="s">
        <v>55</v>
      </c>
      <c r="AJ1337" s="324">
        <v>330000</v>
      </c>
      <c r="AK1337" s="324" t="s">
        <v>55</v>
      </c>
      <c r="AL1337" s="324" t="s">
        <v>55</v>
      </c>
      <c r="AM1337" s="324" t="s">
        <v>55</v>
      </c>
    </row>
    <row r="1338" spans="1:39" s="324" customFormat="1" ht="0.65" hidden="1" customHeight="1">
      <c r="A1338" s="324">
        <v>5194</v>
      </c>
      <c r="O1338" s="324" t="s">
        <v>28</v>
      </c>
      <c r="P1338" s="324" t="s">
        <v>645</v>
      </c>
      <c r="AA1338" s="324">
        <v>21</v>
      </c>
      <c r="AB1338" s="324" t="s">
        <v>645</v>
      </c>
      <c r="AC1338" s="324" t="s">
        <v>55</v>
      </c>
      <c r="AD1338" s="324" t="s">
        <v>55</v>
      </c>
      <c r="AE1338" s="324">
        <v>0</v>
      </c>
      <c r="AF1338" s="324" t="s">
        <v>560</v>
      </c>
      <c r="AG1338" s="324">
        <v>330000</v>
      </c>
      <c r="AH1338" s="324">
        <v>330000</v>
      </c>
      <c r="AI1338" s="324" t="s">
        <v>55</v>
      </c>
      <c r="AJ1338" s="324">
        <v>330000</v>
      </c>
      <c r="AK1338" s="324" t="s">
        <v>55</v>
      </c>
      <c r="AL1338" s="324" t="s">
        <v>55</v>
      </c>
      <c r="AM1338" s="324" t="s">
        <v>55</v>
      </c>
    </row>
    <row r="1339" spans="1:39" s="324" customFormat="1" ht="0.65" hidden="1" customHeight="1">
      <c r="A1339" s="324">
        <v>5195</v>
      </c>
      <c r="O1339" s="324" t="s">
        <v>29</v>
      </c>
      <c r="AA1339" s="324">
        <v>22</v>
      </c>
      <c r="AB1339" s="324" t="s">
        <v>645</v>
      </c>
      <c r="AC1339" s="324" t="s">
        <v>55</v>
      </c>
      <c r="AD1339" s="324" t="s">
        <v>55</v>
      </c>
      <c r="AE1339" s="324">
        <v>0</v>
      </c>
      <c r="AF1339" s="324" t="s">
        <v>562</v>
      </c>
      <c r="AG1339" s="324">
        <v>367500</v>
      </c>
      <c r="AH1339" s="324">
        <v>367500</v>
      </c>
      <c r="AI1339" s="324" t="s">
        <v>55</v>
      </c>
      <c r="AJ1339" s="324">
        <v>367500</v>
      </c>
      <c r="AK1339" s="324" t="s">
        <v>55</v>
      </c>
      <c r="AL1339" s="324" t="s">
        <v>55</v>
      </c>
      <c r="AM1339" s="324" t="s">
        <v>55</v>
      </c>
    </row>
    <row r="1340" spans="1:39" s="324" customFormat="1" ht="0.65" hidden="1" customHeight="1">
      <c r="A1340" s="324">
        <v>5196</v>
      </c>
      <c r="O1340" s="324" t="s">
        <v>30</v>
      </c>
      <c r="AA1340" s="324">
        <v>23</v>
      </c>
      <c r="AB1340" s="324" t="s">
        <v>645</v>
      </c>
      <c r="AC1340" s="324" t="s">
        <v>55</v>
      </c>
      <c r="AD1340" s="324" t="s">
        <v>55</v>
      </c>
      <c r="AE1340" s="324">
        <v>0</v>
      </c>
      <c r="AF1340" s="324" t="s">
        <v>565</v>
      </c>
      <c r="AG1340" s="324">
        <v>100000</v>
      </c>
      <c r="AH1340" s="324">
        <v>100000</v>
      </c>
      <c r="AI1340" s="324" t="s">
        <v>55</v>
      </c>
      <c r="AJ1340" s="324">
        <v>100000</v>
      </c>
      <c r="AK1340" s="324" t="s">
        <v>55</v>
      </c>
      <c r="AL1340" s="324" t="s">
        <v>55</v>
      </c>
      <c r="AM1340" s="324" t="s">
        <v>55</v>
      </c>
    </row>
    <row r="1341" spans="1:39" s="324" customFormat="1" ht="0.65" hidden="1" customHeight="1">
      <c r="A1341" s="324">
        <v>5197</v>
      </c>
      <c r="AA1341" s="324">
        <v>24</v>
      </c>
      <c r="AB1341" s="324" t="s">
        <v>645</v>
      </c>
      <c r="AC1341" s="324" t="s">
        <v>55</v>
      </c>
      <c r="AD1341" s="324" t="s">
        <v>55</v>
      </c>
      <c r="AE1341" s="324">
        <v>0</v>
      </c>
      <c r="AF1341" s="324" t="s">
        <v>568</v>
      </c>
      <c r="AG1341" s="324">
        <v>100000</v>
      </c>
      <c r="AH1341" s="324">
        <v>100000</v>
      </c>
      <c r="AI1341" s="324" t="s">
        <v>55</v>
      </c>
      <c r="AJ1341" s="324">
        <v>100000</v>
      </c>
      <c r="AK1341" s="324" t="s">
        <v>55</v>
      </c>
      <c r="AL1341" s="324" t="s">
        <v>55</v>
      </c>
      <c r="AM1341" s="324" t="s">
        <v>55</v>
      </c>
    </row>
    <row r="1342" spans="1:39" s="324" customFormat="1" ht="0.65" hidden="1" customHeight="1">
      <c r="A1342" s="324">
        <v>5198</v>
      </c>
      <c r="AA1342" s="324">
        <v>25</v>
      </c>
      <c r="AB1342" s="324" t="s">
        <v>645</v>
      </c>
      <c r="AC1342" s="324" t="s">
        <v>55</v>
      </c>
      <c r="AD1342" s="324" t="s">
        <v>55</v>
      </c>
      <c r="AE1342" s="324">
        <v>0</v>
      </c>
      <c r="AF1342" s="324" t="s">
        <v>570</v>
      </c>
      <c r="AG1342" s="324">
        <v>100000</v>
      </c>
      <c r="AH1342" s="324">
        <v>100000</v>
      </c>
      <c r="AI1342" s="324" t="s">
        <v>55</v>
      </c>
      <c r="AJ1342" s="324">
        <v>100000</v>
      </c>
      <c r="AK1342" s="324" t="s">
        <v>55</v>
      </c>
      <c r="AL1342" s="324" t="s">
        <v>55</v>
      </c>
      <c r="AM1342" s="324" t="s">
        <v>55</v>
      </c>
    </row>
    <row r="1343" spans="1:39" s="324" customFormat="1" ht="0.65" hidden="1" customHeight="1">
      <c r="A1343" s="324">
        <v>5199</v>
      </c>
      <c r="AA1343" s="324">
        <v>26</v>
      </c>
      <c r="AB1343" s="324" t="s">
        <v>645</v>
      </c>
      <c r="AC1343" s="324" t="s">
        <v>55</v>
      </c>
      <c r="AD1343" s="324" t="s">
        <v>55</v>
      </c>
      <c r="AE1343" s="324">
        <v>0</v>
      </c>
      <c r="AF1343" s="324" t="s">
        <v>572</v>
      </c>
      <c r="AG1343" s="324">
        <v>37500</v>
      </c>
      <c r="AH1343" s="324">
        <v>37500</v>
      </c>
      <c r="AI1343" s="324" t="s">
        <v>55</v>
      </c>
      <c r="AJ1343" s="324">
        <v>37500</v>
      </c>
      <c r="AK1343" s="324" t="s">
        <v>55</v>
      </c>
      <c r="AL1343" s="324" t="s">
        <v>55</v>
      </c>
      <c r="AM1343" s="324" t="s">
        <v>55</v>
      </c>
    </row>
    <row r="1344" spans="1:39" s="324" customFormat="1" ht="0.65" hidden="1" customHeight="1">
      <c r="A1344" s="324">
        <v>5200</v>
      </c>
      <c r="AA1344" s="324">
        <v>27</v>
      </c>
      <c r="AB1344" s="324" t="s">
        <v>645</v>
      </c>
      <c r="AC1344" s="324" t="s">
        <v>55</v>
      </c>
      <c r="AD1344" s="324" t="s">
        <v>55</v>
      </c>
      <c r="AE1344" s="324">
        <v>0</v>
      </c>
      <c r="AF1344" s="324" t="s">
        <v>575</v>
      </c>
      <c r="AG1344" s="324">
        <v>37500</v>
      </c>
      <c r="AH1344" s="324">
        <v>37500</v>
      </c>
      <c r="AI1344" s="324" t="s">
        <v>55</v>
      </c>
      <c r="AJ1344" s="324">
        <v>37500</v>
      </c>
      <c r="AK1344" s="324" t="s">
        <v>55</v>
      </c>
      <c r="AL1344" s="324" t="s">
        <v>55</v>
      </c>
      <c r="AM1344" s="324" t="s">
        <v>55</v>
      </c>
    </row>
    <row r="1345" spans="1:39" s="324" customFormat="1" ht="0.65" hidden="1" customHeight="1">
      <c r="A1345" s="324">
        <v>5201</v>
      </c>
      <c r="AA1345" s="324">
        <v>28</v>
      </c>
      <c r="AB1345" s="324" t="s">
        <v>645</v>
      </c>
      <c r="AC1345" s="324" t="s">
        <v>55</v>
      </c>
      <c r="AD1345" s="324" t="s">
        <v>55</v>
      </c>
      <c r="AE1345" s="324">
        <v>0</v>
      </c>
      <c r="AF1345" s="324" t="s">
        <v>577</v>
      </c>
      <c r="AG1345" s="324">
        <v>37500</v>
      </c>
      <c r="AH1345" s="324">
        <v>37500</v>
      </c>
      <c r="AI1345" s="324" t="s">
        <v>55</v>
      </c>
      <c r="AJ1345" s="324">
        <v>37500</v>
      </c>
      <c r="AK1345" s="324" t="s">
        <v>55</v>
      </c>
      <c r="AL1345" s="324" t="s">
        <v>55</v>
      </c>
      <c r="AM1345" s="324" t="s">
        <v>55</v>
      </c>
    </row>
    <row r="1346" spans="1:39" s="324" customFormat="1" ht="0.65" hidden="1" customHeight="1">
      <c r="A1346" s="324">
        <v>5202</v>
      </c>
      <c r="AA1346" s="324">
        <v>29</v>
      </c>
      <c r="AB1346" s="324" t="s">
        <v>645</v>
      </c>
      <c r="AC1346" s="324" t="s">
        <v>55</v>
      </c>
      <c r="AD1346" s="324" t="s">
        <v>55</v>
      </c>
      <c r="AE1346" s="324">
        <v>0</v>
      </c>
      <c r="AF1346" s="324" t="s">
        <v>579</v>
      </c>
      <c r="AG1346" s="324">
        <v>62500</v>
      </c>
      <c r="AH1346" s="324">
        <v>62500</v>
      </c>
      <c r="AI1346" s="324" t="s">
        <v>55</v>
      </c>
      <c r="AJ1346" s="324">
        <v>62500</v>
      </c>
      <c r="AK1346" s="324" t="s">
        <v>55</v>
      </c>
      <c r="AL1346" s="324" t="s">
        <v>55</v>
      </c>
      <c r="AM1346" s="324" t="s">
        <v>55</v>
      </c>
    </row>
    <row r="1347" spans="1:39" s="324" customFormat="1" ht="0.65" hidden="1" customHeight="1">
      <c r="A1347" s="324">
        <v>5203</v>
      </c>
      <c r="AA1347" s="324">
        <v>30</v>
      </c>
      <c r="AB1347" s="324" t="s">
        <v>645</v>
      </c>
      <c r="AC1347" s="324" t="s">
        <v>55</v>
      </c>
      <c r="AD1347" s="324" t="s">
        <v>55</v>
      </c>
      <c r="AE1347" s="324">
        <v>0</v>
      </c>
      <c r="AF1347" s="324" t="s">
        <v>582</v>
      </c>
      <c r="AG1347" s="324">
        <v>62500</v>
      </c>
      <c r="AH1347" s="324">
        <v>62500</v>
      </c>
      <c r="AI1347" s="324" t="s">
        <v>55</v>
      </c>
      <c r="AJ1347" s="324">
        <v>62500</v>
      </c>
      <c r="AK1347" s="324" t="s">
        <v>55</v>
      </c>
      <c r="AL1347" s="324" t="s">
        <v>55</v>
      </c>
      <c r="AM1347" s="324" t="s">
        <v>55</v>
      </c>
    </row>
    <row r="1348" spans="1:39" s="324" customFormat="1" ht="0.65" hidden="1" customHeight="1">
      <c r="A1348" s="324">
        <v>5204</v>
      </c>
      <c r="AA1348" s="324">
        <v>31</v>
      </c>
      <c r="AB1348" s="324" t="s">
        <v>645</v>
      </c>
      <c r="AC1348" s="324" t="s">
        <v>55</v>
      </c>
      <c r="AD1348" s="324" t="s">
        <v>55</v>
      </c>
      <c r="AE1348" s="324">
        <v>0</v>
      </c>
      <c r="AF1348" s="324" t="s">
        <v>584</v>
      </c>
      <c r="AG1348" s="324">
        <v>62500</v>
      </c>
      <c r="AH1348" s="324">
        <v>62500</v>
      </c>
      <c r="AI1348" s="324" t="s">
        <v>55</v>
      </c>
      <c r="AJ1348" s="324">
        <v>62500</v>
      </c>
      <c r="AK1348" s="324" t="s">
        <v>55</v>
      </c>
      <c r="AL1348" s="324" t="s">
        <v>55</v>
      </c>
      <c r="AM1348" s="324" t="s">
        <v>55</v>
      </c>
    </row>
    <row r="1349" spans="1:39" s="324" customFormat="1" ht="0.65" hidden="1" customHeight="1">
      <c r="A1349" s="324">
        <v>5205</v>
      </c>
      <c r="AA1349" s="324">
        <v>32</v>
      </c>
      <c r="AB1349" s="324" t="s">
        <v>645</v>
      </c>
      <c r="AC1349" s="324" t="s">
        <v>55</v>
      </c>
      <c r="AD1349" s="324" t="s">
        <v>55</v>
      </c>
      <c r="AE1349" s="324">
        <v>0</v>
      </c>
      <c r="AF1349" s="324" t="s">
        <v>586</v>
      </c>
      <c r="AG1349" s="324">
        <v>62500</v>
      </c>
      <c r="AH1349" s="324">
        <v>62500</v>
      </c>
      <c r="AI1349" s="324" t="s">
        <v>55</v>
      </c>
      <c r="AJ1349" s="324">
        <v>62500</v>
      </c>
      <c r="AK1349" s="324" t="s">
        <v>55</v>
      </c>
      <c r="AL1349" s="324" t="s">
        <v>55</v>
      </c>
      <c r="AM1349" s="324" t="s">
        <v>55</v>
      </c>
    </row>
    <row r="1350" spans="1:39" s="324" customFormat="1" ht="0.65" hidden="1" customHeight="1">
      <c r="A1350" s="324">
        <v>5206</v>
      </c>
      <c r="AA1350" s="324">
        <v>33</v>
      </c>
      <c r="AB1350" s="324" t="s">
        <v>645</v>
      </c>
      <c r="AC1350" s="324" t="s">
        <v>55</v>
      </c>
      <c r="AD1350" s="324" t="s">
        <v>55</v>
      </c>
      <c r="AE1350" s="324">
        <v>0</v>
      </c>
      <c r="AF1350" s="324" t="s">
        <v>589</v>
      </c>
      <c r="AG1350" s="324">
        <v>0</v>
      </c>
      <c r="AH1350" s="324">
        <v>0</v>
      </c>
      <c r="AI1350" s="324" t="s">
        <v>55</v>
      </c>
      <c r="AJ1350" s="324">
        <v>0</v>
      </c>
      <c r="AK1350" s="324" t="s">
        <v>55</v>
      </c>
      <c r="AL1350" s="324" t="s">
        <v>55</v>
      </c>
      <c r="AM1350" s="324" t="s">
        <v>55</v>
      </c>
    </row>
    <row r="1351" spans="1:39" s="324" customFormat="1" ht="0.65" hidden="1" customHeight="1">
      <c r="A1351" s="324">
        <v>5207</v>
      </c>
      <c r="AA1351" s="324">
        <v>34</v>
      </c>
      <c r="AB1351" s="324" t="s">
        <v>645</v>
      </c>
      <c r="AC1351" s="324" t="s">
        <v>55</v>
      </c>
      <c r="AD1351" s="324" t="s">
        <v>55</v>
      </c>
      <c r="AE1351" s="324">
        <v>0</v>
      </c>
      <c r="AF1351" s="324" t="s">
        <v>590</v>
      </c>
      <c r="AG1351" s="324">
        <v>0</v>
      </c>
      <c r="AH1351" s="324">
        <v>0</v>
      </c>
      <c r="AI1351" s="324" t="s">
        <v>55</v>
      </c>
      <c r="AJ1351" s="324">
        <v>0</v>
      </c>
      <c r="AK1351" s="324" t="s">
        <v>55</v>
      </c>
      <c r="AL1351" s="324" t="s">
        <v>55</v>
      </c>
      <c r="AM1351" s="324" t="s">
        <v>55</v>
      </c>
    </row>
    <row r="1352" spans="1:39" s="324" customFormat="1" ht="0.65" hidden="1" customHeight="1">
      <c r="A1352" s="324">
        <v>5208</v>
      </c>
      <c r="AA1352" s="324">
        <v>35</v>
      </c>
      <c r="AB1352" s="324" t="s">
        <v>645</v>
      </c>
      <c r="AC1352" s="324" t="s">
        <v>55</v>
      </c>
      <c r="AD1352" s="324" t="s">
        <v>55</v>
      </c>
      <c r="AE1352" s="324">
        <v>0</v>
      </c>
      <c r="AF1352" s="324" t="s">
        <v>592</v>
      </c>
      <c r="AG1352" s="324">
        <v>267500</v>
      </c>
      <c r="AH1352" s="324">
        <v>267500</v>
      </c>
      <c r="AI1352" s="324" t="s">
        <v>55</v>
      </c>
      <c r="AJ1352" s="324">
        <v>267500</v>
      </c>
      <c r="AK1352" s="324" t="s">
        <v>55</v>
      </c>
      <c r="AL1352" s="324" t="s">
        <v>55</v>
      </c>
      <c r="AM1352" s="324" t="s">
        <v>55</v>
      </c>
    </row>
    <row r="1353" spans="1:39" s="324" customFormat="1" ht="0.65" hidden="1" customHeight="1">
      <c r="A1353" s="324">
        <v>5209</v>
      </c>
      <c r="AA1353" s="324">
        <v>36</v>
      </c>
      <c r="AB1353" s="324" t="s">
        <v>645</v>
      </c>
      <c r="AC1353" s="324" t="s">
        <v>55</v>
      </c>
      <c r="AD1353" s="324" t="s">
        <v>55</v>
      </c>
      <c r="AE1353" s="324">
        <v>0</v>
      </c>
      <c r="AF1353" s="324" t="s">
        <v>595</v>
      </c>
      <c r="AG1353" s="324">
        <v>330000</v>
      </c>
      <c r="AH1353" s="324">
        <v>330000</v>
      </c>
      <c r="AI1353" s="324" t="s">
        <v>55</v>
      </c>
      <c r="AJ1353" s="324">
        <v>330000</v>
      </c>
      <c r="AK1353" s="324" t="s">
        <v>55</v>
      </c>
      <c r="AL1353" s="324" t="s">
        <v>55</v>
      </c>
      <c r="AM1353" s="324" t="s">
        <v>55</v>
      </c>
    </row>
    <row r="1354" spans="1:39" s="324" customFormat="1" ht="0.65" hidden="1" customHeight="1">
      <c r="A1354" s="324">
        <v>5210</v>
      </c>
      <c r="AA1354" s="324">
        <v>37</v>
      </c>
      <c r="AB1354" s="324" t="s">
        <v>645</v>
      </c>
      <c r="AC1354" s="324" t="s">
        <v>55</v>
      </c>
      <c r="AD1354" s="324" t="s">
        <v>55</v>
      </c>
      <c r="AE1354" s="324">
        <v>0</v>
      </c>
      <c r="AF1354" s="324" t="s">
        <v>598</v>
      </c>
      <c r="AG1354" s="324">
        <v>367500</v>
      </c>
      <c r="AH1354" s="324">
        <v>367500</v>
      </c>
      <c r="AI1354" s="324" t="s">
        <v>55</v>
      </c>
      <c r="AJ1354" s="324">
        <v>367500</v>
      </c>
      <c r="AK1354" s="324" t="s">
        <v>55</v>
      </c>
      <c r="AL1354" s="324" t="s">
        <v>55</v>
      </c>
      <c r="AM1354" s="324" t="s">
        <v>55</v>
      </c>
    </row>
    <row r="1355" spans="1:39" s="324" customFormat="1" ht="0.65" hidden="1" customHeight="1">
      <c r="A1355" s="324">
        <v>5211</v>
      </c>
      <c r="AA1355" s="324">
        <v>38</v>
      </c>
      <c r="AB1355" s="324" t="s">
        <v>645</v>
      </c>
      <c r="AC1355" s="324" t="s">
        <v>55</v>
      </c>
      <c r="AD1355" s="324" t="s">
        <v>55</v>
      </c>
      <c r="AE1355" s="324">
        <v>0</v>
      </c>
      <c r="AF1355" s="324" t="s">
        <v>491</v>
      </c>
      <c r="AG1355" s="324">
        <v>277500</v>
      </c>
      <c r="AH1355" s="324">
        <v>277500</v>
      </c>
      <c r="AI1355" s="324" t="s">
        <v>55</v>
      </c>
      <c r="AJ1355" s="324">
        <v>277500</v>
      </c>
      <c r="AK1355" s="324" t="s">
        <v>55</v>
      </c>
      <c r="AL1355" s="324" t="s">
        <v>55</v>
      </c>
      <c r="AM1355" s="324" t="s">
        <v>55</v>
      </c>
    </row>
    <row r="1356" spans="1:39" s="324" customFormat="1" ht="0.65" hidden="1" customHeight="1">
      <c r="A1356" s="324">
        <v>5212</v>
      </c>
      <c r="AA1356" s="324">
        <v>39</v>
      </c>
      <c r="AB1356" s="324" t="s">
        <v>645</v>
      </c>
      <c r="AC1356" s="324" t="s">
        <v>55</v>
      </c>
      <c r="AD1356" s="324" t="s">
        <v>55</v>
      </c>
      <c r="AE1356" s="324">
        <v>0</v>
      </c>
      <c r="AF1356" s="324" t="s">
        <v>493</v>
      </c>
      <c r="AG1356" s="324">
        <v>62500</v>
      </c>
      <c r="AH1356" s="324">
        <v>62500</v>
      </c>
      <c r="AI1356" s="324" t="s">
        <v>55</v>
      </c>
      <c r="AJ1356" s="324">
        <v>62500</v>
      </c>
      <c r="AK1356" s="324" t="s">
        <v>55</v>
      </c>
      <c r="AL1356" s="324" t="s">
        <v>55</v>
      </c>
      <c r="AM1356" s="324" t="s">
        <v>55</v>
      </c>
    </row>
    <row r="1357" spans="1:39" s="324" customFormat="1" ht="0.65" hidden="1" customHeight="1">
      <c r="A1357" s="324">
        <v>5213</v>
      </c>
      <c r="AA1357" s="324">
        <v>40</v>
      </c>
      <c r="AB1357" s="324" t="s">
        <v>645</v>
      </c>
      <c r="AC1357" s="324" t="s">
        <v>55</v>
      </c>
      <c r="AD1357" s="324" t="s">
        <v>55</v>
      </c>
      <c r="AE1357" s="324">
        <v>0</v>
      </c>
      <c r="AF1357" s="324" t="s">
        <v>494</v>
      </c>
      <c r="AG1357" s="324">
        <v>340000</v>
      </c>
      <c r="AH1357" s="324">
        <v>340000</v>
      </c>
      <c r="AI1357" s="324" t="s">
        <v>55</v>
      </c>
      <c r="AJ1357" s="324">
        <v>340000</v>
      </c>
      <c r="AK1357" s="324" t="s">
        <v>55</v>
      </c>
      <c r="AL1357" s="324" t="s">
        <v>55</v>
      </c>
      <c r="AM1357" s="324" t="s">
        <v>55</v>
      </c>
    </row>
    <row r="1358" spans="1:39" s="324" customFormat="1" ht="0.65" hidden="1" customHeight="1">
      <c r="A1358" s="324">
        <v>5214</v>
      </c>
      <c r="AA1358" s="324">
        <v>41</v>
      </c>
      <c r="AB1358" s="324" t="s">
        <v>645</v>
      </c>
      <c r="AC1358" s="324" t="s">
        <v>55</v>
      </c>
      <c r="AD1358" s="324" t="s">
        <v>55</v>
      </c>
      <c r="AE1358" s="324">
        <v>0</v>
      </c>
      <c r="AF1358" s="324" t="s">
        <v>607</v>
      </c>
      <c r="AG1358" s="324">
        <v>-967500</v>
      </c>
      <c r="AH1358" s="324">
        <v>-967500</v>
      </c>
      <c r="AI1358" s="324" t="s">
        <v>55</v>
      </c>
      <c r="AJ1358" s="324">
        <v>-967500</v>
      </c>
      <c r="AK1358" s="324" t="s">
        <v>55</v>
      </c>
      <c r="AL1358" s="324" t="s">
        <v>55</v>
      </c>
      <c r="AM1358" s="324" t="s">
        <v>55</v>
      </c>
    </row>
    <row r="1359" spans="1:39" s="324" customFormat="1" ht="0.65" hidden="1" customHeight="1">
      <c r="A1359" s="324">
        <v>5215</v>
      </c>
      <c r="AA1359" s="324">
        <v>42</v>
      </c>
      <c r="AB1359" s="324" t="s">
        <v>645</v>
      </c>
      <c r="AC1359" s="324" t="s">
        <v>55</v>
      </c>
      <c r="AD1359" s="324" t="s">
        <v>55</v>
      </c>
      <c r="AE1359" s="324">
        <v>0</v>
      </c>
      <c r="AF1359" s="324" t="s">
        <v>610</v>
      </c>
      <c r="AG1359" s="324">
        <v>267500</v>
      </c>
      <c r="AH1359" s="324">
        <v>267500</v>
      </c>
      <c r="AI1359" s="324" t="s">
        <v>55</v>
      </c>
      <c r="AJ1359" s="324">
        <v>267500</v>
      </c>
      <c r="AK1359" s="324" t="s">
        <v>55</v>
      </c>
      <c r="AL1359" s="324" t="s">
        <v>55</v>
      </c>
      <c r="AM1359" s="324" t="s">
        <v>55</v>
      </c>
    </row>
    <row r="1360" spans="1:39" s="324" customFormat="1" ht="0.65" hidden="1" customHeight="1">
      <c r="A1360" s="324">
        <v>5216</v>
      </c>
      <c r="AA1360" s="324">
        <v>43</v>
      </c>
      <c r="AB1360" s="324" t="s">
        <v>645</v>
      </c>
      <c r="AC1360" s="324" t="s">
        <v>55</v>
      </c>
      <c r="AD1360" s="324" t="s">
        <v>55</v>
      </c>
      <c r="AE1360" s="324">
        <v>0</v>
      </c>
      <c r="AF1360" s="324" t="s">
        <v>611</v>
      </c>
      <c r="AG1360" s="324">
        <v>330000</v>
      </c>
      <c r="AH1360" s="324">
        <v>330000</v>
      </c>
      <c r="AI1360" s="324" t="s">
        <v>55</v>
      </c>
      <c r="AJ1360" s="324">
        <v>330000</v>
      </c>
      <c r="AK1360" s="324" t="s">
        <v>55</v>
      </c>
      <c r="AL1360" s="324" t="s">
        <v>55</v>
      </c>
      <c r="AM1360" s="324" t="s">
        <v>55</v>
      </c>
    </row>
    <row r="1361" spans="1:39" s="324" customFormat="1" ht="0.65" hidden="1" customHeight="1">
      <c r="A1361" s="324">
        <v>5217</v>
      </c>
      <c r="AA1361" s="324">
        <v>44</v>
      </c>
      <c r="AB1361" s="324" t="s">
        <v>645</v>
      </c>
      <c r="AC1361" s="324" t="s">
        <v>55</v>
      </c>
      <c r="AD1361" s="324" t="s">
        <v>55</v>
      </c>
      <c r="AE1361" s="324">
        <v>0</v>
      </c>
      <c r="AF1361" s="324" t="s">
        <v>612</v>
      </c>
      <c r="AG1361" s="324">
        <v>707500</v>
      </c>
      <c r="AH1361" s="324">
        <v>707500</v>
      </c>
      <c r="AI1361" s="324" t="s">
        <v>55</v>
      </c>
      <c r="AJ1361" s="324">
        <v>707500</v>
      </c>
      <c r="AK1361" s="324" t="s">
        <v>55</v>
      </c>
      <c r="AL1361" s="324" t="s">
        <v>55</v>
      </c>
      <c r="AM1361" s="324" t="s">
        <v>55</v>
      </c>
    </row>
    <row r="1362" spans="1:39" s="324" customFormat="1" ht="0.65" hidden="1" customHeight="1">
      <c r="A1362" s="324">
        <v>5218</v>
      </c>
      <c r="AA1362" s="324">
        <v>45</v>
      </c>
      <c r="AB1362" s="324" t="s">
        <v>645</v>
      </c>
      <c r="AC1362" s="324" t="s">
        <v>55</v>
      </c>
      <c r="AD1362" s="324" t="s">
        <v>55</v>
      </c>
      <c r="AE1362" s="324">
        <v>0</v>
      </c>
      <c r="AF1362" s="324" t="s">
        <v>124</v>
      </c>
      <c r="AG1362" s="324">
        <v>4.4999999999999998E-2</v>
      </c>
      <c r="AH1362" s="324">
        <v>4.4999999999999998E-2</v>
      </c>
      <c r="AI1362" s="324" t="s">
        <v>55</v>
      </c>
      <c r="AJ1362" s="324">
        <v>4.4999999999999998E-2</v>
      </c>
      <c r="AK1362" s="324" t="s">
        <v>55</v>
      </c>
      <c r="AL1362" s="324" t="s">
        <v>55</v>
      </c>
      <c r="AM1362" s="324" t="s">
        <v>55</v>
      </c>
    </row>
    <row r="1363" spans="1:39" s="324" customFormat="1" ht="0.65" hidden="1" customHeight="1">
      <c r="A1363" s="324">
        <v>5219</v>
      </c>
      <c r="AA1363" s="324">
        <v>46</v>
      </c>
      <c r="AB1363" s="324" t="s">
        <v>645</v>
      </c>
      <c r="AC1363" s="324" t="s">
        <v>55</v>
      </c>
      <c r="AD1363" s="324" t="s">
        <v>55</v>
      </c>
      <c r="AE1363" s="324">
        <v>0</v>
      </c>
      <c r="AF1363" s="324" t="s">
        <v>125</v>
      </c>
      <c r="AG1363" s="324">
        <v>0.1</v>
      </c>
      <c r="AH1363" s="324">
        <v>0.1</v>
      </c>
      <c r="AI1363" s="324" t="s">
        <v>55</v>
      </c>
      <c r="AJ1363" s="324">
        <v>0.1</v>
      </c>
      <c r="AK1363" s="324" t="s">
        <v>55</v>
      </c>
      <c r="AL1363" s="324" t="s">
        <v>55</v>
      </c>
      <c r="AM1363" s="324" t="s">
        <v>55</v>
      </c>
    </row>
    <row r="1364" spans="1:39" s="324" customFormat="1" ht="0.65" hidden="1" customHeight="1">
      <c r="A1364" s="324">
        <v>5220</v>
      </c>
      <c r="AA1364" s="324">
        <v>47</v>
      </c>
      <c r="AB1364" s="324" t="s">
        <v>645</v>
      </c>
      <c r="AC1364" s="324" t="s">
        <v>55</v>
      </c>
      <c r="AD1364" s="324" t="s">
        <v>55</v>
      </c>
      <c r="AE1364" s="324">
        <v>0</v>
      </c>
      <c r="AF1364" s="324" t="s">
        <v>126</v>
      </c>
      <c r="AG1364" s="324">
        <v>8.8999999999999996E-2</v>
      </c>
      <c r="AH1364" s="324">
        <v>8.8999999999999996E-2</v>
      </c>
      <c r="AI1364" s="324" t="s">
        <v>55</v>
      </c>
      <c r="AJ1364" s="324">
        <v>8.8999999999999996E-2</v>
      </c>
      <c r="AK1364" s="324" t="s">
        <v>55</v>
      </c>
      <c r="AL1364" s="324" t="s">
        <v>55</v>
      </c>
      <c r="AM1364" s="324" t="s">
        <v>55</v>
      </c>
    </row>
    <row r="1365" spans="1:39" s="324" customFormat="1" ht="0.65" hidden="1" customHeight="1">
      <c r="A1365" s="324">
        <v>5221</v>
      </c>
      <c r="AA1365" s="324">
        <v>48</v>
      </c>
      <c r="AB1365" s="324" t="s">
        <v>645</v>
      </c>
      <c r="AC1365" s="324" t="s">
        <v>55</v>
      </c>
      <c r="AD1365" s="324" t="s">
        <v>55</v>
      </c>
      <c r="AE1365" s="324">
        <v>0</v>
      </c>
      <c r="AF1365" s="324" t="s">
        <v>13</v>
      </c>
      <c r="AG1365" s="324">
        <v>104229.1490951411</v>
      </c>
      <c r="AH1365" s="324">
        <v>104229.1490951411</v>
      </c>
      <c r="AI1365" s="324" t="s">
        <v>55</v>
      </c>
      <c r="AJ1365" s="324">
        <v>104229.1490951411</v>
      </c>
      <c r="AK1365" s="324" t="s">
        <v>55</v>
      </c>
      <c r="AL1365" s="324" t="s">
        <v>55</v>
      </c>
      <c r="AM1365" s="324" t="s">
        <v>55</v>
      </c>
    </row>
    <row r="1366" spans="1:39" s="324" customFormat="1" ht="0.65" hidden="1" customHeight="1">
      <c r="A1366" s="324">
        <v>5222</v>
      </c>
      <c r="AA1366" s="324">
        <v>49</v>
      </c>
      <c r="AB1366" s="324" t="s">
        <v>645</v>
      </c>
      <c r="AC1366" s="324" t="s">
        <v>55</v>
      </c>
      <c r="AD1366" s="324" t="s">
        <v>55</v>
      </c>
      <c r="AE1366" s="324">
        <v>0</v>
      </c>
      <c r="AF1366" s="324" t="s">
        <v>28</v>
      </c>
      <c r="AG1366" s="324">
        <v>0.13927532491339289</v>
      </c>
      <c r="AH1366" s="324">
        <v>0.13927532491339289</v>
      </c>
      <c r="AI1366" s="324" t="s">
        <v>55</v>
      </c>
      <c r="AJ1366" s="324">
        <v>0.13927532491339289</v>
      </c>
      <c r="AK1366" s="324" t="s">
        <v>55</v>
      </c>
      <c r="AL1366" s="324" t="s">
        <v>55</v>
      </c>
      <c r="AM1366" s="324" t="s">
        <v>55</v>
      </c>
    </row>
    <row r="1367" spans="1:39" s="324" customFormat="1" ht="0.65" hidden="1" customHeight="1">
      <c r="A1367" s="324">
        <v>5223</v>
      </c>
      <c r="AH1367" s="324" t="s">
        <v>207</v>
      </c>
      <c r="AI1367" s="324">
        <v>0</v>
      </c>
      <c r="AJ1367" s="324" t="s">
        <v>207</v>
      </c>
      <c r="AK1367" s="324">
        <v>0</v>
      </c>
    </row>
    <row r="1368" spans="1:39" s="324" customFormat="1" ht="0.65" hidden="1" customHeight="1"/>
    <row r="1369" spans="1:39" s="324" customFormat="1" ht="0.65" hidden="1" customHeight="1"/>
    <row r="1370" spans="1:39" s="324" customFormat="1" ht="0.65" hidden="1" customHeight="1"/>
    <row r="1371" spans="1:39" s="324" customFormat="1" ht="0.65" hidden="1" customHeight="1">
      <c r="B1371" s="324" t="s">
        <v>19</v>
      </c>
      <c r="D1371" s="324" t="s">
        <v>336</v>
      </c>
      <c r="E1371" s="324">
        <v>6</v>
      </c>
    </row>
    <row r="1372" spans="1:39" s="324" customFormat="1" ht="0.65" hidden="1" customHeight="1">
      <c r="B1372" s="324" t="s">
        <v>3951</v>
      </c>
      <c r="D1372" s="324" t="s">
        <v>336</v>
      </c>
      <c r="E1372" s="324" t="s">
        <v>486</v>
      </c>
      <c r="H1372" s="324" t="s">
        <v>55</v>
      </c>
      <c r="I1372" s="324" t="s">
        <v>55</v>
      </c>
      <c r="J1372" s="324" t="s">
        <v>55</v>
      </c>
      <c r="K1372" s="324" t="s">
        <v>55</v>
      </c>
      <c r="L1372" s="324" t="s">
        <v>55</v>
      </c>
      <c r="M1372" s="324" t="s">
        <v>55</v>
      </c>
      <c r="N1372" s="324" t="s">
        <v>55</v>
      </c>
      <c r="O1372" s="324" t="s">
        <v>55</v>
      </c>
      <c r="P1372" s="324" t="s">
        <v>55</v>
      </c>
    </row>
    <row r="1373" spans="1:39" s="324" customFormat="1" ht="0.65" hidden="1" customHeight="1">
      <c r="A1373" s="324">
        <v>6001</v>
      </c>
      <c r="C1373" s="324" t="s">
        <v>5</v>
      </c>
      <c r="D1373" s="324">
        <v>2022</v>
      </c>
      <c r="G1373" s="324" t="s">
        <v>0</v>
      </c>
      <c r="H1373" s="324" t="s">
        <v>69</v>
      </c>
      <c r="I1373" s="324" t="s">
        <v>70</v>
      </c>
      <c r="J1373" s="324" t="s">
        <v>71</v>
      </c>
      <c r="K1373" s="324" t="s">
        <v>72</v>
      </c>
      <c r="L1373" s="324" t="s">
        <v>73</v>
      </c>
      <c r="M1373" s="324" t="s">
        <v>74</v>
      </c>
      <c r="N1373" s="324" t="s">
        <v>75</v>
      </c>
      <c r="O1373" s="324" t="s">
        <v>80</v>
      </c>
      <c r="P1373" s="324" t="s">
        <v>1</v>
      </c>
      <c r="U1373" s="324" t="s">
        <v>151</v>
      </c>
      <c r="AD1373" s="324" t="s">
        <v>455</v>
      </c>
    </row>
    <row r="1374" spans="1:39" s="324" customFormat="1" ht="0.65" hidden="1" customHeight="1">
      <c r="A1374" s="324">
        <v>6002</v>
      </c>
      <c r="G1374" s="324">
        <v>2022</v>
      </c>
      <c r="H1374" s="324">
        <v>0</v>
      </c>
      <c r="I1374" s="324">
        <v>0</v>
      </c>
      <c r="J1374" s="324">
        <v>0</v>
      </c>
      <c r="K1374" s="324">
        <v>0</v>
      </c>
      <c r="L1374" s="324">
        <v>0</v>
      </c>
      <c r="M1374" s="324">
        <v>0</v>
      </c>
      <c r="N1374" s="324">
        <v>0</v>
      </c>
      <c r="O1374" s="324">
        <v>0</v>
      </c>
      <c r="P1374" s="324">
        <v>-534375</v>
      </c>
      <c r="AD1374" s="324" t="s">
        <v>487</v>
      </c>
    </row>
    <row r="1375" spans="1:39" s="324" customFormat="1" ht="0.65" hidden="1" customHeight="1">
      <c r="A1375" s="324">
        <v>6003</v>
      </c>
      <c r="C1375" s="324" t="s">
        <v>32</v>
      </c>
      <c r="G1375" s="324">
        <v>2023</v>
      </c>
      <c r="H1375" s="324">
        <v>250000</v>
      </c>
      <c r="I1375" s="324">
        <v>-25000</v>
      </c>
      <c r="J1375" s="324">
        <v>28125</v>
      </c>
      <c r="K1375" s="324">
        <v>246875</v>
      </c>
      <c r="L1375" s="324">
        <v>61718.75</v>
      </c>
      <c r="M1375" s="324">
        <v>185156.25</v>
      </c>
      <c r="N1375" s="324">
        <v>213281.25</v>
      </c>
      <c r="O1375" s="324">
        <v>144531.25</v>
      </c>
      <c r="P1375" s="324">
        <v>144531.25</v>
      </c>
      <c r="U1375" s="324" t="s">
        <v>152</v>
      </c>
      <c r="Z1375" s="324" t="s">
        <v>176</v>
      </c>
      <c r="AA1375" s="324">
        <v>87817.478696592501</v>
      </c>
      <c r="AF1375" s="324" t="s">
        <v>247</v>
      </c>
    </row>
    <row r="1376" spans="1:39" s="324" customFormat="1" ht="0.65" hidden="1" customHeight="1">
      <c r="A1376" s="324">
        <v>6004</v>
      </c>
      <c r="C1376" s="324" t="s">
        <v>488</v>
      </c>
      <c r="D1376" s="324">
        <v>750000</v>
      </c>
      <c r="E1376" s="324" t="s">
        <v>55</v>
      </c>
      <c r="G1376" s="324">
        <v>2024</v>
      </c>
      <c r="H1376" s="324">
        <v>250000</v>
      </c>
      <c r="I1376" s="324">
        <v>-25000</v>
      </c>
      <c r="J1376" s="324">
        <v>28125</v>
      </c>
      <c r="K1376" s="324">
        <v>246875</v>
      </c>
      <c r="L1376" s="324">
        <v>61718.75</v>
      </c>
      <c r="M1376" s="324">
        <v>185156.25</v>
      </c>
      <c r="N1376" s="324">
        <v>213281.25</v>
      </c>
      <c r="O1376" s="324">
        <v>213281.25</v>
      </c>
      <c r="P1376" s="324">
        <v>213281.25</v>
      </c>
      <c r="Y1376" s="324" t="s">
        <v>139</v>
      </c>
      <c r="Z1376" s="324" t="s">
        <v>174</v>
      </c>
      <c r="AF1376" s="324" t="s">
        <v>248</v>
      </c>
    </row>
    <row r="1377" spans="1:33" s="324" customFormat="1" ht="0.65" hidden="1" customHeight="1">
      <c r="A1377" s="324">
        <v>6005</v>
      </c>
      <c r="C1377" s="324" t="s">
        <v>6</v>
      </c>
      <c r="D1377" s="324">
        <v>10</v>
      </c>
      <c r="G1377" s="324">
        <v>2025</v>
      </c>
      <c r="H1377" s="324">
        <v>250000</v>
      </c>
      <c r="I1377" s="324">
        <v>-25000</v>
      </c>
      <c r="J1377" s="324">
        <v>28125</v>
      </c>
      <c r="K1377" s="324">
        <v>246875</v>
      </c>
      <c r="L1377" s="324">
        <v>61718.75</v>
      </c>
      <c r="M1377" s="324">
        <v>185156.25</v>
      </c>
      <c r="N1377" s="324">
        <v>213281.25</v>
      </c>
      <c r="O1377" s="324">
        <v>213281.25</v>
      </c>
      <c r="P1377" s="324">
        <v>424062.5</v>
      </c>
      <c r="T1377" s="324" t="s">
        <v>187</v>
      </c>
      <c r="V1377" s="324" t="s">
        <v>180</v>
      </c>
      <c r="X1377" s="324" t="s">
        <v>177</v>
      </c>
      <c r="Y1377" s="324" t="s">
        <v>173</v>
      </c>
      <c r="Z1377" s="324" t="s">
        <v>175</v>
      </c>
      <c r="AA1377" s="324" t="s">
        <v>172</v>
      </c>
      <c r="AD1377" s="324" t="s">
        <v>177</v>
      </c>
      <c r="AE1377" s="324" t="s">
        <v>246</v>
      </c>
      <c r="AF1377" s="324" t="s">
        <v>249</v>
      </c>
      <c r="AG1377" s="324" t="s">
        <v>462</v>
      </c>
    </row>
    <row r="1378" spans="1:33" s="324" customFormat="1" ht="0.65" hidden="1" customHeight="1">
      <c r="A1378" s="324">
        <v>6006</v>
      </c>
      <c r="C1378" s="324" t="s">
        <v>489</v>
      </c>
      <c r="D1378" s="324">
        <v>75000</v>
      </c>
      <c r="H1378" s="324" t="s">
        <v>55</v>
      </c>
      <c r="I1378" s="324" t="s">
        <v>55</v>
      </c>
      <c r="J1378" s="324" t="s">
        <v>55</v>
      </c>
      <c r="K1378" s="324" t="s">
        <v>55</v>
      </c>
      <c r="T1378" s="324">
        <v>1</v>
      </c>
      <c r="U1378" s="324" t="s">
        <v>153</v>
      </c>
      <c r="V1378" s="324" t="s">
        <v>178</v>
      </c>
      <c r="W1378" s="324" t="s">
        <v>55</v>
      </c>
      <c r="X1378" s="324" t="s">
        <v>6</v>
      </c>
      <c r="Y1378" s="324">
        <v>10</v>
      </c>
      <c r="Z1378" s="324">
        <v>15</v>
      </c>
      <c r="AA1378" s="324">
        <v>86327.537707922165</v>
      </c>
      <c r="AB1378" s="324" t="s">
        <v>55</v>
      </c>
      <c r="AC1378" s="324">
        <v>1</v>
      </c>
      <c r="AD1378" s="324" t="s">
        <v>55</v>
      </c>
      <c r="AE1378" s="324" t="s">
        <v>55</v>
      </c>
      <c r="AF1378" s="324" t="s">
        <v>55</v>
      </c>
      <c r="AG1378" s="324" t="s">
        <v>55</v>
      </c>
    </row>
    <row r="1379" spans="1:33" s="324" customFormat="1" ht="0.65" hidden="1" customHeight="1">
      <c r="A1379" s="324">
        <v>6007</v>
      </c>
      <c r="G1379" s="324" t="s">
        <v>0</v>
      </c>
      <c r="H1379" s="324" t="s">
        <v>76</v>
      </c>
      <c r="I1379" s="324" t="s">
        <v>77</v>
      </c>
      <c r="J1379" s="324" t="s">
        <v>78</v>
      </c>
      <c r="K1379" s="324" t="s">
        <v>79</v>
      </c>
      <c r="N1379" s="324" t="s">
        <v>55</v>
      </c>
      <c r="P1379" s="324" t="s">
        <v>55</v>
      </c>
      <c r="T1379" s="324">
        <v>2</v>
      </c>
      <c r="U1379" s="324" t="s">
        <v>154</v>
      </c>
      <c r="V1379" s="324" t="s">
        <v>178</v>
      </c>
      <c r="W1379" s="324" t="s">
        <v>55</v>
      </c>
      <c r="X1379" s="324" t="s">
        <v>488</v>
      </c>
      <c r="Y1379" s="324">
        <v>750000</v>
      </c>
      <c r="Z1379" s="324">
        <v>825000.00000000012</v>
      </c>
      <c r="AA1379" s="324">
        <v>27232.231499450398</v>
      </c>
      <c r="AB1379" s="324" t="s">
        <v>55</v>
      </c>
    </row>
    <row r="1380" spans="1:33" s="324" customFormat="1" ht="0.65" hidden="1" customHeight="1">
      <c r="A1380" s="324">
        <v>6008</v>
      </c>
      <c r="C1380" s="324" t="s">
        <v>34</v>
      </c>
      <c r="D1380" s="324">
        <v>250000</v>
      </c>
      <c r="G1380" s="324">
        <v>2022</v>
      </c>
      <c r="H1380" s="324">
        <v>0</v>
      </c>
      <c r="I1380" s="324">
        <v>0</v>
      </c>
      <c r="J1380" s="324">
        <v>0</v>
      </c>
      <c r="K1380" s="324">
        <v>0</v>
      </c>
      <c r="M1380" s="324" t="s">
        <v>490</v>
      </c>
      <c r="N1380" s="324">
        <v>534375</v>
      </c>
      <c r="O1380" s="324" t="s">
        <v>124</v>
      </c>
      <c r="P1380" s="324">
        <v>5.2500000000000012E-2</v>
      </c>
      <c r="T1380" s="324">
        <v>3</v>
      </c>
      <c r="U1380" s="324" t="s">
        <v>155</v>
      </c>
      <c r="V1380" s="324" t="s">
        <v>178</v>
      </c>
      <c r="W1380" s="324" t="s">
        <v>55</v>
      </c>
      <c r="X1380" s="324" t="s">
        <v>489</v>
      </c>
      <c r="Y1380" s="324">
        <v>75000</v>
      </c>
      <c r="Z1380" s="324">
        <v>67500</v>
      </c>
      <c r="AA1380" s="324">
        <v>83627.147544715437</v>
      </c>
      <c r="AB1380" s="324" t="s">
        <v>55</v>
      </c>
      <c r="AC1380" s="324">
        <v>2</v>
      </c>
      <c r="AD1380" s="324" t="s">
        <v>55</v>
      </c>
      <c r="AE1380" s="324" t="s">
        <v>55</v>
      </c>
      <c r="AF1380" s="324" t="s">
        <v>55</v>
      </c>
      <c r="AG1380" s="324" t="s">
        <v>55</v>
      </c>
    </row>
    <row r="1381" spans="1:33" s="324" customFormat="1" ht="0.65" hidden="1" customHeight="1">
      <c r="A1381" s="324">
        <v>6009</v>
      </c>
      <c r="C1381" s="324" t="s">
        <v>35</v>
      </c>
      <c r="D1381" s="324">
        <v>-25000</v>
      </c>
      <c r="G1381" s="324">
        <v>2023</v>
      </c>
      <c r="H1381" s="324">
        <v>62500</v>
      </c>
      <c r="I1381" s="324">
        <v>-6250</v>
      </c>
      <c r="J1381" s="324">
        <v>68750</v>
      </c>
      <c r="K1381" s="324">
        <v>68750</v>
      </c>
      <c r="M1381" s="324" t="s">
        <v>491</v>
      </c>
      <c r="N1381" s="324">
        <v>142031.25</v>
      </c>
      <c r="O1381" s="324" t="s">
        <v>125</v>
      </c>
      <c r="P1381" s="324">
        <v>0.12000000000000001</v>
      </c>
      <c r="T1381" s="324">
        <v>4</v>
      </c>
      <c r="U1381" s="324" t="s">
        <v>156</v>
      </c>
      <c r="V1381" s="324" t="s">
        <v>179</v>
      </c>
      <c r="W1381" s="324" t="s">
        <v>55</v>
      </c>
      <c r="X1381" s="324" t="s">
        <v>492</v>
      </c>
      <c r="Y1381" s="324">
        <v>225000</v>
      </c>
      <c r="Z1381" s="324">
        <v>247500.00000000003</v>
      </c>
      <c r="AA1381" s="324">
        <v>104692.47869659253</v>
      </c>
      <c r="AB1381" s="324" t="s">
        <v>55</v>
      </c>
    </row>
    <row r="1382" spans="1:33" s="324" customFormat="1" ht="0.65" hidden="1" customHeight="1">
      <c r="A1382" s="324">
        <v>6010</v>
      </c>
      <c r="G1382" s="324">
        <v>2024</v>
      </c>
      <c r="H1382" s="324">
        <v>62500</v>
      </c>
      <c r="I1382" s="324">
        <v>-6250</v>
      </c>
      <c r="J1382" s="324">
        <v>68750</v>
      </c>
      <c r="K1382" s="324">
        <v>0</v>
      </c>
      <c r="M1382" s="324" t="s">
        <v>493</v>
      </c>
      <c r="N1382" s="324">
        <v>68750</v>
      </c>
      <c r="O1382" s="324" t="s">
        <v>126</v>
      </c>
      <c r="P1382" s="324">
        <v>0.10312499999999999</v>
      </c>
      <c r="T1382" s="324">
        <v>5</v>
      </c>
      <c r="U1382" s="324" t="s">
        <v>157</v>
      </c>
      <c r="V1382" s="324" t="s">
        <v>178</v>
      </c>
      <c r="W1382" s="324" t="s">
        <v>55</v>
      </c>
      <c r="X1382" s="324" t="s">
        <v>6</v>
      </c>
      <c r="Y1382" s="324">
        <v>4</v>
      </c>
      <c r="Z1382" s="324">
        <v>3</v>
      </c>
      <c r="AA1382" s="324">
        <v>86886.265578673527</v>
      </c>
      <c r="AB1382" s="324" t="s">
        <v>55</v>
      </c>
      <c r="AC1382" s="324">
        <v>3</v>
      </c>
      <c r="AD1382" s="324" t="s">
        <v>55</v>
      </c>
      <c r="AE1382" s="324" t="s">
        <v>55</v>
      </c>
      <c r="AF1382" s="324" t="s">
        <v>55</v>
      </c>
      <c r="AG1382" s="324" t="s">
        <v>55</v>
      </c>
    </row>
    <row r="1383" spans="1:33" s="324" customFormat="1" ht="0.65" hidden="1" customHeight="1">
      <c r="A1383" s="324">
        <v>6011</v>
      </c>
      <c r="C1383" s="324" t="s">
        <v>7</v>
      </c>
      <c r="D1383" s="324">
        <v>90</v>
      </c>
      <c r="G1383" s="324">
        <v>2025</v>
      </c>
      <c r="H1383" s="324">
        <v>62500</v>
      </c>
      <c r="I1383" s="324">
        <v>-6250</v>
      </c>
      <c r="J1383" s="324">
        <v>68750</v>
      </c>
      <c r="K1383" s="324">
        <v>0</v>
      </c>
      <c r="M1383" s="324" t="s">
        <v>494</v>
      </c>
      <c r="N1383" s="324">
        <v>210781.25</v>
      </c>
      <c r="T1383" s="324">
        <v>6</v>
      </c>
      <c r="U1383" s="324" t="s">
        <v>158</v>
      </c>
      <c r="V1383" s="324" t="s">
        <v>179</v>
      </c>
      <c r="W1383" s="324" t="s">
        <v>55</v>
      </c>
      <c r="X1383" s="324" t="s">
        <v>495</v>
      </c>
      <c r="Y1383" s="324">
        <v>187500</v>
      </c>
      <c r="Z1383" s="324">
        <v>206250.00000000003</v>
      </c>
      <c r="AA1383" s="324">
        <v>88733.672134652588</v>
      </c>
      <c r="AB1383" s="324" t="s">
        <v>55</v>
      </c>
    </row>
    <row r="1384" spans="1:33" s="324" customFormat="1" ht="0.65" hidden="1" customHeight="1">
      <c r="A1384" s="324">
        <v>6012</v>
      </c>
      <c r="C1384" s="324" t="s">
        <v>8</v>
      </c>
      <c r="D1384" s="324">
        <v>90</v>
      </c>
      <c r="T1384" s="324">
        <v>7</v>
      </c>
      <c r="U1384" s="324" t="s">
        <v>159</v>
      </c>
      <c r="V1384" s="324" t="s">
        <v>178</v>
      </c>
      <c r="W1384" s="324" t="s">
        <v>55</v>
      </c>
      <c r="X1384" s="324" t="s">
        <v>492</v>
      </c>
      <c r="Y1384" s="324">
        <v>225000</v>
      </c>
      <c r="Z1384" s="324">
        <v>202500</v>
      </c>
      <c r="AA1384" s="324">
        <v>70942.478696592501</v>
      </c>
      <c r="AB1384" s="324" t="s">
        <v>55</v>
      </c>
      <c r="AC1384" s="324">
        <v>4</v>
      </c>
      <c r="AD1384" s="324" t="s">
        <v>55</v>
      </c>
      <c r="AE1384" s="324" t="s">
        <v>55</v>
      </c>
      <c r="AF1384" s="324" t="s">
        <v>55</v>
      </c>
      <c r="AG1384" s="324" t="s">
        <v>55</v>
      </c>
    </row>
    <row r="1385" spans="1:33" s="324" customFormat="1" ht="0.65" hidden="1" customHeight="1">
      <c r="A1385" s="324">
        <v>6013</v>
      </c>
      <c r="O1385" s="324" t="s">
        <v>13</v>
      </c>
      <c r="P1385" s="324">
        <v>87817.478696592501</v>
      </c>
      <c r="T1385" s="324">
        <v>8</v>
      </c>
      <c r="U1385" s="324" t="s">
        <v>160</v>
      </c>
      <c r="V1385" s="324" t="s">
        <v>178</v>
      </c>
      <c r="W1385" s="324" t="s">
        <v>55</v>
      </c>
      <c r="X1385" s="324" t="s">
        <v>489</v>
      </c>
      <c r="Y1385" s="324">
        <v>45000</v>
      </c>
      <c r="Z1385" s="324">
        <v>49500.000000000007</v>
      </c>
      <c r="AA1385" s="324">
        <v>85303.280005466251</v>
      </c>
      <c r="AB1385" s="324" t="s">
        <v>55</v>
      </c>
    </row>
    <row r="1386" spans="1:33" s="324" customFormat="1" ht="0.65" hidden="1" customHeight="1">
      <c r="A1386" s="324">
        <v>6014</v>
      </c>
      <c r="C1386" s="324" t="s">
        <v>33</v>
      </c>
      <c r="O1386" s="324" t="s">
        <v>28</v>
      </c>
      <c r="P1386" s="324">
        <v>0.17939434472028948</v>
      </c>
      <c r="T1386" s="324">
        <v>9</v>
      </c>
      <c r="U1386" s="324" t="s">
        <v>161</v>
      </c>
      <c r="V1386" s="324" t="s">
        <v>179</v>
      </c>
      <c r="W1386" s="324" t="s">
        <v>55</v>
      </c>
      <c r="X1386" s="324" t="s">
        <v>34</v>
      </c>
      <c r="Y1386" s="324">
        <v>250000</v>
      </c>
      <c r="Z1386" s="324">
        <v>275000</v>
      </c>
      <c r="AA1386" s="324">
        <v>133180.81430385646</v>
      </c>
      <c r="AB1386" s="324" t="s">
        <v>55</v>
      </c>
      <c r="AC1386" s="324">
        <v>5</v>
      </c>
      <c r="AD1386" s="324" t="s">
        <v>55</v>
      </c>
      <c r="AE1386" s="324" t="s">
        <v>55</v>
      </c>
      <c r="AF1386" s="324" t="s">
        <v>55</v>
      </c>
      <c r="AG1386" s="324" t="s">
        <v>55</v>
      </c>
    </row>
    <row r="1387" spans="1:33" s="324" customFormat="1" ht="0.65" hidden="1" customHeight="1">
      <c r="A1387" s="324">
        <v>6015</v>
      </c>
      <c r="C1387" s="324" t="s">
        <v>492</v>
      </c>
      <c r="D1387" s="324">
        <v>225000</v>
      </c>
      <c r="K1387" s="324" t="s">
        <v>127</v>
      </c>
      <c r="L1387" s="324" t="s">
        <v>36</v>
      </c>
      <c r="M1387" s="324" t="s">
        <v>55</v>
      </c>
      <c r="T1387" s="324">
        <v>10</v>
      </c>
      <c r="U1387" s="324" t="s">
        <v>162</v>
      </c>
      <c r="V1387" s="324" t="s">
        <v>178</v>
      </c>
      <c r="W1387" s="324" t="s">
        <v>55</v>
      </c>
      <c r="X1387" s="324" t="s">
        <v>7</v>
      </c>
      <c r="Y1387" s="324">
        <v>90</v>
      </c>
      <c r="Z1387" s="324">
        <v>120</v>
      </c>
      <c r="AA1387" s="324">
        <v>84451.482438199935</v>
      </c>
      <c r="AB1387" s="324" t="s">
        <v>55</v>
      </c>
    </row>
    <row r="1388" spans="1:33" s="324" customFormat="1" ht="0.65" hidden="1" customHeight="1">
      <c r="A1388" s="324">
        <v>6016</v>
      </c>
      <c r="C1388" s="324" t="s">
        <v>495</v>
      </c>
      <c r="D1388" s="324">
        <v>187500</v>
      </c>
      <c r="E1388" s="324" t="s">
        <v>55</v>
      </c>
      <c r="K1388" s="324" t="s">
        <v>496</v>
      </c>
      <c r="L1388" s="324" t="s">
        <v>424</v>
      </c>
      <c r="T1388" s="324">
        <v>11</v>
      </c>
      <c r="U1388" s="324" t="s">
        <v>163</v>
      </c>
      <c r="V1388" s="324" t="s">
        <v>179</v>
      </c>
      <c r="W1388" s="324" t="s">
        <v>55</v>
      </c>
      <c r="X1388" s="324" t="s">
        <v>35</v>
      </c>
      <c r="Y1388" s="324">
        <v>-25000</v>
      </c>
      <c r="Z1388" s="324">
        <v>-27500.000000000004</v>
      </c>
      <c r="AA1388" s="324">
        <v>92353.812257318903</v>
      </c>
      <c r="AB1388" s="324" t="s">
        <v>55</v>
      </c>
      <c r="AC1388" s="324">
        <v>6</v>
      </c>
      <c r="AD1388" s="324" t="s">
        <v>55</v>
      </c>
      <c r="AE1388" s="324" t="s">
        <v>55</v>
      </c>
      <c r="AF1388" s="324" t="s">
        <v>55</v>
      </c>
      <c r="AG1388" s="324" t="s">
        <v>55</v>
      </c>
    </row>
    <row r="1389" spans="1:33" s="324" customFormat="1" ht="0.65" hidden="1" customHeight="1">
      <c r="A1389" s="324">
        <v>6017</v>
      </c>
      <c r="C1389" s="324" t="s">
        <v>6</v>
      </c>
      <c r="D1389" s="324">
        <v>4</v>
      </c>
      <c r="K1389" s="324" t="s">
        <v>410</v>
      </c>
      <c r="L1389" s="324">
        <v>0</v>
      </c>
      <c r="M1389" s="324" t="s">
        <v>337</v>
      </c>
      <c r="T1389" s="324">
        <v>12</v>
      </c>
      <c r="U1389" s="324" t="s">
        <v>164</v>
      </c>
      <c r="V1389" s="324" t="s">
        <v>178</v>
      </c>
      <c r="W1389" s="324" t="s">
        <v>55</v>
      </c>
      <c r="X1389" s="324" t="s">
        <v>8</v>
      </c>
      <c r="Y1389" s="324">
        <v>90</v>
      </c>
      <c r="Z1389" s="324">
        <v>60</v>
      </c>
      <c r="AA1389" s="324">
        <v>88154.078322431757</v>
      </c>
      <c r="AB1389" s="324" t="s">
        <v>55</v>
      </c>
    </row>
    <row r="1390" spans="1:33" s="324" customFormat="1" ht="0.65" hidden="1" customHeight="1">
      <c r="A1390" s="324">
        <v>6018</v>
      </c>
      <c r="C1390" s="324" t="s">
        <v>489</v>
      </c>
      <c r="D1390" s="324">
        <v>45000</v>
      </c>
      <c r="N1390" s="324" t="s">
        <v>55</v>
      </c>
      <c r="T1390" s="324">
        <v>13</v>
      </c>
      <c r="U1390" s="324" t="s">
        <v>165</v>
      </c>
      <c r="V1390" s="324" t="s">
        <v>178</v>
      </c>
      <c r="W1390" s="324" t="s">
        <v>55</v>
      </c>
      <c r="X1390" s="324" t="s">
        <v>10</v>
      </c>
      <c r="Y1390" s="324">
        <v>420000.00000000006</v>
      </c>
      <c r="Z1390" s="324">
        <v>462000.00000000012</v>
      </c>
      <c r="AA1390" s="324">
        <v>86120.537699497974</v>
      </c>
      <c r="AB1390" s="324" t="s">
        <v>55</v>
      </c>
      <c r="AC1390" s="324">
        <v>7</v>
      </c>
      <c r="AD1390" s="324" t="s">
        <v>55</v>
      </c>
      <c r="AE1390" s="324" t="s">
        <v>55</v>
      </c>
      <c r="AF1390" s="324" t="s">
        <v>55</v>
      </c>
      <c r="AG1390" s="324" t="s">
        <v>55</v>
      </c>
    </row>
    <row r="1391" spans="1:33" s="324" customFormat="1" ht="0.65" hidden="1" customHeight="1">
      <c r="A1391" s="324">
        <v>6019</v>
      </c>
      <c r="K1391" s="324" t="s">
        <v>413</v>
      </c>
      <c r="L1391" s="324">
        <v>33</v>
      </c>
      <c r="M1391" s="324" t="s">
        <v>55</v>
      </c>
      <c r="T1391" s="324">
        <v>14</v>
      </c>
      <c r="U1391" s="324" t="s">
        <v>166</v>
      </c>
      <c r="V1391" s="324" t="s">
        <v>179</v>
      </c>
      <c r="W1391" s="324" t="s">
        <v>55</v>
      </c>
      <c r="X1391" s="324" t="s">
        <v>12</v>
      </c>
      <c r="Y1391" s="324">
        <v>0.02</v>
      </c>
      <c r="Z1391" s="324">
        <v>0.01</v>
      </c>
      <c r="AA1391" s="324">
        <v>97654.13544264494</v>
      </c>
      <c r="AB1391" s="324" t="s">
        <v>55</v>
      </c>
    </row>
    <row r="1392" spans="1:33" s="324" customFormat="1" ht="0.65" hidden="1" customHeight="1">
      <c r="A1392" s="324">
        <v>6020</v>
      </c>
      <c r="C1392" s="324" t="s">
        <v>4</v>
      </c>
      <c r="D1392" s="324">
        <v>0.25</v>
      </c>
      <c r="K1392" s="324" t="s">
        <v>479</v>
      </c>
      <c r="N1392" s="324" t="s">
        <v>466</v>
      </c>
      <c r="T1392" s="324">
        <v>15</v>
      </c>
      <c r="U1392" s="324" t="s">
        <v>167</v>
      </c>
      <c r="V1392" s="324" t="s">
        <v>178</v>
      </c>
      <c r="W1392" s="324" t="s">
        <v>55</v>
      </c>
      <c r="X1392" s="324" t="s">
        <v>11</v>
      </c>
      <c r="Y1392" s="324">
        <v>1800000</v>
      </c>
      <c r="Z1392" s="324">
        <v>1980000.0000000002</v>
      </c>
      <c r="AA1392" s="324">
        <v>78216.800022552852</v>
      </c>
      <c r="AB1392" s="324" t="s">
        <v>55</v>
      </c>
      <c r="AC1392" s="324">
        <v>8</v>
      </c>
      <c r="AD1392" s="324" t="s">
        <v>55</v>
      </c>
      <c r="AE1392" s="324" t="s">
        <v>55</v>
      </c>
      <c r="AF1392" s="324" t="s">
        <v>55</v>
      </c>
      <c r="AG1392" s="324" t="s">
        <v>55</v>
      </c>
    </row>
    <row r="1393" spans="1:33" s="324" customFormat="1" ht="0.65" hidden="1" customHeight="1">
      <c r="A1393" s="324">
        <v>6021</v>
      </c>
      <c r="D1393" s="324" t="s">
        <v>9</v>
      </c>
      <c r="K1393" s="324" t="s">
        <v>409</v>
      </c>
      <c r="L1393" s="324" t="s">
        <v>38</v>
      </c>
      <c r="M1393" s="324" t="s">
        <v>55</v>
      </c>
      <c r="N1393" s="324" t="s">
        <v>467</v>
      </c>
      <c r="O1393" s="324" t="s">
        <v>468</v>
      </c>
      <c r="T1393" s="324">
        <v>16</v>
      </c>
      <c r="U1393" s="324" t="s">
        <v>168</v>
      </c>
      <c r="V1393" s="324" t="s">
        <v>181</v>
      </c>
      <c r="W1393" s="324" t="s">
        <v>55</v>
      </c>
      <c r="X1393" s="324" t="s">
        <v>3</v>
      </c>
      <c r="Y1393" s="324">
        <v>18000000</v>
      </c>
      <c r="Z1393" s="324">
        <v>19800000</v>
      </c>
      <c r="AA1393" s="324">
        <v>95402.650565361386</v>
      </c>
      <c r="AB1393" s="324" t="s">
        <v>55</v>
      </c>
    </row>
    <row r="1394" spans="1:33" s="324" customFormat="1" ht="0.65" hidden="1" customHeight="1">
      <c r="A1394" s="324">
        <v>6022</v>
      </c>
      <c r="N1394" s="324" t="s">
        <v>469</v>
      </c>
      <c r="O1394" s="324" t="s">
        <v>470</v>
      </c>
      <c r="T1394" s="324">
        <v>17</v>
      </c>
      <c r="U1394" s="324" t="s">
        <v>169</v>
      </c>
      <c r="V1394" s="324" t="s">
        <v>178</v>
      </c>
      <c r="W1394" s="324" t="s">
        <v>55</v>
      </c>
      <c r="X1394" s="324" t="s">
        <v>2</v>
      </c>
      <c r="Y1394" s="324">
        <v>6000000</v>
      </c>
      <c r="Z1394" s="324">
        <v>3000000</v>
      </c>
      <c r="AA1394" s="324">
        <v>77032.936623531321</v>
      </c>
      <c r="AB1394" s="324" t="s">
        <v>55</v>
      </c>
      <c r="AC1394" s="324">
        <v>9</v>
      </c>
      <c r="AD1394" s="324" t="s">
        <v>55</v>
      </c>
      <c r="AE1394" s="324" t="s">
        <v>55</v>
      </c>
      <c r="AF1394" s="324" t="s">
        <v>55</v>
      </c>
      <c r="AG1394" s="324" t="s">
        <v>55</v>
      </c>
    </row>
    <row r="1395" spans="1:33" s="324" customFormat="1" ht="0.65" hidden="1" customHeight="1">
      <c r="A1395" s="324">
        <v>6023</v>
      </c>
      <c r="C1395" s="324" t="s">
        <v>10</v>
      </c>
      <c r="D1395" s="324">
        <v>420000.00000000006</v>
      </c>
      <c r="N1395" s="324" t="s">
        <v>471</v>
      </c>
      <c r="O1395" s="324" t="s">
        <v>472</v>
      </c>
      <c r="T1395" s="324">
        <v>18</v>
      </c>
      <c r="U1395" s="324" t="s">
        <v>170</v>
      </c>
      <c r="V1395" s="324" t="s">
        <v>181</v>
      </c>
      <c r="W1395" s="324" t="s">
        <v>55</v>
      </c>
      <c r="X1395" s="324" t="s">
        <v>4</v>
      </c>
      <c r="Y1395" s="324">
        <v>0.25</v>
      </c>
      <c r="Z1395" s="324">
        <v>0.3</v>
      </c>
      <c r="AA1395" s="324">
        <v>73233.162172578595</v>
      </c>
      <c r="AB1395" s="324" t="s">
        <v>55</v>
      </c>
    </row>
    <row r="1396" spans="1:33" s="324" customFormat="1" ht="0.65" hidden="1" customHeight="1">
      <c r="A1396" s="324">
        <v>6024</v>
      </c>
      <c r="C1396" s="324" t="s">
        <v>11</v>
      </c>
      <c r="D1396" s="324">
        <v>1800000</v>
      </c>
      <c r="I1396" s="324" t="s">
        <v>320</v>
      </c>
      <c r="K1396" s="324" t="s">
        <v>497</v>
      </c>
      <c r="L1396" s="324" t="s">
        <v>498</v>
      </c>
      <c r="M1396" s="324" t="s">
        <v>55</v>
      </c>
      <c r="T1396" s="324">
        <v>19</v>
      </c>
      <c r="U1396" s="324" t="s">
        <v>171</v>
      </c>
      <c r="V1396" s="324" t="s">
        <v>181</v>
      </c>
      <c r="W1396" s="324" t="s">
        <v>55</v>
      </c>
      <c r="X1396" s="324" t="s">
        <v>14</v>
      </c>
      <c r="Y1396" s="324" t="s">
        <v>16</v>
      </c>
      <c r="Z1396" s="324">
        <v>4</v>
      </c>
      <c r="AA1396" s="324">
        <v>212420.47733247242</v>
      </c>
      <c r="AB1396" s="324" t="s">
        <v>55</v>
      </c>
      <c r="AC1396" s="324">
        <v>10</v>
      </c>
      <c r="AD1396" s="324" t="s">
        <v>55</v>
      </c>
      <c r="AE1396" s="324" t="s">
        <v>55</v>
      </c>
      <c r="AF1396" s="324" t="s">
        <v>55</v>
      </c>
      <c r="AG1396" s="324" t="s">
        <v>55</v>
      </c>
    </row>
    <row r="1397" spans="1:33" s="324" customFormat="1" ht="0.65" hidden="1" customHeight="1">
      <c r="A1397" s="324">
        <v>6025</v>
      </c>
      <c r="C1397" s="324" t="s">
        <v>12</v>
      </c>
      <c r="D1397" s="324">
        <v>0.02</v>
      </c>
    </row>
    <row r="1398" spans="1:33" s="324" customFormat="1" ht="0.65" hidden="1" customHeight="1">
      <c r="A1398" s="324">
        <v>6026</v>
      </c>
      <c r="C1398" s="324" t="s">
        <v>2</v>
      </c>
      <c r="D1398" s="324">
        <v>6000000</v>
      </c>
      <c r="I1398" s="324" t="s">
        <v>318</v>
      </c>
      <c r="K1398" s="324" t="s">
        <v>497</v>
      </c>
      <c r="L1398" s="324" t="s">
        <v>498</v>
      </c>
      <c r="M1398" s="324" t="s">
        <v>1856</v>
      </c>
      <c r="AC1398" s="324">
        <v>11</v>
      </c>
      <c r="AD1398" s="324" t="s">
        <v>55</v>
      </c>
      <c r="AE1398" s="324" t="s">
        <v>55</v>
      </c>
      <c r="AF1398" s="324" t="s">
        <v>55</v>
      </c>
      <c r="AG1398" s="324" t="s">
        <v>55</v>
      </c>
    </row>
    <row r="1399" spans="1:33" s="324" customFormat="1" ht="0.65" hidden="1" customHeight="1">
      <c r="A1399" s="324">
        <v>6027</v>
      </c>
      <c r="C1399" s="324" t="s">
        <v>3</v>
      </c>
      <c r="D1399" s="324">
        <v>18000000</v>
      </c>
      <c r="U1399" s="324" t="s">
        <v>127</v>
      </c>
      <c r="V1399" s="324" t="s">
        <v>36</v>
      </c>
      <c r="W1399" s="324" t="s">
        <v>55</v>
      </c>
    </row>
    <row r="1400" spans="1:33" s="324" customFormat="1" ht="0.65" hidden="1" customHeight="1">
      <c r="A1400" s="324">
        <v>6028</v>
      </c>
      <c r="AC1400" s="324">
        <v>12</v>
      </c>
      <c r="AD1400" s="324" t="s">
        <v>55</v>
      </c>
      <c r="AE1400" s="324" t="s">
        <v>55</v>
      </c>
      <c r="AF1400" s="324" t="s">
        <v>55</v>
      </c>
      <c r="AG1400" s="324" t="s">
        <v>55</v>
      </c>
    </row>
    <row r="1401" spans="1:33" s="324" customFormat="1" ht="0.65" hidden="1" customHeight="1">
      <c r="A1401" s="324">
        <v>6029</v>
      </c>
      <c r="C1401" s="324" t="s">
        <v>14</v>
      </c>
      <c r="D1401" s="324" t="s">
        <v>16</v>
      </c>
      <c r="V1401" s="324">
        <v>0</v>
      </c>
    </row>
    <row r="1402" spans="1:33" s="324" customFormat="1" ht="0.65" hidden="1" customHeight="1">
      <c r="A1402" s="324">
        <v>6030</v>
      </c>
      <c r="G1402" s="324" t="s">
        <v>128</v>
      </c>
      <c r="M1402" s="324" t="s">
        <v>500</v>
      </c>
      <c r="AC1402" s="324">
        <v>13</v>
      </c>
      <c r="AD1402" s="324" t="s">
        <v>55</v>
      </c>
      <c r="AE1402" s="324" t="s">
        <v>55</v>
      </c>
      <c r="AF1402" s="324" t="s">
        <v>55</v>
      </c>
      <c r="AG1402" s="324" t="s">
        <v>55</v>
      </c>
    </row>
    <row r="1403" spans="1:33" s="324" customFormat="1" ht="0.65" hidden="1" customHeight="1">
      <c r="A1403" s="324">
        <v>6031</v>
      </c>
      <c r="B1403" s="324" t="s">
        <v>460</v>
      </c>
      <c r="F1403" s="324">
        <v>1</v>
      </c>
      <c r="I1403" s="324" t="s">
        <v>129</v>
      </c>
      <c r="J1403" s="324">
        <v>1</v>
      </c>
      <c r="K1403" s="324" t="s">
        <v>501</v>
      </c>
      <c r="U1403" s="324" t="s">
        <v>204</v>
      </c>
      <c r="V1403" s="324">
        <v>12</v>
      </c>
      <c r="W1403" s="324" t="s">
        <v>55</v>
      </c>
    </row>
    <row r="1404" spans="1:33" s="324" customFormat="1" ht="0.65" hidden="1" customHeight="1">
      <c r="A1404" s="324">
        <v>6032</v>
      </c>
      <c r="F1404" s="324">
        <v>1.5</v>
      </c>
      <c r="I1404" s="324" t="s">
        <v>138</v>
      </c>
      <c r="J1404" s="324">
        <v>1.5</v>
      </c>
      <c r="K1404" s="324" t="s">
        <v>502</v>
      </c>
      <c r="Z1404" s="324" t="s">
        <v>291</v>
      </c>
      <c r="AC1404" s="324">
        <v>14</v>
      </c>
      <c r="AD1404" s="324" t="s">
        <v>55</v>
      </c>
      <c r="AE1404" s="324" t="s">
        <v>55</v>
      </c>
      <c r="AF1404" s="324" t="s">
        <v>55</v>
      </c>
      <c r="AG1404" s="324" t="s">
        <v>55</v>
      </c>
    </row>
    <row r="1405" spans="1:33" s="324" customFormat="1" ht="0.65" hidden="1" customHeight="1">
      <c r="A1405" s="324">
        <v>6033</v>
      </c>
      <c r="F1405" s="324">
        <v>1.5</v>
      </c>
      <c r="I1405" s="324" t="s">
        <v>130</v>
      </c>
      <c r="J1405" s="324">
        <v>1.5</v>
      </c>
      <c r="K1405" s="324" t="s">
        <v>502</v>
      </c>
      <c r="W1405" s="324" t="s">
        <v>139</v>
      </c>
      <c r="X1405" s="324" t="s">
        <v>174</v>
      </c>
      <c r="Z1405" s="324" t="s">
        <v>1857</v>
      </c>
      <c r="AA1405" s="324">
        <v>336.59962583925653</v>
      </c>
      <c r="AB1405" s="324">
        <v>336.59962583925653</v>
      </c>
    </row>
    <row r="1406" spans="1:33" s="324" customFormat="1" ht="0.65" hidden="1" customHeight="1">
      <c r="A1406" s="324">
        <v>6034</v>
      </c>
      <c r="F1406" s="324">
        <v>1</v>
      </c>
      <c r="I1406" s="324" t="s">
        <v>131</v>
      </c>
      <c r="J1406" s="324">
        <v>1</v>
      </c>
      <c r="K1406" s="324" t="s">
        <v>501</v>
      </c>
      <c r="V1406" s="324" t="s">
        <v>177</v>
      </c>
      <c r="W1406" s="324" t="s">
        <v>173</v>
      </c>
      <c r="X1406" s="324" t="s">
        <v>175</v>
      </c>
      <c r="Z1406" s="324">
        <v>336.59962583925653</v>
      </c>
      <c r="AA1406" s="324">
        <v>336.59962583925653</v>
      </c>
      <c r="AB1406" s="324">
        <v>336.59962583925653</v>
      </c>
      <c r="AC1406" s="324">
        <v>15</v>
      </c>
      <c r="AD1406" s="324" t="s">
        <v>55</v>
      </c>
      <c r="AE1406" s="324" t="s">
        <v>55</v>
      </c>
      <c r="AF1406" s="324" t="s">
        <v>55</v>
      </c>
      <c r="AG1406" s="324" t="s">
        <v>55</v>
      </c>
    </row>
    <row r="1407" spans="1:33" s="324" customFormat="1" ht="0.65" hidden="1" customHeight="1">
      <c r="A1407" s="324">
        <v>6035</v>
      </c>
      <c r="F1407" s="324">
        <v>1</v>
      </c>
      <c r="I1407" s="324" t="s">
        <v>132</v>
      </c>
      <c r="J1407" s="324">
        <v>1</v>
      </c>
      <c r="K1407" s="324" t="s">
        <v>501</v>
      </c>
      <c r="T1407" s="324">
        <v>12</v>
      </c>
      <c r="U1407" s="324" t="s">
        <v>164</v>
      </c>
      <c r="V1407" s="324" t="s">
        <v>8</v>
      </c>
      <c r="W1407" s="324">
        <v>90</v>
      </c>
      <c r="X1407" s="324">
        <v>60</v>
      </c>
      <c r="Z1407" s="324">
        <v>336.59962583925653</v>
      </c>
      <c r="AA1407" s="324">
        <v>336.59962583925653</v>
      </c>
      <c r="AB1407" s="324">
        <v>336.59962583925653</v>
      </c>
    </row>
    <row r="1408" spans="1:33" s="324" customFormat="1" ht="0.65" hidden="1" customHeight="1">
      <c r="A1408" s="324">
        <v>6036</v>
      </c>
      <c r="F1408" s="324">
        <v>0.5</v>
      </c>
      <c r="I1408" s="324" t="s">
        <v>133</v>
      </c>
      <c r="J1408" s="324">
        <v>0.5</v>
      </c>
      <c r="K1408" s="324" t="s">
        <v>504</v>
      </c>
      <c r="V1408" s="324" t="s">
        <v>13</v>
      </c>
      <c r="W1408" s="324">
        <v>87817.478696592501</v>
      </c>
      <c r="X1408" s="324">
        <v>88154.078322431887</v>
      </c>
      <c r="Z1408" s="324">
        <v>336.59962583925653</v>
      </c>
      <c r="AA1408" s="324">
        <v>336.59962583925653</v>
      </c>
      <c r="AB1408" s="324">
        <v>336.59962583925653</v>
      </c>
      <c r="AC1408" s="324">
        <v>16</v>
      </c>
      <c r="AD1408" s="324" t="s">
        <v>55</v>
      </c>
      <c r="AE1408" s="324" t="s">
        <v>55</v>
      </c>
      <c r="AF1408" s="324" t="s">
        <v>55</v>
      </c>
      <c r="AG1408" s="324" t="s">
        <v>55</v>
      </c>
    </row>
    <row r="1409" spans="1:42" s="324" customFormat="1" ht="0.65" hidden="1" customHeight="1">
      <c r="A1409" s="324">
        <v>6037</v>
      </c>
      <c r="F1409" s="324">
        <v>0.5</v>
      </c>
      <c r="I1409" s="324" t="s">
        <v>134</v>
      </c>
      <c r="J1409" s="324">
        <v>0.5</v>
      </c>
      <c r="K1409" s="324" t="s">
        <v>504</v>
      </c>
      <c r="V1409" s="324" t="s">
        <v>505</v>
      </c>
      <c r="X1409" s="324">
        <v>336.59962583925653</v>
      </c>
      <c r="Z1409" s="324">
        <v>336.59962583925653</v>
      </c>
      <c r="AA1409" s="324">
        <v>336.59962583925653</v>
      </c>
      <c r="AB1409" s="324">
        <v>336.59962583925653</v>
      </c>
    </row>
    <row r="1410" spans="1:42" s="324" customFormat="1" ht="0.65" hidden="1" customHeight="1">
      <c r="A1410" s="324">
        <v>6038</v>
      </c>
      <c r="F1410" s="324">
        <v>1</v>
      </c>
      <c r="I1410" s="324" t="s">
        <v>135</v>
      </c>
      <c r="J1410" s="324">
        <v>1</v>
      </c>
      <c r="K1410" s="324" t="s">
        <v>501</v>
      </c>
      <c r="Z1410" s="324">
        <v>336.59962583925653</v>
      </c>
      <c r="AA1410" s="324">
        <v>336.59962583925653</v>
      </c>
      <c r="AB1410" s="324">
        <v>336.59962583925653</v>
      </c>
      <c r="AC1410" s="324">
        <v>17</v>
      </c>
      <c r="AD1410" s="324" t="s">
        <v>55</v>
      </c>
      <c r="AE1410" s="324" t="s">
        <v>55</v>
      </c>
      <c r="AF1410" s="324" t="s">
        <v>55</v>
      </c>
      <c r="AG1410" s="324" t="s">
        <v>55</v>
      </c>
    </row>
    <row r="1411" spans="1:42" s="324" customFormat="1" ht="0.65" hidden="1" customHeight="1">
      <c r="A1411" s="324">
        <v>6039</v>
      </c>
      <c r="F1411" s="324">
        <v>0.5</v>
      </c>
      <c r="I1411" s="324" t="s">
        <v>13</v>
      </c>
      <c r="J1411" s="324">
        <v>0.5</v>
      </c>
      <c r="K1411" s="324" t="s">
        <v>504</v>
      </c>
    </row>
    <row r="1412" spans="1:42" s="324" customFormat="1" ht="0.65" hidden="1" customHeight="1">
      <c r="A1412" s="324">
        <v>6040</v>
      </c>
      <c r="F1412" s="324">
        <v>0.5</v>
      </c>
      <c r="I1412" s="324" t="s">
        <v>28</v>
      </c>
      <c r="J1412" s="324">
        <v>0.5</v>
      </c>
      <c r="K1412" s="324" t="s">
        <v>504</v>
      </c>
      <c r="U1412" s="324" t="s">
        <v>196</v>
      </c>
      <c r="AC1412" s="324">
        <v>18</v>
      </c>
      <c r="AD1412" s="324" t="s">
        <v>55</v>
      </c>
      <c r="AE1412" s="324" t="s">
        <v>55</v>
      </c>
      <c r="AF1412" s="324" t="s">
        <v>55</v>
      </c>
      <c r="AG1412" s="324" t="s">
        <v>55</v>
      </c>
    </row>
    <row r="1413" spans="1:42" s="324" customFormat="1" ht="0.65" hidden="1" customHeight="1">
      <c r="A1413" s="324">
        <v>6041</v>
      </c>
      <c r="F1413" s="324">
        <v>1</v>
      </c>
      <c r="I1413" s="324" t="s">
        <v>136</v>
      </c>
      <c r="J1413" s="324">
        <v>1</v>
      </c>
      <c r="K1413" s="324" t="s">
        <v>501</v>
      </c>
    </row>
    <row r="1414" spans="1:42" s="324" customFormat="1" ht="0.65" hidden="1" customHeight="1">
      <c r="A1414" s="324">
        <v>6042</v>
      </c>
      <c r="F1414" s="324">
        <v>10</v>
      </c>
      <c r="I1414" s="324" t="s">
        <v>137</v>
      </c>
      <c r="J1414" s="324">
        <v>10</v>
      </c>
      <c r="K1414" s="324" t="s">
        <v>506</v>
      </c>
      <c r="AC1414" s="324">
        <v>19</v>
      </c>
      <c r="AD1414" s="324" t="s">
        <v>55</v>
      </c>
      <c r="AE1414" s="324" t="s">
        <v>55</v>
      </c>
      <c r="AF1414" s="324" t="s">
        <v>55</v>
      </c>
      <c r="AG1414" s="324" t="s">
        <v>55</v>
      </c>
    </row>
    <row r="1415" spans="1:42" s="324" customFormat="1" ht="0.65" hidden="1" customHeight="1">
      <c r="A1415" s="324">
        <v>6043</v>
      </c>
    </row>
    <row r="1416" spans="1:42" s="324" customFormat="1" ht="0.65" hidden="1" customHeight="1">
      <c r="A1416" s="324">
        <v>6044</v>
      </c>
      <c r="AC1416" s="324">
        <v>20</v>
      </c>
      <c r="AD1416" s="324" t="s">
        <v>55</v>
      </c>
      <c r="AE1416" s="324" t="s">
        <v>55</v>
      </c>
      <c r="AF1416" s="324" t="s">
        <v>55</v>
      </c>
      <c r="AG1416" s="324" t="s">
        <v>55</v>
      </c>
    </row>
    <row r="1417" spans="1:42" s="324" customFormat="1" ht="0.65" hidden="1" customHeight="1">
      <c r="A1417" s="324">
        <v>6045</v>
      </c>
    </row>
    <row r="1418" spans="1:42" s="324" customFormat="1" ht="0.65" hidden="1" customHeight="1">
      <c r="A1418" s="324">
        <v>6046</v>
      </c>
    </row>
    <row r="1419" spans="1:42" s="324" customFormat="1" ht="0.65" hidden="1" customHeight="1">
      <c r="A1419" s="324">
        <v>6047</v>
      </c>
      <c r="G1419" s="324">
        <v>1</v>
      </c>
      <c r="H1419" s="324">
        <v>2</v>
      </c>
      <c r="I1419" s="324">
        <v>3</v>
      </c>
      <c r="J1419" s="324">
        <v>4</v>
      </c>
      <c r="K1419" s="324">
        <v>5</v>
      </c>
      <c r="L1419" s="324">
        <v>6</v>
      </c>
      <c r="M1419" s="324">
        <v>7</v>
      </c>
      <c r="N1419" s="324">
        <v>8</v>
      </c>
      <c r="O1419" s="324">
        <v>9</v>
      </c>
      <c r="P1419" s="324">
        <v>10</v>
      </c>
    </row>
    <row r="1420" spans="1:42" s="324" customFormat="1" ht="0.65" hidden="1" customHeight="1">
      <c r="A1420" s="324">
        <v>6048</v>
      </c>
      <c r="G1420" s="324" t="s">
        <v>212</v>
      </c>
      <c r="H1420" s="324" t="s">
        <v>213</v>
      </c>
      <c r="I1420" s="324" t="s">
        <v>214</v>
      </c>
      <c r="J1420" s="324" t="s">
        <v>215</v>
      </c>
      <c r="K1420" s="324" t="s">
        <v>216</v>
      </c>
      <c r="L1420" s="324" t="s">
        <v>218</v>
      </c>
      <c r="M1420" s="324" t="s">
        <v>219</v>
      </c>
      <c r="N1420" s="324" t="s">
        <v>220</v>
      </c>
      <c r="O1420" s="324" t="s">
        <v>221</v>
      </c>
      <c r="P1420" s="324" t="s">
        <v>222</v>
      </c>
    </row>
    <row r="1421" spans="1:42" s="324" customFormat="1" ht="0.65" hidden="1" customHeight="1">
      <c r="A1421" s="324">
        <v>6049</v>
      </c>
      <c r="G1421" s="324">
        <v>68750</v>
      </c>
      <c r="H1421" s="324">
        <v>137500</v>
      </c>
      <c r="I1421" s="324" t="s">
        <v>55</v>
      </c>
      <c r="J1421" s="324" t="s">
        <v>55</v>
      </c>
      <c r="K1421" s="324" t="s">
        <v>55</v>
      </c>
      <c r="L1421" s="324" t="s">
        <v>55</v>
      </c>
      <c r="M1421" s="324" t="s">
        <v>55</v>
      </c>
      <c r="N1421" s="324" t="s">
        <v>55</v>
      </c>
      <c r="O1421" s="324" t="s">
        <v>1856</v>
      </c>
      <c r="P1421" s="324" t="s">
        <v>507</v>
      </c>
    </row>
    <row r="1422" spans="1:42" s="324" customFormat="1" ht="0.65" hidden="1" customHeight="1">
      <c r="A1422" s="324">
        <v>6050</v>
      </c>
      <c r="G1422" s="324" t="s">
        <v>267</v>
      </c>
      <c r="H1422" s="324" t="s">
        <v>268</v>
      </c>
      <c r="I1422" s="324" t="s">
        <v>55</v>
      </c>
      <c r="J1422" s="324" t="s">
        <v>55</v>
      </c>
      <c r="K1422" s="324" t="s">
        <v>55</v>
      </c>
      <c r="L1422" s="324" t="s">
        <v>55</v>
      </c>
      <c r="M1422" s="324" t="s">
        <v>55</v>
      </c>
      <c r="N1422" s="324" t="s">
        <v>55</v>
      </c>
      <c r="O1422" s="324" t="s">
        <v>55</v>
      </c>
      <c r="P1422" s="324" t="s">
        <v>55</v>
      </c>
    </row>
    <row r="1423" spans="1:42" s="324" customFormat="1" ht="0.65" hidden="1" customHeight="1">
      <c r="A1423" s="324">
        <v>6051</v>
      </c>
    </row>
    <row r="1424" spans="1:42" s="324" customFormat="1" ht="0.65" hidden="1" customHeight="1">
      <c r="A1424" s="324">
        <v>6052</v>
      </c>
      <c r="B1424" s="324">
        <v>2</v>
      </c>
      <c r="C1424" s="324">
        <v>3</v>
      </c>
      <c r="D1424" s="324">
        <v>4</v>
      </c>
      <c r="E1424" s="324">
        <v>5</v>
      </c>
      <c r="F1424" s="324">
        <v>6</v>
      </c>
      <c r="G1424" s="324">
        <v>7</v>
      </c>
      <c r="H1424" s="324">
        <v>8</v>
      </c>
      <c r="I1424" s="324">
        <v>9</v>
      </c>
      <c r="J1424" s="324">
        <v>10</v>
      </c>
      <c r="K1424" s="324">
        <v>11</v>
      </c>
      <c r="L1424" s="324">
        <v>12</v>
      </c>
      <c r="M1424" s="324">
        <v>13</v>
      </c>
      <c r="N1424" s="324">
        <v>14</v>
      </c>
      <c r="O1424" s="324">
        <v>15</v>
      </c>
      <c r="P1424" s="324">
        <v>16</v>
      </c>
      <c r="Q1424" s="324">
        <v>17</v>
      </c>
      <c r="R1424" s="324">
        <v>18</v>
      </c>
      <c r="S1424" s="324">
        <v>19</v>
      </c>
      <c r="T1424" s="324">
        <v>20</v>
      </c>
      <c r="U1424" s="324">
        <v>21</v>
      </c>
      <c r="V1424" s="324">
        <v>22</v>
      </c>
      <c r="W1424" s="324">
        <v>23</v>
      </c>
      <c r="X1424" s="324">
        <v>24</v>
      </c>
      <c r="Y1424" s="324">
        <v>25</v>
      </c>
      <c r="Z1424" s="324">
        <v>26</v>
      </c>
      <c r="AA1424" s="324">
        <v>27</v>
      </c>
      <c r="AB1424" s="324">
        <v>28</v>
      </c>
      <c r="AC1424" s="324">
        <v>29</v>
      </c>
      <c r="AD1424" s="324">
        <v>30</v>
      </c>
      <c r="AE1424" s="324">
        <v>31</v>
      </c>
      <c r="AF1424" s="324">
        <v>32</v>
      </c>
      <c r="AG1424" s="324">
        <v>33</v>
      </c>
      <c r="AH1424" s="324">
        <v>34</v>
      </c>
      <c r="AI1424" s="324">
        <v>35</v>
      </c>
      <c r="AJ1424" s="324">
        <v>36</v>
      </c>
      <c r="AK1424" s="324">
        <v>37</v>
      </c>
      <c r="AL1424" s="324">
        <v>38</v>
      </c>
      <c r="AM1424" s="324">
        <v>39</v>
      </c>
      <c r="AN1424" s="324">
        <v>40</v>
      </c>
      <c r="AO1424" s="324">
        <v>41</v>
      </c>
      <c r="AP1424" s="324">
        <v>42</v>
      </c>
    </row>
    <row r="1425" spans="1:16" s="324" customFormat="1" ht="0.65" hidden="1" customHeight="1">
      <c r="A1425" s="324">
        <v>6053</v>
      </c>
    </row>
    <row r="1426" spans="1:16" s="324" customFormat="1" ht="0.65" hidden="1" customHeight="1">
      <c r="A1426" s="324">
        <v>6054</v>
      </c>
      <c r="B1426" s="324">
        <v>750000</v>
      </c>
      <c r="C1426" s="324">
        <v>750000</v>
      </c>
      <c r="D1426" s="324">
        <v>1</v>
      </c>
      <c r="G1426" s="324" t="s">
        <v>0</v>
      </c>
      <c r="H1426" s="324" t="s">
        <v>69</v>
      </c>
      <c r="I1426" s="324" t="s">
        <v>70</v>
      </c>
      <c r="J1426" s="324" t="s">
        <v>71</v>
      </c>
      <c r="K1426" s="324" t="s">
        <v>72</v>
      </c>
      <c r="L1426" s="324" t="s">
        <v>73</v>
      </c>
      <c r="M1426" s="324" t="s">
        <v>74</v>
      </c>
      <c r="N1426" s="324" t="s">
        <v>75</v>
      </c>
      <c r="O1426" s="324" t="s">
        <v>80</v>
      </c>
      <c r="P1426" s="324" t="s">
        <v>1</v>
      </c>
    </row>
    <row r="1427" spans="1:16" s="324" customFormat="1" ht="0.65" hidden="1" customHeight="1">
      <c r="A1427" s="324">
        <v>6055</v>
      </c>
      <c r="B1427" s="324">
        <v>10</v>
      </c>
      <c r="C1427" s="324">
        <v>10</v>
      </c>
      <c r="D1427" s="324">
        <v>1</v>
      </c>
      <c r="G1427" s="324">
        <v>2022</v>
      </c>
      <c r="P1427" s="324">
        <v>41</v>
      </c>
    </row>
    <row r="1428" spans="1:16" s="324" customFormat="1" ht="0.65" hidden="1" customHeight="1">
      <c r="A1428" s="324">
        <v>6056</v>
      </c>
      <c r="B1428" s="324">
        <v>75000</v>
      </c>
      <c r="C1428" s="324">
        <v>75000</v>
      </c>
      <c r="D1428" s="324">
        <v>1</v>
      </c>
      <c r="G1428" s="324">
        <v>2023</v>
      </c>
      <c r="H1428" s="324">
        <v>2</v>
      </c>
      <c r="I1428" s="324">
        <v>5</v>
      </c>
      <c r="J1428" s="324">
        <v>8</v>
      </c>
      <c r="K1428" s="324">
        <v>11</v>
      </c>
      <c r="L1428" s="324">
        <v>14</v>
      </c>
      <c r="M1428" s="324">
        <v>17</v>
      </c>
      <c r="N1428" s="324">
        <v>20</v>
      </c>
      <c r="O1428" s="324">
        <v>35</v>
      </c>
      <c r="P1428" s="324">
        <v>42</v>
      </c>
    </row>
    <row r="1429" spans="1:16" s="324" customFormat="1" ht="0.65" hidden="1" customHeight="1">
      <c r="A1429" s="324">
        <v>6057</v>
      </c>
      <c r="G1429" s="324">
        <v>2024</v>
      </c>
      <c r="H1429" s="324">
        <v>3</v>
      </c>
      <c r="I1429" s="324">
        <v>6</v>
      </c>
      <c r="J1429" s="324">
        <v>9</v>
      </c>
      <c r="K1429" s="324">
        <v>12</v>
      </c>
      <c r="L1429" s="324">
        <v>15</v>
      </c>
      <c r="M1429" s="324">
        <v>18</v>
      </c>
      <c r="N1429" s="324">
        <v>21</v>
      </c>
      <c r="O1429" s="324">
        <v>36</v>
      </c>
      <c r="P1429" s="324">
        <v>43</v>
      </c>
    </row>
    <row r="1430" spans="1:16" s="324" customFormat="1" ht="0.65" hidden="1" customHeight="1">
      <c r="A1430" s="324">
        <v>6058</v>
      </c>
      <c r="B1430" s="324">
        <v>250000</v>
      </c>
      <c r="C1430" s="324">
        <v>250000</v>
      </c>
      <c r="D1430" s="324">
        <v>1</v>
      </c>
      <c r="G1430" s="324">
        <v>2025</v>
      </c>
      <c r="H1430" s="324">
        <v>4</v>
      </c>
      <c r="I1430" s="324">
        <v>7</v>
      </c>
      <c r="J1430" s="324">
        <v>10</v>
      </c>
      <c r="K1430" s="324">
        <v>13</v>
      </c>
      <c r="L1430" s="324">
        <v>16</v>
      </c>
      <c r="M1430" s="324">
        <v>19</v>
      </c>
      <c r="N1430" s="324">
        <v>22</v>
      </c>
      <c r="O1430" s="324">
        <v>37</v>
      </c>
      <c r="P1430" s="324">
        <v>44</v>
      </c>
    </row>
    <row r="1431" spans="1:16" s="324" customFormat="1" ht="0.65" hidden="1" customHeight="1">
      <c r="A1431" s="324">
        <v>6059</v>
      </c>
      <c r="B1431" s="324">
        <v>-25000</v>
      </c>
      <c r="C1431" s="324">
        <v>-25000</v>
      </c>
      <c r="D1431" s="324">
        <v>1</v>
      </c>
    </row>
    <row r="1432" spans="1:16" s="324" customFormat="1" ht="0.65" hidden="1" customHeight="1">
      <c r="A1432" s="324">
        <v>6060</v>
      </c>
      <c r="G1432" s="324" t="s">
        <v>0</v>
      </c>
      <c r="H1432" s="324" t="s">
        <v>76</v>
      </c>
      <c r="I1432" s="324" t="s">
        <v>77</v>
      </c>
      <c r="J1432" s="324" t="s">
        <v>78</v>
      </c>
      <c r="K1432" s="324" t="s">
        <v>79</v>
      </c>
    </row>
    <row r="1433" spans="1:16" s="324" customFormat="1" ht="0.65" hidden="1" customHeight="1">
      <c r="A1433" s="324">
        <v>6061</v>
      </c>
      <c r="B1433" s="324">
        <v>90</v>
      </c>
      <c r="C1433" s="324">
        <v>90</v>
      </c>
      <c r="D1433" s="324">
        <v>1</v>
      </c>
      <c r="G1433" s="324">
        <v>2022</v>
      </c>
      <c r="M1433" s="324" t="s">
        <v>490</v>
      </c>
      <c r="N1433" s="324">
        <v>1</v>
      </c>
      <c r="O1433" s="324" t="s">
        <v>124</v>
      </c>
      <c r="P1433" s="324">
        <v>45</v>
      </c>
    </row>
    <row r="1434" spans="1:16" s="324" customFormat="1" ht="0.65" hidden="1" customHeight="1">
      <c r="A1434" s="324">
        <v>6062</v>
      </c>
      <c r="B1434" s="324">
        <v>90</v>
      </c>
      <c r="C1434" s="324">
        <v>90</v>
      </c>
      <c r="D1434" s="324">
        <v>1</v>
      </c>
      <c r="G1434" s="324">
        <v>2023</v>
      </c>
      <c r="H1434" s="324">
        <v>23</v>
      </c>
      <c r="I1434" s="324">
        <v>26</v>
      </c>
      <c r="J1434" s="324">
        <v>29</v>
      </c>
      <c r="K1434" s="324">
        <v>32</v>
      </c>
      <c r="M1434" s="324" t="s">
        <v>491</v>
      </c>
      <c r="N1434" s="324">
        <v>38</v>
      </c>
      <c r="O1434" s="324" t="s">
        <v>125</v>
      </c>
      <c r="P1434" s="324">
        <v>46</v>
      </c>
    </row>
    <row r="1435" spans="1:16" s="324" customFormat="1" ht="0.65" hidden="1" customHeight="1">
      <c r="A1435" s="324">
        <v>6063</v>
      </c>
      <c r="G1435" s="324">
        <v>2024</v>
      </c>
      <c r="H1435" s="324">
        <v>24</v>
      </c>
      <c r="I1435" s="324">
        <v>27</v>
      </c>
      <c r="J1435" s="324">
        <v>30</v>
      </c>
      <c r="K1435" s="324">
        <v>33</v>
      </c>
      <c r="M1435" s="324" t="s">
        <v>493</v>
      </c>
      <c r="N1435" s="324">
        <v>39</v>
      </c>
      <c r="O1435" s="324" t="s">
        <v>126</v>
      </c>
      <c r="P1435" s="324">
        <v>47</v>
      </c>
    </row>
    <row r="1436" spans="1:16" s="324" customFormat="1" ht="0.65" hidden="1" customHeight="1">
      <c r="A1436" s="324">
        <v>6064</v>
      </c>
      <c r="G1436" s="324">
        <v>2025</v>
      </c>
      <c r="H1436" s="324">
        <v>25</v>
      </c>
      <c r="I1436" s="324">
        <v>28</v>
      </c>
      <c r="J1436" s="324">
        <v>31</v>
      </c>
      <c r="K1436" s="324">
        <v>34</v>
      </c>
      <c r="M1436" s="324" t="s">
        <v>494</v>
      </c>
      <c r="N1436" s="324">
        <v>40</v>
      </c>
    </row>
    <row r="1437" spans="1:16" s="324" customFormat="1" ht="0.65" hidden="1" customHeight="1">
      <c r="A1437" s="324">
        <v>6065</v>
      </c>
      <c r="B1437" s="324">
        <v>225000</v>
      </c>
      <c r="C1437" s="324">
        <v>225000</v>
      </c>
      <c r="D1437" s="324">
        <v>1</v>
      </c>
    </row>
    <row r="1438" spans="1:16" s="324" customFormat="1" ht="0.65" hidden="1" customHeight="1">
      <c r="A1438" s="324">
        <v>6066</v>
      </c>
      <c r="B1438" s="324">
        <v>187500</v>
      </c>
      <c r="C1438" s="324">
        <v>187500</v>
      </c>
      <c r="D1438" s="324">
        <v>1</v>
      </c>
      <c r="O1438" s="324" t="s">
        <v>13</v>
      </c>
      <c r="P1438" s="324">
        <v>48</v>
      </c>
    </row>
    <row r="1439" spans="1:16" s="324" customFormat="1" ht="0.65" hidden="1" customHeight="1">
      <c r="A1439" s="324">
        <v>6067</v>
      </c>
      <c r="B1439" s="324">
        <v>4</v>
      </c>
      <c r="C1439" s="324">
        <v>4</v>
      </c>
      <c r="D1439" s="324">
        <v>1</v>
      </c>
      <c r="O1439" s="324" t="s">
        <v>28</v>
      </c>
      <c r="P1439" s="324">
        <v>49</v>
      </c>
    </row>
    <row r="1440" spans="1:16" s="324" customFormat="1" ht="0.65" hidden="1" customHeight="1">
      <c r="A1440" s="324">
        <v>6068</v>
      </c>
      <c r="B1440" s="324">
        <v>45000</v>
      </c>
      <c r="C1440" s="324">
        <v>45000</v>
      </c>
      <c r="D1440" s="324">
        <v>1</v>
      </c>
      <c r="O1440" s="324" t="s">
        <v>29</v>
      </c>
      <c r="P1440" s="324">
        <v>50</v>
      </c>
    </row>
    <row r="1441" spans="1:31" s="324" customFormat="1" ht="0.65" hidden="1" customHeight="1">
      <c r="A1441" s="324">
        <v>6069</v>
      </c>
      <c r="O1441" s="324" t="s">
        <v>30</v>
      </c>
      <c r="P1441" s="324">
        <v>51</v>
      </c>
    </row>
    <row r="1442" spans="1:31" s="324" customFormat="1" ht="0.65" hidden="1" customHeight="1">
      <c r="A1442" s="324">
        <v>6070</v>
      </c>
      <c r="B1442" s="324">
        <v>0.25</v>
      </c>
      <c r="C1442" s="324">
        <v>0.25</v>
      </c>
      <c r="D1442" s="324">
        <v>1</v>
      </c>
    </row>
    <row r="1443" spans="1:31" s="324" customFormat="1" ht="0.65" hidden="1" customHeight="1">
      <c r="A1443" s="324">
        <v>6071</v>
      </c>
    </row>
    <row r="1444" spans="1:31" s="324" customFormat="1" ht="0.65" hidden="1" customHeight="1">
      <c r="A1444" s="324">
        <v>6072</v>
      </c>
    </row>
    <row r="1445" spans="1:31" s="324" customFormat="1" ht="0.65" hidden="1" customHeight="1">
      <c r="A1445" s="324">
        <v>6073</v>
      </c>
      <c r="B1445" s="324">
        <v>420000.00000000006</v>
      </c>
      <c r="C1445" s="324">
        <v>420000.00000000006</v>
      </c>
      <c r="D1445" s="324">
        <v>1</v>
      </c>
    </row>
    <row r="1446" spans="1:31" s="324" customFormat="1" ht="0.65" hidden="1" customHeight="1">
      <c r="A1446" s="324">
        <v>6074</v>
      </c>
      <c r="B1446" s="324">
        <v>1800000</v>
      </c>
      <c r="C1446" s="324">
        <v>1800000</v>
      </c>
      <c r="D1446" s="324">
        <v>1</v>
      </c>
      <c r="K1446" s="324" t="s">
        <v>475</v>
      </c>
      <c r="M1446" s="324" t="s">
        <v>212</v>
      </c>
      <c r="N1446" s="324" t="s">
        <v>213</v>
      </c>
      <c r="O1446" s="324" t="s">
        <v>214</v>
      </c>
      <c r="P1446" s="324" t="s">
        <v>215</v>
      </c>
      <c r="Q1446" s="324" t="s">
        <v>216</v>
      </c>
      <c r="R1446" s="324" t="s">
        <v>218</v>
      </c>
      <c r="S1446" s="324" t="s">
        <v>219</v>
      </c>
      <c r="T1446" s="324" t="s">
        <v>220</v>
      </c>
      <c r="U1446" s="324" t="s">
        <v>473</v>
      </c>
      <c r="V1446" s="324" t="s">
        <v>474</v>
      </c>
      <c r="X1446" s="324" t="s">
        <v>223</v>
      </c>
      <c r="Y1446" s="324" t="s">
        <v>224</v>
      </c>
      <c r="Z1446" s="324" t="s">
        <v>225</v>
      </c>
      <c r="AA1446" s="324" t="s">
        <v>226</v>
      </c>
      <c r="AB1446" s="324" t="s">
        <v>227</v>
      </c>
      <c r="AC1446" s="324" t="s">
        <v>228</v>
      </c>
      <c r="AD1446" s="324" t="s">
        <v>229</v>
      </c>
      <c r="AE1446" s="324" t="s">
        <v>230</v>
      </c>
    </row>
    <row r="1447" spans="1:31" s="324" customFormat="1" ht="0.65" hidden="1" customHeight="1">
      <c r="A1447" s="324">
        <v>6075</v>
      </c>
      <c r="B1447" s="324">
        <v>0.02</v>
      </c>
      <c r="C1447" s="324">
        <v>0.02</v>
      </c>
      <c r="D1447" s="324">
        <v>1</v>
      </c>
      <c r="F1447" s="324">
        <v>1</v>
      </c>
      <c r="G1447" s="324">
        <v>1</v>
      </c>
      <c r="H1447" s="324" t="s">
        <v>490</v>
      </c>
      <c r="I1447" s="324">
        <v>534375</v>
      </c>
      <c r="J1447" s="324">
        <v>534375</v>
      </c>
      <c r="K1447" s="324" t="s">
        <v>1858</v>
      </c>
      <c r="M1447" s="324">
        <v>750000</v>
      </c>
      <c r="N1447" s="324">
        <v>525000</v>
      </c>
      <c r="O1447" s="324">
        <v>515625</v>
      </c>
      <c r="P1447" s="324">
        <v>975000</v>
      </c>
      <c r="U1447" s="324" t="s">
        <v>1858</v>
      </c>
      <c r="V1447" s="324" t="s">
        <v>509</v>
      </c>
      <c r="X1447" s="324" t="s">
        <v>231</v>
      </c>
      <c r="Y1447" s="324" t="s">
        <v>250</v>
      </c>
      <c r="Z1447" s="324" t="s">
        <v>251</v>
      </c>
      <c r="AA1447" s="324" t="s">
        <v>232</v>
      </c>
    </row>
    <row r="1448" spans="1:31" s="324" customFormat="1" ht="0.65" hidden="1" customHeight="1">
      <c r="A1448" s="324">
        <v>6076</v>
      </c>
      <c r="B1448" s="324">
        <v>6000000</v>
      </c>
      <c r="C1448" s="324">
        <v>6000000</v>
      </c>
      <c r="D1448" s="324">
        <v>1</v>
      </c>
      <c r="F1448" s="324">
        <v>1</v>
      </c>
      <c r="G1448" s="324">
        <v>2</v>
      </c>
      <c r="H1448" s="324" t="s">
        <v>510</v>
      </c>
      <c r="I1448" s="324">
        <v>250000</v>
      </c>
      <c r="J1448" s="324">
        <v>250000</v>
      </c>
      <c r="K1448" s="324" t="s">
        <v>1859</v>
      </c>
      <c r="M1448" s="324">
        <v>187500</v>
      </c>
      <c r="N1448" s="324">
        <v>62500</v>
      </c>
      <c r="U1448" s="324" t="s">
        <v>1859</v>
      </c>
      <c r="V1448" s="324" t="s">
        <v>512</v>
      </c>
      <c r="X1448" s="324" t="s">
        <v>233</v>
      </c>
    </row>
    <row r="1449" spans="1:31" s="324" customFormat="1" ht="0.65" hidden="1" customHeight="1">
      <c r="A1449" s="324">
        <v>6077</v>
      </c>
      <c r="B1449" s="324">
        <v>18000000</v>
      </c>
      <c r="C1449" s="324">
        <v>18000000</v>
      </c>
      <c r="D1449" s="324">
        <v>1</v>
      </c>
      <c r="F1449" s="324">
        <v>1</v>
      </c>
      <c r="G1449" s="324">
        <v>3</v>
      </c>
      <c r="H1449" s="324" t="s">
        <v>513</v>
      </c>
      <c r="I1449" s="324">
        <v>250000</v>
      </c>
      <c r="J1449" s="324">
        <v>250000</v>
      </c>
      <c r="K1449" s="324" t="s">
        <v>1859</v>
      </c>
      <c r="M1449" s="324">
        <v>187500</v>
      </c>
      <c r="N1449" s="324">
        <v>62500</v>
      </c>
      <c r="O1449" s="324">
        <v>500000</v>
      </c>
      <c r="U1449" s="324" t="s">
        <v>1859</v>
      </c>
      <c r="V1449" s="324" t="s">
        <v>514</v>
      </c>
      <c r="X1449" s="324" t="s">
        <v>233</v>
      </c>
      <c r="Y1449" s="324" t="s">
        <v>252</v>
      </c>
      <c r="Z1449" s="324" t="s">
        <v>234</v>
      </c>
    </row>
    <row r="1450" spans="1:31" s="324" customFormat="1" ht="0.65" hidden="1" customHeight="1">
      <c r="A1450" s="324">
        <v>6078</v>
      </c>
      <c r="F1450" s="324">
        <v>1</v>
      </c>
      <c r="G1450" s="324">
        <v>4</v>
      </c>
      <c r="H1450" s="324" t="s">
        <v>515</v>
      </c>
      <c r="I1450" s="324">
        <v>250000</v>
      </c>
      <c r="J1450" s="324">
        <v>250000</v>
      </c>
      <c r="K1450" s="324" t="s">
        <v>1859</v>
      </c>
      <c r="M1450" s="324">
        <v>187500</v>
      </c>
      <c r="N1450" s="324">
        <v>62500</v>
      </c>
      <c r="O1450" s="324">
        <v>750000</v>
      </c>
      <c r="U1450" s="324" t="s">
        <v>1859</v>
      </c>
      <c r="V1450" s="324" t="s">
        <v>516</v>
      </c>
      <c r="X1450" s="324" t="s">
        <v>233</v>
      </c>
      <c r="Y1450" s="324" t="s">
        <v>252</v>
      </c>
      <c r="Z1450" s="324" t="s">
        <v>235</v>
      </c>
    </row>
    <row r="1451" spans="1:31" s="324" customFormat="1" ht="0.65" hidden="1" customHeight="1">
      <c r="A1451" s="324">
        <v>6079</v>
      </c>
      <c r="C1451" s="324" t="s">
        <v>422</v>
      </c>
      <c r="D1451" s="324">
        <v>28</v>
      </c>
      <c r="F1451" s="324">
        <v>1</v>
      </c>
      <c r="G1451" s="324">
        <v>5</v>
      </c>
      <c r="H1451" s="324" t="s">
        <v>517</v>
      </c>
      <c r="I1451" s="324">
        <v>-25000</v>
      </c>
      <c r="J1451" s="324">
        <v>-25000</v>
      </c>
      <c r="K1451" s="324" t="s">
        <v>1860</v>
      </c>
      <c r="M1451" s="324">
        <v>-18750</v>
      </c>
      <c r="N1451" s="324">
        <v>-6250</v>
      </c>
      <c r="U1451" s="324" t="s">
        <v>1860</v>
      </c>
      <c r="V1451" s="324" t="s">
        <v>519</v>
      </c>
      <c r="X1451" s="324" t="s">
        <v>236</v>
      </c>
      <c r="Y1451" s="324" t="s">
        <v>253</v>
      </c>
    </row>
    <row r="1452" spans="1:31" s="324" customFormat="1" ht="0.65" hidden="1" customHeight="1">
      <c r="A1452" s="324">
        <v>6080</v>
      </c>
      <c r="C1452" s="324" t="s">
        <v>423</v>
      </c>
      <c r="D1452" s="324" t="s">
        <v>520</v>
      </c>
      <c r="F1452" s="324">
        <v>1</v>
      </c>
      <c r="G1452" s="324">
        <v>6</v>
      </c>
      <c r="H1452" s="324" t="s">
        <v>521</v>
      </c>
      <c r="I1452" s="324">
        <v>-25000</v>
      </c>
      <c r="J1452" s="324">
        <v>-25000</v>
      </c>
      <c r="K1452" s="324" t="s">
        <v>1860</v>
      </c>
      <c r="M1452" s="324">
        <v>-18750</v>
      </c>
      <c r="N1452" s="324">
        <v>-6250</v>
      </c>
      <c r="O1452" s="324">
        <v>-50000</v>
      </c>
      <c r="U1452" s="324" t="s">
        <v>1860</v>
      </c>
      <c r="V1452" s="324" t="s">
        <v>522</v>
      </c>
      <c r="X1452" s="324" t="s">
        <v>236</v>
      </c>
      <c r="Y1452" s="324" t="s">
        <v>253</v>
      </c>
      <c r="Z1452" s="324" t="s">
        <v>237</v>
      </c>
    </row>
    <row r="1453" spans="1:31" s="324" customFormat="1" ht="0.65" hidden="1" customHeight="1">
      <c r="A1453" s="324">
        <v>6081</v>
      </c>
      <c r="F1453" s="324">
        <v>1</v>
      </c>
      <c r="G1453" s="324">
        <v>7</v>
      </c>
      <c r="H1453" s="324" t="s">
        <v>523</v>
      </c>
      <c r="I1453" s="324">
        <v>-25000</v>
      </c>
      <c r="J1453" s="324">
        <v>-25000</v>
      </c>
      <c r="K1453" s="324" t="s">
        <v>1860</v>
      </c>
      <c r="M1453" s="324">
        <v>-18750</v>
      </c>
      <c r="N1453" s="324">
        <v>-6250</v>
      </c>
      <c r="O1453" s="324">
        <v>-75000</v>
      </c>
      <c r="U1453" s="324" t="s">
        <v>1860</v>
      </c>
      <c r="V1453" s="324" t="s">
        <v>524</v>
      </c>
      <c r="X1453" s="324" t="s">
        <v>236</v>
      </c>
      <c r="Y1453" s="324" t="s">
        <v>253</v>
      </c>
      <c r="Z1453" s="324" t="s">
        <v>238</v>
      </c>
    </row>
    <row r="1454" spans="1:31" s="324" customFormat="1" ht="0.65" hidden="1" customHeight="1">
      <c r="A1454" s="324">
        <v>6082</v>
      </c>
      <c r="B1454" s="324">
        <v>2022</v>
      </c>
      <c r="C1454" s="324">
        <v>2022</v>
      </c>
      <c r="D1454" s="324">
        <v>1</v>
      </c>
      <c r="F1454" s="324">
        <v>1</v>
      </c>
      <c r="G1454" s="324">
        <v>8</v>
      </c>
      <c r="H1454" s="324" t="s">
        <v>525</v>
      </c>
      <c r="I1454" s="324">
        <v>28125</v>
      </c>
      <c r="J1454" s="324">
        <v>28125</v>
      </c>
      <c r="K1454" s="324" t="s">
        <v>1861</v>
      </c>
      <c r="M1454" s="324">
        <v>75000</v>
      </c>
      <c r="N1454" s="324">
        <v>121875</v>
      </c>
      <c r="O1454" s="324">
        <v>18750</v>
      </c>
      <c r="P1454" s="324">
        <v>-28125</v>
      </c>
      <c r="U1454" s="324" t="s">
        <v>1861</v>
      </c>
      <c r="V1454" s="324" t="s">
        <v>527</v>
      </c>
      <c r="X1454" s="324" t="s">
        <v>239</v>
      </c>
      <c r="Y1454" s="324" t="s">
        <v>240</v>
      </c>
      <c r="Z1454" s="324" t="s">
        <v>241</v>
      </c>
      <c r="AA1454" s="324" t="s">
        <v>242</v>
      </c>
    </row>
    <row r="1455" spans="1:31" s="324" customFormat="1" ht="0.65" hidden="1" customHeight="1">
      <c r="A1455" s="324">
        <v>6083</v>
      </c>
      <c r="B1455" s="324">
        <v>2023</v>
      </c>
      <c r="C1455" s="324">
        <v>2023</v>
      </c>
      <c r="D1455" s="324">
        <v>1</v>
      </c>
      <c r="F1455" s="324">
        <v>1</v>
      </c>
      <c r="G1455" s="324">
        <v>9</v>
      </c>
      <c r="H1455" s="324" t="s">
        <v>528</v>
      </c>
      <c r="I1455" s="324">
        <v>28125</v>
      </c>
      <c r="J1455" s="324">
        <v>28125</v>
      </c>
      <c r="K1455" s="324" t="s">
        <v>1861</v>
      </c>
      <c r="M1455" s="324">
        <v>75000</v>
      </c>
      <c r="N1455" s="324">
        <v>121875</v>
      </c>
      <c r="O1455" s="324">
        <v>18750</v>
      </c>
      <c r="P1455" s="324">
        <v>-28125</v>
      </c>
      <c r="U1455" s="324" t="s">
        <v>1861</v>
      </c>
      <c r="V1455" s="324" t="s">
        <v>529</v>
      </c>
      <c r="X1455" s="324" t="s">
        <v>239</v>
      </c>
      <c r="Y1455" s="324" t="s">
        <v>240</v>
      </c>
      <c r="Z1455" s="324" t="s">
        <v>241</v>
      </c>
      <c r="AA1455" s="324" t="s">
        <v>242</v>
      </c>
    </row>
    <row r="1456" spans="1:31" s="324" customFormat="1" ht="0.65" hidden="1" customHeight="1">
      <c r="A1456" s="324">
        <v>6084</v>
      </c>
      <c r="B1456" s="324">
        <v>2024</v>
      </c>
      <c r="C1456" s="324">
        <v>2024</v>
      </c>
      <c r="D1456" s="324">
        <v>1</v>
      </c>
      <c r="F1456" s="324">
        <v>1</v>
      </c>
      <c r="G1456" s="324">
        <v>10</v>
      </c>
      <c r="H1456" s="324" t="s">
        <v>530</v>
      </c>
      <c r="I1456" s="324">
        <v>28125</v>
      </c>
      <c r="J1456" s="324">
        <v>28125</v>
      </c>
      <c r="K1456" s="324" t="s">
        <v>1861</v>
      </c>
      <c r="M1456" s="324">
        <v>75000</v>
      </c>
      <c r="N1456" s="324">
        <v>121875</v>
      </c>
      <c r="O1456" s="324">
        <v>18750</v>
      </c>
      <c r="P1456" s="324">
        <v>-28125</v>
      </c>
      <c r="Q1456" s="324">
        <v>28125</v>
      </c>
      <c r="U1456" s="324" t="s">
        <v>1861</v>
      </c>
      <c r="V1456" s="324" t="s">
        <v>532</v>
      </c>
      <c r="X1456" s="324" t="s">
        <v>239</v>
      </c>
      <c r="Y1456" s="324" t="s">
        <v>240</v>
      </c>
      <c r="Z1456" s="324" t="s">
        <v>241</v>
      </c>
      <c r="AA1456" s="324" t="s">
        <v>242</v>
      </c>
      <c r="AB1456" s="324" t="s">
        <v>254</v>
      </c>
    </row>
    <row r="1457" spans="1:26" s="324" customFormat="1" ht="0.65" hidden="1" customHeight="1">
      <c r="A1457" s="324">
        <v>6085</v>
      </c>
      <c r="B1457" s="324">
        <v>2025</v>
      </c>
      <c r="C1457" s="324">
        <v>2025</v>
      </c>
      <c r="D1457" s="324">
        <v>1</v>
      </c>
      <c r="F1457" s="324">
        <v>1</v>
      </c>
      <c r="G1457" s="324">
        <v>11</v>
      </c>
      <c r="H1457" s="324" t="s">
        <v>533</v>
      </c>
      <c r="I1457" s="324">
        <v>246875</v>
      </c>
      <c r="J1457" s="324">
        <v>246875</v>
      </c>
      <c r="K1457" s="324" t="s">
        <v>1862</v>
      </c>
      <c r="M1457" s="324">
        <v>303125</v>
      </c>
      <c r="N1457" s="324">
        <v>275000</v>
      </c>
      <c r="O1457" s="324">
        <v>196875</v>
      </c>
      <c r="U1457" s="324" t="s">
        <v>1862</v>
      </c>
      <c r="V1457" s="324" t="s">
        <v>535</v>
      </c>
      <c r="X1457" s="324" t="s">
        <v>243</v>
      </c>
      <c r="Y1457" s="324" t="s">
        <v>255</v>
      </c>
      <c r="Z1457" s="324" t="s">
        <v>341</v>
      </c>
    </row>
    <row r="1458" spans="1:26" s="324" customFormat="1" ht="0.65" hidden="1" customHeight="1">
      <c r="A1458" s="324">
        <v>6086</v>
      </c>
      <c r="F1458" s="324">
        <v>1</v>
      </c>
      <c r="G1458" s="324">
        <v>12</v>
      </c>
      <c r="H1458" s="324" t="s">
        <v>536</v>
      </c>
      <c r="I1458" s="324">
        <v>246875</v>
      </c>
      <c r="J1458" s="324">
        <v>246875</v>
      </c>
      <c r="K1458" s="324" t="s">
        <v>1862</v>
      </c>
      <c r="M1458" s="324">
        <v>303125</v>
      </c>
      <c r="N1458" s="324">
        <v>275000</v>
      </c>
      <c r="O1458" s="324">
        <v>196875</v>
      </c>
      <c r="U1458" s="324" t="s">
        <v>1862</v>
      </c>
      <c r="V1458" s="324" t="s">
        <v>537</v>
      </c>
      <c r="X1458" s="324" t="s">
        <v>243</v>
      </c>
      <c r="Y1458" s="324" t="s">
        <v>255</v>
      </c>
      <c r="Z1458" s="324" t="s">
        <v>341</v>
      </c>
    </row>
    <row r="1459" spans="1:26" s="324" customFormat="1" ht="0.65" hidden="1" customHeight="1">
      <c r="A1459" s="324">
        <v>6087</v>
      </c>
      <c r="F1459" s="324">
        <v>1</v>
      </c>
      <c r="G1459" s="324">
        <v>13</v>
      </c>
      <c r="H1459" s="324" t="s">
        <v>538</v>
      </c>
      <c r="I1459" s="324">
        <v>246875</v>
      </c>
      <c r="J1459" s="324">
        <v>246875</v>
      </c>
      <c r="K1459" s="324" t="s">
        <v>1862</v>
      </c>
      <c r="M1459" s="324">
        <v>303125</v>
      </c>
      <c r="N1459" s="324">
        <v>275000</v>
      </c>
      <c r="O1459" s="324">
        <v>150000</v>
      </c>
      <c r="U1459" s="324" t="s">
        <v>1862</v>
      </c>
      <c r="V1459" s="324" t="s">
        <v>540</v>
      </c>
      <c r="X1459" s="324" t="s">
        <v>243</v>
      </c>
      <c r="Y1459" s="324" t="s">
        <v>255</v>
      </c>
      <c r="Z1459" s="324" t="s">
        <v>341</v>
      </c>
    </row>
    <row r="1460" spans="1:26" s="324" customFormat="1" ht="0.65" hidden="1" customHeight="1">
      <c r="A1460" s="324">
        <v>6088</v>
      </c>
      <c r="B1460" s="324">
        <v>2022</v>
      </c>
      <c r="C1460" s="324">
        <v>2022</v>
      </c>
      <c r="D1460" s="324">
        <v>1</v>
      </c>
      <c r="F1460" s="324">
        <v>1</v>
      </c>
      <c r="G1460" s="324">
        <v>14</v>
      </c>
      <c r="H1460" s="324" t="s">
        <v>541</v>
      </c>
      <c r="I1460" s="324">
        <v>61718.75</v>
      </c>
      <c r="J1460" s="324">
        <v>61718.75</v>
      </c>
      <c r="K1460" s="324" t="s">
        <v>1863</v>
      </c>
      <c r="M1460" s="324">
        <v>0</v>
      </c>
      <c r="N1460" s="324">
        <v>74062.5</v>
      </c>
      <c r="O1460" s="324">
        <v>185156.25</v>
      </c>
      <c r="U1460" s="324" t="s">
        <v>1863</v>
      </c>
      <c r="V1460" s="324" t="s">
        <v>543</v>
      </c>
      <c r="X1460" s="324" t="s">
        <v>279</v>
      </c>
      <c r="Y1460" s="324" t="s">
        <v>280</v>
      </c>
      <c r="Z1460" s="324" t="s">
        <v>342</v>
      </c>
    </row>
    <row r="1461" spans="1:26" s="324" customFormat="1" ht="0.65" hidden="1" customHeight="1">
      <c r="A1461" s="324">
        <v>6089</v>
      </c>
      <c r="B1461" s="324">
        <v>2023</v>
      </c>
      <c r="C1461" s="324">
        <v>2023</v>
      </c>
      <c r="D1461" s="324">
        <v>1</v>
      </c>
      <c r="F1461" s="324">
        <v>1</v>
      </c>
      <c r="G1461" s="324">
        <v>15</v>
      </c>
      <c r="H1461" s="324" t="s">
        <v>544</v>
      </c>
      <c r="I1461" s="324">
        <v>61718.75</v>
      </c>
      <c r="J1461" s="324">
        <v>61718.75</v>
      </c>
      <c r="K1461" s="324" t="s">
        <v>1863</v>
      </c>
      <c r="M1461" s="324">
        <v>0</v>
      </c>
      <c r="N1461" s="324">
        <v>74062.5</v>
      </c>
      <c r="O1461" s="324">
        <v>185156.25</v>
      </c>
      <c r="U1461" s="324" t="s">
        <v>1863</v>
      </c>
      <c r="V1461" s="324" t="s">
        <v>545</v>
      </c>
      <c r="X1461" s="324" t="s">
        <v>279</v>
      </c>
      <c r="Y1461" s="324" t="s">
        <v>280</v>
      </c>
      <c r="Z1461" s="324" t="s">
        <v>342</v>
      </c>
    </row>
    <row r="1462" spans="1:26" s="324" customFormat="1" ht="0.65" hidden="1" customHeight="1">
      <c r="A1462" s="324">
        <v>6090</v>
      </c>
      <c r="B1462" s="324">
        <v>2024</v>
      </c>
      <c r="C1462" s="324">
        <v>2024</v>
      </c>
      <c r="D1462" s="324">
        <v>1</v>
      </c>
      <c r="F1462" s="324">
        <v>1</v>
      </c>
      <c r="G1462" s="324">
        <v>16</v>
      </c>
      <c r="H1462" s="324" t="s">
        <v>546</v>
      </c>
      <c r="I1462" s="324">
        <v>61718.75</v>
      </c>
      <c r="J1462" s="324">
        <v>61718.75</v>
      </c>
      <c r="K1462" s="324" t="s">
        <v>1863</v>
      </c>
      <c r="M1462" s="324">
        <v>0</v>
      </c>
      <c r="N1462" s="324">
        <v>74062.5</v>
      </c>
      <c r="O1462" s="324">
        <v>150000</v>
      </c>
      <c r="U1462" s="324" t="s">
        <v>1863</v>
      </c>
      <c r="V1462" s="324" t="s">
        <v>548</v>
      </c>
      <c r="X1462" s="324" t="s">
        <v>279</v>
      </c>
      <c r="Y1462" s="324" t="s">
        <v>280</v>
      </c>
      <c r="Z1462" s="324" t="s">
        <v>342</v>
      </c>
    </row>
    <row r="1463" spans="1:26" s="324" customFormat="1" ht="0.65" hidden="1" customHeight="1">
      <c r="A1463" s="324">
        <v>6091</v>
      </c>
      <c r="B1463" s="324">
        <v>2025</v>
      </c>
      <c r="C1463" s="324">
        <v>2025</v>
      </c>
      <c r="D1463" s="324">
        <v>1</v>
      </c>
      <c r="F1463" s="324">
        <v>1</v>
      </c>
      <c r="G1463" s="324">
        <v>17</v>
      </c>
      <c r="H1463" s="324" t="s">
        <v>549</v>
      </c>
      <c r="I1463" s="324">
        <v>185156.25</v>
      </c>
      <c r="J1463" s="324">
        <v>185156.25</v>
      </c>
      <c r="K1463" s="324" t="s">
        <v>1864</v>
      </c>
      <c r="M1463" s="324">
        <v>308593.75</v>
      </c>
      <c r="U1463" s="324" t="s">
        <v>1864</v>
      </c>
      <c r="V1463" s="324" t="s">
        <v>551</v>
      </c>
      <c r="X1463" s="324" t="s">
        <v>256</v>
      </c>
    </row>
    <row r="1464" spans="1:26" s="324" customFormat="1" ht="0.65" hidden="1" customHeight="1">
      <c r="A1464" s="324">
        <v>6092</v>
      </c>
      <c r="F1464" s="324">
        <v>1</v>
      </c>
      <c r="G1464" s="324">
        <v>18</v>
      </c>
      <c r="H1464" s="324" t="s">
        <v>552</v>
      </c>
      <c r="I1464" s="324">
        <v>185156.25</v>
      </c>
      <c r="J1464" s="324">
        <v>185156.25</v>
      </c>
      <c r="K1464" s="324" t="s">
        <v>1864</v>
      </c>
      <c r="M1464" s="324">
        <v>308593.75</v>
      </c>
      <c r="U1464" s="324" t="s">
        <v>1864</v>
      </c>
      <c r="V1464" s="324" t="s">
        <v>553</v>
      </c>
      <c r="X1464" s="324" t="s">
        <v>256</v>
      </c>
    </row>
    <row r="1465" spans="1:26" s="324" customFormat="1" ht="0.65" hidden="1" customHeight="1">
      <c r="A1465" s="324">
        <v>6093</v>
      </c>
      <c r="B1465" s="324">
        <v>0</v>
      </c>
      <c r="C1465" s="324">
        <v>0</v>
      </c>
      <c r="D1465" s="324">
        <v>1</v>
      </c>
      <c r="F1465" s="324">
        <v>1</v>
      </c>
      <c r="G1465" s="324">
        <v>19</v>
      </c>
      <c r="H1465" s="324" t="s">
        <v>554</v>
      </c>
      <c r="I1465" s="324">
        <v>185156.25</v>
      </c>
      <c r="J1465" s="324">
        <v>185156.25</v>
      </c>
      <c r="K1465" s="324" t="s">
        <v>1864</v>
      </c>
      <c r="M1465" s="324">
        <v>308593.75</v>
      </c>
      <c r="U1465" s="324" t="s">
        <v>1864</v>
      </c>
      <c r="V1465" s="324" t="s">
        <v>556</v>
      </c>
      <c r="X1465" s="324" t="s">
        <v>256</v>
      </c>
    </row>
    <row r="1466" spans="1:26" s="324" customFormat="1" ht="0.65" hidden="1" customHeight="1">
      <c r="A1466" s="324">
        <v>6094</v>
      </c>
      <c r="B1466" s="324">
        <v>0</v>
      </c>
      <c r="C1466" s="324">
        <v>0</v>
      </c>
      <c r="D1466" s="324">
        <v>1</v>
      </c>
      <c r="F1466" s="324">
        <v>1</v>
      </c>
      <c r="G1466" s="324">
        <v>20</v>
      </c>
      <c r="H1466" s="324" t="s">
        <v>557</v>
      </c>
      <c r="I1466" s="324">
        <v>213281.25</v>
      </c>
      <c r="J1466" s="324">
        <v>213281.25</v>
      </c>
      <c r="K1466" s="324" t="s">
        <v>1865</v>
      </c>
      <c r="M1466" s="324">
        <v>185156.25</v>
      </c>
      <c r="N1466" s="324">
        <v>157031.25</v>
      </c>
      <c r="U1466" s="324" t="s">
        <v>1865</v>
      </c>
      <c r="V1466" s="324" t="s">
        <v>559</v>
      </c>
      <c r="X1466" s="324" t="s">
        <v>257</v>
      </c>
      <c r="Y1466" s="324" t="s">
        <v>258</v>
      </c>
    </row>
    <row r="1467" spans="1:26" s="324" customFormat="1" ht="0.65" hidden="1" customHeight="1">
      <c r="A1467" s="324">
        <v>6095</v>
      </c>
      <c r="B1467" s="324">
        <v>0</v>
      </c>
      <c r="C1467" s="324">
        <v>0</v>
      </c>
      <c r="D1467" s="324">
        <v>1</v>
      </c>
      <c r="F1467" s="324">
        <v>1</v>
      </c>
      <c r="G1467" s="324">
        <v>21</v>
      </c>
      <c r="H1467" s="324" t="s">
        <v>560</v>
      </c>
      <c r="I1467" s="324">
        <v>213281.25</v>
      </c>
      <c r="J1467" s="324">
        <v>213281.25</v>
      </c>
      <c r="K1467" s="324" t="s">
        <v>1865</v>
      </c>
      <c r="M1467" s="324">
        <v>185156.25</v>
      </c>
      <c r="N1467" s="324">
        <v>157031.25</v>
      </c>
      <c r="U1467" s="324" t="s">
        <v>1865</v>
      </c>
      <c r="V1467" s="324" t="s">
        <v>561</v>
      </c>
      <c r="X1467" s="324" t="s">
        <v>257</v>
      </c>
      <c r="Y1467" s="324" t="s">
        <v>258</v>
      </c>
    </row>
    <row r="1468" spans="1:26" s="324" customFormat="1" ht="0.65" hidden="1" customHeight="1">
      <c r="A1468" s="324">
        <v>6096</v>
      </c>
      <c r="F1468" s="324">
        <v>1</v>
      </c>
      <c r="G1468" s="324">
        <v>22</v>
      </c>
      <c r="H1468" s="324" t="s">
        <v>562</v>
      </c>
      <c r="I1468" s="324">
        <v>213281.25</v>
      </c>
      <c r="J1468" s="324">
        <v>213281.25</v>
      </c>
      <c r="K1468" s="324" t="s">
        <v>1865</v>
      </c>
      <c r="M1468" s="324">
        <v>185156.25</v>
      </c>
      <c r="N1468" s="324">
        <v>157031.25</v>
      </c>
      <c r="U1468" s="324" t="s">
        <v>1865</v>
      </c>
      <c r="V1468" s="324" t="s">
        <v>564</v>
      </c>
      <c r="X1468" s="324" t="s">
        <v>257</v>
      </c>
      <c r="Y1468" s="324" t="s">
        <v>258</v>
      </c>
    </row>
    <row r="1469" spans="1:26" s="324" customFormat="1" ht="0.65" hidden="1" customHeight="1">
      <c r="A1469" s="324">
        <v>6097</v>
      </c>
      <c r="F1469" s="324">
        <v>1</v>
      </c>
      <c r="G1469" s="324">
        <v>23</v>
      </c>
      <c r="H1469" s="324" t="s">
        <v>565</v>
      </c>
      <c r="I1469" s="324">
        <v>62500</v>
      </c>
      <c r="J1469" s="324">
        <v>62500</v>
      </c>
      <c r="K1469" s="324" t="s">
        <v>1866</v>
      </c>
      <c r="M1469" s="324">
        <v>187500</v>
      </c>
      <c r="N1469" s="324">
        <v>62500</v>
      </c>
      <c r="O1469" s="324">
        <v>250000</v>
      </c>
      <c r="U1469" s="324" t="s">
        <v>1866</v>
      </c>
      <c r="V1469" s="324" t="s">
        <v>567</v>
      </c>
      <c r="X1469" s="324" t="s">
        <v>259</v>
      </c>
      <c r="Y1469" s="324" t="s">
        <v>260</v>
      </c>
      <c r="Z1469" s="324" t="s">
        <v>343</v>
      </c>
    </row>
    <row r="1470" spans="1:26" s="324" customFormat="1" ht="0.65" hidden="1" customHeight="1">
      <c r="A1470" s="324">
        <v>6098</v>
      </c>
      <c r="F1470" s="324">
        <v>1</v>
      </c>
      <c r="G1470" s="324">
        <v>24</v>
      </c>
      <c r="H1470" s="324" t="s">
        <v>568</v>
      </c>
      <c r="I1470" s="324">
        <v>62500</v>
      </c>
      <c r="J1470" s="324">
        <v>62500</v>
      </c>
      <c r="K1470" s="324" t="s">
        <v>1866</v>
      </c>
      <c r="M1470" s="324">
        <v>187500</v>
      </c>
      <c r="N1470" s="324">
        <v>62500</v>
      </c>
      <c r="O1470" s="324">
        <v>125000</v>
      </c>
      <c r="U1470" s="324" t="s">
        <v>1866</v>
      </c>
      <c r="V1470" s="324" t="s">
        <v>569</v>
      </c>
      <c r="X1470" s="324" t="s">
        <v>259</v>
      </c>
      <c r="Y1470" s="324" t="s">
        <v>260</v>
      </c>
      <c r="Z1470" s="324" t="s">
        <v>261</v>
      </c>
    </row>
    <row r="1471" spans="1:26" s="324" customFormat="1" ht="0.65" hidden="1" customHeight="1">
      <c r="A1471" s="324">
        <v>6099</v>
      </c>
      <c r="F1471" s="324">
        <v>1</v>
      </c>
      <c r="G1471" s="324">
        <v>25</v>
      </c>
      <c r="H1471" s="324" t="s">
        <v>570</v>
      </c>
      <c r="I1471" s="324">
        <v>62500</v>
      </c>
      <c r="J1471" s="324">
        <v>62500</v>
      </c>
      <c r="K1471" s="324" t="s">
        <v>1866</v>
      </c>
      <c r="M1471" s="324">
        <v>187500</v>
      </c>
      <c r="N1471" s="324">
        <v>62500</v>
      </c>
      <c r="O1471" s="324">
        <v>187500</v>
      </c>
      <c r="U1471" s="324" t="s">
        <v>1866</v>
      </c>
      <c r="V1471" s="324" t="s">
        <v>571</v>
      </c>
      <c r="X1471" s="324" t="s">
        <v>259</v>
      </c>
      <c r="Y1471" s="324" t="s">
        <v>260</v>
      </c>
      <c r="Z1471" s="324" t="s">
        <v>261</v>
      </c>
    </row>
    <row r="1472" spans="1:26" s="324" customFormat="1" ht="0.65" hidden="1" customHeight="1">
      <c r="A1472" s="324">
        <v>6100</v>
      </c>
      <c r="F1472" s="324">
        <v>1</v>
      </c>
      <c r="G1472" s="324">
        <v>26</v>
      </c>
      <c r="H1472" s="324" t="s">
        <v>572</v>
      </c>
      <c r="I1472" s="324">
        <v>-6250</v>
      </c>
      <c r="J1472" s="324">
        <v>-6250</v>
      </c>
      <c r="K1472" s="324" t="s">
        <v>1867</v>
      </c>
      <c r="M1472" s="324">
        <v>-18750</v>
      </c>
      <c r="N1472" s="324">
        <v>-6250</v>
      </c>
      <c r="O1472" s="324">
        <v>-25000</v>
      </c>
      <c r="U1472" s="324" t="s">
        <v>1867</v>
      </c>
      <c r="V1472" s="324" t="s">
        <v>574</v>
      </c>
      <c r="X1472" s="324" t="s">
        <v>262</v>
      </c>
      <c r="Y1472" s="324" t="s">
        <v>263</v>
      </c>
      <c r="Z1472" s="324" t="s">
        <v>344</v>
      </c>
    </row>
    <row r="1473" spans="1:28" s="324" customFormat="1" ht="0.65" hidden="1" customHeight="1">
      <c r="A1473" s="324">
        <v>6101</v>
      </c>
      <c r="F1473" s="324">
        <v>1</v>
      </c>
      <c r="G1473" s="324">
        <v>27</v>
      </c>
      <c r="H1473" s="324" t="s">
        <v>575</v>
      </c>
      <c r="I1473" s="324">
        <v>-6250</v>
      </c>
      <c r="J1473" s="324">
        <v>-6250</v>
      </c>
      <c r="K1473" s="324" t="s">
        <v>1867</v>
      </c>
      <c r="M1473" s="324">
        <v>-18750</v>
      </c>
      <c r="N1473" s="324">
        <v>-6250</v>
      </c>
      <c r="O1473" s="324">
        <v>-12500</v>
      </c>
      <c r="U1473" s="324" t="s">
        <v>1867</v>
      </c>
      <c r="V1473" s="324" t="s">
        <v>576</v>
      </c>
      <c r="X1473" s="324" t="s">
        <v>262</v>
      </c>
      <c r="Y1473" s="324" t="s">
        <v>263</v>
      </c>
      <c r="Z1473" s="324" t="s">
        <v>264</v>
      </c>
    </row>
    <row r="1474" spans="1:28" s="324" customFormat="1" ht="0.65" hidden="1" customHeight="1">
      <c r="A1474" s="324">
        <v>6102</v>
      </c>
      <c r="F1474" s="324">
        <v>1</v>
      </c>
      <c r="G1474" s="324">
        <v>28</v>
      </c>
      <c r="H1474" s="324" t="s">
        <v>577</v>
      </c>
      <c r="I1474" s="324">
        <v>-6250</v>
      </c>
      <c r="J1474" s="324">
        <v>-6250</v>
      </c>
      <c r="K1474" s="324" t="s">
        <v>1867</v>
      </c>
      <c r="M1474" s="324">
        <v>-18750</v>
      </c>
      <c r="N1474" s="324">
        <v>-6250</v>
      </c>
      <c r="O1474" s="324">
        <v>-18750</v>
      </c>
      <c r="U1474" s="324" t="s">
        <v>1867</v>
      </c>
      <c r="V1474" s="324" t="s">
        <v>578</v>
      </c>
      <c r="X1474" s="324" t="s">
        <v>262</v>
      </c>
      <c r="Y1474" s="324" t="s">
        <v>263</v>
      </c>
      <c r="Z1474" s="324" t="s">
        <v>264</v>
      </c>
    </row>
    <row r="1475" spans="1:28" s="324" customFormat="1" ht="0.65" hidden="1" customHeight="1">
      <c r="A1475" s="324">
        <v>6103</v>
      </c>
      <c r="F1475" s="324">
        <v>1</v>
      </c>
      <c r="G1475" s="324">
        <v>29</v>
      </c>
      <c r="H1475" s="324" t="s">
        <v>579</v>
      </c>
      <c r="I1475" s="324">
        <v>68750</v>
      </c>
      <c r="J1475" s="324">
        <v>68750</v>
      </c>
      <c r="K1475" s="324" t="s">
        <v>1868</v>
      </c>
      <c r="M1475" s="324">
        <v>56250</v>
      </c>
      <c r="N1475" s="324">
        <v>0</v>
      </c>
      <c r="O1475" s="324">
        <v>62500</v>
      </c>
      <c r="U1475" s="324" t="s">
        <v>1868</v>
      </c>
      <c r="V1475" s="324" t="s">
        <v>581</v>
      </c>
      <c r="X1475" s="324" t="s">
        <v>265</v>
      </c>
      <c r="Y1475" s="324" t="s">
        <v>266</v>
      </c>
      <c r="Z1475" s="324" t="s">
        <v>281</v>
      </c>
    </row>
    <row r="1476" spans="1:28" s="324" customFormat="1" ht="0.65" hidden="1" customHeight="1">
      <c r="A1476" s="324">
        <v>6104</v>
      </c>
      <c r="F1476" s="324">
        <v>1</v>
      </c>
      <c r="G1476" s="324">
        <v>30</v>
      </c>
      <c r="H1476" s="324" t="s">
        <v>582</v>
      </c>
      <c r="I1476" s="324">
        <v>68750</v>
      </c>
      <c r="J1476" s="324">
        <v>68750</v>
      </c>
      <c r="K1476" s="324" t="s">
        <v>1868</v>
      </c>
      <c r="M1476" s="324">
        <v>56250</v>
      </c>
      <c r="N1476" s="324">
        <v>0</v>
      </c>
      <c r="O1476" s="324">
        <v>62500</v>
      </c>
      <c r="U1476" s="324" t="s">
        <v>1868</v>
      </c>
      <c r="V1476" s="324" t="s">
        <v>583</v>
      </c>
      <c r="X1476" s="324" t="s">
        <v>265</v>
      </c>
      <c r="Y1476" s="324" t="s">
        <v>266</v>
      </c>
      <c r="Z1476" s="324" t="s">
        <v>281</v>
      </c>
    </row>
    <row r="1477" spans="1:28" s="324" customFormat="1" ht="0.65" hidden="1" customHeight="1">
      <c r="A1477" s="324">
        <v>6105</v>
      </c>
      <c r="F1477" s="324">
        <v>1</v>
      </c>
      <c r="G1477" s="324">
        <v>31</v>
      </c>
      <c r="H1477" s="324" t="s">
        <v>584</v>
      </c>
      <c r="I1477" s="324">
        <v>68750</v>
      </c>
      <c r="J1477" s="324">
        <v>68750</v>
      </c>
      <c r="K1477" s="324" t="s">
        <v>1868</v>
      </c>
      <c r="M1477" s="324">
        <v>56250</v>
      </c>
      <c r="N1477" s="324">
        <v>0</v>
      </c>
      <c r="O1477" s="324">
        <v>62500</v>
      </c>
      <c r="U1477" s="324" t="s">
        <v>1868</v>
      </c>
      <c r="V1477" s="324" t="s">
        <v>585</v>
      </c>
      <c r="X1477" s="324" t="s">
        <v>265</v>
      </c>
      <c r="Y1477" s="324" t="s">
        <v>266</v>
      </c>
      <c r="Z1477" s="324" t="s">
        <v>281</v>
      </c>
    </row>
    <row r="1478" spans="1:28" s="324" customFormat="1" ht="0.65" hidden="1" customHeight="1">
      <c r="A1478" s="324">
        <v>6106</v>
      </c>
      <c r="F1478" s="324">
        <v>1</v>
      </c>
      <c r="G1478" s="324">
        <v>32</v>
      </c>
      <c r="H1478" s="324" t="s">
        <v>586</v>
      </c>
      <c r="I1478" s="324">
        <v>68750</v>
      </c>
      <c r="J1478" s="324">
        <v>68750</v>
      </c>
      <c r="K1478" s="324" t="s">
        <v>1869</v>
      </c>
      <c r="U1478" s="324" t="s">
        <v>1869</v>
      </c>
      <c r="V1478" s="324" t="s">
        <v>588</v>
      </c>
    </row>
    <row r="1479" spans="1:28" s="324" customFormat="1" ht="0.65" hidden="1" customHeight="1">
      <c r="A1479" s="324">
        <v>6107</v>
      </c>
      <c r="F1479" s="324">
        <v>1</v>
      </c>
      <c r="G1479" s="324">
        <v>33</v>
      </c>
      <c r="H1479" s="324" t="s">
        <v>589</v>
      </c>
      <c r="I1479" s="324">
        <v>0</v>
      </c>
      <c r="J1479" s="324">
        <v>0</v>
      </c>
      <c r="K1479" s="324" t="s">
        <v>1856</v>
      </c>
      <c r="M1479" s="324">
        <v>68750</v>
      </c>
      <c r="N1479" s="324">
        <v>137500</v>
      </c>
      <c r="U1479" s="324" t="s">
        <v>1856</v>
      </c>
      <c r="V1479" s="324" t="s">
        <v>507</v>
      </c>
      <c r="X1479" s="324" t="s">
        <v>267</v>
      </c>
      <c r="Y1479" s="324" t="s">
        <v>268</v>
      </c>
    </row>
    <row r="1480" spans="1:28" s="324" customFormat="1" ht="0.65" hidden="1" customHeight="1">
      <c r="A1480" s="324">
        <v>6108</v>
      </c>
      <c r="F1480" s="324">
        <v>1</v>
      </c>
      <c r="G1480" s="324">
        <v>34</v>
      </c>
      <c r="H1480" s="324" t="s">
        <v>590</v>
      </c>
      <c r="I1480" s="324">
        <v>0</v>
      </c>
      <c r="J1480" s="324">
        <v>0</v>
      </c>
      <c r="K1480" s="324" t="s">
        <v>1856</v>
      </c>
      <c r="M1480" s="324">
        <v>68750</v>
      </c>
      <c r="N1480" s="324">
        <v>137500</v>
      </c>
      <c r="U1480" s="324" t="s">
        <v>1856</v>
      </c>
      <c r="V1480" s="324" t="s">
        <v>591</v>
      </c>
      <c r="X1480" s="324" t="s">
        <v>267</v>
      </c>
      <c r="Y1480" s="324" t="s">
        <v>268</v>
      </c>
    </row>
    <row r="1481" spans="1:28" s="324" customFormat="1" ht="0.65" hidden="1" customHeight="1">
      <c r="A1481" s="324">
        <v>6109</v>
      </c>
      <c r="F1481" s="324">
        <v>1</v>
      </c>
      <c r="G1481" s="324">
        <v>35</v>
      </c>
      <c r="H1481" s="324" t="s">
        <v>592</v>
      </c>
      <c r="I1481" s="324">
        <v>144531.25</v>
      </c>
      <c r="J1481" s="324">
        <v>144531.25</v>
      </c>
      <c r="K1481" s="324" t="s">
        <v>1870</v>
      </c>
      <c r="M1481" s="324">
        <v>282031.25</v>
      </c>
      <c r="N1481" s="324">
        <v>213281.25</v>
      </c>
      <c r="U1481" s="324" t="s">
        <v>1870</v>
      </c>
      <c r="V1481" s="324" t="s">
        <v>594</v>
      </c>
      <c r="X1481" s="324" t="s">
        <v>269</v>
      </c>
      <c r="Y1481" s="324" t="s">
        <v>282</v>
      </c>
    </row>
    <row r="1482" spans="1:28" s="324" customFormat="1" ht="0.65" hidden="1" customHeight="1">
      <c r="A1482" s="324">
        <v>6110</v>
      </c>
      <c r="F1482" s="324">
        <v>1</v>
      </c>
      <c r="G1482" s="324">
        <v>36</v>
      </c>
      <c r="H1482" s="324" t="s">
        <v>595</v>
      </c>
      <c r="I1482" s="324">
        <v>213281.25</v>
      </c>
      <c r="J1482" s="324">
        <v>213281.25</v>
      </c>
      <c r="K1482" s="324" t="s">
        <v>1871</v>
      </c>
      <c r="M1482" s="324">
        <v>144531.25</v>
      </c>
      <c r="U1482" s="324" t="s">
        <v>1871</v>
      </c>
      <c r="V1482" s="324" t="s">
        <v>597</v>
      </c>
      <c r="X1482" s="324" t="s">
        <v>270</v>
      </c>
    </row>
    <row r="1483" spans="1:28" s="324" customFormat="1" ht="0.65" hidden="1" customHeight="1">
      <c r="A1483" s="324">
        <v>6111</v>
      </c>
      <c r="F1483" s="324">
        <v>1</v>
      </c>
      <c r="G1483" s="324">
        <v>37</v>
      </c>
      <c r="H1483" s="324" t="s">
        <v>598</v>
      </c>
      <c r="I1483" s="324">
        <v>213281.25</v>
      </c>
      <c r="J1483" s="324">
        <v>213281.25</v>
      </c>
      <c r="K1483" s="324" t="s">
        <v>1871</v>
      </c>
      <c r="M1483" s="324">
        <v>144531.25</v>
      </c>
      <c r="U1483" s="324" t="s">
        <v>1871</v>
      </c>
      <c r="V1483" s="324" t="s">
        <v>600</v>
      </c>
      <c r="X1483" s="324" t="s">
        <v>270</v>
      </c>
    </row>
    <row r="1484" spans="1:28" s="324" customFormat="1" ht="0.65" hidden="1" customHeight="1">
      <c r="A1484" s="324">
        <v>6112</v>
      </c>
      <c r="F1484" s="324">
        <v>1</v>
      </c>
      <c r="G1484" s="324">
        <v>38</v>
      </c>
      <c r="H1484" s="324" t="s">
        <v>491</v>
      </c>
      <c r="I1484" s="324">
        <v>142031.25</v>
      </c>
      <c r="J1484" s="324">
        <v>142031.25</v>
      </c>
      <c r="K1484" s="324" t="s">
        <v>1872</v>
      </c>
      <c r="M1484" s="324">
        <v>30000</v>
      </c>
      <c r="N1484" s="324">
        <v>22500</v>
      </c>
      <c r="O1484" s="324">
        <v>210781.25</v>
      </c>
      <c r="P1484" s="324">
        <v>187500</v>
      </c>
      <c r="Q1484" s="324">
        <v>18750</v>
      </c>
      <c r="U1484" s="324" t="s">
        <v>1872</v>
      </c>
      <c r="V1484" s="324" t="s">
        <v>602</v>
      </c>
      <c r="X1484" s="324" t="s">
        <v>271</v>
      </c>
      <c r="Y1484" s="324" t="s">
        <v>272</v>
      </c>
      <c r="Z1484" s="324" t="s">
        <v>273</v>
      </c>
      <c r="AA1484" s="324" t="s">
        <v>283</v>
      </c>
      <c r="AB1484" s="324" t="s">
        <v>345</v>
      </c>
    </row>
    <row r="1485" spans="1:28" s="324" customFormat="1" ht="0.65" hidden="1" customHeight="1">
      <c r="A1485" s="324">
        <v>6113</v>
      </c>
      <c r="F1485" s="324">
        <v>1</v>
      </c>
      <c r="G1485" s="324">
        <v>39</v>
      </c>
      <c r="H1485" s="324" t="s">
        <v>493</v>
      </c>
      <c r="I1485" s="324">
        <v>68750</v>
      </c>
      <c r="J1485" s="324">
        <v>68750</v>
      </c>
      <c r="K1485" s="324" t="s">
        <v>1873</v>
      </c>
      <c r="M1485" s="324">
        <v>0</v>
      </c>
      <c r="U1485" s="324" t="s">
        <v>1873</v>
      </c>
      <c r="V1485" s="324" t="s">
        <v>604</v>
      </c>
      <c r="X1485" s="324" t="s">
        <v>289</v>
      </c>
    </row>
    <row r="1486" spans="1:28" s="324" customFormat="1" ht="0.65" hidden="1" customHeight="1">
      <c r="A1486" s="324">
        <v>6114</v>
      </c>
      <c r="F1486" s="324">
        <v>1</v>
      </c>
      <c r="G1486" s="324">
        <v>40</v>
      </c>
      <c r="H1486" s="324" t="s">
        <v>494</v>
      </c>
      <c r="I1486" s="324">
        <v>210781.25</v>
      </c>
      <c r="J1486" s="324">
        <v>210781.25</v>
      </c>
      <c r="K1486" s="324" t="s">
        <v>1874</v>
      </c>
      <c r="M1486" s="324">
        <v>73281.25</v>
      </c>
      <c r="N1486" s="324">
        <v>142031.25</v>
      </c>
      <c r="O1486" s="324">
        <v>68750</v>
      </c>
      <c r="U1486" s="324" t="s">
        <v>1874</v>
      </c>
      <c r="V1486" s="324" t="s">
        <v>606</v>
      </c>
      <c r="X1486" s="324" t="s">
        <v>274</v>
      </c>
      <c r="Y1486" s="324" t="s">
        <v>284</v>
      </c>
      <c r="Z1486" s="324" t="s">
        <v>285</v>
      </c>
    </row>
    <row r="1487" spans="1:28" s="324" customFormat="1" ht="0.65" hidden="1" customHeight="1">
      <c r="A1487" s="324">
        <v>6115</v>
      </c>
      <c r="F1487" s="324">
        <v>1</v>
      </c>
      <c r="G1487" s="324">
        <v>41</v>
      </c>
      <c r="H1487" s="324" t="s">
        <v>607</v>
      </c>
      <c r="I1487" s="324">
        <v>-534375</v>
      </c>
      <c r="J1487" s="324">
        <v>-534375</v>
      </c>
      <c r="K1487" s="324" t="s">
        <v>1875</v>
      </c>
      <c r="M1487" s="324">
        <v>534375</v>
      </c>
      <c r="U1487" s="324" t="s">
        <v>1875</v>
      </c>
      <c r="V1487" s="324" t="s">
        <v>609</v>
      </c>
      <c r="X1487" s="324" t="s">
        <v>275</v>
      </c>
    </row>
    <row r="1488" spans="1:28" s="324" customFormat="1" ht="0.65" hidden="1" customHeight="1">
      <c r="A1488" s="324">
        <v>6116</v>
      </c>
      <c r="F1488" s="324">
        <v>1</v>
      </c>
      <c r="G1488" s="324">
        <v>42</v>
      </c>
      <c r="H1488" s="324" t="s">
        <v>610</v>
      </c>
      <c r="I1488" s="324">
        <v>144531.25</v>
      </c>
      <c r="J1488" s="324">
        <v>144531.25</v>
      </c>
      <c r="K1488" s="324" t="s">
        <v>1870</v>
      </c>
      <c r="U1488" s="324" t="s">
        <v>1870</v>
      </c>
      <c r="V1488" s="324" t="s">
        <v>594</v>
      </c>
    </row>
    <row r="1489" spans="1:28" s="324" customFormat="1" ht="0.65" hidden="1" customHeight="1">
      <c r="A1489" s="324">
        <v>6117</v>
      </c>
      <c r="F1489" s="324">
        <v>1</v>
      </c>
      <c r="G1489" s="324">
        <v>43</v>
      </c>
      <c r="H1489" s="324" t="s">
        <v>611</v>
      </c>
      <c r="I1489" s="324">
        <v>213281.25</v>
      </c>
      <c r="J1489" s="324">
        <v>213281.25</v>
      </c>
      <c r="K1489" s="324" t="s">
        <v>1871</v>
      </c>
      <c r="U1489" s="324" t="s">
        <v>1871</v>
      </c>
      <c r="V1489" s="324" t="s">
        <v>597</v>
      </c>
    </row>
    <row r="1490" spans="1:28" s="324" customFormat="1" ht="0.65" hidden="1" customHeight="1">
      <c r="A1490" s="324">
        <v>6118</v>
      </c>
      <c r="F1490" s="324">
        <v>1</v>
      </c>
      <c r="G1490" s="324">
        <v>44</v>
      </c>
      <c r="H1490" s="324" t="s">
        <v>612</v>
      </c>
      <c r="I1490" s="324">
        <v>424062.5</v>
      </c>
      <c r="J1490" s="324">
        <v>424062.5</v>
      </c>
      <c r="K1490" s="324" t="s">
        <v>1876</v>
      </c>
      <c r="M1490" s="324">
        <v>213281.25</v>
      </c>
      <c r="N1490" s="324">
        <v>2500</v>
      </c>
      <c r="U1490" s="324" t="s">
        <v>1876</v>
      </c>
      <c r="V1490" s="324" t="s">
        <v>614</v>
      </c>
      <c r="X1490" s="324" t="s">
        <v>276</v>
      </c>
      <c r="Y1490" s="324" t="s">
        <v>346</v>
      </c>
    </row>
    <row r="1491" spans="1:28" s="324" customFormat="1" ht="0.65" hidden="1" customHeight="1">
      <c r="A1491" s="324">
        <v>6119</v>
      </c>
      <c r="F1491" s="324">
        <v>1</v>
      </c>
      <c r="G1491" s="324">
        <v>45</v>
      </c>
      <c r="H1491" s="324" t="s">
        <v>414</v>
      </c>
      <c r="I1491" s="324">
        <v>5.2500000000000012E-2</v>
      </c>
      <c r="J1491" s="324">
        <v>5.2500000000000012E-2</v>
      </c>
      <c r="K1491" s="324" t="s">
        <v>1877</v>
      </c>
      <c r="M1491" s="324">
        <v>7.0000000000000007E-2</v>
      </c>
      <c r="N1491" s="324">
        <v>420000.00000000006</v>
      </c>
      <c r="O1491" s="324">
        <v>1.7500000000000002E-2</v>
      </c>
      <c r="P1491" s="324">
        <v>8.7500000000000008E-2</v>
      </c>
      <c r="U1491" s="324" t="s">
        <v>1877</v>
      </c>
      <c r="V1491" s="324" t="s">
        <v>616</v>
      </c>
      <c r="X1491" s="324" t="s">
        <v>277</v>
      </c>
      <c r="Y1491" s="324" t="s">
        <v>347</v>
      </c>
      <c r="Z1491" s="324" t="s">
        <v>348</v>
      </c>
      <c r="AA1491" s="324" t="s">
        <v>349</v>
      </c>
    </row>
    <row r="1492" spans="1:28" s="324" customFormat="1" ht="0.65" hidden="1" customHeight="1">
      <c r="A1492" s="324">
        <v>6120</v>
      </c>
      <c r="F1492" s="324">
        <v>1</v>
      </c>
      <c r="G1492" s="324">
        <v>46</v>
      </c>
      <c r="H1492" s="324" t="s">
        <v>415</v>
      </c>
      <c r="I1492" s="324">
        <v>0.12000000000000001</v>
      </c>
      <c r="J1492" s="324">
        <v>0.12000000000000001</v>
      </c>
      <c r="K1492" s="324" t="s">
        <v>1878</v>
      </c>
      <c r="M1492" s="324">
        <v>0.1</v>
      </c>
      <c r="N1492" s="324">
        <v>1800000</v>
      </c>
      <c r="O1492" s="324">
        <v>0.08</v>
      </c>
      <c r="U1492" s="324" t="s">
        <v>1878</v>
      </c>
      <c r="V1492" s="324" t="s">
        <v>618</v>
      </c>
      <c r="X1492" s="324" t="s">
        <v>278</v>
      </c>
      <c r="Y1492" s="324" t="s">
        <v>350</v>
      </c>
      <c r="Z1492" s="324" t="s">
        <v>351</v>
      </c>
    </row>
    <row r="1493" spans="1:28" s="324" customFormat="1" ht="0.65" hidden="1" customHeight="1">
      <c r="A1493" s="324">
        <v>6121</v>
      </c>
      <c r="F1493" s="324">
        <v>1</v>
      </c>
      <c r="G1493" s="324">
        <v>47</v>
      </c>
      <c r="H1493" s="324" t="s">
        <v>416</v>
      </c>
      <c r="I1493" s="324">
        <v>0.10312499999999999</v>
      </c>
      <c r="J1493" s="324">
        <v>0.10312499999999999</v>
      </c>
      <c r="K1493" s="324" t="s">
        <v>1879</v>
      </c>
      <c r="U1493" s="324" t="s">
        <v>1879</v>
      </c>
      <c r="V1493" s="324" t="s">
        <v>620</v>
      </c>
    </row>
    <row r="1494" spans="1:28" s="324" customFormat="1" ht="0.65" hidden="1" customHeight="1">
      <c r="A1494" s="324">
        <v>6122</v>
      </c>
      <c r="F1494" s="324">
        <v>1</v>
      </c>
      <c r="G1494" s="324">
        <v>48</v>
      </c>
      <c r="H1494" s="324" t="s">
        <v>13</v>
      </c>
      <c r="I1494" s="324">
        <v>87817.478696592501</v>
      </c>
      <c r="J1494" s="324">
        <v>87817.478696592501</v>
      </c>
      <c r="K1494" s="324" t="s">
        <v>1880</v>
      </c>
      <c r="M1494" s="324">
        <v>159198.27421293233</v>
      </c>
      <c r="N1494" s="324">
        <v>66536.576963374508</v>
      </c>
      <c r="O1494" s="324">
        <v>79607.912699460707</v>
      </c>
      <c r="P1494" s="324">
        <v>622192.4786965925</v>
      </c>
      <c r="Q1494" s="324">
        <v>1156567.4786965926</v>
      </c>
      <c r="U1494" s="324" t="s">
        <v>1880</v>
      </c>
      <c r="V1494" s="324" t="s">
        <v>622</v>
      </c>
      <c r="X1494" s="324" t="s">
        <v>286</v>
      </c>
      <c r="Y1494" s="324" t="s">
        <v>287</v>
      </c>
      <c r="Z1494" s="324" t="s">
        <v>288</v>
      </c>
      <c r="AA1494" s="324" t="s">
        <v>352</v>
      </c>
      <c r="AB1494" s="324" t="s">
        <v>353</v>
      </c>
    </row>
    <row r="1495" spans="1:28" s="324" customFormat="1" ht="0.65" hidden="1" customHeight="1">
      <c r="A1495" s="324">
        <v>6123</v>
      </c>
      <c r="F1495" s="324">
        <v>1</v>
      </c>
      <c r="G1495" s="324">
        <v>49</v>
      </c>
      <c r="H1495" s="324" t="s">
        <v>28</v>
      </c>
      <c r="I1495" s="324">
        <v>0.17939434472028948</v>
      </c>
      <c r="J1495" s="324">
        <v>0.17939434472028948</v>
      </c>
      <c r="K1495" s="324" t="s">
        <v>1881</v>
      </c>
      <c r="U1495" s="324" t="s">
        <v>1881</v>
      </c>
      <c r="V1495" s="324" t="s">
        <v>624</v>
      </c>
    </row>
    <row r="1496" spans="1:28" s="324" customFormat="1" ht="0.65" hidden="1" customHeight="1">
      <c r="A1496" s="324">
        <v>6124</v>
      </c>
      <c r="M1496" s="324">
        <v>1</v>
      </c>
      <c r="N1496" s="324">
        <v>2</v>
      </c>
      <c r="O1496" s="324">
        <v>3</v>
      </c>
      <c r="P1496" s="324">
        <v>4</v>
      </c>
      <c r="Q1496" s="324">
        <v>5</v>
      </c>
      <c r="R1496" s="324">
        <v>6</v>
      </c>
      <c r="S1496" s="324">
        <v>7</v>
      </c>
      <c r="T1496" s="324">
        <v>8</v>
      </c>
      <c r="U1496" s="324">
        <v>9</v>
      </c>
      <c r="V1496" s="324">
        <v>10</v>
      </c>
    </row>
    <row r="1497" spans="1:28" s="324" customFormat="1" ht="0.65" hidden="1" customHeight="1">
      <c r="A1497" s="324">
        <v>6125</v>
      </c>
    </row>
    <row r="1498" spans="1:28" s="324" customFormat="1" ht="0.65" hidden="1" customHeight="1">
      <c r="A1498" s="324">
        <v>6126</v>
      </c>
    </row>
    <row r="1499" spans="1:28" s="324" customFormat="1" ht="0.65" hidden="1" customHeight="1">
      <c r="A1499" s="324">
        <v>6127</v>
      </c>
      <c r="K1499" s="324" t="s">
        <v>211</v>
      </c>
    </row>
    <row r="1500" spans="1:28" s="324" customFormat="1" ht="0.65" hidden="1" customHeight="1">
      <c r="A1500" s="324">
        <v>6128</v>
      </c>
    </row>
    <row r="1501" spans="1:28" s="324" customFormat="1" ht="0.65" hidden="1" customHeight="1">
      <c r="A1501" s="324">
        <v>6129</v>
      </c>
    </row>
    <row r="1502" spans="1:28" s="324" customFormat="1" ht="0.65" hidden="1" customHeight="1">
      <c r="A1502" s="324">
        <v>6130</v>
      </c>
    </row>
    <row r="1503" spans="1:28" s="324" customFormat="1" ht="0.65" hidden="1" customHeight="1">
      <c r="A1503" s="324">
        <v>6131</v>
      </c>
    </row>
    <row r="1504" spans="1:28" s="324" customFormat="1" ht="0.65" hidden="1" customHeight="1">
      <c r="A1504" s="324">
        <v>6132</v>
      </c>
    </row>
    <row r="1505" spans="1:32" s="324" customFormat="1" ht="0.65" hidden="1" customHeight="1">
      <c r="A1505" s="324">
        <v>6133</v>
      </c>
    </row>
    <row r="1506" spans="1:32" s="324" customFormat="1" ht="0.65" hidden="1" customHeight="1">
      <c r="A1506" s="324">
        <v>6134</v>
      </c>
    </row>
    <row r="1507" spans="1:32" s="324" customFormat="1" ht="0.65" hidden="1" customHeight="1">
      <c r="A1507" s="324">
        <v>6135</v>
      </c>
    </row>
    <row r="1508" spans="1:32" s="324" customFormat="1" ht="0.65" hidden="1" customHeight="1">
      <c r="A1508" s="324">
        <v>6136</v>
      </c>
    </row>
    <row r="1509" spans="1:32" s="324" customFormat="1" ht="0.65" hidden="1" customHeight="1">
      <c r="A1509" s="324">
        <v>6137</v>
      </c>
    </row>
    <row r="1510" spans="1:32" s="324" customFormat="1" ht="0.65" hidden="1" customHeight="1">
      <c r="A1510" s="324">
        <v>6138</v>
      </c>
    </row>
    <row r="1511" spans="1:32" s="324" customFormat="1" ht="0.65" hidden="1" customHeight="1">
      <c r="A1511" s="324">
        <v>6139</v>
      </c>
    </row>
    <row r="1512" spans="1:32" s="324" customFormat="1" ht="0.65" hidden="1" customHeight="1">
      <c r="A1512" s="324">
        <v>6140</v>
      </c>
    </row>
    <row r="1513" spans="1:32" s="324" customFormat="1" ht="0.65" hidden="1" customHeight="1">
      <c r="A1513" s="324">
        <v>6141</v>
      </c>
    </row>
    <row r="1514" spans="1:32" s="324" customFormat="1" ht="0.65" hidden="1" customHeight="1">
      <c r="A1514" s="324">
        <v>6142</v>
      </c>
    </row>
    <row r="1515" spans="1:32" s="324" customFormat="1" ht="0.65" hidden="1" customHeight="1">
      <c r="A1515" s="324">
        <v>6143</v>
      </c>
    </row>
    <row r="1516" spans="1:32" s="324" customFormat="1" ht="0.65" hidden="1" customHeight="1">
      <c r="A1516" s="324">
        <v>6144</v>
      </c>
      <c r="U1516" s="324" t="s">
        <v>1882</v>
      </c>
    </row>
    <row r="1517" spans="1:32" s="324" customFormat="1" ht="0.65" hidden="1" customHeight="1">
      <c r="A1517" s="324">
        <v>6145</v>
      </c>
      <c r="G1517" s="324" t="s">
        <v>0</v>
      </c>
      <c r="H1517" s="324" t="s">
        <v>69</v>
      </c>
      <c r="I1517" s="324" t="s">
        <v>70</v>
      </c>
      <c r="J1517" s="324" t="s">
        <v>71</v>
      </c>
      <c r="K1517" s="324" t="s">
        <v>72</v>
      </c>
      <c r="L1517" s="324" t="s">
        <v>73</v>
      </c>
      <c r="M1517" s="324" t="s">
        <v>74</v>
      </c>
      <c r="N1517" s="324" t="s">
        <v>75</v>
      </c>
      <c r="O1517" s="324" t="s">
        <v>80</v>
      </c>
      <c r="P1517" s="324" t="s">
        <v>1</v>
      </c>
      <c r="V1517" s="324" t="s">
        <v>182</v>
      </c>
      <c r="W1517" s="324" t="s">
        <v>183</v>
      </c>
      <c r="X1517" s="324" t="s">
        <v>184</v>
      </c>
      <c r="Y1517" s="324" t="s">
        <v>185</v>
      </c>
    </row>
    <row r="1518" spans="1:32" s="324" customFormat="1" ht="0.65" hidden="1" customHeight="1">
      <c r="A1518" s="324">
        <v>6146</v>
      </c>
      <c r="G1518" s="324">
        <v>2022</v>
      </c>
      <c r="H1518" s="324">
        <v>0</v>
      </c>
      <c r="I1518" s="324">
        <v>0</v>
      </c>
      <c r="J1518" s="324">
        <v>0</v>
      </c>
      <c r="K1518" s="324">
        <v>0</v>
      </c>
      <c r="L1518" s="324">
        <v>0</v>
      </c>
      <c r="M1518" s="324">
        <v>0</v>
      </c>
      <c r="N1518" s="324">
        <v>0</v>
      </c>
      <c r="O1518" s="324">
        <v>0</v>
      </c>
      <c r="P1518" s="324">
        <v>-534375</v>
      </c>
      <c r="T1518" s="324">
        <v>1</v>
      </c>
      <c r="U1518" s="324" t="s">
        <v>153</v>
      </c>
      <c r="V1518" s="324" t="s">
        <v>178</v>
      </c>
      <c r="W1518" s="324">
        <v>86327.537707922282</v>
      </c>
      <c r="X1518" s="324">
        <v>-1489.9409886702197</v>
      </c>
      <c r="Y1518" s="324">
        <v>-1489.9409886703488</v>
      </c>
      <c r="AA1518" s="324" t="s">
        <v>188</v>
      </c>
      <c r="AB1518" s="324" t="s">
        <v>1883</v>
      </c>
      <c r="AD1518" s="324">
        <v>-534375</v>
      </c>
      <c r="AE1518" s="324">
        <v>87817.478696592501</v>
      </c>
      <c r="AF1518" s="324">
        <v>-534375</v>
      </c>
    </row>
    <row r="1519" spans="1:32" s="324" customFormat="1" ht="0.65" hidden="1" customHeight="1">
      <c r="A1519" s="324">
        <v>6147</v>
      </c>
      <c r="G1519" s="324">
        <v>2023</v>
      </c>
      <c r="H1519" s="324">
        <v>250000</v>
      </c>
      <c r="I1519" s="324">
        <v>-25000</v>
      </c>
      <c r="J1519" s="324">
        <v>28125</v>
      </c>
      <c r="K1519" s="324">
        <v>246875</v>
      </c>
      <c r="L1519" s="324">
        <v>61718.75</v>
      </c>
      <c r="M1519" s="324">
        <v>185156.25</v>
      </c>
      <c r="N1519" s="324">
        <v>213281.25</v>
      </c>
      <c r="O1519" s="324">
        <v>144531.25</v>
      </c>
      <c r="P1519" s="324">
        <v>144531.25</v>
      </c>
      <c r="T1519" s="324">
        <v>2</v>
      </c>
      <c r="U1519" s="324" t="s">
        <v>154</v>
      </c>
      <c r="V1519" s="324" t="s">
        <v>178</v>
      </c>
      <c r="W1519" s="324">
        <v>27232.231499450398</v>
      </c>
      <c r="X1519" s="324">
        <v>-60585.247197142104</v>
      </c>
      <c r="Y1519" s="324">
        <v>-60585.247197142104</v>
      </c>
      <c r="AA1519" s="324" t="s">
        <v>197</v>
      </c>
      <c r="AB1519" s="324" t="s">
        <v>1884</v>
      </c>
      <c r="AD1519" s="324">
        <v>144531.25</v>
      </c>
      <c r="AF1519" s="324">
        <v>144531.25</v>
      </c>
    </row>
    <row r="1520" spans="1:32" s="324" customFormat="1" ht="0.65" hidden="1" customHeight="1">
      <c r="A1520" s="324">
        <v>6148</v>
      </c>
      <c r="G1520" s="324">
        <v>2024</v>
      </c>
      <c r="H1520" s="324">
        <v>250000</v>
      </c>
      <c r="I1520" s="324">
        <v>-25000</v>
      </c>
      <c r="J1520" s="324">
        <v>28125</v>
      </c>
      <c r="K1520" s="324">
        <v>246875</v>
      </c>
      <c r="L1520" s="324">
        <v>61718.75</v>
      </c>
      <c r="M1520" s="324">
        <v>185156.25</v>
      </c>
      <c r="N1520" s="324">
        <v>213281.25</v>
      </c>
      <c r="O1520" s="324">
        <v>213281.25</v>
      </c>
      <c r="P1520" s="324">
        <v>213281.25</v>
      </c>
      <c r="T1520" s="324">
        <v>3</v>
      </c>
      <c r="U1520" s="324" t="s">
        <v>155</v>
      </c>
      <c r="V1520" s="324" t="s">
        <v>178</v>
      </c>
      <c r="W1520" s="324">
        <v>83627.147544715437</v>
      </c>
      <c r="X1520" s="324">
        <v>-4190.3311518770643</v>
      </c>
      <c r="Y1520" s="324">
        <v>-4190.331151877067</v>
      </c>
      <c r="AA1520" s="324" t="s">
        <v>191</v>
      </c>
      <c r="AB1520" s="324" t="s">
        <v>1885</v>
      </c>
      <c r="AD1520" s="324">
        <v>213281.25</v>
      </c>
      <c r="AF1520" s="324">
        <v>213281.25</v>
      </c>
    </row>
    <row r="1521" spans="1:32" s="324" customFormat="1" ht="0.65" hidden="1" customHeight="1">
      <c r="A1521" s="324">
        <v>6149</v>
      </c>
      <c r="G1521" s="324">
        <v>2025</v>
      </c>
      <c r="H1521" s="324">
        <v>250000</v>
      </c>
      <c r="I1521" s="324">
        <v>-25000</v>
      </c>
      <c r="J1521" s="324">
        <v>28125</v>
      </c>
      <c r="K1521" s="324">
        <v>246875</v>
      </c>
      <c r="L1521" s="324">
        <v>61718.75</v>
      </c>
      <c r="M1521" s="324">
        <v>185156.25</v>
      </c>
      <c r="N1521" s="324">
        <v>213281.25</v>
      </c>
      <c r="O1521" s="324">
        <v>213281.25</v>
      </c>
      <c r="P1521" s="324">
        <v>424062.5</v>
      </c>
      <c r="T1521" s="324">
        <v>4</v>
      </c>
      <c r="U1521" s="324" t="s">
        <v>156</v>
      </c>
      <c r="V1521" s="324" t="s">
        <v>179</v>
      </c>
      <c r="W1521" s="324">
        <v>104692.4786965925</v>
      </c>
      <c r="X1521" s="324">
        <v>16875</v>
      </c>
      <c r="Y1521" s="324">
        <v>16875.000000000022</v>
      </c>
      <c r="AA1521" s="324" t="s">
        <v>198</v>
      </c>
      <c r="AB1521" s="324" t="s">
        <v>1886</v>
      </c>
      <c r="AD1521" s="324">
        <v>424062.5</v>
      </c>
      <c r="AF1521" s="324">
        <v>424062.5</v>
      </c>
    </row>
    <row r="1522" spans="1:32" s="324" customFormat="1" ht="0.65" hidden="1" customHeight="1">
      <c r="A1522" s="324">
        <v>6150</v>
      </c>
      <c r="T1522" s="324">
        <v>5</v>
      </c>
      <c r="U1522" s="324" t="s">
        <v>157</v>
      </c>
      <c r="V1522" s="324" t="s">
        <v>178</v>
      </c>
      <c r="W1522" s="324">
        <v>86886.26557867357</v>
      </c>
      <c r="X1522" s="324">
        <v>-931.21311791893095</v>
      </c>
      <c r="Y1522" s="324">
        <v>-931.21311791897278</v>
      </c>
      <c r="AA1522" s="324" t="s">
        <v>192</v>
      </c>
      <c r="AB1522" s="324" t="s">
        <v>1887</v>
      </c>
      <c r="AD1522" s="324">
        <v>0.10312499999999999</v>
      </c>
      <c r="AF1522" s="324">
        <v>0.10312499999999999</v>
      </c>
    </row>
    <row r="1523" spans="1:32" s="324" customFormat="1" ht="0.65" hidden="1" customHeight="1">
      <c r="A1523" s="324">
        <v>6151</v>
      </c>
      <c r="G1523" s="324" t="s">
        <v>0</v>
      </c>
      <c r="H1523" s="324" t="s">
        <v>76</v>
      </c>
      <c r="I1523" s="324" t="s">
        <v>77</v>
      </c>
      <c r="J1523" s="324" t="s">
        <v>78</v>
      </c>
      <c r="K1523" s="324" t="s">
        <v>79</v>
      </c>
      <c r="T1523" s="324">
        <v>6</v>
      </c>
      <c r="U1523" s="324" t="s">
        <v>158</v>
      </c>
      <c r="V1523" s="324" t="s">
        <v>179</v>
      </c>
      <c r="W1523" s="324">
        <v>88733.672134652734</v>
      </c>
      <c r="X1523" s="324">
        <v>916.19343806023244</v>
      </c>
      <c r="Y1523" s="324">
        <v>916.19343806008794</v>
      </c>
      <c r="AA1523" s="324" t="s">
        <v>193</v>
      </c>
      <c r="AB1523" s="324" t="s">
        <v>1888</v>
      </c>
      <c r="AD1523" s="324">
        <v>87817.478696592501</v>
      </c>
      <c r="AF1523" s="324">
        <v>87817.478696592501</v>
      </c>
    </row>
    <row r="1524" spans="1:32" s="324" customFormat="1" ht="0.65" hidden="1" customHeight="1">
      <c r="A1524" s="324">
        <v>6152</v>
      </c>
      <c r="G1524" s="324">
        <v>2022</v>
      </c>
      <c r="H1524" s="324">
        <v>0</v>
      </c>
      <c r="I1524" s="324">
        <v>0</v>
      </c>
      <c r="J1524" s="324">
        <v>0</v>
      </c>
      <c r="K1524" s="324">
        <v>0</v>
      </c>
      <c r="M1524" s="324" t="s">
        <v>490</v>
      </c>
      <c r="N1524" s="324">
        <v>534375</v>
      </c>
      <c r="O1524" s="324" t="s">
        <v>124</v>
      </c>
      <c r="P1524" s="324">
        <v>5.2500000000000012E-2</v>
      </c>
      <c r="T1524" s="324">
        <v>7</v>
      </c>
      <c r="U1524" s="324" t="s">
        <v>159</v>
      </c>
      <c r="V1524" s="324" t="s">
        <v>178</v>
      </c>
      <c r="W1524" s="324">
        <v>70942.478696592501</v>
      </c>
      <c r="X1524" s="324">
        <v>-16875</v>
      </c>
      <c r="Y1524" s="324">
        <v>-16875</v>
      </c>
      <c r="AA1524" s="324" t="s">
        <v>194</v>
      </c>
      <c r="AB1524" s="324" t="s">
        <v>1889</v>
      </c>
      <c r="AF1524" s="324">
        <v>87817.478696592501</v>
      </c>
    </row>
    <row r="1525" spans="1:32" s="324" customFormat="1" ht="0.65" hidden="1" customHeight="1">
      <c r="A1525" s="324">
        <v>6153</v>
      </c>
      <c r="G1525" s="324">
        <v>2023</v>
      </c>
      <c r="H1525" s="324">
        <v>62500</v>
      </c>
      <c r="I1525" s="324">
        <v>-6250</v>
      </c>
      <c r="J1525" s="324">
        <v>68750</v>
      </c>
      <c r="K1525" s="324">
        <v>68750</v>
      </c>
      <c r="M1525" s="324" t="s">
        <v>491</v>
      </c>
      <c r="N1525" s="324">
        <v>142031.25</v>
      </c>
      <c r="O1525" s="324" t="s">
        <v>125</v>
      </c>
      <c r="P1525" s="324">
        <v>0.12000000000000001</v>
      </c>
      <c r="T1525" s="324">
        <v>8</v>
      </c>
      <c r="U1525" s="324" t="s">
        <v>160</v>
      </c>
      <c r="V1525" s="324" t="s">
        <v>178</v>
      </c>
      <c r="W1525" s="324">
        <v>85303.280005466309</v>
      </c>
      <c r="X1525" s="324">
        <v>-2514.198691126192</v>
      </c>
      <c r="Y1525" s="324">
        <v>-2514.1986911262443</v>
      </c>
      <c r="AA1525" s="324" t="s">
        <v>195</v>
      </c>
      <c r="AB1525" s="324" t="s">
        <v>1890</v>
      </c>
    </row>
    <row r="1526" spans="1:32" s="324" customFormat="1" ht="0.65" hidden="1" customHeight="1">
      <c r="A1526" s="324">
        <v>6154</v>
      </c>
      <c r="G1526" s="324">
        <v>2024</v>
      </c>
      <c r="H1526" s="324">
        <v>62500</v>
      </c>
      <c r="I1526" s="324">
        <v>-6250</v>
      </c>
      <c r="J1526" s="324">
        <v>68750</v>
      </c>
      <c r="K1526" s="324">
        <v>0</v>
      </c>
      <c r="M1526" s="324" t="s">
        <v>493</v>
      </c>
      <c r="N1526" s="324">
        <v>68750</v>
      </c>
      <c r="O1526" s="324" t="s">
        <v>126</v>
      </c>
      <c r="P1526" s="324">
        <v>0.10312499999999999</v>
      </c>
      <c r="T1526" s="324">
        <v>9</v>
      </c>
      <c r="U1526" s="324" t="s">
        <v>161</v>
      </c>
      <c r="V1526" s="324" t="s">
        <v>179</v>
      </c>
      <c r="W1526" s="324">
        <v>133180.81430385646</v>
      </c>
      <c r="X1526" s="324">
        <v>45363.335607263958</v>
      </c>
      <c r="Y1526" s="324">
        <v>45363.335607263951</v>
      </c>
      <c r="AA1526" s="324" t="s">
        <v>199</v>
      </c>
      <c r="AB1526" s="324" t="s">
        <v>1891</v>
      </c>
      <c r="AD1526" s="324">
        <v>-534375</v>
      </c>
    </row>
    <row r="1527" spans="1:32" s="324" customFormat="1" ht="0.65" hidden="1" customHeight="1">
      <c r="A1527" s="324">
        <v>6155</v>
      </c>
      <c r="G1527" s="324">
        <v>2025</v>
      </c>
      <c r="H1527" s="324">
        <v>62500</v>
      </c>
      <c r="I1527" s="324">
        <v>-6250</v>
      </c>
      <c r="J1527" s="324">
        <v>68750</v>
      </c>
      <c r="K1527" s="324">
        <v>0</v>
      </c>
      <c r="M1527" s="324" t="s">
        <v>494</v>
      </c>
      <c r="N1527" s="324">
        <v>210781.25</v>
      </c>
      <c r="T1527" s="324">
        <v>10</v>
      </c>
      <c r="U1527" s="324" t="s">
        <v>162</v>
      </c>
      <c r="V1527" s="324" t="s">
        <v>178</v>
      </c>
      <c r="W1527" s="324">
        <v>84451.482438200037</v>
      </c>
      <c r="X1527" s="324">
        <v>-3365.9962583924644</v>
      </c>
      <c r="Y1527" s="324">
        <v>-3365.9962583925662</v>
      </c>
      <c r="AA1527" s="324" t="s">
        <v>200</v>
      </c>
      <c r="AB1527" s="324" t="s">
        <v>1892</v>
      </c>
      <c r="AD1527" s="324">
        <v>144531.25</v>
      </c>
    </row>
    <row r="1528" spans="1:32" s="324" customFormat="1" ht="0.65" hidden="1" customHeight="1">
      <c r="A1528" s="324">
        <v>6156</v>
      </c>
      <c r="T1528" s="324">
        <v>11</v>
      </c>
      <c r="U1528" s="324" t="s">
        <v>163</v>
      </c>
      <c r="V1528" s="324" t="s">
        <v>179</v>
      </c>
      <c r="W1528" s="324">
        <v>92353.81225731899</v>
      </c>
      <c r="X1528" s="324">
        <v>4536.3335607264889</v>
      </c>
      <c r="Y1528" s="324">
        <v>4536.3335607264016</v>
      </c>
      <c r="AA1528" s="324" t="s">
        <v>201</v>
      </c>
      <c r="AB1528" s="324" t="s">
        <v>1893</v>
      </c>
      <c r="AD1528" s="324">
        <v>213281.25</v>
      </c>
    </row>
    <row r="1529" spans="1:32" s="324" customFormat="1" ht="0.65" hidden="1" customHeight="1">
      <c r="A1529" s="324">
        <v>6157</v>
      </c>
      <c r="O1529" s="324" t="s">
        <v>13</v>
      </c>
      <c r="P1529" s="324">
        <v>87817.478696592501</v>
      </c>
      <c r="T1529" s="324">
        <v>12</v>
      </c>
      <c r="U1529" s="324" t="s">
        <v>164</v>
      </c>
      <c r="V1529" s="324" t="s">
        <v>178</v>
      </c>
      <c r="W1529" s="324">
        <v>88154.078322431887</v>
      </c>
      <c r="X1529" s="324">
        <v>336.59962583938614</v>
      </c>
      <c r="Y1529" s="324">
        <v>336.59962583925653</v>
      </c>
      <c r="AA1529" s="324" t="s">
        <v>196</v>
      </c>
      <c r="AB1529" s="324" t="s">
        <v>1857</v>
      </c>
      <c r="AD1529" s="324">
        <v>213281.25</v>
      </c>
    </row>
    <row r="1530" spans="1:32" s="324" customFormat="1" ht="0.65" hidden="1" customHeight="1">
      <c r="A1530" s="324">
        <v>6158</v>
      </c>
      <c r="O1530" s="324" t="s">
        <v>28</v>
      </c>
      <c r="P1530" s="324">
        <v>0.17939434472028948</v>
      </c>
      <c r="T1530" s="324">
        <v>13</v>
      </c>
      <c r="U1530" s="324" t="s">
        <v>165</v>
      </c>
      <c r="V1530" s="324" t="s">
        <v>178</v>
      </c>
      <c r="W1530" s="324">
        <v>86120.537699498003</v>
      </c>
      <c r="X1530" s="324">
        <v>-1696.940997094498</v>
      </c>
      <c r="Y1530" s="324">
        <v>-1696.940997094528</v>
      </c>
      <c r="Z1530" s="324">
        <v>0.1044375</v>
      </c>
      <c r="AA1530" s="324" t="s">
        <v>202</v>
      </c>
      <c r="AB1530" s="324" t="s">
        <v>1894</v>
      </c>
      <c r="AD1530" s="324">
        <v>417031.25</v>
      </c>
    </row>
    <row r="1531" spans="1:32" s="324" customFormat="1" ht="0.65" hidden="1" customHeight="1">
      <c r="A1531" s="324">
        <v>6159</v>
      </c>
      <c r="O1531" s="324" t="s">
        <v>29</v>
      </c>
      <c r="P1531" s="324">
        <v>0.16433680223923744</v>
      </c>
      <c r="T1531" s="324">
        <v>14</v>
      </c>
      <c r="U1531" s="324" t="s">
        <v>166</v>
      </c>
      <c r="V1531" s="324" t="s">
        <v>179</v>
      </c>
      <c r="W1531" s="324">
        <v>97654.13544264494</v>
      </c>
      <c r="X1531" s="324">
        <v>9836.6567460524384</v>
      </c>
      <c r="Y1531" s="324">
        <v>9836.6567460524457</v>
      </c>
      <c r="Z1531" s="324">
        <v>9.5625000000000002E-2</v>
      </c>
      <c r="AA1531" s="324" t="s">
        <v>189</v>
      </c>
      <c r="AB1531" s="324" t="s">
        <v>1895</v>
      </c>
      <c r="AD1531" s="324">
        <v>0.10312499999999999</v>
      </c>
    </row>
    <row r="1532" spans="1:32" s="324" customFormat="1" ht="0.65" hidden="1" customHeight="1">
      <c r="A1532" s="324">
        <v>6160</v>
      </c>
      <c r="O1532" s="324" t="s">
        <v>30</v>
      </c>
      <c r="P1532" s="324">
        <v>3</v>
      </c>
      <c r="T1532" s="324">
        <v>15</v>
      </c>
      <c r="U1532" s="324" t="s">
        <v>167</v>
      </c>
      <c r="V1532" s="324" t="s">
        <v>178</v>
      </c>
      <c r="W1532" s="324">
        <v>78216.800022552954</v>
      </c>
      <c r="X1532" s="324">
        <v>-9600.6786740395473</v>
      </c>
      <c r="Y1532" s="324">
        <v>-9600.6786740396474</v>
      </c>
      <c r="Z1532" s="324">
        <v>0.110625</v>
      </c>
      <c r="AA1532" s="324" t="s">
        <v>190</v>
      </c>
      <c r="AB1532" s="324" t="s">
        <v>1896</v>
      </c>
      <c r="AD1532" s="324">
        <v>212420.47733247245</v>
      </c>
    </row>
    <row r="1533" spans="1:32" s="324" customFormat="1" ht="0.65" hidden="1" customHeight="1">
      <c r="A1533" s="324">
        <v>6161</v>
      </c>
      <c r="T1533" s="324">
        <v>16</v>
      </c>
      <c r="U1533" s="324" t="s">
        <v>168</v>
      </c>
      <c r="V1533" s="324" t="s">
        <v>181</v>
      </c>
      <c r="W1533" s="324">
        <v>95402.650565361488</v>
      </c>
      <c r="X1533" s="324">
        <v>7585.1718687689863</v>
      </c>
      <c r="Y1533" s="324">
        <v>7585.1718687688899</v>
      </c>
      <c r="Z1533" s="324">
        <v>9.7325581395348831E-2</v>
      </c>
      <c r="AA1533" s="324" t="s">
        <v>427</v>
      </c>
      <c r="AB1533" s="324" t="s">
        <v>1897</v>
      </c>
      <c r="AD1533" s="324">
        <v>212420.47733247245</v>
      </c>
    </row>
    <row r="1534" spans="1:32" s="324" customFormat="1" ht="0.65" hidden="1" customHeight="1">
      <c r="A1534" s="324">
        <v>6162</v>
      </c>
      <c r="P1534" s="324">
        <v>1</v>
      </c>
      <c r="T1534" s="324">
        <v>17</v>
      </c>
      <c r="U1534" s="324" t="s">
        <v>169</v>
      </c>
      <c r="V1534" s="324" t="s">
        <v>178</v>
      </c>
      <c r="W1534" s="324">
        <v>77032.936623531394</v>
      </c>
      <c r="X1534" s="324">
        <v>-10784.542073061108</v>
      </c>
      <c r="Y1534" s="324">
        <v>-10784.542073061195</v>
      </c>
      <c r="Z1534" s="324">
        <v>0.1115625</v>
      </c>
      <c r="AA1534" s="324" t="s">
        <v>425</v>
      </c>
      <c r="AB1534" s="324" t="s">
        <v>1898</v>
      </c>
    </row>
    <row r="1535" spans="1:32" s="324" customFormat="1" ht="0.65" hidden="1" customHeight="1">
      <c r="A1535" s="324">
        <v>6163</v>
      </c>
      <c r="H1535" s="324">
        <v>1</v>
      </c>
      <c r="I1535" s="324">
        <v>1</v>
      </c>
      <c r="J1535" s="324">
        <v>1</v>
      </c>
      <c r="K1535" s="324">
        <v>1</v>
      </c>
      <c r="L1535" s="324">
        <v>1</v>
      </c>
      <c r="M1535" s="324">
        <v>1</v>
      </c>
      <c r="N1535" s="324">
        <v>1</v>
      </c>
      <c r="O1535" s="324">
        <v>1</v>
      </c>
      <c r="P1535" s="324">
        <v>1</v>
      </c>
      <c r="T1535" s="324">
        <v>18</v>
      </c>
      <c r="U1535" s="324" t="s">
        <v>170</v>
      </c>
      <c r="V1535" s="324" t="s">
        <v>181</v>
      </c>
      <c r="W1535" s="324">
        <v>73233.162172578741</v>
      </c>
      <c r="X1535" s="324">
        <v>-14584.31652401376</v>
      </c>
      <c r="Y1535" s="324">
        <v>-14584.316524013946</v>
      </c>
      <c r="Z1535" s="324">
        <v>0.10224999999999999</v>
      </c>
      <c r="AA1535" s="324" t="s">
        <v>203</v>
      </c>
      <c r="AB1535" s="324" t="s">
        <v>1899</v>
      </c>
    </row>
    <row r="1536" spans="1:32" s="324" customFormat="1" ht="0.65" hidden="1" customHeight="1">
      <c r="A1536" s="324">
        <v>6164</v>
      </c>
      <c r="H1536" s="324">
        <v>1</v>
      </c>
      <c r="I1536" s="324">
        <v>1</v>
      </c>
      <c r="J1536" s="324">
        <v>1</v>
      </c>
      <c r="K1536" s="324">
        <v>1</v>
      </c>
      <c r="L1536" s="324">
        <v>1</v>
      </c>
      <c r="M1536" s="324">
        <v>1</v>
      </c>
      <c r="N1536" s="324">
        <v>1</v>
      </c>
      <c r="O1536" s="324">
        <v>1</v>
      </c>
      <c r="P1536" s="324">
        <v>1</v>
      </c>
      <c r="T1536" s="324">
        <v>19</v>
      </c>
      <c r="U1536" s="324" t="s">
        <v>171</v>
      </c>
      <c r="V1536" s="324" t="s">
        <v>181</v>
      </c>
      <c r="W1536" s="324">
        <v>212420.47733247245</v>
      </c>
      <c r="X1536" s="324">
        <v>124602.99863587995</v>
      </c>
      <c r="Y1536" s="324">
        <v>124602.99863587992</v>
      </c>
      <c r="AA1536" s="324" t="s">
        <v>426</v>
      </c>
      <c r="AB1536" s="324" t="s">
        <v>1900</v>
      </c>
    </row>
    <row r="1537" spans="1:39" s="324" customFormat="1" ht="0.65" hidden="1" customHeight="1">
      <c r="A1537" s="324">
        <v>6165</v>
      </c>
      <c r="H1537" s="324">
        <v>1</v>
      </c>
      <c r="I1537" s="324">
        <v>1</v>
      </c>
      <c r="J1537" s="324">
        <v>1</v>
      </c>
      <c r="K1537" s="324">
        <v>1</v>
      </c>
      <c r="L1537" s="324">
        <v>1</v>
      </c>
      <c r="M1537" s="324">
        <v>1</v>
      </c>
      <c r="N1537" s="324">
        <v>1</v>
      </c>
      <c r="O1537" s="324">
        <v>1</v>
      </c>
      <c r="P1537" s="324">
        <v>1</v>
      </c>
    </row>
    <row r="1538" spans="1:39" s="324" customFormat="1" ht="0.65" hidden="1" customHeight="1">
      <c r="A1538" s="324">
        <v>6166</v>
      </c>
    </row>
    <row r="1539" spans="1:39" s="324" customFormat="1" ht="0.65" hidden="1" customHeight="1">
      <c r="A1539" s="324">
        <v>6167</v>
      </c>
      <c r="X1539" s="324" t="s">
        <v>186</v>
      </c>
      <c r="Y1539" s="324">
        <v>1.1932570487260818E-9</v>
      </c>
    </row>
    <row r="1540" spans="1:39" s="324" customFormat="1" ht="0.65" hidden="1" customHeight="1">
      <c r="A1540" s="324">
        <v>6168</v>
      </c>
      <c r="N1540" s="324">
        <v>1</v>
      </c>
      <c r="P1540" s="324">
        <v>1</v>
      </c>
    </row>
    <row r="1541" spans="1:39" s="324" customFormat="1" ht="0.65" hidden="1" customHeight="1">
      <c r="A1541" s="324">
        <v>6169</v>
      </c>
      <c r="H1541" s="324">
        <v>1</v>
      </c>
      <c r="I1541" s="324">
        <v>1</v>
      </c>
      <c r="J1541" s="324">
        <v>1</v>
      </c>
      <c r="K1541" s="324">
        <v>1</v>
      </c>
      <c r="N1541" s="324">
        <v>1</v>
      </c>
      <c r="P1541" s="324">
        <v>1</v>
      </c>
    </row>
    <row r="1542" spans="1:39" s="324" customFormat="1" ht="0.65" hidden="1" customHeight="1">
      <c r="A1542" s="324">
        <v>6170</v>
      </c>
      <c r="H1542" s="324">
        <v>1</v>
      </c>
      <c r="I1542" s="324">
        <v>1</v>
      </c>
      <c r="J1542" s="324">
        <v>1</v>
      </c>
      <c r="K1542" s="324">
        <v>1</v>
      </c>
      <c r="N1542" s="324">
        <v>1</v>
      </c>
      <c r="P1542" s="324">
        <v>1</v>
      </c>
    </row>
    <row r="1543" spans="1:39" s="324" customFormat="1" ht="0.65" hidden="1" customHeight="1">
      <c r="A1543" s="324">
        <v>6171</v>
      </c>
      <c r="H1543" s="324">
        <v>1</v>
      </c>
      <c r="I1543" s="324">
        <v>1</v>
      </c>
      <c r="J1543" s="324">
        <v>1</v>
      </c>
      <c r="K1543" s="324">
        <v>1</v>
      </c>
      <c r="N1543" s="324">
        <v>1</v>
      </c>
    </row>
    <row r="1544" spans="1:39" s="324" customFormat="1" ht="0.65" hidden="1" customHeight="1">
      <c r="A1544" s="324">
        <v>6172</v>
      </c>
      <c r="AI1544" s="324">
        <v>1E-4</v>
      </c>
      <c r="AJ1544" s="324" t="s">
        <v>244</v>
      </c>
    </row>
    <row r="1545" spans="1:39" s="324" customFormat="1" ht="0.65" hidden="1" customHeight="1">
      <c r="A1545" s="324">
        <v>6173</v>
      </c>
      <c r="P1545" s="324">
        <v>1</v>
      </c>
      <c r="AC1545" s="324" t="s">
        <v>463</v>
      </c>
      <c r="AD1545" s="324" t="s">
        <v>208</v>
      </c>
      <c r="AG1545" s="324" t="s">
        <v>210</v>
      </c>
      <c r="AH1545" s="324" t="s">
        <v>209</v>
      </c>
      <c r="AI1545" s="324" t="s">
        <v>206</v>
      </c>
      <c r="AJ1545" s="324" t="s">
        <v>245</v>
      </c>
      <c r="AK1545" s="324" t="s">
        <v>206</v>
      </c>
      <c r="AL1545" s="324" t="s">
        <v>205</v>
      </c>
    </row>
    <row r="1546" spans="1:39" s="324" customFormat="1" ht="0.65" hidden="1" customHeight="1">
      <c r="A1546" s="324">
        <v>6174</v>
      </c>
      <c r="P1546" s="324">
        <v>1</v>
      </c>
      <c r="AA1546" s="324">
        <v>1</v>
      </c>
      <c r="AB1546" s="324" t="s">
        <v>645</v>
      </c>
      <c r="AC1546" s="324" t="s">
        <v>55</v>
      </c>
      <c r="AD1546" s="324" t="s">
        <v>55</v>
      </c>
      <c r="AE1546" s="324">
        <v>0</v>
      </c>
      <c r="AF1546" s="324" t="s">
        <v>490</v>
      </c>
      <c r="AG1546" s="324">
        <v>534375</v>
      </c>
      <c r="AH1546" s="324">
        <v>534375</v>
      </c>
      <c r="AI1546" s="324" t="s">
        <v>55</v>
      </c>
      <c r="AJ1546" s="324">
        <v>534375</v>
      </c>
      <c r="AK1546" s="324" t="s">
        <v>55</v>
      </c>
      <c r="AL1546" s="324" t="s">
        <v>55</v>
      </c>
      <c r="AM1546" s="324" t="s">
        <v>55</v>
      </c>
    </row>
    <row r="1547" spans="1:39" s="324" customFormat="1" ht="0.65" hidden="1" customHeight="1">
      <c r="A1547" s="324">
        <v>6175</v>
      </c>
      <c r="AA1547" s="324">
        <v>2</v>
      </c>
      <c r="AB1547" s="324" t="s">
        <v>645</v>
      </c>
      <c r="AC1547" s="324" t="s">
        <v>55</v>
      </c>
      <c r="AD1547" s="324" t="s">
        <v>55</v>
      </c>
      <c r="AE1547" s="324">
        <v>0</v>
      </c>
      <c r="AF1547" s="324" t="s">
        <v>510</v>
      </c>
      <c r="AG1547" s="324">
        <v>250000</v>
      </c>
      <c r="AH1547" s="324">
        <v>250000</v>
      </c>
      <c r="AI1547" s="324" t="s">
        <v>55</v>
      </c>
      <c r="AJ1547" s="324">
        <v>250000</v>
      </c>
      <c r="AK1547" s="324" t="s">
        <v>55</v>
      </c>
      <c r="AL1547" s="324" t="s">
        <v>55</v>
      </c>
      <c r="AM1547" s="324" t="s">
        <v>55</v>
      </c>
    </row>
    <row r="1548" spans="1:39" s="324" customFormat="1" ht="0.65" hidden="1" customHeight="1">
      <c r="A1548" s="324">
        <v>6176</v>
      </c>
      <c r="G1548" s="324" t="s">
        <v>411</v>
      </c>
      <c r="H1548" s="324">
        <v>49</v>
      </c>
      <c r="AA1548" s="324">
        <v>3</v>
      </c>
      <c r="AB1548" s="324" t="s">
        <v>645</v>
      </c>
      <c r="AC1548" s="324" t="s">
        <v>55</v>
      </c>
      <c r="AD1548" s="324" t="s">
        <v>55</v>
      </c>
      <c r="AE1548" s="324">
        <v>0</v>
      </c>
      <c r="AF1548" s="324" t="s">
        <v>513</v>
      </c>
      <c r="AG1548" s="324">
        <v>250000</v>
      </c>
      <c r="AH1548" s="324">
        <v>250000</v>
      </c>
      <c r="AI1548" s="324" t="s">
        <v>55</v>
      </c>
      <c r="AJ1548" s="324">
        <v>250000</v>
      </c>
      <c r="AK1548" s="324" t="s">
        <v>55</v>
      </c>
      <c r="AL1548" s="324" t="s">
        <v>55</v>
      </c>
      <c r="AM1548" s="324" t="s">
        <v>55</v>
      </c>
    </row>
    <row r="1549" spans="1:39" s="324" customFormat="1" ht="0.65" hidden="1" customHeight="1">
      <c r="A1549" s="324">
        <v>6177</v>
      </c>
      <c r="G1549" s="324" t="s">
        <v>412</v>
      </c>
      <c r="AA1549" s="324">
        <v>4</v>
      </c>
      <c r="AB1549" s="324" t="s">
        <v>645</v>
      </c>
      <c r="AC1549" s="324" t="s">
        <v>55</v>
      </c>
      <c r="AD1549" s="324" t="s">
        <v>55</v>
      </c>
      <c r="AE1549" s="324">
        <v>0</v>
      </c>
      <c r="AF1549" s="324" t="s">
        <v>515</v>
      </c>
      <c r="AG1549" s="324">
        <v>250000</v>
      </c>
      <c r="AH1549" s="324">
        <v>250000</v>
      </c>
      <c r="AI1549" s="324" t="s">
        <v>55</v>
      </c>
      <c r="AJ1549" s="324">
        <v>250000</v>
      </c>
      <c r="AK1549" s="324" t="s">
        <v>55</v>
      </c>
      <c r="AL1549" s="324" t="s">
        <v>55</v>
      </c>
      <c r="AM1549" s="324" t="s">
        <v>55</v>
      </c>
    </row>
    <row r="1550" spans="1:39" s="324" customFormat="1" ht="0.65" hidden="1" customHeight="1">
      <c r="A1550" s="324">
        <v>6178</v>
      </c>
      <c r="AA1550" s="324">
        <v>5</v>
      </c>
      <c r="AB1550" s="324" t="s">
        <v>645</v>
      </c>
      <c r="AC1550" s="324" t="s">
        <v>55</v>
      </c>
      <c r="AD1550" s="324" t="s">
        <v>55</v>
      </c>
      <c r="AE1550" s="324">
        <v>0</v>
      </c>
      <c r="AF1550" s="324" t="s">
        <v>517</v>
      </c>
      <c r="AG1550" s="324">
        <v>-25000</v>
      </c>
      <c r="AH1550" s="324">
        <v>-25000</v>
      </c>
      <c r="AI1550" s="324" t="s">
        <v>55</v>
      </c>
      <c r="AJ1550" s="324">
        <v>-25000</v>
      </c>
      <c r="AK1550" s="324" t="s">
        <v>55</v>
      </c>
      <c r="AL1550" s="324" t="s">
        <v>55</v>
      </c>
      <c r="AM1550" s="324" t="s">
        <v>55</v>
      </c>
    </row>
    <row r="1551" spans="1:39" s="324" customFormat="1" ht="0.65" hidden="1" customHeight="1">
      <c r="A1551" s="324">
        <v>6179</v>
      </c>
      <c r="AA1551" s="324">
        <v>6</v>
      </c>
      <c r="AB1551" s="324" t="s">
        <v>645</v>
      </c>
      <c r="AC1551" s="324" t="s">
        <v>55</v>
      </c>
      <c r="AD1551" s="324" t="s">
        <v>55</v>
      </c>
      <c r="AE1551" s="324">
        <v>0</v>
      </c>
      <c r="AF1551" s="324" t="s">
        <v>521</v>
      </c>
      <c r="AG1551" s="324">
        <v>-25000</v>
      </c>
      <c r="AH1551" s="324">
        <v>-25000</v>
      </c>
      <c r="AI1551" s="324" t="s">
        <v>55</v>
      </c>
      <c r="AJ1551" s="324">
        <v>-25000</v>
      </c>
      <c r="AK1551" s="324" t="s">
        <v>55</v>
      </c>
      <c r="AL1551" s="324" t="s">
        <v>55</v>
      </c>
      <c r="AM1551" s="324" t="s">
        <v>55</v>
      </c>
    </row>
    <row r="1552" spans="1:39" s="324" customFormat="1" ht="0.65" hidden="1" customHeight="1">
      <c r="A1552" s="324">
        <v>6180</v>
      </c>
      <c r="AA1552" s="324">
        <v>7</v>
      </c>
      <c r="AB1552" s="324" t="s">
        <v>645</v>
      </c>
      <c r="AC1552" s="324" t="s">
        <v>55</v>
      </c>
      <c r="AD1552" s="324" t="s">
        <v>55</v>
      </c>
      <c r="AE1552" s="324">
        <v>0</v>
      </c>
      <c r="AF1552" s="324" t="s">
        <v>523</v>
      </c>
      <c r="AG1552" s="324">
        <v>-25000</v>
      </c>
      <c r="AH1552" s="324">
        <v>-25000</v>
      </c>
      <c r="AI1552" s="324" t="s">
        <v>55</v>
      </c>
      <c r="AJ1552" s="324">
        <v>-25000</v>
      </c>
      <c r="AK1552" s="324" t="s">
        <v>55</v>
      </c>
      <c r="AL1552" s="324" t="s">
        <v>55</v>
      </c>
      <c r="AM1552" s="324" t="s">
        <v>55</v>
      </c>
    </row>
    <row r="1553" spans="1:39" s="324" customFormat="1" ht="0.65" hidden="1" customHeight="1">
      <c r="A1553" s="324">
        <v>6181</v>
      </c>
      <c r="G1553" s="324" t="s">
        <v>0</v>
      </c>
      <c r="H1553" s="324" t="s">
        <v>69</v>
      </c>
      <c r="I1553" s="324" t="s">
        <v>70</v>
      </c>
      <c r="J1553" s="324" t="s">
        <v>71</v>
      </c>
      <c r="K1553" s="324" t="s">
        <v>72</v>
      </c>
      <c r="L1553" s="324" t="s">
        <v>73</v>
      </c>
      <c r="M1553" s="324" t="s">
        <v>74</v>
      </c>
      <c r="N1553" s="324" t="s">
        <v>75</v>
      </c>
      <c r="O1553" s="324" t="s">
        <v>80</v>
      </c>
      <c r="P1553" s="324" t="s">
        <v>1</v>
      </c>
      <c r="AA1553" s="324">
        <v>8</v>
      </c>
      <c r="AB1553" s="324" t="s">
        <v>645</v>
      </c>
      <c r="AC1553" s="324" t="s">
        <v>55</v>
      </c>
      <c r="AD1553" s="324" t="s">
        <v>55</v>
      </c>
      <c r="AE1553" s="324">
        <v>0</v>
      </c>
      <c r="AF1553" s="324" t="s">
        <v>525</v>
      </c>
      <c r="AG1553" s="324">
        <v>28125</v>
      </c>
      <c r="AH1553" s="324">
        <v>28125</v>
      </c>
      <c r="AI1553" s="324" t="s">
        <v>55</v>
      </c>
      <c r="AJ1553" s="324">
        <v>28125</v>
      </c>
      <c r="AK1553" s="324" t="s">
        <v>55</v>
      </c>
      <c r="AL1553" s="324" t="s">
        <v>55</v>
      </c>
      <c r="AM1553" s="324" t="s">
        <v>55</v>
      </c>
    </row>
    <row r="1554" spans="1:39" s="324" customFormat="1" ht="0.65" hidden="1" customHeight="1">
      <c r="A1554" s="324">
        <v>6182</v>
      </c>
      <c r="G1554" s="324">
        <v>2021</v>
      </c>
      <c r="P1554" s="324" t="s">
        <v>645</v>
      </c>
      <c r="AA1554" s="324">
        <v>9</v>
      </c>
      <c r="AB1554" s="324" t="s">
        <v>645</v>
      </c>
      <c r="AC1554" s="324" t="s">
        <v>55</v>
      </c>
      <c r="AD1554" s="324" t="s">
        <v>55</v>
      </c>
      <c r="AE1554" s="324">
        <v>0</v>
      </c>
      <c r="AF1554" s="324" t="s">
        <v>528</v>
      </c>
      <c r="AG1554" s="324">
        <v>28125</v>
      </c>
      <c r="AH1554" s="324">
        <v>28125</v>
      </c>
      <c r="AI1554" s="324" t="s">
        <v>55</v>
      </c>
      <c r="AJ1554" s="324">
        <v>28125</v>
      </c>
      <c r="AK1554" s="324" t="s">
        <v>55</v>
      </c>
      <c r="AL1554" s="324" t="s">
        <v>55</v>
      </c>
      <c r="AM1554" s="324" t="s">
        <v>55</v>
      </c>
    </row>
    <row r="1555" spans="1:39" s="324" customFormat="1" ht="0.65" hidden="1" customHeight="1">
      <c r="A1555" s="324">
        <v>6183</v>
      </c>
      <c r="G1555" s="324">
        <v>2022</v>
      </c>
      <c r="H1555" s="324" t="s">
        <v>645</v>
      </c>
      <c r="I1555" s="324" t="s">
        <v>645</v>
      </c>
      <c r="J1555" s="324" t="s">
        <v>645</v>
      </c>
      <c r="K1555" s="324" t="s">
        <v>645</v>
      </c>
      <c r="L1555" s="324" t="s">
        <v>645</v>
      </c>
      <c r="M1555" s="324" t="s">
        <v>645</v>
      </c>
      <c r="N1555" s="324" t="s">
        <v>645</v>
      </c>
      <c r="O1555" s="324" t="s">
        <v>645</v>
      </c>
      <c r="P1555" s="324" t="s">
        <v>645</v>
      </c>
      <c r="AA1555" s="324">
        <v>10</v>
      </c>
      <c r="AB1555" s="324" t="s">
        <v>645</v>
      </c>
      <c r="AC1555" s="324" t="s">
        <v>55</v>
      </c>
      <c r="AD1555" s="324" t="s">
        <v>55</v>
      </c>
      <c r="AE1555" s="324">
        <v>0</v>
      </c>
      <c r="AF1555" s="324" t="s">
        <v>530</v>
      </c>
      <c r="AG1555" s="324">
        <v>28125</v>
      </c>
      <c r="AH1555" s="324">
        <v>28125</v>
      </c>
      <c r="AI1555" s="324" t="s">
        <v>55</v>
      </c>
      <c r="AJ1555" s="324">
        <v>28125</v>
      </c>
      <c r="AK1555" s="324" t="s">
        <v>55</v>
      </c>
      <c r="AL1555" s="324" t="s">
        <v>55</v>
      </c>
      <c r="AM1555" s="324" t="s">
        <v>55</v>
      </c>
    </row>
    <row r="1556" spans="1:39" s="324" customFormat="1" ht="0.65" hidden="1" customHeight="1">
      <c r="A1556" s="324">
        <v>6184</v>
      </c>
      <c r="G1556" s="324">
        <v>2023</v>
      </c>
      <c r="H1556" s="324" t="s">
        <v>645</v>
      </c>
      <c r="I1556" s="324" t="s">
        <v>645</v>
      </c>
      <c r="J1556" s="324" t="s">
        <v>645</v>
      </c>
      <c r="K1556" s="324" t="s">
        <v>645</v>
      </c>
      <c r="L1556" s="324" t="s">
        <v>645</v>
      </c>
      <c r="M1556" s="324" t="s">
        <v>645</v>
      </c>
      <c r="N1556" s="324" t="s">
        <v>645</v>
      </c>
      <c r="O1556" s="324" t="s">
        <v>645</v>
      </c>
      <c r="P1556" s="324" t="s">
        <v>645</v>
      </c>
      <c r="AA1556" s="324">
        <v>11</v>
      </c>
      <c r="AB1556" s="324" t="s">
        <v>645</v>
      </c>
      <c r="AC1556" s="324" t="s">
        <v>55</v>
      </c>
      <c r="AD1556" s="324" t="s">
        <v>55</v>
      </c>
      <c r="AE1556" s="324">
        <v>0</v>
      </c>
      <c r="AF1556" s="324" t="s">
        <v>533</v>
      </c>
      <c r="AG1556" s="324">
        <v>246875</v>
      </c>
      <c r="AH1556" s="324">
        <v>246875</v>
      </c>
      <c r="AI1556" s="324" t="s">
        <v>55</v>
      </c>
      <c r="AJ1556" s="324">
        <v>246875</v>
      </c>
      <c r="AK1556" s="324" t="s">
        <v>55</v>
      </c>
      <c r="AL1556" s="324" t="s">
        <v>55</v>
      </c>
      <c r="AM1556" s="324" t="s">
        <v>55</v>
      </c>
    </row>
    <row r="1557" spans="1:39" s="324" customFormat="1" ht="0.65" hidden="1" customHeight="1">
      <c r="A1557" s="324">
        <v>6185</v>
      </c>
      <c r="G1557" s="324">
        <v>2024</v>
      </c>
      <c r="H1557" s="324" t="s">
        <v>645</v>
      </c>
      <c r="I1557" s="324" t="s">
        <v>645</v>
      </c>
      <c r="J1557" s="324" t="s">
        <v>645</v>
      </c>
      <c r="K1557" s="324" t="s">
        <v>645</v>
      </c>
      <c r="L1557" s="324" t="s">
        <v>645</v>
      </c>
      <c r="M1557" s="324" t="s">
        <v>645</v>
      </c>
      <c r="N1557" s="324" t="s">
        <v>645</v>
      </c>
      <c r="O1557" s="324" t="s">
        <v>645</v>
      </c>
      <c r="P1557" s="324" t="s">
        <v>645</v>
      </c>
      <c r="AA1557" s="324">
        <v>12</v>
      </c>
      <c r="AB1557" s="324" t="s">
        <v>645</v>
      </c>
      <c r="AC1557" s="324" t="s">
        <v>55</v>
      </c>
      <c r="AD1557" s="324" t="s">
        <v>55</v>
      </c>
      <c r="AE1557" s="324">
        <v>0</v>
      </c>
      <c r="AF1557" s="324" t="s">
        <v>536</v>
      </c>
      <c r="AG1557" s="324">
        <v>246875</v>
      </c>
      <c r="AH1557" s="324">
        <v>246875</v>
      </c>
      <c r="AI1557" s="324" t="s">
        <v>55</v>
      </c>
      <c r="AJ1557" s="324">
        <v>246875</v>
      </c>
      <c r="AK1557" s="324" t="s">
        <v>55</v>
      </c>
      <c r="AL1557" s="324" t="s">
        <v>55</v>
      </c>
      <c r="AM1557" s="324" t="s">
        <v>55</v>
      </c>
    </row>
    <row r="1558" spans="1:39" s="324" customFormat="1" ht="0.65" hidden="1" customHeight="1">
      <c r="A1558" s="324">
        <v>6186</v>
      </c>
      <c r="AA1558" s="324">
        <v>13</v>
      </c>
      <c r="AB1558" s="324" t="s">
        <v>645</v>
      </c>
      <c r="AC1558" s="324" t="s">
        <v>55</v>
      </c>
      <c r="AD1558" s="324" t="s">
        <v>55</v>
      </c>
      <c r="AE1558" s="324">
        <v>0</v>
      </c>
      <c r="AF1558" s="324" t="s">
        <v>538</v>
      </c>
      <c r="AG1558" s="324">
        <v>246875</v>
      </c>
      <c r="AH1558" s="324">
        <v>246875</v>
      </c>
      <c r="AI1558" s="324" t="s">
        <v>55</v>
      </c>
      <c r="AJ1558" s="324">
        <v>246875</v>
      </c>
      <c r="AK1558" s="324" t="s">
        <v>55</v>
      </c>
      <c r="AL1558" s="324" t="s">
        <v>55</v>
      </c>
      <c r="AM1558" s="324" t="s">
        <v>55</v>
      </c>
    </row>
    <row r="1559" spans="1:39" s="324" customFormat="1" ht="0.65" hidden="1" customHeight="1">
      <c r="A1559" s="324">
        <v>6187</v>
      </c>
      <c r="G1559" s="324" t="s">
        <v>0</v>
      </c>
      <c r="H1559" s="324" t="s">
        <v>76</v>
      </c>
      <c r="I1559" s="324" t="s">
        <v>77</v>
      </c>
      <c r="J1559" s="324" t="s">
        <v>78</v>
      </c>
      <c r="K1559" s="324" t="s">
        <v>79</v>
      </c>
      <c r="AA1559" s="324">
        <v>14</v>
      </c>
      <c r="AB1559" s="324" t="s">
        <v>645</v>
      </c>
      <c r="AC1559" s="324" t="s">
        <v>55</v>
      </c>
      <c r="AD1559" s="324" t="s">
        <v>55</v>
      </c>
      <c r="AE1559" s="324">
        <v>0</v>
      </c>
      <c r="AF1559" s="324" t="s">
        <v>541</v>
      </c>
      <c r="AG1559" s="324">
        <v>61718.75</v>
      </c>
      <c r="AH1559" s="324">
        <v>61718.75</v>
      </c>
      <c r="AI1559" s="324" t="s">
        <v>55</v>
      </c>
      <c r="AJ1559" s="324">
        <v>61718.75</v>
      </c>
      <c r="AK1559" s="324" t="s">
        <v>55</v>
      </c>
      <c r="AL1559" s="324" t="s">
        <v>55</v>
      </c>
      <c r="AM1559" s="324" t="s">
        <v>55</v>
      </c>
    </row>
    <row r="1560" spans="1:39" s="324" customFormat="1" ht="0.65" hidden="1" customHeight="1">
      <c r="A1560" s="324">
        <v>6188</v>
      </c>
      <c r="G1560" s="324">
        <v>2021</v>
      </c>
      <c r="M1560" s="324" t="s">
        <v>456</v>
      </c>
      <c r="N1560" s="324" t="s">
        <v>645</v>
      </c>
      <c r="O1560" s="324" t="s">
        <v>124</v>
      </c>
      <c r="P1560" s="324" t="s">
        <v>645</v>
      </c>
      <c r="AA1560" s="324">
        <v>15</v>
      </c>
      <c r="AB1560" s="324" t="s">
        <v>645</v>
      </c>
      <c r="AC1560" s="324" t="s">
        <v>55</v>
      </c>
      <c r="AD1560" s="324" t="s">
        <v>55</v>
      </c>
      <c r="AE1560" s="324">
        <v>0</v>
      </c>
      <c r="AF1560" s="324" t="s">
        <v>544</v>
      </c>
      <c r="AG1560" s="324">
        <v>61718.75</v>
      </c>
      <c r="AH1560" s="324">
        <v>61718.75</v>
      </c>
      <c r="AI1560" s="324" t="s">
        <v>55</v>
      </c>
      <c r="AJ1560" s="324">
        <v>61718.75</v>
      </c>
      <c r="AK1560" s="324" t="s">
        <v>55</v>
      </c>
      <c r="AL1560" s="324" t="s">
        <v>55</v>
      </c>
      <c r="AM1560" s="324" t="s">
        <v>55</v>
      </c>
    </row>
    <row r="1561" spans="1:39" s="324" customFormat="1" ht="0.65" hidden="1" customHeight="1">
      <c r="A1561" s="324">
        <v>6189</v>
      </c>
      <c r="G1561" s="324">
        <v>2022</v>
      </c>
      <c r="H1561" s="324" t="s">
        <v>645</v>
      </c>
      <c r="I1561" s="324" t="s">
        <v>645</v>
      </c>
      <c r="J1561" s="324" t="s">
        <v>645</v>
      </c>
      <c r="K1561" s="324" t="s">
        <v>645</v>
      </c>
      <c r="M1561" s="324" t="s">
        <v>457</v>
      </c>
      <c r="N1561" s="324" t="s">
        <v>645</v>
      </c>
      <c r="O1561" s="324" t="s">
        <v>125</v>
      </c>
      <c r="P1561" s="324" t="s">
        <v>645</v>
      </c>
      <c r="AA1561" s="324">
        <v>16</v>
      </c>
      <c r="AB1561" s="324" t="s">
        <v>645</v>
      </c>
      <c r="AC1561" s="324" t="s">
        <v>55</v>
      </c>
      <c r="AD1561" s="324" t="s">
        <v>55</v>
      </c>
      <c r="AE1561" s="324">
        <v>0</v>
      </c>
      <c r="AF1561" s="324" t="s">
        <v>546</v>
      </c>
      <c r="AG1561" s="324">
        <v>61718.75</v>
      </c>
      <c r="AH1561" s="324">
        <v>61718.75</v>
      </c>
      <c r="AI1561" s="324" t="s">
        <v>55</v>
      </c>
      <c r="AJ1561" s="324">
        <v>61718.75</v>
      </c>
      <c r="AK1561" s="324" t="s">
        <v>55</v>
      </c>
      <c r="AL1561" s="324" t="s">
        <v>55</v>
      </c>
      <c r="AM1561" s="324" t="s">
        <v>55</v>
      </c>
    </row>
    <row r="1562" spans="1:39" s="324" customFormat="1" ht="0.65" hidden="1" customHeight="1">
      <c r="A1562" s="324">
        <v>6190</v>
      </c>
      <c r="G1562" s="324">
        <v>2023</v>
      </c>
      <c r="H1562" s="324" t="s">
        <v>645</v>
      </c>
      <c r="I1562" s="324" t="s">
        <v>645</v>
      </c>
      <c r="J1562" s="324" t="s">
        <v>645</v>
      </c>
      <c r="K1562" s="324" t="s">
        <v>645</v>
      </c>
      <c r="M1562" s="324" t="s">
        <v>458</v>
      </c>
      <c r="N1562" s="324" t="s">
        <v>645</v>
      </c>
      <c r="O1562" s="324" t="s">
        <v>126</v>
      </c>
      <c r="P1562" s="324" t="s">
        <v>645</v>
      </c>
      <c r="AA1562" s="324">
        <v>17</v>
      </c>
      <c r="AB1562" s="324" t="s">
        <v>645</v>
      </c>
      <c r="AC1562" s="324" t="s">
        <v>55</v>
      </c>
      <c r="AD1562" s="324" t="s">
        <v>55</v>
      </c>
      <c r="AE1562" s="324">
        <v>0</v>
      </c>
      <c r="AF1562" s="324" t="s">
        <v>549</v>
      </c>
      <c r="AG1562" s="324">
        <v>185156.25</v>
      </c>
      <c r="AH1562" s="324">
        <v>185156.25</v>
      </c>
      <c r="AI1562" s="324" t="s">
        <v>55</v>
      </c>
      <c r="AJ1562" s="324">
        <v>185156.25</v>
      </c>
      <c r="AK1562" s="324" t="s">
        <v>55</v>
      </c>
      <c r="AL1562" s="324" t="s">
        <v>55</v>
      </c>
      <c r="AM1562" s="324" t="s">
        <v>55</v>
      </c>
    </row>
    <row r="1563" spans="1:39" s="324" customFormat="1" ht="0.65" hidden="1" customHeight="1">
      <c r="A1563" s="324">
        <v>6191</v>
      </c>
      <c r="G1563" s="324">
        <v>2024</v>
      </c>
      <c r="H1563" s="324" t="s">
        <v>645</v>
      </c>
      <c r="I1563" s="324" t="s">
        <v>645</v>
      </c>
      <c r="J1563" s="324" t="s">
        <v>645</v>
      </c>
      <c r="K1563" s="324" t="s">
        <v>645</v>
      </c>
      <c r="M1563" s="324" t="s">
        <v>459</v>
      </c>
      <c r="N1563" s="324" t="s">
        <v>645</v>
      </c>
      <c r="AA1563" s="324">
        <v>18</v>
      </c>
      <c r="AB1563" s="324" t="s">
        <v>645</v>
      </c>
      <c r="AC1563" s="324" t="s">
        <v>55</v>
      </c>
      <c r="AD1563" s="324" t="s">
        <v>55</v>
      </c>
      <c r="AE1563" s="324">
        <v>0</v>
      </c>
      <c r="AF1563" s="324" t="s">
        <v>552</v>
      </c>
      <c r="AG1563" s="324">
        <v>185156.25</v>
      </c>
      <c r="AH1563" s="324">
        <v>185156.25</v>
      </c>
      <c r="AI1563" s="324" t="s">
        <v>55</v>
      </c>
      <c r="AJ1563" s="324">
        <v>185156.25</v>
      </c>
      <c r="AK1563" s="324" t="s">
        <v>55</v>
      </c>
      <c r="AL1563" s="324" t="s">
        <v>55</v>
      </c>
      <c r="AM1563" s="324" t="s">
        <v>55</v>
      </c>
    </row>
    <row r="1564" spans="1:39" s="324" customFormat="1" ht="0.65" hidden="1" customHeight="1">
      <c r="A1564" s="324">
        <v>6192</v>
      </c>
      <c r="AA1564" s="324">
        <v>19</v>
      </c>
      <c r="AB1564" s="324" t="s">
        <v>645</v>
      </c>
      <c r="AC1564" s="324" t="s">
        <v>55</v>
      </c>
      <c r="AD1564" s="324" t="s">
        <v>55</v>
      </c>
      <c r="AE1564" s="324">
        <v>0</v>
      </c>
      <c r="AF1564" s="324" t="s">
        <v>554</v>
      </c>
      <c r="AG1564" s="324">
        <v>185156.25</v>
      </c>
      <c r="AH1564" s="324">
        <v>185156.25</v>
      </c>
      <c r="AI1564" s="324" t="s">
        <v>55</v>
      </c>
      <c r="AJ1564" s="324">
        <v>185156.25</v>
      </c>
      <c r="AK1564" s="324" t="s">
        <v>55</v>
      </c>
      <c r="AL1564" s="324" t="s">
        <v>55</v>
      </c>
      <c r="AM1564" s="324" t="s">
        <v>55</v>
      </c>
    </row>
    <row r="1565" spans="1:39" s="324" customFormat="1" ht="0.65" hidden="1" customHeight="1">
      <c r="A1565" s="324">
        <v>6193</v>
      </c>
      <c r="O1565" s="324" t="s">
        <v>13</v>
      </c>
      <c r="P1565" s="324" t="s">
        <v>645</v>
      </c>
      <c r="AA1565" s="324">
        <v>20</v>
      </c>
      <c r="AB1565" s="324" t="s">
        <v>645</v>
      </c>
      <c r="AC1565" s="324" t="s">
        <v>55</v>
      </c>
      <c r="AD1565" s="324" t="s">
        <v>55</v>
      </c>
      <c r="AE1565" s="324">
        <v>0</v>
      </c>
      <c r="AF1565" s="324" t="s">
        <v>557</v>
      </c>
      <c r="AG1565" s="324">
        <v>213281.25</v>
      </c>
      <c r="AH1565" s="324">
        <v>213281.25</v>
      </c>
      <c r="AI1565" s="324" t="s">
        <v>55</v>
      </c>
      <c r="AJ1565" s="324">
        <v>213281.25</v>
      </c>
      <c r="AK1565" s="324" t="s">
        <v>55</v>
      </c>
      <c r="AL1565" s="324" t="s">
        <v>55</v>
      </c>
      <c r="AM1565" s="324" t="s">
        <v>55</v>
      </c>
    </row>
    <row r="1566" spans="1:39" s="324" customFormat="1" ht="0.65" hidden="1" customHeight="1">
      <c r="A1566" s="324">
        <v>6194</v>
      </c>
      <c r="O1566" s="324" t="s">
        <v>28</v>
      </c>
      <c r="P1566" s="324" t="s">
        <v>645</v>
      </c>
      <c r="AA1566" s="324">
        <v>21</v>
      </c>
      <c r="AB1566" s="324" t="s">
        <v>645</v>
      </c>
      <c r="AC1566" s="324" t="s">
        <v>55</v>
      </c>
      <c r="AD1566" s="324" t="s">
        <v>55</v>
      </c>
      <c r="AE1566" s="324">
        <v>0</v>
      </c>
      <c r="AF1566" s="324" t="s">
        <v>560</v>
      </c>
      <c r="AG1566" s="324">
        <v>213281.25</v>
      </c>
      <c r="AH1566" s="324">
        <v>213281.25</v>
      </c>
      <c r="AI1566" s="324" t="s">
        <v>55</v>
      </c>
      <c r="AJ1566" s="324">
        <v>213281.25</v>
      </c>
      <c r="AK1566" s="324" t="s">
        <v>55</v>
      </c>
      <c r="AL1566" s="324" t="s">
        <v>55</v>
      </c>
      <c r="AM1566" s="324" t="s">
        <v>55</v>
      </c>
    </row>
    <row r="1567" spans="1:39" s="324" customFormat="1" ht="0.65" hidden="1" customHeight="1">
      <c r="A1567" s="324">
        <v>6195</v>
      </c>
      <c r="O1567" s="324" t="s">
        <v>29</v>
      </c>
      <c r="AA1567" s="324">
        <v>22</v>
      </c>
      <c r="AB1567" s="324" t="s">
        <v>645</v>
      </c>
      <c r="AC1567" s="324" t="s">
        <v>55</v>
      </c>
      <c r="AD1567" s="324" t="s">
        <v>55</v>
      </c>
      <c r="AE1567" s="324">
        <v>0</v>
      </c>
      <c r="AF1567" s="324" t="s">
        <v>562</v>
      </c>
      <c r="AG1567" s="324">
        <v>213281.25</v>
      </c>
      <c r="AH1567" s="324">
        <v>213281.25</v>
      </c>
      <c r="AI1567" s="324" t="s">
        <v>55</v>
      </c>
      <c r="AJ1567" s="324">
        <v>213281.25</v>
      </c>
      <c r="AK1567" s="324" t="s">
        <v>55</v>
      </c>
      <c r="AL1567" s="324" t="s">
        <v>55</v>
      </c>
      <c r="AM1567" s="324" t="s">
        <v>55</v>
      </c>
    </row>
    <row r="1568" spans="1:39" s="324" customFormat="1" ht="0.65" hidden="1" customHeight="1">
      <c r="A1568" s="324">
        <v>6196</v>
      </c>
      <c r="O1568" s="324" t="s">
        <v>30</v>
      </c>
      <c r="AA1568" s="324">
        <v>23</v>
      </c>
      <c r="AB1568" s="324" t="s">
        <v>645</v>
      </c>
      <c r="AC1568" s="324" t="s">
        <v>55</v>
      </c>
      <c r="AD1568" s="324" t="s">
        <v>55</v>
      </c>
      <c r="AE1568" s="324">
        <v>0</v>
      </c>
      <c r="AF1568" s="324" t="s">
        <v>565</v>
      </c>
      <c r="AG1568" s="324">
        <v>62500</v>
      </c>
      <c r="AH1568" s="324">
        <v>62500</v>
      </c>
      <c r="AI1568" s="324" t="s">
        <v>55</v>
      </c>
      <c r="AJ1568" s="324">
        <v>62500</v>
      </c>
      <c r="AK1568" s="324" t="s">
        <v>55</v>
      </c>
      <c r="AL1568" s="324" t="s">
        <v>55</v>
      </c>
      <c r="AM1568" s="324" t="s">
        <v>55</v>
      </c>
    </row>
    <row r="1569" spans="1:39" s="324" customFormat="1" ht="0.65" hidden="1" customHeight="1">
      <c r="A1569" s="324">
        <v>6197</v>
      </c>
      <c r="AA1569" s="324">
        <v>24</v>
      </c>
      <c r="AB1569" s="324" t="s">
        <v>645</v>
      </c>
      <c r="AC1569" s="324" t="s">
        <v>55</v>
      </c>
      <c r="AD1569" s="324" t="s">
        <v>55</v>
      </c>
      <c r="AE1569" s="324">
        <v>0</v>
      </c>
      <c r="AF1569" s="324" t="s">
        <v>568</v>
      </c>
      <c r="AG1569" s="324">
        <v>62500</v>
      </c>
      <c r="AH1569" s="324">
        <v>62500</v>
      </c>
      <c r="AI1569" s="324" t="s">
        <v>55</v>
      </c>
      <c r="AJ1569" s="324">
        <v>62500</v>
      </c>
      <c r="AK1569" s="324" t="s">
        <v>55</v>
      </c>
      <c r="AL1569" s="324" t="s">
        <v>55</v>
      </c>
      <c r="AM1569" s="324" t="s">
        <v>55</v>
      </c>
    </row>
    <row r="1570" spans="1:39" s="324" customFormat="1" ht="0.65" hidden="1" customHeight="1">
      <c r="A1570" s="324">
        <v>6198</v>
      </c>
      <c r="AA1570" s="324">
        <v>25</v>
      </c>
      <c r="AB1570" s="324" t="s">
        <v>645</v>
      </c>
      <c r="AC1570" s="324" t="s">
        <v>55</v>
      </c>
      <c r="AD1570" s="324" t="s">
        <v>55</v>
      </c>
      <c r="AE1570" s="324">
        <v>0</v>
      </c>
      <c r="AF1570" s="324" t="s">
        <v>570</v>
      </c>
      <c r="AG1570" s="324">
        <v>62500</v>
      </c>
      <c r="AH1570" s="324">
        <v>62500</v>
      </c>
      <c r="AI1570" s="324" t="s">
        <v>55</v>
      </c>
      <c r="AJ1570" s="324">
        <v>62500</v>
      </c>
      <c r="AK1570" s="324" t="s">
        <v>55</v>
      </c>
      <c r="AL1570" s="324" t="s">
        <v>55</v>
      </c>
      <c r="AM1570" s="324" t="s">
        <v>55</v>
      </c>
    </row>
    <row r="1571" spans="1:39" s="324" customFormat="1" ht="0.65" hidden="1" customHeight="1">
      <c r="A1571" s="324">
        <v>6199</v>
      </c>
      <c r="AA1571" s="324">
        <v>26</v>
      </c>
      <c r="AB1571" s="324" t="s">
        <v>645</v>
      </c>
      <c r="AC1571" s="324" t="s">
        <v>55</v>
      </c>
      <c r="AD1571" s="324" t="s">
        <v>55</v>
      </c>
      <c r="AE1571" s="324">
        <v>0</v>
      </c>
      <c r="AF1571" s="324" t="s">
        <v>572</v>
      </c>
      <c r="AG1571" s="324">
        <v>-6250</v>
      </c>
      <c r="AH1571" s="324">
        <v>-6250</v>
      </c>
      <c r="AI1571" s="324" t="s">
        <v>55</v>
      </c>
      <c r="AJ1571" s="324">
        <v>-6250</v>
      </c>
      <c r="AK1571" s="324" t="s">
        <v>55</v>
      </c>
      <c r="AL1571" s="324" t="s">
        <v>55</v>
      </c>
      <c r="AM1571" s="324" t="s">
        <v>55</v>
      </c>
    </row>
    <row r="1572" spans="1:39" s="324" customFormat="1" ht="0.65" hidden="1" customHeight="1">
      <c r="A1572" s="324">
        <v>6200</v>
      </c>
      <c r="AA1572" s="324">
        <v>27</v>
      </c>
      <c r="AB1572" s="324" t="s">
        <v>645</v>
      </c>
      <c r="AC1572" s="324" t="s">
        <v>55</v>
      </c>
      <c r="AD1572" s="324" t="s">
        <v>55</v>
      </c>
      <c r="AE1572" s="324">
        <v>0</v>
      </c>
      <c r="AF1572" s="324" t="s">
        <v>575</v>
      </c>
      <c r="AG1572" s="324">
        <v>-6250</v>
      </c>
      <c r="AH1572" s="324">
        <v>-6250</v>
      </c>
      <c r="AI1572" s="324" t="s">
        <v>55</v>
      </c>
      <c r="AJ1572" s="324">
        <v>-6250</v>
      </c>
      <c r="AK1572" s="324" t="s">
        <v>55</v>
      </c>
      <c r="AL1572" s="324" t="s">
        <v>55</v>
      </c>
      <c r="AM1572" s="324" t="s">
        <v>55</v>
      </c>
    </row>
    <row r="1573" spans="1:39" s="324" customFormat="1" ht="0.65" hidden="1" customHeight="1">
      <c r="A1573" s="324">
        <v>6201</v>
      </c>
      <c r="AA1573" s="324">
        <v>28</v>
      </c>
      <c r="AB1573" s="324" t="s">
        <v>645</v>
      </c>
      <c r="AC1573" s="324" t="s">
        <v>55</v>
      </c>
      <c r="AD1573" s="324" t="s">
        <v>55</v>
      </c>
      <c r="AE1573" s="324">
        <v>0</v>
      </c>
      <c r="AF1573" s="324" t="s">
        <v>577</v>
      </c>
      <c r="AG1573" s="324">
        <v>-6250</v>
      </c>
      <c r="AH1573" s="324">
        <v>-6250</v>
      </c>
      <c r="AI1573" s="324" t="s">
        <v>55</v>
      </c>
      <c r="AJ1573" s="324">
        <v>-6250</v>
      </c>
      <c r="AK1573" s="324" t="s">
        <v>55</v>
      </c>
      <c r="AL1573" s="324" t="s">
        <v>55</v>
      </c>
      <c r="AM1573" s="324" t="s">
        <v>55</v>
      </c>
    </row>
    <row r="1574" spans="1:39" s="324" customFormat="1" ht="0.65" hidden="1" customHeight="1">
      <c r="A1574" s="324">
        <v>6202</v>
      </c>
      <c r="AA1574" s="324">
        <v>29</v>
      </c>
      <c r="AB1574" s="324" t="s">
        <v>645</v>
      </c>
      <c r="AC1574" s="324" t="s">
        <v>55</v>
      </c>
      <c r="AD1574" s="324" t="s">
        <v>55</v>
      </c>
      <c r="AE1574" s="324">
        <v>0</v>
      </c>
      <c r="AF1574" s="324" t="s">
        <v>579</v>
      </c>
      <c r="AG1574" s="324">
        <v>68750</v>
      </c>
      <c r="AH1574" s="324">
        <v>68750</v>
      </c>
      <c r="AI1574" s="324" t="s">
        <v>55</v>
      </c>
      <c r="AJ1574" s="324">
        <v>68750</v>
      </c>
      <c r="AK1574" s="324" t="s">
        <v>55</v>
      </c>
      <c r="AL1574" s="324" t="s">
        <v>55</v>
      </c>
      <c r="AM1574" s="324" t="s">
        <v>55</v>
      </c>
    </row>
    <row r="1575" spans="1:39" s="324" customFormat="1" ht="0.65" hidden="1" customHeight="1">
      <c r="A1575" s="324">
        <v>6203</v>
      </c>
      <c r="AA1575" s="324">
        <v>30</v>
      </c>
      <c r="AB1575" s="324" t="s">
        <v>645</v>
      </c>
      <c r="AC1575" s="324" t="s">
        <v>55</v>
      </c>
      <c r="AD1575" s="324" t="s">
        <v>55</v>
      </c>
      <c r="AE1575" s="324">
        <v>0</v>
      </c>
      <c r="AF1575" s="324" t="s">
        <v>582</v>
      </c>
      <c r="AG1575" s="324">
        <v>68750</v>
      </c>
      <c r="AH1575" s="324">
        <v>68750</v>
      </c>
      <c r="AI1575" s="324" t="s">
        <v>55</v>
      </c>
      <c r="AJ1575" s="324">
        <v>68750</v>
      </c>
      <c r="AK1575" s="324" t="s">
        <v>55</v>
      </c>
      <c r="AL1575" s="324" t="s">
        <v>55</v>
      </c>
      <c r="AM1575" s="324" t="s">
        <v>55</v>
      </c>
    </row>
    <row r="1576" spans="1:39" s="324" customFormat="1" ht="0.65" hidden="1" customHeight="1">
      <c r="A1576" s="324">
        <v>6204</v>
      </c>
      <c r="AA1576" s="324">
        <v>31</v>
      </c>
      <c r="AB1576" s="324" t="s">
        <v>645</v>
      </c>
      <c r="AC1576" s="324" t="s">
        <v>55</v>
      </c>
      <c r="AD1576" s="324" t="s">
        <v>55</v>
      </c>
      <c r="AE1576" s="324">
        <v>0</v>
      </c>
      <c r="AF1576" s="324" t="s">
        <v>584</v>
      </c>
      <c r="AG1576" s="324">
        <v>68750</v>
      </c>
      <c r="AH1576" s="324">
        <v>68750</v>
      </c>
      <c r="AI1576" s="324" t="s">
        <v>55</v>
      </c>
      <c r="AJ1576" s="324">
        <v>68750</v>
      </c>
      <c r="AK1576" s="324" t="s">
        <v>55</v>
      </c>
      <c r="AL1576" s="324" t="s">
        <v>55</v>
      </c>
      <c r="AM1576" s="324" t="s">
        <v>55</v>
      </c>
    </row>
    <row r="1577" spans="1:39" s="324" customFormat="1" ht="0.65" hidden="1" customHeight="1">
      <c r="A1577" s="324">
        <v>6205</v>
      </c>
      <c r="AA1577" s="324">
        <v>32</v>
      </c>
      <c r="AB1577" s="324" t="s">
        <v>645</v>
      </c>
      <c r="AC1577" s="324" t="s">
        <v>55</v>
      </c>
      <c r="AD1577" s="324" t="s">
        <v>55</v>
      </c>
      <c r="AE1577" s="324">
        <v>0</v>
      </c>
      <c r="AF1577" s="324" t="s">
        <v>586</v>
      </c>
      <c r="AG1577" s="324">
        <v>68750</v>
      </c>
      <c r="AH1577" s="324">
        <v>68750</v>
      </c>
      <c r="AI1577" s="324" t="s">
        <v>55</v>
      </c>
      <c r="AJ1577" s="324">
        <v>68750</v>
      </c>
      <c r="AK1577" s="324" t="s">
        <v>55</v>
      </c>
      <c r="AL1577" s="324" t="s">
        <v>55</v>
      </c>
      <c r="AM1577" s="324" t="s">
        <v>55</v>
      </c>
    </row>
    <row r="1578" spans="1:39" s="324" customFormat="1" ht="0.65" hidden="1" customHeight="1">
      <c r="A1578" s="324">
        <v>6206</v>
      </c>
      <c r="AA1578" s="324">
        <v>33</v>
      </c>
      <c r="AB1578" s="324" t="s">
        <v>645</v>
      </c>
      <c r="AC1578" s="324" t="s">
        <v>55</v>
      </c>
      <c r="AD1578" s="324" t="s">
        <v>55</v>
      </c>
      <c r="AE1578" s="324">
        <v>0</v>
      </c>
      <c r="AF1578" s="324" t="s">
        <v>589</v>
      </c>
      <c r="AG1578" s="324">
        <v>0</v>
      </c>
      <c r="AH1578" s="324">
        <v>0</v>
      </c>
      <c r="AI1578" s="324" t="s">
        <v>55</v>
      </c>
      <c r="AJ1578" s="324">
        <v>0</v>
      </c>
      <c r="AK1578" s="324" t="s">
        <v>55</v>
      </c>
      <c r="AL1578" s="324" t="s">
        <v>55</v>
      </c>
      <c r="AM1578" s="324" t="s">
        <v>55</v>
      </c>
    </row>
    <row r="1579" spans="1:39" s="324" customFormat="1" ht="0.65" hidden="1" customHeight="1">
      <c r="A1579" s="324">
        <v>6207</v>
      </c>
      <c r="AA1579" s="324">
        <v>34</v>
      </c>
      <c r="AB1579" s="324" t="s">
        <v>645</v>
      </c>
      <c r="AC1579" s="324" t="s">
        <v>55</v>
      </c>
      <c r="AD1579" s="324" t="s">
        <v>55</v>
      </c>
      <c r="AE1579" s="324">
        <v>0</v>
      </c>
      <c r="AF1579" s="324" t="s">
        <v>590</v>
      </c>
      <c r="AG1579" s="324">
        <v>0</v>
      </c>
      <c r="AH1579" s="324">
        <v>0</v>
      </c>
      <c r="AI1579" s="324" t="s">
        <v>55</v>
      </c>
      <c r="AJ1579" s="324">
        <v>0</v>
      </c>
      <c r="AK1579" s="324" t="s">
        <v>55</v>
      </c>
      <c r="AL1579" s="324" t="s">
        <v>55</v>
      </c>
      <c r="AM1579" s="324" t="s">
        <v>55</v>
      </c>
    </row>
    <row r="1580" spans="1:39" s="324" customFormat="1" ht="0.65" hidden="1" customHeight="1">
      <c r="A1580" s="324">
        <v>6208</v>
      </c>
      <c r="AA1580" s="324">
        <v>35</v>
      </c>
      <c r="AB1580" s="324" t="s">
        <v>645</v>
      </c>
      <c r="AC1580" s="324" t="s">
        <v>55</v>
      </c>
      <c r="AD1580" s="324" t="s">
        <v>55</v>
      </c>
      <c r="AE1580" s="324">
        <v>0</v>
      </c>
      <c r="AF1580" s="324" t="s">
        <v>592</v>
      </c>
      <c r="AG1580" s="324">
        <v>144531.25</v>
      </c>
      <c r="AH1580" s="324">
        <v>144531.25</v>
      </c>
      <c r="AI1580" s="324" t="s">
        <v>55</v>
      </c>
      <c r="AJ1580" s="324">
        <v>144531.25</v>
      </c>
      <c r="AK1580" s="324" t="s">
        <v>55</v>
      </c>
      <c r="AL1580" s="324" t="s">
        <v>55</v>
      </c>
      <c r="AM1580" s="324" t="s">
        <v>55</v>
      </c>
    </row>
    <row r="1581" spans="1:39" s="324" customFormat="1" ht="0.65" hidden="1" customHeight="1">
      <c r="A1581" s="324">
        <v>6209</v>
      </c>
      <c r="AA1581" s="324">
        <v>36</v>
      </c>
      <c r="AB1581" s="324" t="s">
        <v>645</v>
      </c>
      <c r="AC1581" s="324" t="s">
        <v>55</v>
      </c>
      <c r="AD1581" s="324" t="s">
        <v>55</v>
      </c>
      <c r="AE1581" s="324">
        <v>0</v>
      </c>
      <c r="AF1581" s="324" t="s">
        <v>595</v>
      </c>
      <c r="AG1581" s="324">
        <v>213281.25</v>
      </c>
      <c r="AH1581" s="324">
        <v>213281.25</v>
      </c>
      <c r="AI1581" s="324" t="s">
        <v>55</v>
      </c>
      <c r="AJ1581" s="324">
        <v>213281.25</v>
      </c>
      <c r="AK1581" s="324" t="s">
        <v>55</v>
      </c>
      <c r="AL1581" s="324" t="s">
        <v>55</v>
      </c>
      <c r="AM1581" s="324" t="s">
        <v>55</v>
      </c>
    </row>
    <row r="1582" spans="1:39" s="324" customFormat="1" ht="0.65" hidden="1" customHeight="1">
      <c r="A1582" s="324">
        <v>6210</v>
      </c>
      <c r="AA1582" s="324">
        <v>37</v>
      </c>
      <c r="AB1582" s="324" t="s">
        <v>645</v>
      </c>
      <c r="AC1582" s="324" t="s">
        <v>55</v>
      </c>
      <c r="AD1582" s="324" t="s">
        <v>55</v>
      </c>
      <c r="AE1582" s="324">
        <v>0</v>
      </c>
      <c r="AF1582" s="324" t="s">
        <v>598</v>
      </c>
      <c r="AG1582" s="324">
        <v>213281.25</v>
      </c>
      <c r="AH1582" s="324">
        <v>213281.25</v>
      </c>
      <c r="AI1582" s="324" t="s">
        <v>55</v>
      </c>
      <c r="AJ1582" s="324">
        <v>213281.25</v>
      </c>
      <c r="AK1582" s="324" t="s">
        <v>55</v>
      </c>
      <c r="AL1582" s="324" t="s">
        <v>55</v>
      </c>
      <c r="AM1582" s="324" t="s">
        <v>55</v>
      </c>
    </row>
    <row r="1583" spans="1:39" s="324" customFormat="1" ht="0.65" hidden="1" customHeight="1">
      <c r="A1583" s="324">
        <v>6211</v>
      </c>
      <c r="AA1583" s="324">
        <v>38</v>
      </c>
      <c r="AB1583" s="324" t="s">
        <v>645</v>
      </c>
      <c r="AC1583" s="324" t="s">
        <v>55</v>
      </c>
      <c r="AD1583" s="324" t="s">
        <v>55</v>
      </c>
      <c r="AE1583" s="324">
        <v>0</v>
      </c>
      <c r="AF1583" s="324" t="s">
        <v>491</v>
      </c>
      <c r="AG1583" s="324">
        <v>142031.25</v>
      </c>
      <c r="AH1583" s="324">
        <v>142031.25</v>
      </c>
      <c r="AI1583" s="324" t="s">
        <v>55</v>
      </c>
      <c r="AJ1583" s="324">
        <v>142031.25</v>
      </c>
      <c r="AK1583" s="324" t="s">
        <v>55</v>
      </c>
      <c r="AL1583" s="324" t="s">
        <v>55</v>
      </c>
      <c r="AM1583" s="324" t="s">
        <v>55</v>
      </c>
    </row>
    <row r="1584" spans="1:39" s="324" customFormat="1" ht="0.65" hidden="1" customHeight="1">
      <c r="A1584" s="324">
        <v>6212</v>
      </c>
      <c r="AA1584" s="324">
        <v>39</v>
      </c>
      <c r="AB1584" s="324" t="s">
        <v>645</v>
      </c>
      <c r="AC1584" s="324" t="s">
        <v>55</v>
      </c>
      <c r="AD1584" s="324" t="s">
        <v>55</v>
      </c>
      <c r="AE1584" s="324">
        <v>0</v>
      </c>
      <c r="AF1584" s="324" t="s">
        <v>493</v>
      </c>
      <c r="AG1584" s="324">
        <v>68750</v>
      </c>
      <c r="AH1584" s="324">
        <v>68750</v>
      </c>
      <c r="AI1584" s="324" t="s">
        <v>55</v>
      </c>
      <c r="AJ1584" s="324">
        <v>68750</v>
      </c>
      <c r="AK1584" s="324" t="s">
        <v>55</v>
      </c>
      <c r="AL1584" s="324" t="s">
        <v>55</v>
      </c>
      <c r="AM1584" s="324" t="s">
        <v>55</v>
      </c>
    </row>
    <row r="1585" spans="1:39" s="324" customFormat="1" ht="0.65" hidden="1" customHeight="1">
      <c r="A1585" s="324">
        <v>6213</v>
      </c>
      <c r="AA1585" s="324">
        <v>40</v>
      </c>
      <c r="AB1585" s="324" t="s">
        <v>645</v>
      </c>
      <c r="AC1585" s="324" t="s">
        <v>55</v>
      </c>
      <c r="AD1585" s="324" t="s">
        <v>55</v>
      </c>
      <c r="AE1585" s="324">
        <v>0</v>
      </c>
      <c r="AF1585" s="324" t="s">
        <v>494</v>
      </c>
      <c r="AG1585" s="324">
        <v>210781.25</v>
      </c>
      <c r="AH1585" s="324">
        <v>210781.25</v>
      </c>
      <c r="AI1585" s="324" t="s">
        <v>55</v>
      </c>
      <c r="AJ1585" s="324">
        <v>210781.25</v>
      </c>
      <c r="AK1585" s="324" t="s">
        <v>55</v>
      </c>
      <c r="AL1585" s="324" t="s">
        <v>55</v>
      </c>
      <c r="AM1585" s="324" t="s">
        <v>55</v>
      </c>
    </row>
    <row r="1586" spans="1:39" s="324" customFormat="1" ht="0.65" hidden="1" customHeight="1">
      <c r="A1586" s="324">
        <v>6214</v>
      </c>
      <c r="AA1586" s="324">
        <v>41</v>
      </c>
      <c r="AB1586" s="324" t="s">
        <v>645</v>
      </c>
      <c r="AC1586" s="324" t="s">
        <v>55</v>
      </c>
      <c r="AD1586" s="324" t="s">
        <v>55</v>
      </c>
      <c r="AE1586" s="324">
        <v>0</v>
      </c>
      <c r="AF1586" s="324" t="s">
        <v>607</v>
      </c>
      <c r="AG1586" s="324">
        <v>-534375</v>
      </c>
      <c r="AH1586" s="324">
        <v>-534375</v>
      </c>
      <c r="AI1586" s="324" t="s">
        <v>55</v>
      </c>
      <c r="AJ1586" s="324">
        <v>-534375</v>
      </c>
      <c r="AK1586" s="324" t="s">
        <v>55</v>
      </c>
      <c r="AL1586" s="324" t="s">
        <v>55</v>
      </c>
      <c r="AM1586" s="324" t="s">
        <v>55</v>
      </c>
    </row>
    <row r="1587" spans="1:39" s="324" customFormat="1" ht="0.65" hidden="1" customHeight="1">
      <c r="A1587" s="324">
        <v>6215</v>
      </c>
      <c r="AA1587" s="324">
        <v>42</v>
      </c>
      <c r="AB1587" s="324" t="s">
        <v>645</v>
      </c>
      <c r="AC1587" s="324" t="s">
        <v>55</v>
      </c>
      <c r="AD1587" s="324" t="s">
        <v>55</v>
      </c>
      <c r="AE1587" s="324">
        <v>0</v>
      </c>
      <c r="AF1587" s="324" t="s">
        <v>610</v>
      </c>
      <c r="AG1587" s="324">
        <v>144531.25</v>
      </c>
      <c r="AH1587" s="324">
        <v>144531.25</v>
      </c>
      <c r="AI1587" s="324" t="s">
        <v>55</v>
      </c>
      <c r="AJ1587" s="324">
        <v>144531.25</v>
      </c>
      <c r="AK1587" s="324" t="s">
        <v>55</v>
      </c>
      <c r="AL1587" s="324" t="s">
        <v>55</v>
      </c>
      <c r="AM1587" s="324" t="s">
        <v>55</v>
      </c>
    </row>
    <row r="1588" spans="1:39" s="324" customFormat="1" ht="0.65" hidden="1" customHeight="1">
      <c r="A1588" s="324">
        <v>6216</v>
      </c>
      <c r="AA1588" s="324">
        <v>43</v>
      </c>
      <c r="AB1588" s="324" t="s">
        <v>645</v>
      </c>
      <c r="AC1588" s="324" t="s">
        <v>55</v>
      </c>
      <c r="AD1588" s="324" t="s">
        <v>55</v>
      </c>
      <c r="AE1588" s="324">
        <v>0</v>
      </c>
      <c r="AF1588" s="324" t="s">
        <v>611</v>
      </c>
      <c r="AG1588" s="324">
        <v>213281.25</v>
      </c>
      <c r="AH1588" s="324">
        <v>213281.25</v>
      </c>
      <c r="AI1588" s="324" t="s">
        <v>55</v>
      </c>
      <c r="AJ1588" s="324">
        <v>213281.25</v>
      </c>
      <c r="AK1588" s="324" t="s">
        <v>55</v>
      </c>
      <c r="AL1588" s="324" t="s">
        <v>55</v>
      </c>
      <c r="AM1588" s="324" t="s">
        <v>55</v>
      </c>
    </row>
    <row r="1589" spans="1:39" s="324" customFormat="1" ht="0.65" hidden="1" customHeight="1">
      <c r="A1589" s="324">
        <v>6217</v>
      </c>
      <c r="AA1589" s="324">
        <v>44</v>
      </c>
      <c r="AB1589" s="324" t="s">
        <v>645</v>
      </c>
      <c r="AC1589" s="324" t="s">
        <v>55</v>
      </c>
      <c r="AD1589" s="324" t="s">
        <v>55</v>
      </c>
      <c r="AE1589" s="324">
        <v>0</v>
      </c>
      <c r="AF1589" s="324" t="s">
        <v>612</v>
      </c>
      <c r="AG1589" s="324">
        <v>424062.5</v>
      </c>
      <c r="AH1589" s="324">
        <v>424062.5</v>
      </c>
      <c r="AI1589" s="324" t="s">
        <v>55</v>
      </c>
      <c r="AJ1589" s="324">
        <v>424062.5</v>
      </c>
      <c r="AK1589" s="324" t="s">
        <v>55</v>
      </c>
      <c r="AL1589" s="324" t="s">
        <v>55</v>
      </c>
      <c r="AM1589" s="324" t="s">
        <v>55</v>
      </c>
    </row>
    <row r="1590" spans="1:39" s="324" customFormat="1" ht="0.65" hidden="1" customHeight="1">
      <c r="A1590" s="324">
        <v>6218</v>
      </c>
      <c r="AA1590" s="324">
        <v>45</v>
      </c>
      <c r="AB1590" s="324" t="s">
        <v>645</v>
      </c>
      <c r="AC1590" s="324" t="s">
        <v>55</v>
      </c>
      <c r="AD1590" s="324" t="s">
        <v>55</v>
      </c>
      <c r="AE1590" s="324">
        <v>0</v>
      </c>
      <c r="AF1590" s="324" t="s">
        <v>124</v>
      </c>
      <c r="AG1590" s="324">
        <v>5.2500000000000012E-2</v>
      </c>
      <c r="AH1590" s="324">
        <v>5.2500000000000012E-2</v>
      </c>
      <c r="AI1590" s="324" t="s">
        <v>55</v>
      </c>
      <c r="AJ1590" s="324">
        <v>5.2500000000000012E-2</v>
      </c>
      <c r="AK1590" s="324" t="s">
        <v>55</v>
      </c>
      <c r="AL1590" s="324" t="s">
        <v>55</v>
      </c>
      <c r="AM1590" s="324" t="s">
        <v>55</v>
      </c>
    </row>
    <row r="1591" spans="1:39" s="324" customFormat="1" ht="0.65" hidden="1" customHeight="1">
      <c r="A1591" s="324">
        <v>6219</v>
      </c>
      <c r="AA1591" s="324">
        <v>46</v>
      </c>
      <c r="AB1591" s="324" t="s">
        <v>645</v>
      </c>
      <c r="AC1591" s="324" t="s">
        <v>55</v>
      </c>
      <c r="AD1591" s="324" t="s">
        <v>55</v>
      </c>
      <c r="AE1591" s="324">
        <v>0</v>
      </c>
      <c r="AF1591" s="324" t="s">
        <v>125</v>
      </c>
      <c r="AG1591" s="324">
        <v>0.12000000000000001</v>
      </c>
      <c r="AH1591" s="324">
        <v>0.12000000000000001</v>
      </c>
      <c r="AI1591" s="324" t="s">
        <v>55</v>
      </c>
      <c r="AJ1591" s="324">
        <v>0.12000000000000001</v>
      </c>
      <c r="AK1591" s="324" t="s">
        <v>55</v>
      </c>
      <c r="AL1591" s="324" t="s">
        <v>55</v>
      </c>
      <c r="AM1591" s="324" t="s">
        <v>55</v>
      </c>
    </row>
    <row r="1592" spans="1:39" s="324" customFormat="1" ht="0.65" hidden="1" customHeight="1">
      <c r="A1592" s="324">
        <v>6220</v>
      </c>
      <c r="AA1592" s="324">
        <v>47</v>
      </c>
      <c r="AB1592" s="324" t="s">
        <v>645</v>
      </c>
      <c r="AC1592" s="324" t="s">
        <v>55</v>
      </c>
      <c r="AD1592" s="324" t="s">
        <v>55</v>
      </c>
      <c r="AE1592" s="324">
        <v>0</v>
      </c>
      <c r="AF1592" s="324" t="s">
        <v>126</v>
      </c>
      <c r="AG1592" s="324">
        <v>0.10312499999999999</v>
      </c>
      <c r="AH1592" s="324">
        <v>0.10312499999999999</v>
      </c>
      <c r="AI1592" s="324" t="s">
        <v>55</v>
      </c>
      <c r="AJ1592" s="324">
        <v>0.10312499999999999</v>
      </c>
      <c r="AK1592" s="324" t="s">
        <v>55</v>
      </c>
      <c r="AL1592" s="324" t="s">
        <v>55</v>
      </c>
      <c r="AM1592" s="324" t="s">
        <v>55</v>
      </c>
    </row>
    <row r="1593" spans="1:39" s="324" customFormat="1" ht="0.65" hidden="1" customHeight="1">
      <c r="A1593" s="324">
        <v>6221</v>
      </c>
      <c r="AA1593" s="324">
        <v>48</v>
      </c>
      <c r="AB1593" s="324" t="s">
        <v>645</v>
      </c>
      <c r="AC1593" s="324" t="s">
        <v>55</v>
      </c>
      <c r="AD1593" s="324" t="s">
        <v>55</v>
      </c>
      <c r="AE1593" s="324">
        <v>0</v>
      </c>
      <c r="AF1593" s="324" t="s">
        <v>13</v>
      </c>
      <c r="AG1593" s="324">
        <v>87817.478696592501</v>
      </c>
      <c r="AH1593" s="324">
        <v>87817.478696592501</v>
      </c>
      <c r="AI1593" s="324" t="s">
        <v>55</v>
      </c>
      <c r="AJ1593" s="324">
        <v>87817.478696592501</v>
      </c>
      <c r="AK1593" s="324" t="s">
        <v>55</v>
      </c>
      <c r="AL1593" s="324" t="s">
        <v>55</v>
      </c>
      <c r="AM1593" s="324" t="s">
        <v>55</v>
      </c>
    </row>
    <row r="1594" spans="1:39" s="324" customFormat="1" ht="0.65" hidden="1" customHeight="1">
      <c r="A1594" s="324">
        <v>6222</v>
      </c>
      <c r="AA1594" s="324">
        <v>49</v>
      </c>
      <c r="AB1594" s="324" t="s">
        <v>645</v>
      </c>
      <c r="AC1594" s="324" t="s">
        <v>55</v>
      </c>
      <c r="AD1594" s="324" t="s">
        <v>55</v>
      </c>
      <c r="AE1594" s="324">
        <v>0</v>
      </c>
      <c r="AF1594" s="324" t="s">
        <v>28</v>
      </c>
      <c r="AG1594" s="324">
        <v>0.17939434472028948</v>
      </c>
      <c r="AH1594" s="324">
        <v>0.17939434472028948</v>
      </c>
      <c r="AI1594" s="324" t="s">
        <v>55</v>
      </c>
      <c r="AJ1594" s="324">
        <v>0.17939434472028948</v>
      </c>
      <c r="AK1594" s="324" t="s">
        <v>55</v>
      </c>
      <c r="AL1594" s="324" t="s">
        <v>55</v>
      </c>
      <c r="AM1594" s="324" t="s">
        <v>55</v>
      </c>
    </row>
    <row r="1595" spans="1:39" s="324" customFormat="1" ht="0.65" hidden="1" customHeight="1">
      <c r="A1595" s="324">
        <v>6223</v>
      </c>
      <c r="AH1595" s="324" t="s">
        <v>207</v>
      </c>
      <c r="AI1595" s="324">
        <v>0</v>
      </c>
      <c r="AJ1595" s="324" t="s">
        <v>207</v>
      </c>
      <c r="AK1595" s="324">
        <v>0</v>
      </c>
    </row>
    <row r="1596" spans="1:39" s="65" customFormat="1" hidden="1"/>
  </sheetData>
  <sheetProtection algorithmName="SHA-512" hashValue="dsV2/XXzVtCy7D7oIywJN6ZUl3sZScOtrJFKnHZq9gCHBt9Q7l/M92i9cq8TndrMlaC3O26+0uAQokF5nYPg+g==" saltValue="0vGwr0kKBQfiVmBqkmtDRw==" spinCount="100000" sheet="1" selectLockedCells="1"/>
  <mergeCells count="29">
    <mergeCell ref="U42:AB47"/>
    <mergeCell ref="AG42:AP43"/>
    <mergeCell ref="AG44:AP45"/>
    <mergeCell ref="AG46:AP47"/>
    <mergeCell ref="M28:Q29"/>
    <mergeCell ref="AG28:AP29"/>
    <mergeCell ref="AG30:AP31"/>
    <mergeCell ref="M32:Q37"/>
    <mergeCell ref="AG32:AP33"/>
    <mergeCell ref="AG34:AP35"/>
    <mergeCell ref="Z35:AB40"/>
    <mergeCell ref="AG36:AP37"/>
    <mergeCell ref="AG38:AP39"/>
    <mergeCell ref="AG40:AP41"/>
    <mergeCell ref="AG16:AP17"/>
    <mergeCell ref="E18:F26"/>
    <mergeCell ref="AG18:AP19"/>
    <mergeCell ref="N20:Q21"/>
    <mergeCell ref="AG20:AP21"/>
    <mergeCell ref="N22:Q22"/>
    <mergeCell ref="AG22:AP23"/>
    <mergeCell ref="AG24:AP25"/>
    <mergeCell ref="AG26:AP27"/>
    <mergeCell ref="B1:C1"/>
    <mergeCell ref="E6:F14"/>
    <mergeCell ref="AG8:AP9"/>
    <mergeCell ref="AG10:AP11"/>
    <mergeCell ref="AG12:AP13"/>
    <mergeCell ref="AG14:AP15"/>
  </mergeCells>
  <conditionalFormatting sqref="G19:Q47 R1:AP47">
    <cfRule type="expression" dxfId="254" priority="6" stopIfTrue="1">
      <formula>OR(NOT($D$1=$D$2),NOT($L$17="x"),NOT($L$19=0))</formula>
    </cfRule>
  </conditionalFormatting>
  <conditionalFormatting sqref="D1:E2 K19:L19 AC1:AC47 A1:A47 A48:XFD1595">
    <cfRule type="expression" dxfId="253" priority="19" stopIfTrue="1">
      <formula>NOT($L$18="javi")</formula>
    </cfRule>
  </conditionalFormatting>
  <conditionalFormatting sqref="V8:V26">
    <cfRule type="expression" dxfId="252" priority="18" stopIfTrue="1">
      <formula>AND($V$29="x",$V$31=0,V8=V148)</formula>
    </cfRule>
    <cfRule type="expression" dxfId="251" priority="20" stopIfTrue="1">
      <formula>AND($V$29="x",$V$31=0,NOT(V8=V148))</formula>
    </cfRule>
  </conditionalFormatting>
  <conditionalFormatting sqref="AA8:AA26">
    <cfRule type="expression" dxfId="250" priority="16" stopIfTrue="1">
      <formula>AND($V$29="x",$V$31=0,ABS(AA8-W148)&lt;0.1)</formula>
    </cfRule>
    <cfRule type="expression" dxfId="249" priority="17" stopIfTrue="1">
      <formula>AND($V$29="x",$V$31=0,NOT(ABS(AA8-W148)&lt;0.1))</formula>
    </cfRule>
  </conditionalFormatting>
  <conditionalFormatting sqref="S131:AB145 S33:AB55">
    <cfRule type="expression" dxfId="248" priority="14" stopIfTrue="1">
      <formula>OR(NOT($V$29="x"),NOT($V$31=0))</formula>
    </cfRule>
  </conditionalFormatting>
  <conditionalFormatting sqref="Z34:AB34 T131:AB145 T35:AB55">
    <cfRule type="expression" dxfId="247" priority="15" stopIfTrue="1">
      <formula>OR($V$33="",$W$33="ERROR")</formula>
    </cfRule>
  </conditionalFormatting>
  <conditionalFormatting sqref="AD131:AP145 AD8:AP55">
    <cfRule type="expression" dxfId="246" priority="13" stopIfTrue="1">
      <formula>AD8=""</formula>
    </cfRule>
  </conditionalFormatting>
  <conditionalFormatting sqref="AD5:AP7">
    <cfRule type="expression" dxfId="245" priority="12" stopIfTrue="1">
      <formula>$AK$225=0</formula>
    </cfRule>
  </conditionalFormatting>
  <conditionalFormatting sqref="AD4:AP4">
    <cfRule type="expression" dxfId="244" priority="11" stopIfTrue="1">
      <formula>$AD$4=""</formula>
    </cfRule>
  </conditionalFormatting>
  <conditionalFormatting sqref="K17:M18">
    <cfRule type="expression" dxfId="243" priority="9" stopIfTrue="1">
      <formula>NOT($D$1=$D$2)</formula>
    </cfRule>
  </conditionalFormatting>
  <conditionalFormatting sqref="F54:P55">
    <cfRule type="expression" dxfId="242" priority="7" stopIfTrue="1">
      <formula>NOT($L$18="javi")</formula>
    </cfRule>
  </conditionalFormatting>
  <conditionalFormatting sqref="F32:F44">
    <cfRule type="expression" dxfId="241" priority="8" stopIfTrue="1">
      <formula>NOT($L$18="javi")</formula>
    </cfRule>
  </conditionalFormatting>
  <conditionalFormatting sqref="G25:L29 M26 M28:Q38">
    <cfRule type="expression" dxfId="240" priority="10" stopIfTrue="1">
      <formula>OR($L$21="",NOT($M$21=""))</formula>
    </cfRule>
  </conditionalFormatting>
  <conditionalFormatting sqref="A1:XFD1048576">
    <cfRule type="expression" dxfId="239" priority="2" stopIfTrue="1">
      <formula>OR($E$1="",NOT($E$2="SI"),$D$82="SI")</formula>
    </cfRule>
  </conditionalFormatting>
  <conditionalFormatting sqref="E6:F14 E18:F26 N20:Q21">
    <cfRule type="expression" dxfId="238" priority="1" stopIfTrue="1">
      <formula>NOT($E$6="")</formula>
    </cfRule>
  </conditionalFormatting>
  <conditionalFormatting sqref="H4:P16">
    <cfRule type="expression" dxfId="237" priority="3" stopIfTrue="1">
      <formula>AND($D$1=$D$2,$L$17="x",$L$19=0,H184="B")</formula>
    </cfRule>
    <cfRule type="expression" dxfId="236" priority="4" stopIfTrue="1">
      <formula>AND($D$1=$D$2,$L$17="x",$L$19=0,H184="D")</formula>
    </cfRule>
    <cfRule type="expression" dxfId="235" priority="5" stopIfTrue="1">
      <formula>AND($D$1=$D$2,$L$17="x",$L$19=0,H184="C")</formula>
    </cfRule>
  </conditionalFormatting>
  <pageMargins left="0.70866141732283472" right="0.70866141732283472" top="0.74803149606299213" bottom="0.74803149606299213" header="0.31496062992125984" footer="0.31496062992125984"/>
  <pageSetup paperSize="9" scale="70" pageOrder="overThenDown" orientation="landscape" r:id="rId1"/>
  <headerFooter>
    <oddHeader>&amp;CCaso práctico de inversión en condiciones de certeza sin inflación: Sustitución de maquinaria con inversiones en fondo de maniobra - Autoevaluación (avanzado)</oddHeader>
    <oddFooter>&amp;CPágina &amp;P de &amp;N</oddFooter>
  </headerFooter>
  <colBreaks count="1" manualBreakCount="1">
    <brk id="5"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31</vt:i4>
      </vt:variant>
    </vt:vector>
  </HeadingPairs>
  <TitlesOfParts>
    <vt:vector size="62" baseType="lpstr">
      <vt:lpstr>1</vt:lpstr>
      <vt:lpstr>2</vt:lpstr>
      <vt:lpstr>Consultas</vt:lpstr>
      <vt:lpstr>Instrucciones de uso</vt:lpstr>
      <vt:lpstr>Rutinas perfil fondos</vt:lpstr>
      <vt:lpstr>Rutinas Coste fondos</vt:lpstr>
      <vt:lpstr>Enunciado (sin infla)</vt:lpstr>
      <vt:lpstr>Autoeval-sol básico (sin infla)</vt:lpstr>
      <vt:lpstr>Autoeval-sol avanza (sin infla)</vt:lpstr>
      <vt:lpstr>Solución correcta (sin infla)</vt:lpstr>
      <vt:lpstr>Sensitividad (sin infla)</vt:lpstr>
      <vt:lpstr>Preguntas cortas (sin infla)</vt:lpstr>
      <vt:lpstr>Test (sin infla)</vt:lpstr>
      <vt:lpstr>Discusión criterios</vt:lpstr>
      <vt:lpstr>Conceptos generales inflación</vt:lpstr>
      <vt:lpstr>Ej sencillo inflación en AM</vt:lpstr>
      <vt:lpstr>Ej sencillo inflación en FM</vt:lpstr>
      <vt:lpstr>Efectos de la inflación</vt:lpstr>
      <vt:lpstr>Enunciado (con infla) básico</vt:lpstr>
      <vt:lpstr>Autoeval-sol (con infla) básico</vt:lpstr>
      <vt:lpstr>Solución (con infla) básico</vt:lpstr>
      <vt:lpstr>Enunciado DISVISA</vt:lpstr>
      <vt:lpstr>Planteamiento general DISVISA</vt:lpstr>
      <vt:lpstr>Reflexión general DISVISA</vt:lpstr>
      <vt:lpstr>Autoeval-sol DISVISA</vt:lpstr>
      <vt:lpstr>Solución correcta DISVISA</vt:lpstr>
      <vt:lpstr>Autoeval-sol alternat DISVISA</vt:lpstr>
      <vt:lpstr>Solución alternativa DISVISA</vt:lpstr>
      <vt:lpstr>Inflac vs No inflación DISVISA</vt:lpstr>
      <vt:lpstr>Incrementalidad Autoeval-sol</vt:lpstr>
      <vt:lpstr>Incrementalidad Solución</vt:lpstr>
      <vt:lpstr>'2'!Área_de_impresión</vt:lpstr>
      <vt:lpstr>'Autoeval-sol (con infla) básico'!Área_de_impresión</vt:lpstr>
      <vt:lpstr>'Autoeval-sol alternat DISVISA'!Área_de_impresión</vt:lpstr>
      <vt:lpstr>'Autoeval-sol avanza (sin infla)'!Área_de_impresión</vt:lpstr>
      <vt:lpstr>'Autoeval-sol básico (sin infla)'!Área_de_impresión</vt:lpstr>
      <vt:lpstr>'Autoeval-sol DISVISA'!Área_de_impresión</vt:lpstr>
      <vt:lpstr>'Discusión criterios'!Área_de_impresión</vt:lpstr>
      <vt:lpstr>'Efectos de la inflación'!Área_de_impresión</vt:lpstr>
      <vt:lpstr>'Ej sencillo inflación en AM'!Área_de_impresión</vt:lpstr>
      <vt:lpstr>'Ej sencillo inflación en FM'!Área_de_impresión</vt:lpstr>
      <vt:lpstr>'Enunciado (con infla) básico'!Área_de_impresión</vt:lpstr>
      <vt:lpstr>'Enunciado (sin infla)'!Área_de_impresión</vt:lpstr>
      <vt:lpstr>'Enunciado DISVISA'!Área_de_impresión</vt:lpstr>
      <vt:lpstr>'Incrementalidad Autoeval-sol'!Área_de_impresión</vt:lpstr>
      <vt:lpstr>'Incrementalidad Solución'!Área_de_impresión</vt:lpstr>
      <vt:lpstr>'Inflac vs No inflación DISVISA'!Área_de_impresión</vt:lpstr>
      <vt:lpstr>'Instrucciones de uso'!Área_de_impresión</vt:lpstr>
      <vt:lpstr>'Planteamiento general DISVISA'!Área_de_impresión</vt:lpstr>
      <vt:lpstr>'Preguntas cortas (sin infla)'!Área_de_impresión</vt:lpstr>
      <vt:lpstr>'Reflexión general DISVISA'!Área_de_impresión</vt:lpstr>
      <vt:lpstr>'Rutinas Coste fondos'!Área_de_impresión</vt:lpstr>
      <vt:lpstr>'Rutinas perfil fondos'!Área_de_impresión</vt:lpstr>
      <vt:lpstr>'Sensitividad (sin infla)'!Área_de_impresión</vt:lpstr>
      <vt:lpstr>'Solución (con infla) básico'!Área_de_impresión</vt:lpstr>
      <vt:lpstr>'Solución alternativa DISVISA'!Área_de_impresión</vt:lpstr>
      <vt:lpstr>'Solución correcta (sin infla)'!Área_de_impresión</vt:lpstr>
      <vt:lpstr>'Solución correcta DISVISA'!Área_de_impresión</vt:lpstr>
      <vt:lpstr>'Test (sin infla)'!Área_de_impresión</vt:lpstr>
      <vt:lpstr>'2'!Títulos_a_imprimir</vt:lpstr>
      <vt:lpstr>'Enunciado DISVISA'!Títulos_a_imprimir</vt:lpstr>
      <vt:lpstr>'Test (sin infla)'!Títulos_a_imprimir</vt:lpstr>
    </vt:vector>
  </TitlesOfParts>
  <Company>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fsantiba</dc:creator>
  <cp:lastModifiedBy>Francisco Javier Santibañez Gruber</cp:lastModifiedBy>
  <cp:lastPrinted>2023-08-25T08:29:53Z</cp:lastPrinted>
  <dcterms:created xsi:type="dcterms:W3CDTF">2010-05-07T15:21:17Z</dcterms:created>
  <dcterms:modified xsi:type="dcterms:W3CDTF">2024-12-12T15:11:39Z</dcterms:modified>
</cp:coreProperties>
</file>